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Assumptions" sheetId="2" state="visible" r:id="rId4"/>
    <sheet name="Accounts" sheetId="3" state="visible" r:id="rId5"/>
    <sheet name="Lines" sheetId="4" state="visible" r:id="rId6"/>
    <sheet name="Levers" sheetId="5" state="visible" r:id="rId7"/>
    <sheet name="Break-Even" sheetId="6" state="visible" r:id="rId8"/>
    <sheet name="Rebate Cliff" sheetId="7" state="visible" r:id="rId9"/>
    <sheet name="Solve" sheetId="8" state="visible" r:id="rId10"/>
    <sheet name="Payment Terms" sheetId="9" state="visible" r:id="rId11"/>
    <sheet name="Authority" sheetId="10" state="visible" r:id="rId12"/>
    <sheet name="Checks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<sst xmlns="http://schemas.openxmlformats.org/spreadsheetml/2006/main" count="3294" uniqueCount="844">
  <si>
    <t xml:space="preserve">The Discount Calculator</t>
  </si>
  <si>
    <t xml:space="preserve">Pricing Strategy, Julian R. Sterling. Companion workbook: Ravensworth Adhesives</t>
  </si>
  <si>
    <t xml:space="preserve">One point of price is worth 3.6 points of volume at Ravensworth's</t>
  </si>
  <si>
    <t xml:space="preserve">margin. A 5 per cent discount needs 22.8 per cent more volume to stand still; a 5 per</t>
  </si>
  <si>
    <t xml:space="preserve">cent rise can lose 15.6 per cent before it costs anything. This workbook holds that</t>
  </si>
  <si>
    <t xml:space="preserve">arithmetic, the rebate cliff that makes the last 153 units before a tier free, the price</t>
  </si>
  <si>
    <t xml:space="preserve">hidden in 2/10 net 30, and what converting the rebate to an incremental tier would take</t>
  </si>
  <si>
    <t xml:space="preserve">out of customers' pockets.</t>
  </si>
  <si>
    <t xml:space="preserve">Chapters served</t>
  </si>
  <si>
    <t xml:space="preserve">2 (the four levers), 3 (the break-even volume), 7 (the rebate cliff), 8 (payment terms), 17 (the approval matrix)</t>
  </si>
  <si>
    <t xml:space="preserve">Change this first</t>
  </si>
  <si>
    <t xml:space="preserve">Break-Even, the discount cell. Then the pocket margin on Assumptions, and watch every table move.</t>
  </si>
  <si>
    <t xml:space="preserve">The sheets</t>
  </si>
  <si>
    <t xml:space="preserve">Assumptions</t>
  </si>
  <si>
    <t xml:space="preserve">list prices, variable costs, the published rules, the pressure factors, the commission rate, the cost of money.</t>
  </si>
  <si>
    <t xml:space="preserve">Accounts</t>
  </si>
  <si>
    <t xml:space="preserve">the 180 customers and their terms, so that no company total is typed in.</t>
  </si>
  <si>
    <t xml:space="preserve">Lines</t>
  </si>
  <si>
    <t xml:space="preserve">the 458 account-family lines; the company's pocket margin is built here.</t>
  </si>
  <si>
    <t xml:space="preserve">Levers</t>
  </si>
  <si>
    <t xml:space="preserve">price, volume, variable cost and fixed cost, one per cent each, in operating profit.</t>
  </si>
  <si>
    <t xml:space="preserve">Break-Even</t>
  </si>
  <si>
    <t xml:space="preserve">d/(m-d) and d/(m+d): at Ravensworth's margin, with and without the commission relief, across margins, and by family.</t>
  </si>
  <si>
    <t xml:space="preserve">Rebate Cliff</t>
  </si>
  <si>
    <t xml:space="preserve">DIR-075 short of a tier, what the last N units are really worth, and the price of converting the tier to an incremental one. Read the caution at the head of that sheet before you change the tier.</t>
  </si>
  <si>
    <t xml:space="preserve">Solve</t>
  </si>
  <si>
    <t xml:space="preserve">the two thresholds found by bisection, one pass per column. No circular reference.</t>
  </si>
  <si>
    <t xml:space="preserve">Payment Terms</t>
  </si>
  <si>
    <t xml:space="preserve">2/10 net 30 as an annual rate, the counterfactual at three days of payment, and what thirty more days on the OEM book costs.</t>
  </si>
  <si>
    <t xml:space="preserve">Authority</t>
  </si>
  <si>
    <t xml:space="preserve">who may approve what, with the volume the deal has to add beside each band.</t>
  </si>
  <si>
    <t xml:space="preserve">Checks</t>
  </si>
  <si>
    <t xml:space="preserve">every published figure against the live one, with the variance and PASS or FAIL.</t>
  </si>
  <si>
    <t xml:space="preserve">Colors</t>
  </si>
  <si>
    <t xml:space="preserve">Blue</t>
  </si>
  <si>
    <t xml:space="preserve">an input you may change.</t>
  </si>
  <si>
    <t xml:space="preserve">Black</t>
  </si>
  <si>
    <t xml:space="preserve">a formula. Change an input and it moves.</t>
  </si>
  <si>
    <t xml:space="preserve">Green</t>
  </si>
  <si>
    <t xml:space="preserve">a link to another sheet.</t>
  </si>
  <si>
    <t xml:space="preserve">Yellow fill</t>
  </si>
  <si>
    <t xml:space="preserve">the assumptions that carry the answer.</t>
  </si>
  <si>
    <t xml:space="preserve">Outside the Checks sheet, the only typed values are the inputs: the assumption cells, and the account and line data the model starts from. Every derived figure is a live formula. On the Checks sheet, column C is the figure as printed in the book and is typed on purpose: that is the point of a check.</t>
  </si>
  <si>
    <t xml:space="preserve">There are no circular references and iterative calculation is OFF. Where a quantity would depend on</t>
  </si>
  <si>
    <t xml:space="preserve">itself the loop is unrolled one pass per column on a Solve sheet, and a cell reports CONVERGED.</t>
  </si>
  <si>
    <t xml:space="preserve">Money is rounded to the cent at each deduction, with ROUND(), at the same places the book rounds.</t>
  </si>
  <si>
    <t xml:space="preserve">Nothing is locked, hidden, protected or driven by a macro.</t>
  </si>
  <si>
    <t xml:space="preserve">Revised 24 September 2026</t>
  </si>
  <si>
    <t xml:space="preserve">Rebate Cliff: the last units before the tier carry the account's other off-invoice deductions as well as the rebate (row 27).</t>
  </si>
  <si>
    <t xml:space="preserve">DIR-075 takes a freight allowance of 1.5 per cent and returns of 0.6 per cent of invoice, so the 640 units leave 4,967.53, not 6,087.91,</t>
  </si>
  <si>
    <t xml:space="preserve">and the last 458 units before the tier (not 430) fail to cover variable cost, commission and those deductions.</t>
  </si>
  <si>
    <t xml:space="preserve">The assumption cells. The account and line sheets carry the starting data; everything derived from either is a formula.</t>
  </si>
  <si>
    <t xml:space="preserve">The three product families</t>
  </si>
  <si>
    <t xml:space="preserve">Family</t>
  </si>
  <si>
    <t xml:space="preserve">Code</t>
  </si>
  <si>
    <t xml:space="preserve">List price</t>
  </si>
  <si>
    <t xml:space="preserve">Variable cost</t>
  </si>
  <si>
    <t xml:space="preserve">Annual units</t>
  </si>
  <si>
    <t xml:space="preserve">Unit contribution at list</t>
  </si>
  <si>
    <t xml:space="preserve">Margin at list</t>
  </si>
  <si>
    <t xml:space="preserve">Structural adhesives</t>
  </si>
  <si>
    <t xml:space="preserve">STRUCT</t>
  </si>
  <si>
    <t xml:space="preserve">Sealants</t>
  </si>
  <si>
    <t xml:space="preserve">SEAL</t>
  </si>
  <si>
    <t xml:space="preserve">Protective coatings</t>
  </si>
  <si>
    <t xml:space="preserve">COAT</t>
  </si>
  <si>
    <t xml:space="preserve">How hard the buyer fights, by family: the pressure on the negotiated discount</t>
  </si>
  <si>
    <t xml:space="preserve">Pressure factor</t>
  </si>
  <si>
    <t xml:space="preserve">Ceiling on the negotiated discount, any family</t>
  </si>
  <si>
    <t xml:space="preserve">Set all three factors to 1.00 and every family pays the account's headline rate:</t>
  </si>
  <si>
    <t xml:space="preserve">the three distributions on the Band sheet collapse together, and the spread</t>
  </si>
  <si>
    <t xml:space="preserve">between the families' pocket shares goes to zero. That is the test of the claim.</t>
  </si>
  <si>
    <t xml:space="preserve">The company</t>
  </si>
  <si>
    <t xml:space="preserve">Sales commission, share of invoiced revenue</t>
  </si>
  <si>
    <t xml:space="preserve">Cost of money, a year</t>
  </si>
  <si>
    <t xml:space="preserve">Fixed manufacturing overhead</t>
  </si>
  <si>
    <t xml:space="preserve">Warehouse and distribution (fixed)</t>
  </si>
  <si>
    <t xml:space="preserve">Sales and marketing (fixed)</t>
  </si>
  <si>
    <t xml:space="preserve">General and administrative</t>
  </si>
  <si>
    <t xml:space="preserve">Fixed costs, total</t>
  </si>
  <si>
    <t xml:space="preserve">The published rules: order-size discount, on invoice, share of list</t>
  </si>
  <si>
    <t xml:space="preserve">Average order, units, at least</t>
  </si>
  <si>
    <t xml:space="preserve">Discount</t>
  </si>
  <si>
    <t xml:space="preserve">The published rules: annual volume rebate, off invoice, share of invoice, RETROACTIVE</t>
  </si>
  <si>
    <t xml:space="preserve">Annual units, at least</t>
  </si>
  <si>
    <t xml:space="preserve">Rebate</t>
  </si>
  <si>
    <t xml:space="preserve">The published rules: cash discount</t>
  </si>
  <si>
    <t xml:space="preserve">Cash discount, 2/10 net 30, share of invoice</t>
  </si>
  <si>
    <t xml:space="preserve">Paid on day</t>
  </si>
  <si>
    <t xml:space="preserve">Otherwise net, days</t>
  </si>
  <si>
    <t xml:space="preserve">Days in a year</t>
  </si>
  <si>
    <t xml:space="preserve">The rebate cliff account</t>
  </si>
  <si>
    <t xml:space="preserve">Account</t>
  </si>
  <si>
    <t xml:space="preserve">DIR-075</t>
  </si>
  <si>
    <t xml:space="preserve">The rebate tier it is short of, units</t>
  </si>
  <si>
    <t xml:space="preserve">The approval matrix</t>
  </si>
  <si>
    <t xml:space="preserve">Discount up to</t>
  </si>
  <si>
    <t xml:space="preserve">Who may approve</t>
  </si>
  <si>
    <t xml:space="preserve">Sales representative</t>
  </si>
  <si>
    <t xml:space="preserve">Regional sales manager</t>
  </si>
  <si>
    <t xml:space="preserve">Pricing committee</t>
  </si>
  <si>
    <t xml:space="preserve">Chief financial officer</t>
  </si>
  <si>
    <t xml:space="preserve">Chapter 3 prints these grids; change them and every table below follows</t>
  </si>
  <si>
    <t xml:space="preserve">Price cuts tested</t>
  </si>
  <si>
    <t xml:space="preserve">Price rises tested</t>
  </si>
  <si>
    <t xml:space="preserve">Margins tested</t>
  </si>
  <si>
    <t xml:space="preserve">The 180 accounts</t>
  </si>
  <si>
    <t xml:space="preserve">One row per customer. Blue cells are the account's own terms; black cells are the published rules applied to them.</t>
  </si>
  <si>
    <t xml:space="preserve">Segment</t>
  </si>
  <si>
    <t xml:space="preserve">Salesperson</t>
  </si>
  <si>
    <t xml:space="preserve">Units STRUCT</t>
  </si>
  <si>
    <t xml:space="preserve">Units SEAL</t>
  </si>
  <si>
    <t xml:space="preserve">Units COAT</t>
  </si>
  <si>
    <t xml:space="preserve">Total units</t>
  </si>
  <si>
    <t xml:space="preserve">Average order</t>
  </si>
  <si>
    <t xml:space="preserve">Orders a year</t>
  </si>
  <si>
    <t xml:space="preserve">Negotiated discount</t>
  </si>
  <si>
    <t xml:space="preserve">Negotiated discount, STRUCT</t>
  </si>
  <si>
    <t xml:space="preserve">Negotiated discount, SEAL</t>
  </si>
  <si>
    <t xml:space="preserve">Negotiated discount, COAT</t>
  </si>
  <si>
    <t xml:space="preserve">Order-size discount</t>
  </si>
  <si>
    <t xml:space="preserve">Volume rebate rate</t>
  </si>
  <si>
    <t xml:space="preserve">Takes cash discount (1/0)</t>
  </si>
  <si>
    <t xml:space="preserve">Cash discount rate</t>
  </si>
  <si>
    <t xml:space="preserve">Freight allowance</t>
  </si>
  <si>
    <t xml:space="preserve">Co-operative marketing</t>
  </si>
  <si>
    <t xml:space="preserve">Growth bonus</t>
  </si>
  <si>
    <t xml:space="preserve">Returns and credits</t>
  </si>
  <si>
    <t xml:space="preserve">Promotional allowance</t>
  </si>
  <si>
    <t xml:space="preserve">Off-invoice rates, total</t>
  </si>
  <si>
    <t xml:space="preserve">Takes it and pays day 25 (1/0)</t>
  </si>
  <si>
    <t xml:space="preserve">Log of annual units</t>
  </si>
  <si>
    <t xml:space="preserve">Revenue at list</t>
  </si>
  <si>
    <t xml:space="preserve">Invoiced revenue</t>
  </si>
  <si>
    <t xml:space="preserve">Pocket revenue</t>
  </si>
  <si>
    <t xml:space="preserve">Commission</t>
  </si>
  <si>
    <t xml:space="preserve">Contribution</t>
  </si>
  <si>
    <t xml:space="preserve">Rank by pocket revenue</t>
  </si>
  <si>
    <t xml:space="preserve">Next rebate tier above it</t>
  </si>
  <si>
    <t xml:space="preserve">Units short of it</t>
  </si>
  <si>
    <t xml:space="preserve">Rebate rate at that tier</t>
  </si>
  <si>
    <t xml:space="preserve">Rebate bill if it crosses</t>
  </si>
  <si>
    <t xml:space="preserve">Cumulative, rounded at each step, in account order</t>
  </si>
  <si>
    <t xml:space="preserve">Volume rebate, RETROACTIVE, as paid</t>
  </si>
  <si>
    <t xml:space="preserve">The same rates paid INCREMENTALLY, band by band</t>
  </si>
  <si>
    <t xml:space="preserve">Cash discount taken, as posted on the lines</t>
  </si>
  <si>
    <t xml:space="preserve">OEM-001</t>
  </si>
  <si>
    <t xml:space="preserve">OEM key accounts</t>
  </si>
  <si>
    <t xml:space="preserve">Rep 01</t>
  </si>
  <si>
    <t xml:space="preserve">OEM-003</t>
  </si>
  <si>
    <t xml:space="preserve">OEM-005</t>
  </si>
  <si>
    <t xml:space="preserve">OEM-007</t>
  </si>
  <si>
    <t xml:space="preserve">OEM-009</t>
  </si>
  <si>
    <t xml:space="preserve">OEM-011</t>
  </si>
  <si>
    <t xml:space="preserve">OEM-002</t>
  </si>
  <si>
    <t xml:space="preserve">Rep 02</t>
  </si>
  <si>
    <t xml:space="preserve">OEM-004</t>
  </si>
  <si>
    <t xml:space="preserve">OEM-006</t>
  </si>
  <si>
    <t xml:space="preserve">OEM-008</t>
  </si>
  <si>
    <t xml:space="preserve">OEM-010</t>
  </si>
  <si>
    <t xml:space="preserve">OEM-012</t>
  </si>
  <si>
    <t xml:space="preserve">DIS-013</t>
  </si>
  <si>
    <t xml:space="preserve">Distributors</t>
  </si>
  <si>
    <t xml:space="preserve">Rep 03</t>
  </si>
  <si>
    <t xml:space="preserve">DIS-016</t>
  </si>
  <si>
    <t xml:space="preserve">DIS-019</t>
  </si>
  <si>
    <t xml:space="preserve">DIS-022</t>
  </si>
  <si>
    <t xml:space="preserve">DIS-025</t>
  </si>
  <si>
    <t xml:space="preserve">DIS-028</t>
  </si>
  <si>
    <t xml:space="preserve">DIS-031</t>
  </si>
  <si>
    <t xml:space="preserve">DIS-034</t>
  </si>
  <si>
    <t xml:space="preserve">DIS-037</t>
  </si>
  <si>
    <t xml:space="preserve">DIS-040</t>
  </si>
  <si>
    <t xml:space="preserve">DIS-014</t>
  </si>
  <si>
    <t xml:space="preserve">Rep 04</t>
  </si>
  <si>
    <t xml:space="preserve">DIS-017</t>
  </si>
  <si>
    <t xml:space="preserve">DIS-020</t>
  </si>
  <si>
    <t xml:space="preserve">DIS-023</t>
  </si>
  <si>
    <t xml:space="preserve">DIS-026</t>
  </si>
  <si>
    <t xml:space="preserve">DIS-029</t>
  </si>
  <si>
    <t xml:space="preserve">DIS-032</t>
  </si>
  <si>
    <t xml:space="preserve">DIS-035</t>
  </si>
  <si>
    <t xml:space="preserve">DIS-038</t>
  </si>
  <si>
    <t xml:space="preserve">DIS-015</t>
  </si>
  <si>
    <t xml:space="preserve">Rep 05</t>
  </si>
  <si>
    <t xml:space="preserve">DIS-018</t>
  </si>
  <si>
    <t xml:space="preserve">DIS-021</t>
  </si>
  <si>
    <t xml:space="preserve">DIS-024</t>
  </si>
  <si>
    <t xml:space="preserve">DIS-027</t>
  </si>
  <si>
    <t xml:space="preserve">DIS-030</t>
  </si>
  <si>
    <t xml:space="preserve">DIS-033</t>
  </si>
  <si>
    <t xml:space="preserve">DIS-036</t>
  </si>
  <si>
    <t xml:space="preserve">DIS-039</t>
  </si>
  <si>
    <t xml:space="preserve">DIR-041</t>
  </si>
  <si>
    <t xml:space="preserve">Direct industrial</t>
  </si>
  <si>
    <t xml:space="preserve">DIR-049</t>
  </si>
  <si>
    <t xml:space="preserve">DIR-057</t>
  </si>
  <si>
    <t xml:space="preserve">DIR-065</t>
  </si>
  <si>
    <t xml:space="preserve">DIR-073</t>
  </si>
  <si>
    <t xml:space="preserve">DIR-081</t>
  </si>
  <si>
    <t xml:space="preserve">DIR-089</t>
  </si>
  <si>
    <t xml:space="preserve">DIR-097</t>
  </si>
  <si>
    <t xml:space="preserve">DIR-042</t>
  </si>
  <si>
    <t xml:space="preserve">DIR-050</t>
  </si>
  <si>
    <t xml:space="preserve">DIR-058</t>
  </si>
  <si>
    <t xml:space="preserve">DIR-066</t>
  </si>
  <si>
    <t xml:space="preserve">DIR-074</t>
  </si>
  <si>
    <t xml:space="preserve">DIR-082</t>
  </si>
  <si>
    <t xml:space="preserve">DIR-090</t>
  </si>
  <si>
    <t xml:space="preserve">DIR-098</t>
  </si>
  <si>
    <t xml:space="preserve">DIR-043</t>
  </si>
  <si>
    <t xml:space="preserve">DIR-051</t>
  </si>
  <si>
    <t xml:space="preserve">DIR-059</t>
  </si>
  <si>
    <t xml:space="preserve">DIR-067</t>
  </si>
  <si>
    <t xml:space="preserve">DIR-083</t>
  </si>
  <si>
    <t xml:space="preserve">DIR-091</t>
  </si>
  <si>
    <t xml:space="preserve">DIR-099</t>
  </si>
  <si>
    <t xml:space="preserve">DIR-044</t>
  </si>
  <si>
    <t xml:space="preserve">Rep 06</t>
  </si>
  <si>
    <t xml:space="preserve">DIR-052</t>
  </si>
  <si>
    <t xml:space="preserve">DIR-060</t>
  </si>
  <si>
    <t xml:space="preserve">DIR-068</t>
  </si>
  <si>
    <t xml:space="preserve">DIR-076</t>
  </si>
  <si>
    <t xml:space="preserve">DIR-084</t>
  </si>
  <si>
    <t xml:space="preserve">DIR-092</t>
  </si>
  <si>
    <t xml:space="preserve">DIR-100</t>
  </si>
  <si>
    <t xml:space="preserve">DIR-045</t>
  </si>
  <si>
    <t xml:space="preserve">Rep 07</t>
  </si>
  <si>
    <t xml:space="preserve">DIR-053</t>
  </si>
  <si>
    <t xml:space="preserve">DIR-061</t>
  </si>
  <si>
    <t xml:space="preserve">DIR-069</t>
  </si>
  <si>
    <t xml:space="preserve">DIR-077</t>
  </si>
  <si>
    <t xml:space="preserve">DIR-085</t>
  </si>
  <si>
    <t xml:space="preserve">DIR-093</t>
  </si>
  <si>
    <t xml:space="preserve">DIR-046</t>
  </si>
  <si>
    <t xml:space="preserve">Rep 08</t>
  </si>
  <si>
    <t xml:space="preserve">DIR-054</t>
  </si>
  <si>
    <t xml:space="preserve">DIR-062</t>
  </si>
  <si>
    <t xml:space="preserve">DIR-070</t>
  </si>
  <si>
    <t xml:space="preserve">DIR-078</t>
  </si>
  <si>
    <t xml:space="preserve">DIR-086</t>
  </si>
  <si>
    <t xml:space="preserve">DIR-094</t>
  </si>
  <si>
    <t xml:space="preserve">DIR-047</t>
  </si>
  <si>
    <t xml:space="preserve">Rep 09</t>
  </si>
  <si>
    <t xml:space="preserve">DIR-055</t>
  </si>
  <si>
    <t xml:space="preserve">DIR-063</t>
  </si>
  <si>
    <t xml:space="preserve">DIR-071</t>
  </si>
  <si>
    <t xml:space="preserve">DIR-079</t>
  </si>
  <si>
    <t xml:space="preserve">DIR-087</t>
  </si>
  <si>
    <t xml:space="preserve">DIR-095</t>
  </si>
  <si>
    <t xml:space="preserve">DIR-048</t>
  </si>
  <si>
    <t xml:space="preserve">Rep 10</t>
  </si>
  <si>
    <t xml:space="preserve">DIR-056</t>
  </si>
  <si>
    <t xml:space="preserve">DIR-064</t>
  </si>
  <si>
    <t xml:space="preserve">DIR-072</t>
  </si>
  <si>
    <t xml:space="preserve">DIR-080</t>
  </si>
  <si>
    <t xml:space="preserve">DIR-088</t>
  </si>
  <si>
    <t xml:space="preserve">DIR-096</t>
  </si>
  <si>
    <t xml:space="preserve">SMA-101</t>
  </si>
  <si>
    <t xml:space="preserve">Small direct</t>
  </si>
  <si>
    <t xml:space="preserve">SMA-106</t>
  </si>
  <si>
    <t xml:space="preserve">SMA-111</t>
  </si>
  <si>
    <t xml:space="preserve">SMA-116</t>
  </si>
  <si>
    <t xml:space="preserve">SMA-121</t>
  </si>
  <si>
    <t xml:space="preserve">SMA-126</t>
  </si>
  <si>
    <t xml:space="preserve">SMA-131</t>
  </si>
  <si>
    <t xml:space="preserve">SMA-136</t>
  </si>
  <si>
    <t xml:space="preserve">SMA-141</t>
  </si>
  <si>
    <t xml:space="preserve">SMA-146</t>
  </si>
  <si>
    <t xml:space="preserve">SMA-151</t>
  </si>
  <si>
    <t xml:space="preserve">SMA-156</t>
  </si>
  <si>
    <t xml:space="preserve">SMA-161</t>
  </si>
  <si>
    <t xml:space="preserve">SMA-166</t>
  </si>
  <si>
    <t xml:space="preserve">SMA-171</t>
  </si>
  <si>
    <t xml:space="preserve">SMA-176</t>
  </si>
  <si>
    <t xml:space="preserve">SMA-102</t>
  </si>
  <si>
    <t xml:space="preserve">SMA-107</t>
  </si>
  <si>
    <t xml:space="preserve">SMA-112</t>
  </si>
  <si>
    <t xml:space="preserve">SMA-117</t>
  </si>
  <si>
    <t xml:space="preserve">SMA-122</t>
  </si>
  <si>
    <t xml:space="preserve">SMA-127</t>
  </si>
  <si>
    <t xml:space="preserve">SMA-132</t>
  </si>
  <si>
    <t xml:space="preserve">SMA-137</t>
  </si>
  <si>
    <t xml:space="preserve">SMA-142</t>
  </si>
  <si>
    <t xml:space="preserve">SMA-147</t>
  </si>
  <si>
    <t xml:space="preserve">SMA-152</t>
  </si>
  <si>
    <t xml:space="preserve">SMA-157</t>
  </si>
  <si>
    <t xml:space="preserve">SMA-162</t>
  </si>
  <si>
    <t xml:space="preserve">SMA-167</t>
  </si>
  <si>
    <t xml:space="preserve">SMA-172</t>
  </si>
  <si>
    <t xml:space="preserve">SMA-177</t>
  </si>
  <si>
    <t xml:space="preserve">SMA-103</t>
  </si>
  <si>
    <t xml:space="preserve">SMA-108</t>
  </si>
  <si>
    <t xml:space="preserve">SMA-113</t>
  </si>
  <si>
    <t xml:space="preserve">SMA-118</t>
  </si>
  <si>
    <t xml:space="preserve">SMA-123</t>
  </si>
  <si>
    <t xml:space="preserve">SMA-128</t>
  </si>
  <si>
    <t xml:space="preserve">SMA-133</t>
  </si>
  <si>
    <t xml:space="preserve">SMA-138</t>
  </si>
  <si>
    <t xml:space="preserve">SMA-143</t>
  </si>
  <si>
    <t xml:space="preserve">SMA-148</t>
  </si>
  <si>
    <t xml:space="preserve">SMA-153</t>
  </si>
  <si>
    <t xml:space="preserve">SMA-158</t>
  </si>
  <si>
    <t xml:space="preserve">SMA-163</t>
  </si>
  <si>
    <t xml:space="preserve">SMA-168</t>
  </si>
  <si>
    <t xml:space="preserve">SMA-173</t>
  </si>
  <si>
    <t xml:space="preserve">SMA-178</t>
  </si>
  <si>
    <t xml:space="preserve">SMA-104</t>
  </si>
  <si>
    <t xml:space="preserve">SMA-109</t>
  </si>
  <si>
    <t xml:space="preserve">SMA-114</t>
  </si>
  <si>
    <t xml:space="preserve">SMA-119</t>
  </si>
  <si>
    <t xml:space="preserve">SMA-124</t>
  </si>
  <si>
    <t xml:space="preserve">SMA-129</t>
  </si>
  <si>
    <t xml:space="preserve">SMA-134</t>
  </si>
  <si>
    <t xml:space="preserve">SMA-139</t>
  </si>
  <si>
    <t xml:space="preserve">SMA-144</t>
  </si>
  <si>
    <t xml:space="preserve">SMA-149</t>
  </si>
  <si>
    <t xml:space="preserve">SMA-154</t>
  </si>
  <si>
    <t xml:space="preserve">SMA-159</t>
  </si>
  <si>
    <t xml:space="preserve">SMA-164</t>
  </si>
  <si>
    <t xml:space="preserve">SMA-169</t>
  </si>
  <si>
    <t xml:space="preserve">SMA-174</t>
  </si>
  <si>
    <t xml:space="preserve">SMA-179</t>
  </si>
  <si>
    <t xml:space="preserve">SMA-105</t>
  </si>
  <si>
    <t xml:space="preserve">SMA-110</t>
  </si>
  <si>
    <t xml:space="preserve">SMA-115</t>
  </si>
  <si>
    <t xml:space="preserve">SMA-120</t>
  </si>
  <si>
    <t xml:space="preserve">SMA-125</t>
  </si>
  <si>
    <t xml:space="preserve">SMA-130</t>
  </si>
  <si>
    <t xml:space="preserve">SMA-135</t>
  </si>
  <si>
    <t xml:space="preserve">SMA-140</t>
  </si>
  <si>
    <t xml:space="preserve">SMA-145</t>
  </si>
  <si>
    <t xml:space="preserve">SMA-150</t>
  </si>
  <si>
    <t xml:space="preserve">SMA-155</t>
  </si>
  <si>
    <t xml:space="preserve">SMA-160</t>
  </si>
  <si>
    <t xml:space="preserve">SMA-165</t>
  </si>
  <si>
    <t xml:space="preserve">SMA-170</t>
  </si>
  <si>
    <t xml:space="preserve">SMA-175</t>
  </si>
  <si>
    <t xml:space="preserve">SMA-180</t>
  </si>
  <si>
    <t xml:space="preserve">The 458 account-family lines</t>
  </si>
  <si>
    <t xml:space="preserve">Every money column is a live ROUND() of the column before it, at the same place the book rounds.</t>
  </si>
  <si>
    <t xml:space="preserve">Units</t>
  </si>
  <si>
    <t xml:space="preserve">Variable cost per unit</t>
  </si>
  <si>
    <t xml:space="preserve">Annual volume rebate</t>
  </si>
  <si>
    <t xml:space="preserve">Cash discount taken</t>
  </si>
  <si>
    <t xml:space="preserve">Pocket % of list</t>
  </si>
  <si>
    <t xml:space="preserve">Pocket per unit</t>
  </si>
  <si>
    <t xml:space="preserve">Account annual units, all families</t>
  </si>
  <si>
    <t xml:space="preserve">Volume rebate rate on those units</t>
  </si>
  <si>
    <t xml:space="preserve">Rebate tier the account sits on</t>
  </si>
  <si>
    <t xml:space="preserve">Four levers, one per cent each</t>
  </si>
  <si>
    <t xml:space="preserve">Chapter 2. Each lever moved by one per cent on its own, everything else held.</t>
  </si>
  <si>
    <t xml:space="preserve">The company, built on the Lines sheet</t>
  </si>
  <si>
    <t xml:space="preserve">Variable cost of goods</t>
  </si>
  <si>
    <t xml:space="preserve">Sales commission, as posted</t>
  </si>
  <si>
    <t xml:space="preserve">Fixed costs</t>
  </si>
  <si>
    <t xml:space="preserve">Operating profit</t>
  </si>
  <si>
    <t xml:space="preserve">Pocket contribution margin, commission per unit held fixed</t>
  </si>
  <si>
    <t xml:space="preserve">Pocket revenue net of commission, which is what shrinks with the price</t>
  </si>
  <si>
    <t xml:space="preserve">cut the price and the commission falls in the same proportion, so this is the base</t>
  </si>
  <si>
    <t xml:space="preserve">Pocket contribution margin, commission moving with the price</t>
  </si>
  <si>
    <t xml:space="preserve">contribution over pocket revenue NET of commission, not over pocket revenue</t>
  </si>
  <si>
    <t xml:space="preserve">The figure this is NOT: contribution plus commission over pocket revenue</t>
  </si>
  <si>
    <t xml:space="preserve">that is the margin of a business paying no commission at all; it overstates the relief</t>
  </si>
  <si>
    <t xml:space="preserve">The commission posted is the sum of 458 amounts each rounded to the cent; two per cent</t>
  </si>
  <si>
    <t xml:space="preserve">of the total invoiced revenue would be 0.16 less. The book posts the sum.</t>
  </si>
  <si>
    <t xml:space="preserve">One per cent of each lever, in operating profit</t>
  </si>
  <si>
    <t xml:space="preserve">The step tested</t>
  </si>
  <si>
    <t xml:space="preserve">Lever</t>
  </si>
  <si>
    <t xml:space="preserve">Change in operating profit</t>
  </si>
  <si>
    <t xml:space="preserve">As % of operating profit</t>
  </si>
  <si>
    <t xml:space="preserve">Points of volume it is worth</t>
  </si>
  <si>
    <t xml:space="preserve">What moves</t>
  </si>
  <si>
    <t xml:space="preserve">Price: every pocket price up one per cent, volume unchanged</t>
  </si>
  <si>
    <t xml:space="preserve">pocket revenue up, commission up with the invoice</t>
  </si>
  <si>
    <t xml:space="preserve">Volume: every account buys one per cent more at the same prices</t>
  </si>
  <si>
    <t xml:space="preserve">contribution up in proportion</t>
  </si>
  <si>
    <t xml:space="preserve">Variable cost of goods down one per cent</t>
  </si>
  <si>
    <t xml:space="preserve">cost only</t>
  </si>
  <si>
    <t xml:space="preserve">Fixed costs down one per cent</t>
  </si>
  <si>
    <t xml:space="preserve">What one point of price is worth</t>
  </si>
  <si>
    <t xml:space="preserve">One point of price, in points of volume</t>
  </si>
  <si>
    <t xml:space="preserve">One over the pocket margin, for comparison</t>
  </si>
  <si>
    <t xml:space="preserve">The two differ only by the commission, which moves with the invoice price.</t>
  </si>
  <si>
    <t xml:space="preserve">One point of price, in points of variable cost</t>
  </si>
  <si>
    <t xml:space="preserve">One point of price, in points of fixed cost</t>
  </si>
  <si>
    <t xml:space="preserve">The value of one point of price, by margin</t>
  </si>
  <si>
    <t xml:space="preserve">Pocket margin</t>
  </si>
  <si>
    <t xml:space="preserve">The break-even volume of a discount</t>
  </si>
  <si>
    <t xml:space="preserve">Chapter 3. A cut of d points needs volume up by d/(m-d). A rise of d points can lose d/(m+d). Both are exact when unit variable cost is unchanged.</t>
  </si>
  <si>
    <t xml:space="preserve">The calculator</t>
  </si>
  <si>
    <t xml:space="preserve">Pocket contribution margin, m</t>
  </si>
  <si>
    <t xml:space="preserve">The price change tested, d</t>
  </si>
  <si>
    <t xml:space="preserve">A CUT of d: volume needed to break even, d/(m-d)</t>
  </si>
  <si>
    <t xml:space="preserve">A RISE of d: volume that can be lost, d/(m+d)</t>
  </si>
  <si>
    <t xml:space="preserve">The asymmetry, cut over rise</t>
  </si>
  <si>
    <t xml:space="preserve">The two are not mirror images: that asymmetry is the whole point of the chapter.</t>
  </si>
  <si>
    <t xml:space="preserve">At Ravensworth's own pocket margin</t>
  </si>
  <si>
    <t xml:space="preserve">Price cut</t>
  </si>
  <si>
    <t xml:space="preserve">Volume needed to break even</t>
  </si>
  <si>
    <t xml:space="preserve">Price rise</t>
  </si>
  <si>
    <t xml:space="preserve">Volume that can be lost</t>
  </si>
  <si>
    <t xml:space="preserve">The same table across margins: volume needed to break even after a cut of</t>
  </si>
  <si>
    <t xml:space="preserve">Margin</t>
  </si>
  <si>
    <t xml:space="preserve">cut 2.0 %</t>
  </si>
  <si>
    <t xml:space="preserve">cut 3.0 %</t>
  </si>
  <si>
    <t xml:space="preserve">cut 5.0 %</t>
  </si>
  <si>
    <t xml:space="preserve">cut 8.0 %</t>
  </si>
  <si>
    <t xml:space="preserve">cut 10.0 %</t>
  </si>
  <si>
    <t xml:space="preserve">cut 15.0 %</t>
  </si>
  <si>
    <t xml:space="preserve">By family, at each family's own pocket margin</t>
  </si>
  <si>
    <t xml:space="preserve">Cut 5 % needs</t>
  </si>
  <si>
    <t xml:space="preserve">Cut 10 % needs</t>
  </si>
  <si>
    <t xml:space="preserve">Rise 5 % can lose</t>
  </si>
  <si>
    <t xml:space="preserve">The break-even, with and without the commission relief</t>
  </si>
  <si>
    <t xml:space="preserve">The margin above holds commission per unit fixed. Commission is a share of the INVOICE, so</t>
  </si>
  <si>
    <t xml:space="preserve">it falls when the price falls. Cutting the price by a fraction takes the commission down in</t>
  </si>
  <si>
    <t xml:space="preserve">the same proportion, so the revenue that shrinks is pocket revenue NET of commission, and the</t>
  </si>
  <si>
    <t xml:space="preserve">commission-consistent margin is contribution divided by THAT. Dividing contribution plus</t>
  </si>
  <si>
    <t xml:space="preserve">commission by pocket revenue gives a larger figure that belongs to a business paying no</t>
  </si>
  <si>
    <t xml:space="preserve">commission at all, and it overstates the relief by roughly a factor of three.</t>
  </si>
  <si>
    <t xml:space="preserve">Pocket margin, commission per unit held fixed</t>
  </si>
  <si>
    <t xml:space="preserve">Pocket margin, commission moving with the price</t>
  </si>
  <si>
    <t xml:space="preserve">Break-even volume, commission fixed</t>
  </si>
  <si>
    <t xml:space="preserve">Break-even volume, commission moving</t>
  </si>
  <si>
    <t xml:space="preserve">The relief, points of volume</t>
  </si>
  <si>
    <t xml:space="preserve">The tables elsewhere in this workbook hold commission per unit fixed and are therefore</t>
  </si>
  <si>
    <t xml:space="preserve">conservative, by a hair at small discounts and by more than five points of volume at large ones.</t>
  </si>
  <si>
    <t xml:space="preserve">The worked example the chapters reuse</t>
  </si>
  <si>
    <t xml:space="preserve">A 5 per cent cut at Ravensworth's margin needs</t>
  </si>
  <si>
    <t xml:space="preserve">A 5 per cent rise can lose</t>
  </si>
  <si>
    <t xml:space="preserve">The rebate cliff</t>
  </si>
  <si>
    <t xml:space="preserve">Chapter 7. DIR-075 sits 640 units below a tier that re-rates the whole year.</t>
  </si>
  <si>
    <t xml:space="preserve">BEFORE YOU USE THIS SHEET</t>
  </si>
  <si>
    <t xml:space="preserve">A retroactive, all-units rebate whose attraction is that it pulls the last units of a</t>
  </si>
  <si>
    <t xml:space="preserve">requirement off a second supplier is the shape of loyalty rebate that competition</t>
  </si>
  <si>
    <t xml:space="preserve">authorities examine most closely where a seller holds a strong position. Converting the</t>
  </si>
  <si>
    <t xml:space="preserve">tier also changes a published term of sale: it needs the notice your conditions of sale</t>
  </si>
  <si>
    <t xml:space="preserve">specify and cannot be imposed inside a live contract. This workbook prices the instrument.</t>
  </si>
  <si>
    <t xml:space="preserve">It does not tell you whether you may keep it or change it. Take the output to counsel</t>
  </si>
  <si>
    <t xml:space="preserve">before it becomes a price list.</t>
  </si>
  <si>
    <t xml:space="preserve">The account</t>
  </si>
  <si>
    <t xml:space="preserve">Annual units this year</t>
  </si>
  <si>
    <t xml:space="preserve">Invoiced purchases this year</t>
  </si>
  <si>
    <t xml:space="preserve">Variable cost of those units</t>
  </si>
  <si>
    <t xml:space="preserve">The tier above it, units</t>
  </si>
  <si>
    <t xml:space="preserve">Units short of the tier</t>
  </si>
  <si>
    <t xml:space="preserve">Blended invoice price per unit</t>
  </si>
  <si>
    <t xml:space="preserve">Blended variable cost per unit</t>
  </si>
  <si>
    <t xml:space="preserve">Rebate rate today</t>
  </si>
  <si>
    <t xml:space="preserve">Rebate rate at the tier</t>
  </si>
  <si>
    <t xml:space="preserve">Other off-invoice deductions on this account, share of invoice</t>
  </si>
  <si>
    <t xml:space="preserve">freight allowance, returns, cash discount and claims: the extra units carry them too</t>
  </si>
  <si>
    <t xml:space="preserve">What happens if it buys the units that reach the tier</t>
  </si>
  <si>
    <t xml:space="preserve">Rebate today</t>
  </si>
  <si>
    <t xml:space="preserve">Invoiced purchases after the extra units</t>
  </si>
  <si>
    <t xml:space="preserve">Rebate then, on every unit of the year</t>
  </si>
  <si>
    <t xml:space="preserve">Extra revenue</t>
  </si>
  <si>
    <t xml:space="preserve">Extra rebate</t>
  </si>
  <si>
    <t xml:space="preserve">Effective price of the last units</t>
  </si>
  <si>
    <t xml:space="preserve">Extra variable cost</t>
  </si>
  <si>
    <t xml:space="preserve">Net contribution of those units, after commission and after the other off-invoice deductions</t>
  </si>
  <si>
    <t xml:space="preserve">   the same before the account's other deductions (the figure the first edition printed)</t>
  </si>
  <si>
    <t xml:space="preserve">The same arithmetic for an account N units below the tier</t>
  </si>
  <si>
    <t xml:space="preserve">Extra rebate, the whole year re-rated</t>
  </si>
  <si>
    <t xml:space="preserve">Contribution of the last units, after every deduction</t>
  </si>
  <si>
    <t xml:space="preserve">Extra revenue, unrounded</t>
  </si>
  <si>
    <t xml:space="preserve">Extra rebate, unrounded</t>
  </si>
  <si>
    <t xml:space="preserve">Covers its variable cost?</t>
  </si>
  <si>
    <t xml:space="preserve">The two columns on the right are the unrounded values the book's arithmetic uses before</t>
  </si>
  <si>
    <t xml:space="preserve">it rounds the printed figures: the effective price and the contribution are built on them.</t>
  </si>
  <si>
    <t xml:space="preserve">The two thresholds, solved in closed form</t>
  </si>
  <si>
    <t xml:space="preserve">The last units that are FREE to the customer</t>
  </si>
  <si>
    <t xml:space="preserve">below this distance the rebate jump exceeds the invoice value of the units</t>
  </si>
  <si>
    <t xml:space="preserve">The last units that do NOT cover variable cost, commission and the other deductions</t>
  </si>
  <si>
    <t xml:space="preserve">Both are roots of a linear equation, so they are exact. The Solve sheet finds the same</t>
  </si>
  <si>
    <t xml:space="preserve">two numbers by bisection, one pass per column, to show that nothing here is circular.</t>
  </si>
  <si>
    <t xml:space="preserve">Across the whole book</t>
  </si>
  <si>
    <t xml:space="preserve">Accounts within 15 per cent below a rebate tier</t>
  </si>
  <si>
    <t xml:space="preserve">Units they are short, in total</t>
  </si>
  <si>
    <t xml:space="preserve">If every one of them crosses, the rebate bill rises by</t>
  </si>
  <si>
    <t xml:space="preserve">on volume the company already has</t>
  </si>
  <si>
    <t xml:space="preserve">Total volume rebates paid this year</t>
  </si>
  <si>
    <t xml:space="preserve">The cumulative column on the Accounts sheet rounds at each step, in account order,</t>
  </si>
  <si>
    <t xml:space="preserve">exactly where the book's model rounds.</t>
  </si>
  <si>
    <t xml:space="preserve">Pricing the conversion the book recommends: retroactive against incremental</t>
  </si>
  <si>
    <t xml:space="preserve">The book recommends converting the tier from retroactive to incremental, so the book has to</t>
  </si>
  <si>
    <t xml:space="preserve">price it. Incremental pays each rate only on the units inside its band; retroactive pays the</t>
  </si>
  <si>
    <t xml:space="preserve">top rate on every unit of the year. Both columns are live over the 180 accounts.</t>
  </si>
  <si>
    <t xml:space="preserve">Volume rebates as actually paid, retroactive</t>
  </si>
  <si>
    <t xml:space="preserve">The same published rates paid INCREMENTALLY</t>
  </si>
  <si>
    <t xml:space="preserve">WHAT THE CONVERSION TAKES OUT OF CUSTOMERS' POCKETS</t>
  </si>
  <si>
    <t xml:space="preserve">As a share of operating profit</t>
  </si>
  <si>
    <t xml:space="preserve">As a share of pocket revenue</t>
  </si>
  <si>
    <t xml:space="preserve">Accounts that earn a rebate at all</t>
  </si>
  <si>
    <t xml:space="preserve">Of those, the ones at the top two tiers</t>
  </si>
  <si>
    <t xml:space="preserve">It is therefore a price increase, concentrated on the 24 accounts in the top two tiers:</t>
  </si>
  <si>
    <t xml:space="preserve">about half the size of the increase the company actually realized in Chapter 10 and a</t>
  </si>
  <si>
    <t xml:space="preserve">quarter of the one it announced, but aimed at far fewer accounts. Price it and staff it as</t>
  </si>
  <si>
    <t xml:space="preserve">an increase, not as a correction that costs nothing to write.</t>
  </si>
  <si>
    <t xml:space="preserve">The account-by-account arithmetic sits on the Accounts sheet</t>
  </si>
  <si>
    <t xml:space="preserve">Columns AO and AP of the Accounts sheet carry the two rebates for every account. Nothing here is a pasted total.</t>
  </si>
  <si>
    <t xml:space="preserve">Solve: the two thresholds by bisection</t>
  </si>
  <si>
    <t xml:space="preserve">No circular reference and no iterative calculation. The loop is unrolled across the columns: one pass per column, the answer carried forward.</t>
  </si>
  <si>
    <t xml:space="preserve">Pass one carries a bracket wide enough to hold either root</t>
  </si>
  <si>
    <t xml:space="preserve">Low end of the bracket, units</t>
  </si>
  <si>
    <t xml:space="preserve">High end of the bracket, units</t>
  </si>
  <si>
    <t xml:space="preserve">Convergence tolerance, units</t>
  </si>
  <si>
    <t xml:space="preserve">The last units that are free to the customer</t>
  </si>
  <si>
    <t xml:space="preserve">The function is the money the extra units bring in less the rebate the whole year gives back. Its root is the distance at which the last units are free.</t>
  </si>
  <si>
    <t xml:space="preserve">Pass</t>
  </si>
  <si>
    <t xml:space="preserve">Low</t>
  </si>
  <si>
    <t xml:space="preserve">High</t>
  </si>
  <si>
    <t xml:space="preserve">Midpoint n</t>
  </si>
  <si>
    <t xml:space="preserve">Value of the function at n</t>
  </si>
  <si>
    <t xml:space="preserve">The root, after the last pass</t>
  </si>
  <si>
    <t xml:space="preserve">Bracket still open, units</t>
  </si>
  <si>
    <t xml:space="preserve">Status</t>
  </si>
  <si>
    <t xml:space="preserve">The last units that do not cover variable cost and commission</t>
  </si>
  <si>
    <t xml:space="preserve">The same function, less the variable cost, the commission and the account's other off-invoice deductions on those units.</t>
  </si>
  <si>
    <t xml:space="preserve">Against the closed form on the Rebate Cliff sheet</t>
  </si>
  <si>
    <t xml:space="preserve">Free units: bisection less closed form</t>
  </si>
  <si>
    <t xml:space="preserve">Below-cost units: bisection less closed form</t>
  </si>
  <si>
    <t xml:space="preserve">Both agree</t>
  </si>
  <si>
    <t xml:space="preserve">Payment terms are a price</t>
  </si>
  <si>
    <t xml:space="preserve">Chapter 8. 2/10 net 30 is not a courtesy; it is borrowing at an annual rate.</t>
  </si>
  <si>
    <t xml:space="preserve">The annual rate hidden in the terms</t>
  </si>
  <si>
    <t xml:space="preserve">Cash discount offered</t>
  </si>
  <si>
    <t xml:space="preserve">Days of money actually bought</t>
  </si>
  <si>
    <t xml:space="preserve">Annualized rate, (d/(1-d)) x (365/days)</t>
  </si>
  <si>
    <t xml:space="preserve">The company's own cost of money</t>
  </si>
  <si>
    <t xml:space="preserve">What those days are worth at the company's own rate, share of invoice</t>
  </si>
  <si>
    <t xml:space="preserve">The sum that arrives early is the invoice LESS the discount, so the value of the days</t>
  </si>
  <si>
    <t xml:space="preserve">is taken on (1 - the discount) of the invoice. Valuing the whole invoice overstates the</t>
  </si>
  <si>
    <t xml:space="preserve">benefit by two per cent of it and understates the overpayment below.</t>
  </si>
  <si>
    <t xml:space="preserve">The discount is worth offering only if the cost of money exceeds</t>
  </si>
  <si>
    <t xml:space="preserve">Does it?</t>
  </si>
  <si>
    <t xml:space="preserve">What the company actually pays for money it mostly already had</t>
  </si>
  <si>
    <t xml:space="preserve">Line</t>
  </si>
  <si>
    <t xml:space="preserve">The accounts that take the discount</t>
  </si>
  <si>
    <t xml:space="preserve">Of those, the ones that take it and pay around day 25</t>
  </si>
  <si>
    <t xml:space="preserve">Cash discount taken, as POSTED on the lines</t>
  </si>
  <si>
    <t xml:space="preserve">Days of money actually gained</t>
  </si>
  <si>
    <t xml:space="preserve">Value of those days, on the invoice NET of the discount</t>
  </si>
  <si>
    <t xml:space="preserve">Overpayment</t>
  </si>
  <si>
    <t xml:space="preserve">Cash discounts allowed, the whole company, as posted line by line</t>
  </si>
  <si>
    <t xml:space="preserve">The takers are the only accounts that take it</t>
  </si>
  <si>
    <t xml:space="preserve">There is one cash-discount figure in this book: the sum of the deductions actually posted</t>
  </si>
  <si>
    <t xml:space="preserve">on the 458 lines. It is the same number the reported accounts carry on their finance line.</t>
  </si>
  <si>
    <t xml:space="preserve">The counterfactual: what the early payment is worth depends on what they would have done</t>
  </si>
  <si>
    <t xml:space="preserve">The chapter's own evidence is that terms are not respected, so the value of the twenty days</t>
  </si>
  <si>
    <t xml:space="preserve">is not a fact but a function of the day the account would otherwise have paid.</t>
  </si>
  <si>
    <t xml:space="preserve">If net-30 accounts actually pay on day</t>
  </si>
  <si>
    <t xml:space="preserve">Days the discount buys</t>
  </si>
  <si>
    <t xml:space="preserve">What they are worth</t>
  </si>
  <si>
    <t xml:space="preserve">The overpayment runs from</t>
  </si>
  <si>
    <t xml:space="preserve">to</t>
  </si>
  <si>
    <t xml:space="preserve">Is the conclusion the same at every day tested?</t>
  </si>
  <si>
    <t xml:space="preserve">The conclusion survives the whole range; the figure does not.</t>
  </si>
  <si>
    <t xml:space="preserve">A terms extension is the same decision in reverse, and is rarely priced</t>
  </si>
  <si>
    <t xml:space="preserve">Invoiced revenue on the OEM book</t>
  </si>
  <si>
    <t xml:space="preserve">Extra days of credit asked for</t>
  </si>
  <si>
    <t xml:space="preserve">WHAT THIRTY MORE DAYS ON THE OEM BOOK COSTS A YEAR</t>
  </si>
  <si>
    <t xml:space="preserve">That is what 'give me net 60 and I will place the order' costs.</t>
  </si>
  <si>
    <t xml:space="preserve">Before you approve a discount</t>
  </si>
  <si>
    <t xml:space="preserve">Chapter 17. The authority to give price away, with the volume the deal has to add written beside it.</t>
  </si>
  <si>
    <t xml:space="preserve">The pocket margin the matrix is built on</t>
  </si>
  <si>
    <t xml:space="preserve">Invoiced revenue as a share of list revenue: the conversion factor</t>
  </si>
  <si>
    <t xml:space="preserve">Pocket revenue as a share of list revenue: NOT the conversion factor</t>
  </si>
  <si>
    <t xml:space="preserve">A band is written as a share of the LIST price, because that is what a negotiated discount</t>
  </si>
  <si>
    <t xml:space="preserve">is. The break-even formula takes a share of the price the margin is measured on, which is</t>
  </si>
  <si>
    <t xml:space="preserve">the pocket price. The factor between them is the INVOICE share of list, not the pocket</t>
  </si>
  <si>
    <t xml:space="preserve">share: every off-invoice deduction is a share of the invoice, so a cut taken on the invoice</t>
  </si>
  <si>
    <t xml:space="preserve">drags them down in the same PROPORTION. The pocket falls by the proportion the invoice</t>
  </si>
  <si>
    <t xml:space="preserve">falls, never by the same points of list. Divide by the cell above, not the one below it.</t>
  </si>
  <si>
    <t xml:space="preserve">Discount up to, off list</t>
  </si>
  <si>
    <t xml:space="preserve">Same cut as a share of pocket</t>
  </si>
  <si>
    <t xml:space="preserve">Volume needed if the band is read as a pocket cut</t>
  </si>
  <si>
    <t xml:space="preserve">VOLUME THE DEAL MUST ACTUALLY ADD</t>
  </si>
  <si>
    <t xml:space="preserve">Volume a rise of the same size could lose</t>
  </si>
  <si>
    <t xml:space="preserve">The three numbers to write at the top of every discount request</t>
  </si>
  <si>
    <t xml:space="preserve">This block is an ACCOUNT calculation, not the company one above: it converts the</t>
  </si>
  <si>
    <t xml:space="preserve">band at the account's own invoice share of list and divides by the account's own</t>
  </si>
  <si>
    <t xml:space="preserve">margin, which is what Chapter 17 asks for and what the company averages cannot give.</t>
  </si>
  <si>
    <t xml:space="preserve">The extra discount asked for, in points of LIST</t>
  </si>
  <si>
    <t xml:space="preserve">On-invoice deductions the account already carries, share of list</t>
  </si>
  <si>
    <t xml:space="preserve">order-size plus negotiated, as the customer master file has them</t>
  </si>
  <si>
    <t xml:space="preserve">The segment floor, pocket price as a share of list</t>
  </si>
  <si>
    <t xml:space="preserve">an example: The_Waterfall.xlsx computes the floor for each segment and family, and Price_Your_Own_Book.xlsx computes yours</t>
  </si>
  <si>
    <t xml:space="preserve">List price of the family</t>
  </si>
  <si>
    <t xml:space="preserve">Off-invoice leakage on this account, share of invoice</t>
  </si>
  <si>
    <t xml:space="preserve">The account's invoice share of list: the conversion factor for THIS account</t>
  </si>
  <si>
    <t xml:space="preserve">Invoice price before the discount</t>
  </si>
  <si>
    <t xml:space="preserve">Pocket price before the discount</t>
  </si>
  <si>
    <t xml:space="preserve">The account's own contribution margin, commission held per unit</t>
  </si>
  <si>
    <t xml:space="preserve">1. Pocket price after the discount</t>
  </si>
  <si>
    <t xml:space="preserve">   as a share of list</t>
  </si>
  <si>
    <t xml:space="preserve">   against the segment floor</t>
  </si>
  <si>
    <t xml:space="preserve">   the band converted at THIS account's invoice share: the cut as a share of its pocket price</t>
  </si>
  <si>
    <t xml:space="preserve">   the band converted at the COMPANY invoice share, for comparison</t>
  </si>
  <si>
    <t xml:space="preserve">2. Break-even volume, d/(m-d), on the converted band and the account's margin</t>
  </si>
  <si>
    <t xml:space="preserve">   the same band CONVERTED but on the company average margin</t>
  </si>
  <si>
    <t xml:space="preserve">   the same band UNCONVERTED and on the company average: the matrix error</t>
  </si>
  <si>
    <t xml:space="preserve">Three figures, because the block corrects two things at once and they do not pull the same</t>
  </si>
  <si>
    <t xml:space="preserve">way. Only one ordering is guaranteed: the unconverted company figure always sits BELOW the</t>
  </si>
  <si>
    <t xml:space="preserve">converted company figure, and the distance between them is the error the matrix makes.</t>
  </si>
  <si>
    <t xml:space="preserve">The account figure is not ordered against either of them. It corrects the denominator,</t>
  </si>
  <si>
    <t xml:space="preserve">which pushes it up, and the margin, which pushes it down whenever this account's margin</t>
  </si>
  <si>
    <t xml:space="preserve">beats the book average. At the values this sheet ships with it is the lowest of the three,</t>
  </si>
  <si>
    <t xml:space="preserve">and that is an argument about this deal, not an argument against the matrix.</t>
  </si>
  <si>
    <t xml:space="preserve">3. Contribution per unit after the discount and after commission</t>
  </si>
  <si>
    <t xml:space="preserve">Who may approve it</t>
  </si>
  <si>
    <t xml:space="preserve">The conversion, re-run line by line rather than asserted</t>
  </si>
  <si>
    <t xml:space="preserve">Each band is added to the negotiated discount on every one of the 458 lines of the</t>
  </si>
  <si>
    <t xml:space="preserve">Lines sheet, subject to the same ceiling, and the pocket revenue is rebuilt from the</t>
  </si>
  <si>
    <t xml:space="preserve">new invoice. Nothing here divides by a share of list: the fall below is what the</t>
  </si>
  <si>
    <t xml:space="preserve">leakage structure of the book actually produces. Compare it with column C above.</t>
  </si>
  <si>
    <t xml:space="preserve">Pocket cut delivered by 3 points off list, on the lines the ceiling allows</t>
  </si>
  <si>
    <t xml:space="preserve">   lines of 458 the ceiling refuses at this band</t>
  </si>
  <si>
    <t xml:space="preserve">Pocket cut delivered by 6 points off list, on the lines the ceiling allows</t>
  </si>
  <si>
    <t xml:space="preserve">Pocket cut delivered by 10 points off list, on the lines the ceiling allows</t>
  </si>
  <si>
    <t xml:space="preserve">Every figure the book prints for chapters 2, 3, 7, 8 and 17, against the live calculation in this workbook.</t>
  </si>
  <si>
    <t xml:space="preserve">Figure</t>
  </si>
  <si>
    <t xml:space="preserve">As published in the book</t>
  </si>
  <si>
    <t xml:space="preserve">Live in this workbook</t>
  </si>
  <si>
    <t xml:space="preserve">Variance</t>
  </si>
  <si>
    <t xml:space="preserve">Where the book prints it</t>
  </si>
  <si>
    <t xml:space="preserve">Chapter 1, 2</t>
  </si>
  <si>
    <t xml:space="preserve">Sales commission</t>
  </si>
  <si>
    <t xml:space="preserve">Pocket contribution margin, commission fixed</t>
  </si>
  <si>
    <t xml:space="preserve">Chapter 2, 3</t>
  </si>
  <si>
    <t xml:space="preserve">Pocket contribution margin, commission moving</t>
  </si>
  <si>
    <t xml:space="preserve">Chapter 3</t>
  </si>
  <si>
    <t xml:space="preserve">Price lever, one per cent</t>
  </si>
  <si>
    <t xml:space="preserve">Chapter 2</t>
  </si>
  <si>
    <t xml:space="preserve">Volume lever, one per cent</t>
  </si>
  <si>
    <t xml:space="preserve">Variable cost lever, one per cent</t>
  </si>
  <si>
    <t xml:space="preserve">Fixed cost lever, one per cent</t>
  </si>
  <si>
    <t xml:space="preserve">Price lever, share of operating profit</t>
  </si>
  <si>
    <t xml:space="preserve">Volume lever, share of operating profit</t>
  </si>
  <si>
    <t xml:space="preserve">Variable cost lever, share of operating profit</t>
  </si>
  <si>
    <t xml:space="preserve">Fixed cost lever, share of operating profit</t>
  </si>
  <si>
    <t xml:space="preserve">One over the pocket margin</t>
  </si>
  <si>
    <t xml:space="preserve">At 20.0 per cent margin, one point of price is worth</t>
  </si>
  <si>
    <t xml:space="preserve">Chapter 2, 16</t>
  </si>
  <si>
    <t xml:space="preserve">At 25.0 per cent margin, one point of price is worth</t>
  </si>
  <si>
    <t xml:space="preserve">At 30.0 per cent margin, one point of price is worth</t>
  </si>
  <si>
    <t xml:space="preserve">At 35.0 per cent margin, one point of price is worth</t>
  </si>
  <si>
    <t xml:space="preserve">At 40.0 per cent margin, one point of price is worth</t>
  </si>
  <si>
    <t xml:space="preserve">At 50.0 per cent margin, one point of price is worth</t>
  </si>
  <si>
    <t xml:space="preserve">Cut of 2.0 per cent needs volume up</t>
  </si>
  <si>
    <t xml:space="preserve">Cut of 3.0 per cent needs volume up</t>
  </si>
  <si>
    <t xml:space="preserve">Cut of 5.0 per cent needs volume up</t>
  </si>
  <si>
    <t xml:space="preserve">Cut of 8.0 per cent needs volume up</t>
  </si>
  <si>
    <t xml:space="preserve">Cut of 10.0 per cent needs volume up</t>
  </si>
  <si>
    <t xml:space="preserve">Cut of 15.0 per cent needs volume up</t>
  </si>
  <si>
    <t xml:space="preserve">Rise of 2.0 per cent can lose volume</t>
  </si>
  <si>
    <t xml:space="preserve">Rise of 3.0 per cent can lose volume</t>
  </si>
  <si>
    <t xml:space="preserve">Rise of 5.0 per cent can lose volume</t>
  </si>
  <si>
    <t xml:space="preserve">Rise of 8.0 per cent can lose volume</t>
  </si>
  <si>
    <t xml:space="preserve">Rise of 10.0 per cent can lose volume</t>
  </si>
  <si>
    <t xml:space="preserve">Margin 20 %, cut 2 %: volume needed</t>
  </si>
  <si>
    <t xml:space="preserve">Margin 20 %, cut 3 %: volume needed</t>
  </si>
  <si>
    <t xml:space="preserve">Margin 20 %, cut 5 %: volume needed</t>
  </si>
  <si>
    <t xml:space="preserve">Margin 20 %, cut 8 %: volume needed</t>
  </si>
  <si>
    <t xml:space="preserve">Margin 20 %, cut 10 %: volume needed</t>
  </si>
  <si>
    <t xml:space="preserve">Margin 20 %, cut 15 %: volume needed</t>
  </si>
  <si>
    <t xml:space="preserve">Margin 25 %, cut 2 %: volume needed</t>
  </si>
  <si>
    <t xml:space="preserve">Margin 25 %, cut 3 %: volume needed</t>
  </si>
  <si>
    <t xml:space="preserve">Margin 25 %, cut 5 %: volume needed</t>
  </si>
  <si>
    <t xml:space="preserve">Margin 25 %, cut 8 %: volume needed</t>
  </si>
  <si>
    <t xml:space="preserve">Margin 25 %, cut 10 %: volume needed</t>
  </si>
  <si>
    <t xml:space="preserve">Margin 25 %, cut 15 %: volume needed</t>
  </si>
  <si>
    <t xml:space="preserve">Margin 30 %, cut 2 %: volume needed</t>
  </si>
  <si>
    <t xml:space="preserve">Margin 30 %, cut 3 %: volume needed</t>
  </si>
  <si>
    <t xml:space="preserve">Margin 30 %, cut 5 %: volume needed</t>
  </si>
  <si>
    <t xml:space="preserve">Margin 30 %, cut 8 %: volume needed</t>
  </si>
  <si>
    <t xml:space="preserve">Margin 30 %, cut 10 %: volume needed</t>
  </si>
  <si>
    <t xml:space="preserve">Margin 30 %, cut 15 %: volume needed</t>
  </si>
  <si>
    <t xml:space="preserve">Margin 35 %, cut 2 %: volume needed</t>
  </si>
  <si>
    <t xml:space="preserve">Margin 35 %, cut 3 %: volume needed</t>
  </si>
  <si>
    <t xml:space="preserve">Margin 35 %, cut 5 %: volume needed</t>
  </si>
  <si>
    <t xml:space="preserve">Margin 35 %, cut 8 %: volume needed</t>
  </si>
  <si>
    <t xml:space="preserve">Margin 35 %, cut 10 %: volume needed</t>
  </si>
  <si>
    <t xml:space="preserve">Margin 35 %, cut 15 %: volume needed</t>
  </si>
  <si>
    <t xml:space="preserve">Margin 40 %, cut 2 %: volume needed</t>
  </si>
  <si>
    <t xml:space="preserve">Margin 40 %, cut 3 %: volume needed</t>
  </si>
  <si>
    <t xml:space="preserve">Margin 40 %, cut 5 %: volume needed</t>
  </si>
  <si>
    <t xml:space="preserve">Margin 40 %, cut 8 %: volume needed</t>
  </si>
  <si>
    <t xml:space="preserve">Margin 40 %, cut 10 %: volume needed</t>
  </si>
  <si>
    <t xml:space="preserve">Margin 40 %, cut 15 %: volume needed</t>
  </si>
  <si>
    <t xml:space="preserve">Margin 50 %, cut 2 %: volume needed</t>
  </si>
  <si>
    <t xml:space="preserve">Margin 50 %, cut 3 %: volume needed</t>
  </si>
  <si>
    <t xml:space="preserve">Margin 50 %, cut 5 %: volume needed</t>
  </si>
  <si>
    <t xml:space="preserve">Margin 50 %, cut 8 %: volume needed</t>
  </si>
  <si>
    <t xml:space="preserve">Margin 50 %, cut 10 %: volume needed</t>
  </si>
  <si>
    <t xml:space="preserve">Margin 50 %, cut 15 %: volume needed</t>
  </si>
  <si>
    <t xml:space="preserve">Cut of 2.0 per cent, commission moving with the price</t>
  </si>
  <si>
    <t xml:space="preserve">Cut of 3.0 per cent, commission moving with the price</t>
  </si>
  <si>
    <t xml:space="preserve">Cut of 5.0 per cent, commission moving with the price</t>
  </si>
  <si>
    <t xml:space="preserve">Cut of 8.0 per cent, commission moving with the price</t>
  </si>
  <si>
    <t xml:space="preserve">Cut of 10.0 per cent, commission moving with the price</t>
  </si>
  <si>
    <t xml:space="preserve">Cut of 15.0 per cent, commission moving with the price</t>
  </si>
  <si>
    <t xml:space="preserve">Structural adhesives: pocket revenue</t>
  </si>
  <si>
    <t xml:space="preserve">Structural adhesives: contribution</t>
  </si>
  <si>
    <t xml:space="preserve">Structural adhesives: pocket margin</t>
  </si>
  <si>
    <t xml:space="preserve">Structural adhesives: a 5 per cent cut needs</t>
  </si>
  <si>
    <t xml:space="preserve">Structural adhesives: a 10 per cent cut needs</t>
  </si>
  <si>
    <t xml:space="preserve">Structural adhesives: a 5 per cent rise can lose</t>
  </si>
  <si>
    <t xml:space="preserve">Sealants: pocket revenue</t>
  </si>
  <si>
    <t xml:space="preserve">Sealants: contribution</t>
  </si>
  <si>
    <t xml:space="preserve">Sealants: pocket margin</t>
  </si>
  <si>
    <t xml:space="preserve">Sealants: a 5 per cent cut needs</t>
  </si>
  <si>
    <t xml:space="preserve">Sealants: a 10 per cent cut needs</t>
  </si>
  <si>
    <t xml:space="preserve">Sealants: a 5 per cent rise can lose</t>
  </si>
  <si>
    <t xml:space="preserve">Protective coatings: pocket revenue</t>
  </si>
  <si>
    <t xml:space="preserve">Protective coatings: contribution</t>
  </si>
  <si>
    <t xml:space="preserve">Protective coatings: pocket margin</t>
  </si>
  <si>
    <t xml:space="preserve">Protective coatings: a 5 per cent cut needs</t>
  </si>
  <si>
    <t xml:space="preserve">Protective coatings: a 10 per cent cut needs</t>
  </si>
  <si>
    <t xml:space="preserve">Protective coatings: a 5 per cent rise can lose</t>
  </si>
  <si>
    <t xml:space="preserve">Worked example: a 5 per cent cut needs</t>
  </si>
  <si>
    <t xml:space="preserve">Worked example: a 5 per cent rise can lose</t>
  </si>
  <si>
    <t xml:space="preserve">DIR-075: annual units</t>
  </si>
  <si>
    <t xml:space="preserve">Chapter 7</t>
  </si>
  <si>
    <t xml:space="preserve">DIR-075: units short of the tier</t>
  </si>
  <si>
    <t xml:space="preserve">DIR-075: invoiced purchases</t>
  </si>
  <si>
    <t xml:space="preserve">DIR-075: blended invoice price</t>
  </si>
  <si>
    <t xml:space="preserve">DIR-075: blended variable cost</t>
  </si>
  <si>
    <t xml:space="preserve">DIR-075: rebate rate today</t>
  </si>
  <si>
    <t xml:space="preserve">DIR-075: rebate rate at the tier</t>
  </si>
  <si>
    <t xml:space="preserve">DIR-075: rebate today</t>
  </si>
  <si>
    <t xml:space="preserve">DIR-075: invoiced purchases after the extra units</t>
  </si>
  <si>
    <t xml:space="preserve">DIR-075: rebate then</t>
  </si>
  <si>
    <t xml:space="preserve">DIR-075: extra revenue</t>
  </si>
  <si>
    <t xml:space="preserve">DIR-075: extra rebate</t>
  </si>
  <si>
    <t xml:space="preserve">DIR-075: effective price of the last units</t>
  </si>
  <si>
    <t xml:space="preserve">DIR-075: extra variable cost</t>
  </si>
  <si>
    <t xml:space="preserve">DIR-075: net contribution of the last units</t>
  </si>
  <si>
    <t xml:space="preserve">Chapter 7: the book prints 6,087.91, which leaves out the freight allowance and returns DIR-075 takes on the extra units too (revised 24 September 2026)</t>
  </si>
  <si>
    <t xml:space="preserve">650 units short: extra revenue</t>
  </si>
  <si>
    <t xml:space="preserve">650 units short: extra rebate</t>
  </si>
  <si>
    <t xml:space="preserve">650 units short: effective price of the last units</t>
  </si>
  <si>
    <t xml:space="preserve">650 units short: contribution of the last units</t>
  </si>
  <si>
    <t xml:space="preserve">Chapter 7: the book prints 6,378.41, which leaves out the freight allowance and returns DIR-075 takes on the extra units too (revised 24 September 2026)</t>
  </si>
  <si>
    <t xml:space="preserve">400 units short: extra revenue</t>
  </si>
  <si>
    <t xml:space="preserve">400 units short: extra rebate</t>
  </si>
  <si>
    <t xml:space="preserve">400 units short: effective price of the last units</t>
  </si>
  <si>
    <t xml:space="preserve">400 units short: contribution of the last units</t>
  </si>
  <si>
    <t xml:space="preserve">Chapter 7: the book prints -884.18, which leaves out the freight allowance and returns DIR-075 takes on the extra units too (revised 24 September 2026)</t>
  </si>
  <si>
    <t xml:space="preserve">200 units short: extra revenue</t>
  </si>
  <si>
    <t xml:space="preserve">200 units short: extra rebate</t>
  </si>
  <si>
    <t xml:space="preserve">200 units short: effective price of the last units</t>
  </si>
  <si>
    <t xml:space="preserve">200 units short: contribution of the last units</t>
  </si>
  <si>
    <t xml:space="preserve">Chapter 7: the book prints -6,694.26, which leaves out the freight allowance and returns DIR-075 takes on the extra units too (revised 24 September 2026)</t>
  </si>
  <si>
    <t xml:space="preserve">145 units short: extra revenue</t>
  </si>
  <si>
    <t xml:space="preserve">145 units short: extra rebate</t>
  </si>
  <si>
    <t xml:space="preserve">145 units short: effective price of the last units</t>
  </si>
  <si>
    <t xml:space="preserve">145 units short: contribution of the last units</t>
  </si>
  <si>
    <t xml:space="preserve">Chapter 7: the book prints -8,292.03, which leaves out the freight allowance and returns DIR-075 takes on the extra units too (revised 24 September 2026)</t>
  </si>
  <si>
    <t xml:space="preserve">100 units short: extra revenue</t>
  </si>
  <si>
    <t xml:space="preserve">100 units short: extra rebate</t>
  </si>
  <si>
    <t xml:space="preserve">100 units short: effective price of the last units</t>
  </si>
  <si>
    <t xml:space="preserve">100 units short: contribution of the last units</t>
  </si>
  <si>
    <t xml:space="preserve">Chapter 7: the book prints -9,599.29, which leaves out the freight allowance and returns DIR-075 takes on the extra units too (revised 24 September 2026)</t>
  </si>
  <si>
    <t xml:space="preserve">50 units short: extra revenue</t>
  </si>
  <si>
    <t xml:space="preserve">50 units short: extra rebate</t>
  </si>
  <si>
    <t xml:space="preserve">50 units short: effective price of the last units</t>
  </si>
  <si>
    <t xml:space="preserve">50 units short: contribution of the last units</t>
  </si>
  <si>
    <t xml:space="preserve">Chapter 7: the book prints -11,051.81, which leaves out the freight allowance and returns DIR-075 takes on the extra units too (revised 24 September 2026)</t>
  </si>
  <si>
    <t xml:space="preserve">The last units that are free, closed form</t>
  </si>
  <si>
    <t xml:space="preserve">The last units that are free, by bisection</t>
  </si>
  <si>
    <t xml:space="preserve">The last units below variable cost, closed form</t>
  </si>
  <si>
    <t xml:space="preserve">Chapter 7: the book prints 430.44, which leaves out the freight allowance and returns DIR-075 takes on the extra units too (revised 24 September 2026)</t>
  </si>
  <si>
    <t xml:space="preserve">The last units below variable cost, by bisection</t>
  </si>
  <si>
    <t xml:space="preserve">The bisection converged and agrees with the closed form</t>
  </si>
  <si>
    <t xml:space="preserve">CONVERGED, AND THEY AGREE</t>
  </si>
  <si>
    <t xml:space="preserve">Rebate bill if every one of them crosses</t>
  </si>
  <si>
    <t xml:space="preserve">Volume rebates as paid, retroactive</t>
  </si>
  <si>
    <t xml:space="preserve">The same rates paid incrementally</t>
  </si>
  <si>
    <t xml:space="preserve">What the conversion takes out of customers' pockets</t>
  </si>
  <si>
    <t xml:space="preserve">The conversion, as a share of operating profit</t>
  </si>
  <si>
    <t xml:space="preserve">The conversion, as a share of pocket revenue</t>
  </si>
  <si>
    <t xml:space="preserve">Accounts that earn a rebate</t>
  </si>
  <si>
    <t xml:space="preserve">2/10 net 30 as an annual rate</t>
  </si>
  <si>
    <t xml:space="preserve">Chapter 8</t>
  </si>
  <si>
    <t xml:space="preserve">Twenty days of the company's own money, share of invoice</t>
  </si>
  <si>
    <t xml:space="preserve">Accounts that take the cash discount</t>
  </si>
  <si>
    <t xml:space="preserve">Their invoiced revenue</t>
  </si>
  <si>
    <t xml:space="preserve">Cash discounts allowed on that revenue</t>
  </si>
  <si>
    <t xml:space="preserve">What twenty days of it is worth to the company</t>
  </si>
  <si>
    <t xml:space="preserve">Overpayment on all the takers</t>
  </si>
  <si>
    <t xml:space="preserve">Accounts that take it and pay around day 25</t>
  </si>
  <si>
    <t xml:space="preserve">Discounts taken on that revenue</t>
  </si>
  <si>
    <t xml:space="preserve">The five days actually gained, what they are worth</t>
  </si>
  <si>
    <t xml:space="preserve">Overpayment on those accounts alone</t>
  </si>
  <si>
    <t xml:space="preserve">Cash discounts allowed, the whole company, as posted</t>
  </si>
  <si>
    <t xml:space="preserve">Chapter 1, 8</t>
  </si>
  <si>
    <t xml:space="preserve">There is one cash-discount figure and it ties</t>
  </si>
  <si>
    <t xml:space="preserve">ONE FIGURE, AND IT TIES</t>
  </si>
  <si>
    <t xml:space="preserve">If they would have paid on day 30: days the discount buys</t>
  </si>
  <si>
    <t xml:space="preserve">If they would have paid on day 30: what they are worth</t>
  </si>
  <si>
    <t xml:space="preserve">If they would have paid on day 30: overpayment</t>
  </si>
  <si>
    <t xml:space="preserve">If they would have paid on day 40: days the discount buys</t>
  </si>
  <si>
    <t xml:space="preserve">If they would have paid on day 40: what they are worth</t>
  </si>
  <si>
    <t xml:space="preserve">If they would have paid on day 40: overpayment</t>
  </si>
  <si>
    <t xml:space="preserve">If they would have paid on day 50: days the discount buys</t>
  </si>
  <si>
    <t xml:space="preserve">If they would have paid on day 50: what they are worth</t>
  </si>
  <si>
    <t xml:space="preserve">If they would have paid on day 50: overpayment</t>
  </si>
  <si>
    <t xml:space="preserve">The conclusion survives the whole range of payment days</t>
  </si>
  <si>
    <t xml:space="preserve">THE COMPANY OVERPAYS AT EVERY DAY TESTED</t>
  </si>
  <si>
    <t xml:space="preserve">Thirty more days on the OEM book, a year</t>
  </si>
  <si>
    <t xml:space="preserve">Authority: 3 points off list, as a share of pocket</t>
  </si>
  <si>
    <t xml:space="preserve">Chapter 17</t>
  </si>
  <si>
    <t xml:space="preserve">Authority: 3 points off list, read wrongly as a pocket cut</t>
  </si>
  <si>
    <t xml:space="preserve">Authority: 3 points off list, the volume it must actually add</t>
  </si>
  <si>
    <t xml:space="preserve">Authority: 6 points off list, as a share of pocket</t>
  </si>
  <si>
    <t xml:space="preserve">Authority: 6 points off list, read wrongly as a pocket cut</t>
  </si>
  <si>
    <t xml:space="preserve">Authority: 6 points off list, the volume it must actually add</t>
  </si>
  <si>
    <t xml:space="preserve">Authority: 10 points off list, as a share of pocket</t>
  </si>
  <si>
    <t xml:space="preserve">Authority: 10 points off list, read wrongly as a pocket cut</t>
  </si>
  <si>
    <t xml:space="preserve">Authority: 10 points off list, the volume it must actually add</t>
  </si>
  <si>
    <t xml:space="preserve">Authority: the conversion factor is the INVOICE share of list</t>
  </si>
  <si>
    <t xml:space="preserve">Authority: the pocket share of list, which is NOT the conversion factor</t>
  </si>
  <si>
    <t xml:space="preserve">Authority: 3 points off list, the pocket cut the LINES actually deliver</t>
  </si>
  <si>
    <t xml:space="preserve">Authority: 3 points off list, lines the 24 per cent ceiling refuses</t>
  </si>
  <si>
    <t xml:space="preserve">Authority: 6 points off list, the pocket cut the LINES actually deliver</t>
  </si>
  <si>
    <t xml:space="preserve">Authority: 6 points off list, lines the 24 per cent ceiling refuses</t>
  </si>
  <si>
    <t xml:space="preserve">Authority: 10 points off list, the pocket cut the LINES actually deliver</t>
  </si>
  <si>
    <t xml:space="preserve">Authority: 10 points off list, lines the 24 per cent ceiling refuses</t>
  </si>
  <si>
    <t xml:space="preserve">Authority: the account's own invoice share of list</t>
  </si>
  <si>
    <t xml:space="preserve">Authority: the account's own contribution margin</t>
  </si>
  <si>
    <t xml:space="preserve">Authority: the band converted to a share of the account's pocket price</t>
  </si>
  <si>
    <t xml:space="preserve">Authority: the three numbers, break-even on the CONVERTED band</t>
  </si>
  <si>
    <t xml:space="preserve">Authority: the same band converted but on the company average margin</t>
  </si>
  <si>
    <t xml:space="preserve">Authority: the same band unconverted on the company average: the matrix error</t>
  </si>
  <si>
    <t xml:space="preserve">DIR-075: other off-invoice deductions on the extra units, share of invoice</t>
  </si>
  <si>
    <t xml:space="preserve">Chapter 7 (added 24 September 2026)</t>
  </si>
  <si>
    <t xml:space="preserve">DIR-075: net contribution before those deductions, as the first edition printed it</t>
  </si>
  <si>
    <t xml:space="preserve">The corrected closed form and the corrected bisection agree, units</t>
  </si>
  <si>
    <t xml:space="preserve">Checks in this workbook</t>
  </si>
  <si>
    <t xml:space="preserve">Checks passing</t>
  </si>
  <si>
    <t xml:space="preserve">Checks failing</t>
  </si>
  <si>
    <t xml:space="preserve">Verdict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</si>
</sst>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#,##0"/>
    <numFmt numFmtId="167" formatCode="0.0%"/>
    <numFmt numFmtId="168" formatCode="#,##0.0000"/>
    <numFmt numFmtId="169" formatCode="0.00%"/>
    <numFmt numFmtId="170" formatCode="0.0000%"/>
    <numFmt numFmtId="171" formatCode="#,##0.000000"/>
  </numFmts>
  <fonts count="1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CC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0000CC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name val="Cambria"/>
      <family val="0"/>
      <charset val="1"/>
    </font>
    <font>
      <b val="true"/>
      <sz val="13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EDF5"/>
        <bgColor rgb="FFFFF2CC"/>
      </patternFill>
    </fill>
    <fill>
      <patternFill patternType="solid">
        <fgColor rgb="FFFFF2CC"/>
        <bgColor rgb="FFE8EDF5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4"/>
    <col collapsed="false" customWidth="true" hidden="false" outlineLevel="0" max="3" min="3" style="0" width="104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2" customFormat="false" ht="15" hidden="false" customHeight="false" outlineLevel="0" collapsed="false">
      <c r="B12" s="4" t="s">
        <v>8</v>
      </c>
      <c r="C12" s="3" t="s">
        <v>9</v>
      </c>
    </row>
    <row r="13" customFormat="false" ht="15" hidden="false" customHeight="false" outlineLevel="0" collapsed="false">
      <c r="B13" s="4" t="s">
        <v>10</v>
      </c>
      <c r="C13" s="5" t="s">
        <v>11</v>
      </c>
    </row>
    <row r="15" customFormat="false" ht="15" hidden="false" customHeight="false" outlineLevel="0" collapsed="false">
      <c r="B15" s="6" t="s">
        <v>12</v>
      </c>
      <c r="C15" s="7"/>
    </row>
    <row r="16" customFormat="false" ht="15" hidden="false" customHeight="false" outlineLevel="0" collapsed="false">
      <c r="B16" s="4" t="s">
        <v>13</v>
      </c>
      <c r="C16" s="3" t="s">
        <v>14</v>
      </c>
    </row>
    <row r="17" customFormat="false" ht="15" hidden="false" customHeight="false" outlineLevel="0" collapsed="false">
      <c r="B17" s="4" t="s">
        <v>15</v>
      </c>
      <c r="C17" s="3" t="s">
        <v>16</v>
      </c>
    </row>
    <row r="18" customFormat="false" ht="15" hidden="false" customHeight="false" outlineLevel="0" collapsed="false">
      <c r="B18" s="4" t="s">
        <v>17</v>
      </c>
      <c r="C18" s="3" t="s">
        <v>18</v>
      </c>
    </row>
    <row r="19" customFormat="false" ht="15" hidden="false" customHeight="false" outlineLevel="0" collapsed="false">
      <c r="B19" s="4" t="s">
        <v>19</v>
      </c>
      <c r="C19" s="3" t="s">
        <v>20</v>
      </c>
    </row>
    <row r="20" customFormat="false" ht="15" hidden="false" customHeight="false" outlineLevel="0" collapsed="false">
      <c r="B20" s="4" t="s">
        <v>21</v>
      </c>
      <c r="C20" s="3" t="s">
        <v>22</v>
      </c>
    </row>
    <row r="21" customFormat="false" ht="15" hidden="false" customHeight="false" outlineLevel="0" collapsed="false">
      <c r="B21" s="4" t="s">
        <v>23</v>
      </c>
      <c r="C21" s="3" t="s">
        <v>24</v>
      </c>
    </row>
    <row r="22" customFormat="false" ht="15" hidden="false" customHeight="false" outlineLevel="0" collapsed="false">
      <c r="B22" s="4" t="s">
        <v>25</v>
      </c>
      <c r="C22" s="3" t="s">
        <v>26</v>
      </c>
    </row>
    <row r="23" customFormat="false" ht="15" hidden="false" customHeight="false" outlineLevel="0" collapsed="false">
      <c r="B23" s="4" t="s">
        <v>27</v>
      </c>
      <c r="C23" s="3" t="s">
        <v>28</v>
      </c>
    </row>
    <row r="24" customFormat="false" ht="15" hidden="false" customHeight="false" outlineLevel="0" collapsed="false">
      <c r="B24" s="4" t="s">
        <v>29</v>
      </c>
      <c r="C24" s="3" t="s">
        <v>30</v>
      </c>
    </row>
    <row r="25" customFormat="false" ht="15" hidden="false" customHeight="false" outlineLevel="0" collapsed="false">
      <c r="B25" s="4" t="s">
        <v>31</v>
      </c>
      <c r="C25" s="3" t="s">
        <v>32</v>
      </c>
    </row>
    <row r="27" customFormat="false" ht="15" hidden="false" customHeight="false" outlineLevel="0" collapsed="false">
      <c r="B27" s="6" t="s">
        <v>33</v>
      </c>
      <c r="C27" s="7"/>
    </row>
    <row r="28" customFormat="false" ht="15" hidden="false" customHeight="false" outlineLevel="0" collapsed="false">
      <c r="B28" s="8" t="s">
        <v>34</v>
      </c>
      <c r="C28" s="2" t="s">
        <v>35</v>
      </c>
    </row>
    <row r="29" customFormat="false" ht="15" hidden="false" customHeight="false" outlineLevel="0" collapsed="false">
      <c r="B29" s="3" t="s">
        <v>36</v>
      </c>
      <c r="C29" s="2" t="s">
        <v>37</v>
      </c>
    </row>
    <row r="30" customFormat="false" ht="15" hidden="false" customHeight="false" outlineLevel="0" collapsed="false">
      <c r="B30" s="9" t="s">
        <v>38</v>
      </c>
      <c r="C30" s="2" t="s">
        <v>39</v>
      </c>
    </row>
    <row r="31" customFormat="false" ht="15" hidden="false" customHeight="false" outlineLevel="0" collapsed="false">
      <c r="B31" s="10" t="s">
        <v>40</v>
      </c>
      <c r="C31" s="2" t="s">
        <v>41</v>
      </c>
    </row>
    <row r="33" customFormat="false" ht="15" hidden="false" customHeight="false" outlineLevel="0" collapsed="false">
      <c r="B33" s="2" t="s">
        <v>42</v>
      </c>
    </row>
    <row r="34" customFormat="false" ht="15" hidden="false" customHeight="false" outlineLevel="0" collapsed="false">
      <c r="B34" s="2" t="s">
        <v>43</v>
      </c>
    </row>
    <row r="35" customFormat="false" ht="15" hidden="false" customHeight="false" outlineLevel="0" collapsed="false">
      <c r="B35" s="2" t="s">
        <v>44</v>
      </c>
    </row>
    <row r="36" customFormat="false" ht="15" hidden="false" customHeight="false" outlineLevel="0" collapsed="false">
      <c r="B36" s="2" t="s">
        <v>45</v>
      </c>
    </row>
    <row r="37" customFormat="false" ht="15" hidden="false" customHeight="false" outlineLevel="0" collapsed="false">
      <c r="B37" s="2" t="s">
        <v>46</v>
      </c>
    </row>
    <row r="39" customFormat="false" ht="15" hidden="false" customHeight="false" outlineLevel="0" collapsed="false">
      <c r="B39" s="11" t="s">
        <v>47</v>
      </c>
    </row>
    <row r="40" customFormat="false" ht="15" hidden="false" customHeight="false" outlineLevel="0" collapsed="false">
      <c r="B40" s="0" t="s">
        <v>48</v>
      </c>
    </row>
    <row r="41" customFormat="false" ht="15" hidden="false" customHeight="false" outlineLevel="0" collapsed="false">
      <c r="B41" s="0" t="s">
        <v>49</v>
      </c>
    </row>
    <row r="42" customFormat="false" ht="15" hidden="false" customHeight="false" outlineLevel="0" collapsed="false">
      <c r="B42" s="0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4" min="2" style="0" width="22"/>
    <col collapsed="false" customWidth="true" hidden="false" outlineLevel="0" max="5" min="5" style="0" width="16"/>
    <col collapsed="false" customWidth="true" hidden="false" outlineLevel="0" max="7" min="6" style="0" width="18"/>
    <col collapsed="false" customWidth="true" hidden="false" outlineLevel="0" max="8" min="8" style="0" width="56"/>
  </cols>
  <sheetData>
    <row r="2" customFormat="false" ht="16.15" hidden="false" customHeight="false" outlineLevel="0" collapsed="false">
      <c r="B2" s="12" t="s">
        <v>13</v>
      </c>
    </row>
    <row r="3" customFormat="false" ht="15" hidden="false" customHeight="false" outlineLevel="0" collapsed="false">
      <c r="B3" s="2" t="s">
        <v>51</v>
      </c>
    </row>
    <row r="6" customFormat="false" ht="15" hidden="false" customHeight="false" outlineLevel="0" collapsed="false">
      <c r="B6" s="6" t="s">
        <v>52</v>
      </c>
      <c r="C6" s="7"/>
      <c r="D6" s="7"/>
      <c r="E6" s="7"/>
      <c r="F6" s="7"/>
      <c r="G6" s="7"/>
      <c r="H6" s="7"/>
    </row>
    <row r="7" customFormat="false" ht="30" hidden="false" customHeight="true" outlineLevel="0" collapsed="false">
      <c r="B7" s="13" t="s">
        <v>53</v>
      </c>
      <c r="C7" s="13" t="s">
        <v>54</v>
      </c>
      <c r="D7" s="13" t="s">
        <v>55</v>
      </c>
      <c r="E7" s="13" t="s">
        <v>56</v>
      </c>
      <c r="F7" s="13" t="s">
        <v>57</v>
      </c>
      <c r="G7" s="13" t="s">
        <v>58</v>
      </c>
      <c r="H7" s="13" t="s">
        <v>59</v>
      </c>
    </row>
    <row r="8" customFormat="false" ht="15" hidden="false" customHeight="false" outlineLevel="0" collapsed="false">
      <c r="B8" s="14" t="s">
        <v>60</v>
      </c>
      <c r="C8" s="14" t="s">
        <v>61</v>
      </c>
      <c r="D8" s="15" t="n">
        <v>148</v>
      </c>
      <c r="E8" s="15" t="n">
        <v>78</v>
      </c>
      <c r="F8" s="16" t="n">
        <v>160000</v>
      </c>
      <c r="G8" s="17" t="n">
        <f aca="false">D8-E8</f>
        <v>70</v>
      </c>
      <c r="H8" s="18" t="n">
        <f aca="false">(D8-E8)/D8</f>
        <v>0.472972972972973</v>
      </c>
    </row>
    <row r="9" customFormat="false" ht="15" hidden="false" customHeight="false" outlineLevel="0" collapsed="false">
      <c r="B9" s="14" t="s">
        <v>62</v>
      </c>
      <c r="C9" s="14" t="s">
        <v>63</v>
      </c>
      <c r="D9" s="15" t="n">
        <v>62</v>
      </c>
      <c r="E9" s="15" t="n">
        <v>36</v>
      </c>
      <c r="F9" s="16" t="n">
        <v>420000</v>
      </c>
      <c r="G9" s="17" t="n">
        <f aca="false">D9-E9</f>
        <v>26</v>
      </c>
      <c r="H9" s="18" t="n">
        <f aca="false">(D9-E9)/D9</f>
        <v>0.419354838709677</v>
      </c>
    </row>
    <row r="10" customFormat="false" ht="15" hidden="false" customHeight="false" outlineLevel="0" collapsed="false">
      <c r="B10" s="14" t="s">
        <v>64</v>
      </c>
      <c r="C10" s="14" t="s">
        <v>65</v>
      </c>
      <c r="D10" s="15" t="n">
        <v>96</v>
      </c>
      <c r="E10" s="15" t="n">
        <v>58</v>
      </c>
      <c r="F10" s="16" t="n">
        <v>210000</v>
      </c>
      <c r="G10" s="17" t="n">
        <f aca="false">D10-E10</f>
        <v>38</v>
      </c>
      <c r="H10" s="18" t="n">
        <f aca="false">(D10-E10)/D10</f>
        <v>0.395833333333333</v>
      </c>
    </row>
    <row r="13" customFormat="false" ht="15" hidden="false" customHeight="false" outlineLevel="0" collapsed="false">
      <c r="B13" s="6" t="s">
        <v>66</v>
      </c>
      <c r="C13" s="7"/>
      <c r="D13" s="7"/>
      <c r="E13" s="7"/>
      <c r="F13" s="7"/>
      <c r="G13" s="7"/>
      <c r="H13" s="7"/>
    </row>
    <row r="14" customFormat="false" ht="30" hidden="false" customHeight="true" outlineLevel="0" collapsed="false">
      <c r="B14" s="13" t="s">
        <v>53</v>
      </c>
      <c r="C14" s="13" t="s">
        <v>54</v>
      </c>
      <c r="D14" s="13" t="s">
        <v>67</v>
      </c>
      <c r="E14" s="13"/>
      <c r="F14" s="13"/>
      <c r="G14" s="13"/>
      <c r="H14" s="13"/>
    </row>
    <row r="15" customFormat="false" ht="15" hidden="false" customHeight="false" outlineLevel="0" collapsed="false">
      <c r="B15" s="14" t="s">
        <v>60</v>
      </c>
      <c r="C15" s="14" t="s">
        <v>61</v>
      </c>
      <c r="D15" s="19" t="n">
        <v>0.62</v>
      </c>
    </row>
    <row r="16" customFormat="false" ht="15" hidden="false" customHeight="false" outlineLevel="0" collapsed="false">
      <c r="B16" s="14" t="s">
        <v>62</v>
      </c>
      <c r="C16" s="14" t="s">
        <v>63</v>
      </c>
      <c r="D16" s="19" t="n">
        <v>1.3</v>
      </c>
    </row>
    <row r="17" customFormat="false" ht="15" hidden="false" customHeight="false" outlineLevel="0" collapsed="false">
      <c r="B17" s="14" t="s">
        <v>64</v>
      </c>
      <c r="C17" s="14" t="s">
        <v>65</v>
      </c>
      <c r="D17" s="19" t="n">
        <v>0.96</v>
      </c>
    </row>
    <row r="18" customFormat="false" ht="15" hidden="false" customHeight="false" outlineLevel="0" collapsed="false">
      <c r="B18" s="3" t="s">
        <v>68</v>
      </c>
      <c r="C18" s="20" t="n">
        <v>0.24</v>
      </c>
    </row>
    <row r="19" customFormat="false" ht="15" hidden="false" customHeight="false" outlineLevel="0" collapsed="false">
      <c r="B19" s="2" t="s">
        <v>69</v>
      </c>
    </row>
    <row r="20" customFormat="false" ht="15" hidden="false" customHeight="false" outlineLevel="0" collapsed="false">
      <c r="B20" s="2" t="s">
        <v>70</v>
      </c>
    </row>
    <row r="21" customFormat="false" ht="15" hidden="false" customHeight="false" outlineLevel="0" collapsed="false">
      <c r="B21" s="2" t="s">
        <v>71</v>
      </c>
    </row>
    <row r="24" customFormat="false" ht="15" hidden="false" customHeight="false" outlineLevel="0" collapsed="false">
      <c r="B24" s="6" t="s">
        <v>72</v>
      </c>
      <c r="C24" s="7"/>
      <c r="D24" s="7"/>
      <c r="E24" s="7"/>
      <c r="F24" s="7"/>
      <c r="G24" s="7"/>
      <c r="H24" s="7"/>
    </row>
    <row r="25" customFormat="false" ht="15" hidden="false" customHeight="false" outlineLevel="0" collapsed="false">
      <c r="B25" s="3" t="s">
        <v>73</v>
      </c>
      <c r="C25" s="20" t="n">
        <v>0.02</v>
      </c>
    </row>
    <row r="26" customFormat="false" ht="15" hidden="false" customHeight="false" outlineLevel="0" collapsed="false">
      <c r="B26" s="3" t="s">
        <v>74</v>
      </c>
      <c r="C26" s="20" t="n">
        <v>0.07</v>
      </c>
    </row>
    <row r="27" customFormat="false" ht="15" hidden="false" customHeight="false" outlineLevel="0" collapsed="false">
      <c r="B27" s="3" t="s">
        <v>75</v>
      </c>
      <c r="C27" s="21" t="n">
        <v>3900000</v>
      </c>
    </row>
    <row r="28" customFormat="false" ht="15" hidden="false" customHeight="false" outlineLevel="0" collapsed="false">
      <c r="B28" s="3" t="s">
        <v>76</v>
      </c>
      <c r="C28" s="21" t="n">
        <v>1400000</v>
      </c>
    </row>
    <row r="29" customFormat="false" ht="15" hidden="false" customHeight="false" outlineLevel="0" collapsed="false">
      <c r="B29" s="3" t="s">
        <v>77</v>
      </c>
      <c r="C29" s="21" t="n">
        <v>2300000</v>
      </c>
    </row>
    <row r="30" customFormat="false" ht="15" hidden="false" customHeight="false" outlineLevel="0" collapsed="false">
      <c r="B30" s="3" t="s">
        <v>78</v>
      </c>
      <c r="C30" s="21" t="n">
        <v>1800000</v>
      </c>
    </row>
    <row r="31" customFormat="false" ht="15" hidden="false" customHeight="false" outlineLevel="0" collapsed="false">
      <c r="B31" s="4" t="s">
        <v>79</v>
      </c>
      <c r="C31" s="22" t="n">
        <f aca="false">SUM(C27:C30)</f>
        <v>9400000</v>
      </c>
    </row>
    <row r="34" customFormat="false" ht="15" hidden="false" customHeight="false" outlineLevel="0" collapsed="false">
      <c r="B34" s="6" t="s">
        <v>80</v>
      </c>
      <c r="C34" s="7"/>
      <c r="D34" s="7"/>
      <c r="E34" s="7"/>
      <c r="F34" s="7"/>
      <c r="G34" s="7"/>
      <c r="H34" s="7"/>
    </row>
    <row r="35" customFormat="false" ht="30" hidden="false" customHeight="true" outlineLevel="0" collapsed="false">
      <c r="B35" s="13" t="s">
        <v>81</v>
      </c>
      <c r="C35" s="13" t="s">
        <v>82</v>
      </c>
    </row>
    <row r="36" customFormat="false" ht="15" hidden="false" customHeight="false" outlineLevel="0" collapsed="false">
      <c r="B36" s="16" t="n">
        <v>500</v>
      </c>
      <c r="C36" s="23" t="n">
        <v>0.06</v>
      </c>
    </row>
    <row r="37" customFormat="false" ht="15" hidden="false" customHeight="false" outlineLevel="0" collapsed="false">
      <c r="B37" s="16" t="n">
        <v>200</v>
      </c>
      <c r="C37" s="23" t="n">
        <v>0.04</v>
      </c>
    </row>
    <row r="38" customFormat="false" ht="15" hidden="false" customHeight="false" outlineLevel="0" collapsed="false">
      <c r="B38" s="16" t="n">
        <v>50</v>
      </c>
      <c r="C38" s="23" t="n">
        <v>0.02</v>
      </c>
    </row>
    <row r="39" customFormat="false" ht="15" hidden="false" customHeight="false" outlineLevel="0" collapsed="false">
      <c r="B39" s="16" t="n">
        <v>0</v>
      </c>
      <c r="C39" s="23" t="n">
        <v>0</v>
      </c>
    </row>
    <row r="42" customFormat="false" ht="15" hidden="false" customHeight="false" outlineLevel="0" collapsed="false">
      <c r="B42" s="6" t="s">
        <v>83</v>
      </c>
      <c r="C42" s="7"/>
      <c r="D42" s="7"/>
      <c r="E42" s="7"/>
      <c r="F42" s="7"/>
      <c r="G42" s="7"/>
      <c r="H42" s="7"/>
    </row>
    <row r="43" customFormat="false" ht="30" hidden="false" customHeight="true" outlineLevel="0" collapsed="false">
      <c r="B43" s="13" t="s">
        <v>84</v>
      </c>
      <c r="C43" s="13" t="s">
        <v>85</v>
      </c>
    </row>
    <row r="44" customFormat="false" ht="15" hidden="false" customHeight="false" outlineLevel="0" collapsed="false">
      <c r="B44" s="16" t="n">
        <v>25000</v>
      </c>
      <c r="C44" s="23" t="n">
        <v>0.05</v>
      </c>
    </row>
    <row r="45" customFormat="false" ht="15" hidden="false" customHeight="false" outlineLevel="0" collapsed="false">
      <c r="B45" s="16" t="n">
        <v>10000</v>
      </c>
      <c r="C45" s="23" t="n">
        <v>0.035</v>
      </c>
    </row>
    <row r="46" customFormat="false" ht="15" hidden="false" customHeight="false" outlineLevel="0" collapsed="false">
      <c r="B46" s="16" t="n">
        <v>3000</v>
      </c>
      <c r="C46" s="23" t="n">
        <v>0.02</v>
      </c>
    </row>
    <row r="47" customFormat="false" ht="15" hidden="false" customHeight="false" outlineLevel="0" collapsed="false">
      <c r="B47" s="16" t="n">
        <v>0</v>
      </c>
      <c r="C47" s="23" t="n">
        <v>0</v>
      </c>
    </row>
    <row r="50" customFormat="false" ht="15" hidden="false" customHeight="false" outlineLevel="0" collapsed="false">
      <c r="B50" s="6" t="s">
        <v>86</v>
      </c>
      <c r="C50" s="7"/>
      <c r="D50" s="7"/>
      <c r="E50" s="7"/>
      <c r="F50" s="7"/>
      <c r="G50" s="7"/>
      <c r="H50" s="7"/>
    </row>
    <row r="51" customFormat="false" ht="15" hidden="false" customHeight="false" outlineLevel="0" collapsed="false">
      <c r="B51" s="3" t="s">
        <v>87</v>
      </c>
      <c r="C51" s="20" t="n">
        <v>0.02</v>
      </c>
    </row>
    <row r="52" customFormat="false" ht="15" hidden="false" customHeight="false" outlineLevel="0" collapsed="false">
      <c r="B52" s="3" t="s">
        <v>88</v>
      </c>
      <c r="C52" s="16" t="n">
        <v>10</v>
      </c>
    </row>
    <row r="53" customFormat="false" ht="15" hidden="false" customHeight="false" outlineLevel="0" collapsed="false">
      <c r="B53" s="3" t="s">
        <v>89</v>
      </c>
      <c r="C53" s="16" t="n">
        <v>30</v>
      </c>
    </row>
    <row r="54" customFormat="false" ht="15" hidden="false" customHeight="false" outlineLevel="0" collapsed="false">
      <c r="B54" s="3" t="s">
        <v>90</v>
      </c>
      <c r="C54" s="24" t="n">
        <v>365</v>
      </c>
    </row>
    <row r="57" customFormat="false" ht="15" hidden="false" customHeight="false" outlineLevel="0" collapsed="false">
      <c r="B57" s="6" t="s">
        <v>91</v>
      </c>
      <c r="C57" s="7"/>
      <c r="D57" s="7"/>
      <c r="E57" s="7"/>
      <c r="F57" s="7"/>
      <c r="G57" s="7"/>
      <c r="H57" s="7"/>
    </row>
    <row r="58" customFormat="false" ht="15" hidden="false" customHeight="false" outlineLevel="0" collapsed="false">
      <c r="B58" s="3" t="s">
        <v>92</v>
      </c>
      <c r="C58" s="25" t="s">
        <v>93</v>
      </c>
    </row>
    <row r="59" customFormat="false" ht="15" hidden="false" customHeight="false" outlineLevel="0" collapsed="false">
      <c r="B59" s="3" t="s">
        <v>94</v>
      </c>
      <c r="C59" s="16" t="n">
        <v>10000</v>
      </c>
    </row>
    <row r="62" customFormat="false" ht="15" hidden="false" customHeight="false" outlineLevel="0" collapsed="false">
      <c r="B62" s="6" t="s">
        <v>95</v>
      </c>
      <c r="C62" s="7"/>
      <c r="D62" s="7"/>
      <c r="E62" s="7"/>
      <c r="F62" s="7"/>
      <c r="G62" s="7"/>
      <c r="H62" s="7"/>
    </row>
    <row r="63" customFormat="false" ht="30" hidden="false" customHeight="true" outlineLevel="0" collapsed="false">
      <c r="B63" s="13" t="s">
        <v>96</v>
      </c>
      <c r="C63" s="13" t="s">
        <v>97</v>
      </c>
    </row>
    <row r="64" customFormat="false" ht="15" hidden="false" customHeight="false" outlineLevel="0" collapsed="false">
      <c r="B64" s="23" t="n">
        <v>0.03</v>
      </c>
      <c r="C64" s="25" t="s">
        <v>98</v>
      </c>
    </row>
    <row r="65" customFormat="false" ht="15" hidden="false" customHeight="false" outlineLevel="0" collapsed="false">
      <c r="B65" s="23" t="n">
        <v>0.06</v>
      </c>
      <c r="C65" s="25" t="s">
        <v>99</v>
      </c>
    </row>
    <row r="66" customFormat="false" ht="15" hidden="false" customHeight="false" outlineLevel="0" collapsed="false">
      <c r="B66" s="23" t="n">
        <v>0.1</v>
      </c>
      <c r="C66" s="25" t="s">
        <v>100</v>
      </c>
    </row>
    <row r="67" customFormat="false" ht="15" hidden="false" customHeight="false" outlineLevel="0" collapsed="false">
      <c r="B67" s="23" t="n">
        <v>0.99</v>
      </c>
      <c r="C67" s="25" t="s">
        <v>101</v>
      </c>
    </row>
    <row r="70" customFormat="false" ht="15" hidden="false" customHeight="false" outlineLevel="0" collapsed="false">
      <c r="B70" s="6" t="s">
        <v>102</v>
      </c>
      <c r="C70" s="7"/>
      <c r="D70" s="7"/>
      <c r="E70" s="7"/>
      <c r="F70" s="7"/>
      <c r="G70" s="7"/>
      <c r="H70" s="7"/>
    </row>
    <row r="71" customFormat="false" ht="30" hidden="false" customHeight="true" outlineLevel="0" collapsed="false">
      <c r="B71" s="13" t="s">
        <v>103</v>
      </c>
      <c r="C71" s="13" t="s">
        <v>104</v>
      </c>
      <c r="D71" s="13" t="s">
        <v>105</v>
      </c>
    </row>
    <row r="72" customFormat="false" ht="15" hidden="false" customHeight="false" outlineLevel="0" collapsed="false">
      <c r="B72" s="23" t="n">
        <v>0.02</v>
      </c>
      <c r="C72" s="23" t="n">
        <v>0.02</v>
      </c>
      <c r="D72" s="23" t="n">
        <v>0.2</v>
      </c>
    </row>
    <row r="73" customFormat="false" ht="15" hidden="false" customHeight="false" outlineLevel="0" collapsed="false">
      <c r="B73" s="23" t="n">
        <v>0.03</v>
      </c>
      <c r="C73" s="23" t="n">
        <v>0.03</v>
      </c>
      <c r="D73" s="23" t="n">
        <v>0.25</v>
      </c>
    </row>
    <row r="74" customFormat="false" ht="15" hidden="false" customHeight="false" outlineLevel="0" collapsed="false">
      <c r="B74" s="23" t="n">
        <v>0.05</v>
      </c>
      <c r="C74" s="23" t="n">
        <v>0.05</v>
      </c>
      <c r="D74" s="23" t="n">
        <v>0.3</v>
      </c>
    </row>
    <row r="75" customFormat="false" ht="15" hidden="false" customHeight="false" outlineLevel="0" collapsed="false">
      <c r="B75" s="23" t="n">
        <v>0.08</v>
      </c>
      <c r="C75" s="23" t="n">
        <v>0.08</v>
      </c>
      <c r="D75" s="23" t="n">
        <v>0.35</v>
      </c>
    </row>
    <row r="76" customFormat="false" ht="15" hidden="false" customHeight="false" outlineLevel="0" collapsed="false">
      <c r="B76" s="23" t="n">
        <v>0.1</v>
      </c>
      <c r="C76" s="23" t="n">
        <v>0.1</v>
      </c>
      <c r="D76" s="23" t="n">
        <v>0.4</v>
      </c>
    </row>
    <row r="77" customFormat="false" ht="15" hidden="false" customHeight="false" outlineLevel="0" collapsed="false">
      <c r="B77" s="23" t="n">
        <v>0.15</v>
      </c>
      <c r="C77" s="23"/>
      <c r="D77" s="23" t="n">
        <v>0.5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Q1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10" min="4" style="0" width="12"/>
    <col collapsed="false" customWidth="true" hidden="false" outlineLevel="0" max="17" min="11" style="0" width="13"/>
    <col collapsed="false" customWidth="true" hidden="false" outlineLevel="0" max="19" min="18" style="0" width="12"/>
    <col collapsed="false" customWidth="true" hidden="false" outlineLevel="0" max="20" min="20" style="0" width="13"/>
    <col collapsed="false" customWidth="true" hidden="false" outlineLevel="0" max="22" min="21" style="0" width="12"/>
    <col collapsed="false" customWidth="true" hidden="false" outlineLevel="0" max="24" min="23" style="0" width="13"/>
    <col collapsed="false" customWidth="true" hidden="false" outlineLevel="0" max="25" min="25" style="0" width="14"/>
    <col collapsed="false" customWidth="true" hidden="false" outlineLevel="0" max="26" min="26" style="0" width="13"/>
    <col collapsed="false" customWidth="true" hidden="false" outlineLevel="0" max="30" min="27" style="0" width="16"/>
    <col collapsed="false" customWidth="true" hidden="false" outlineLevel="0" max="31" min="31" style="0" width="14"/>
    <col collapsed="false" customWidth="true" hidden="false" outlineLevel="0" max="32" min="32" style="0" width="16"/>
    <col collapsed="false" customWidth="true" hidden="false" outlineLevel="0" max="33" min="33" style="0" width="13"/>
    <col collapsed="false" customWidth="true" hidden="false" outlineLevel="0" max="43" min="36" style="0" width="18"/>
  </cols>
  <sheetData>
    <row r="2" customFormat="false" ht="16.15" hidden="false" customHeight="false" outlineLevel="0" collapsed="false">
      <c r="B2" s="12" t="s">
        <v>106</v>
      </c>
    </row>
    <row r="3" customFormat="false" ht="15" hidden="false" customHeight="false" outlineLevel="0" collapsed="false">
      <c r="B3" s="2" t="s">
        <v>107</v>
      </c>
    </row>
    <row r="5" customFormat="false" ht="42" hidden="false" customHeight="true" outlineLevel="0" collapsed="false">
      <c r="B5" s="13" t="s">
        <v>92</v>
      </c>
      <c r="C5" s="13" t="s">
        <v>108</v>
      </c>
      <c r="D5" s="13" t="s">
        <v>109</v>
      </c>
      <c r="E5" s="13" t="s">
        <v>110</v>
      </c>
      <c r="F5" s="13" t="s">
        <v>111</v>
      </c>
      <c r="G5" s="13" t="s">
        <v>112</v>
      </c>
      <c r="H5" s="13" t="s">
        <v>113</v>
      </c>
      <c r="I5" s="13" t="s">
        <v>114</v>
      </c>
      <c r="J5" s="13" t="s">
        <v>115</v>
      </c>
      <c r="K5" s="13" t="s">
        <v>116</v>
      </c>
      <c r="L5" s="13" t="s">
        <v>117</v>
      </c>
      <c r="M5" s="13" t="s">
        <v>118</v>
      </c>
      <c r="N5" s="13" t="s">
        <v>119</v>
      </c>
      <c r="O5" s="13" t="s">
        <v>120</v>
      </c>
      <c r="P5" s="13" t="s">
        <v>121</v>
      </c>
      <c r="Q5" s="13" t="s">
        <v>122</v>
      </c>
      <c r="R5" s="13" t="s">
        <v>123</v>
      </c>
      <c r="S5" s="13" t="s">
        <v>124</v>
      </c>
      <c r="T5" s="13" t="s">
        <v>125</v>
      </c>
      <c r="U5" s="13" t="s">
        <v>126</v>
      </c>
      <c r="V5" s="13" t="s">
        <v>127</v>
      </c>
      <c r="W5" s="13" t="s">
        <v>128</v>
      </c>
      <c r="X5" s="13" t="s">
        <v>129</v>
      </c>
      <c r="Y5" s="13" t="s">
        <v>130</v>
      </c>
      <c r="Z5" s="13" t="s">
        <v>131</v>
      </c>
      <c r="AA5" s="13" t="s">
        <v>132</v>
      </c>
      <c r="AB5" s="13" t="s">
        <v>133</v>
      </c>
      <c r="AC5" s="13" t="s">
        <v>134</v>
      </c>
      <c r="AD5" s="13" t="s">
        <v>56</v>
      </c>
      <c r="AE5" s="13" t="s">
        <v>135</v>
      </c>
      <c r="AF5" s="13" t="s">
        <v>136</v>
      </c>
      <c r="AG5" s="13" t="s">
        <v>137</v>
      </c>
      <c r="AJ5" s="13" t="s">
        <v>138</v>
      </c>
      <c r="AK5" s="13" t="s">
        <v>139</v>
      </c>
      <c r="AL5" s="13" t="s">
        <v>140</v>
      </c>
      <c r="AM5" s="13" t="s">
        <v>141</v>
      </c>
      <c r="AN5" s="13" t="s">
        <v>142</v>
      </c>
      <c r="AO5" s="13" t="s">
        <v>143</v>
      </c>
      <c r="AP5" s="13" t="s">
        <v>144</v>
      </c>
      <c r="AQ5" s="13" t="s">
        <v>145</v>
      </c>
    </row>
    <row r="6" customFormat="false" ht="15" hidden="false" customHeight="false" outlineLevel="0" collapsed="false">
      <c r="B6" s="14" t="s">
        <v>146</v>
      </c>
      <c r="C6" s="14" t="s">
        <v>147</v>
      </c>
      <c r="D6" s="14" t="s">
        <v>148</v>
      </c>
      <c r="E6" s="24" t="n">
        <v>6720</v>
      </c>
      <c r="F6" s="24" t="n">
        <v>8588</v>
      </c>
      <c r="G6" s="24" t="n">
        <v>6487</v>
      </c>
      <c r="H6" s="26" t="n">
        <f aca="false">SUM(E6:G6)</f>
        <v>21795</v>
      </c>
      <c r="I6" s="24" t="n">
        <v>893</v>
      </c>
      <c r="J6" s="24" t="n">
        <v>24</v>
      </c>
      <c r="K6" s="27" t="n">
        <v>0.16</v>
      </c>
      <c r="L6" s="28" t="n">
        <f aca="false">MIN(Assumptions!$C$18,K6*Assumptions!$D$15)</f>
        <v>0.0992</v>
      </c>
      <c r="M6" s="28" t="n">
        <f aca="false">MIN(Assumptions!$C$18,K6*Assumptions!$D$16)</f>
        <v>0.208</v>
      </c>
      <c r="N6" s="28" t="n">
        <f aca="false">MIN(Assumptions!$C$18,K6*Assumptions!$D$17)</f>
        <v>0.1536</v>
      </c>
      <c r="O6" s="28" t="n">
        <f aca="false">IF(I6&gt;=Assumptions!$B$36,Assumptions!$C$36,IF(I6&gt;=Assumptions!$B$37,Assumptions!$C$37,IF(I6&gt;=Assumptions!$B$38,Assumptions!$C$38,Assumptions!$C$39)))</f>
        <v>0.06</v>
      </c>
      <c r="P6" s="28" t="n">
        <f aca="false">IF(H6&gt;=Assumptions!$B$44,Assumptions!$C$44,IF(H6&gt;=Assumptions!$B$45,Assumptions!$C$45,IF(H6&gt;=Assumptions!$B$46,Assumptions!$C$46,Assumptions!$C$47)))</f>
        <v>0.035</v>
      </c>
      <c r="Q6" s="24" t="n">
        <v>0</v>
      </c>
      <c r="R6" s="28" t="n">
        <f aca="false">Q6*Assumptions!$C$51</f>
        <v>0</v>
      </c>
      <c r="S6" s="27" t="n">
        <v>0.03</v>
      </c>
      <c r="T6" s="27" t="n">
        <v>0</v>
      </c>
      <c r="U6" s="27" t="n">
        <v>0</v>
      </c>
      <c r="V6" s="27" t="n">
        <v>0.005</v>
      </c>
      <c r="W6" s="27" t="n">
        <v>0</v>
      </c>
      <c r="X6" s="28" t="n">
        <f aca="false">P6+R6+SUM(S6:W6)</f>
        <v>0.07</v>
      </c>
      <c r="Y6" s="24" t="n">
        <v>0</v>
      </c>
      <c r="Z6" s="29" t="n">
        <f aca="false">LN(H6)</f>
        <v>9.98943586467249</v>
      </c>
      <c r="AA6" s="17" t="n">
        <f aca="false">ROUND(SUMIF(Lines!$B:$B,B6,Lines!$I:$I),2)</f>
        <v>2149768</v>
      </c>
      <c r="AB6" s="17" t="n">
        <f aca="false">ROUND(SUMIF(Lines!$B:$B,B6,Lines!$L:$L),2)</f>
        <v>1715716.01</v>
      </c>
      <c r="AC6" s="17" t="n">
        <f aca="false">ROUND(SUMIF(Lines!$B:$B,B6,Lines!$T:$T),2)</f>
        <v>1595615.89</v>
      </c>
      <c r="AD6" s="17" t="n">
        <f aca="false">ROUND(SUMIF(Lines!$B:$B,B6,Lines!$U:$U),2)</f>
        <v>1209574</v>
      </c>
      <c r="AE6" s="17" t="n">
        <f aca="false">ROUND(SUMIF(Lines!$B:$B,B6,Lines!$V:$V),2)</f>
        <v>34314.32</v>
      </c>
      <c r="AF6" s="17" t="n">
        <f aca="false">ROUND(AC6-AD6-AE6,2)</f>
        <v>351727.57</v>
      </c>
      <c r="AG6" s="26" t="n">
        <f aca="false">RANK(AC6,$AC$6:$AC$185)</f>
        <v>7</v>
      </c>
      <c r="AJ6" s="26" t="n">
        <f aca="false">IF(AND(H6&gt;=0.85*Assumptions!$B$44,H6&lt;Assumptions!$B$44),Assumptions!$B$44,IF(AND(H6&gt;=0.85*Assumptions!$B$45,H6&lt;Assumptions!$B$45),Assumptions!$B$45,IF(AND(H6&gt;=0.85*Assumptions!$B$46,H6&lt;Assumptions!$B$46),Assumptions!$B$46,0)))</f>
        <v>25000</v>
      </c>
      <c r="AK6" s="26" t="n">
        <f aca="false">IF(AJ6=0,0,AJ6-H6)</f>
        <v>3205</v>
      </c>
      <c r="AL6" s="28" t="n">
        <f aca="false">IF(AJ6=Assumptions!$B$44,Assumptions!$C$44,IF(AJ6=Assumptions!$B$45,Assumptions!$C$45,IF(AJ6=Assumptions!$B$46,Assumptions!$C$46,0)))</f>
        <v>0.05</v>
      </c>
      <c r="AM6" s="17" t="n">
        <f aca="false">IF(AJ6=0,0,AB6*(AL6-P6))</f>
        <v>25735.74015</v>
      </c>
      <c r="AN6" s="17" t="n">
        <f aca="false">ROUND(AM6,2)</f>
        <v>25735.74</v>
      </c>
      <c r="AO6" s="17" t="n">
        <f aca="false">SUMIF(Lines!$B$6:$B$463,$B6,Lines!$M$6:$M$463)</f>
        <v>60050.06</v>
      </c>
      <c r="AP6" s="17" t="n">
        <f aca="false">(AB6/H6)*(MAX(0,MIN(H6,Assumptions!$B$46)-Assumptions!$B$47)*Assumptions!$C$47+MAX(0,MIN(H6,Assumptions!$B$45)-Assumptions!$B$46)*Assumptions!$C$46+MAX(0,MIN(H6,Assumptions!$B$44)-Assumptions!$B$45)*Assumptions!$C$45+MAX(0,H6-Assumptions!$B$44)*Assumptions!$C$44)</f>
        <v>43518.7292144185</v>
      </c>
      <c r="AQ6" s="17" t="n">
        <f aca="false">ROUND(SUMIF(Lines!$B:$B,B6,Lines!$N:$N),2)</f>
        <v>0</v>
      </c>
    </row>
    <row r="7" customFormat="false" ht="15" hidden="false" customHeight="false" outlineLevel="0" collapsed="false">
      <c r="B7" s="14" t="s">
        <v>149</v>
      </c>
      <c r="C7" s="14" t="s">
        <v>147</v>
      </c>
      <c r="D7" s="14" t="s">
        <v>148</v>
      </c>
      <c r="E7" s="24" t="n">
        <v>8376</v>
      </c>
      <c r="F7" s="24" t="n">
        <v>8159</v>
      </c>
      <c r="G7" s="24" t="n">
        <v>8285</v>
      </c>
      <c r="H7" s="26" t="n">
        <f aca="false">SUM(E7:G7)</f>
        <v>24820</v>
      </c>
      <c r="I7" s="24" t="n">
        <v>946</v>
      </c>
      <c r="J7" s="24" t="n">
        <v>26</v>
      </c>
      <c r="K7" s="27" t="n">
        <v>0.135</v>
      </c>
      <c r="L7" s="28" t="n">
        <f aca="false">MIN(Assumptions!$C$18,K7*Assumptions!$D$15)</f>
        <v>0.0837</v>
      </c>
      <c r="M7" s="28" t="n">
        <f aca="false">MIN(Assumptions!$C$18,K7*Assumptions!$D$16)</f>
        <v>0.1755</v>
      </c>
      <c r="N7" s="28" t="n">
        <f aca="false">MIN(Assumptions!$C$18,K7*Assumptions!$D$17)</f>
        <v>0.1296</v>
      </c>
      <c r="O7" s="28" t="n">
        <f aca="false">IF(I7&gt;=Assumptions!$B$36,Assumptions!$C$36,IF(I7&gt;=Assumptions!$B$37,Assumptions!$C$37,IF(I7&gt;=Assumptions!$B$38,Assumptions!$C$38,Assumptions!$C$39)))</f>
        <v>0.06</v>
      </c>
      <c r="P7" s="28" t="n">
        <f aca="false">IF(H7&gt;=Assumptions!$B$44,Assumptions!$C$44,IF(H7&gt;=Assumptions!$B$45,Assumptions!$C$45,IF(H7&gt;=Assumptions!$B$46,Assumptions!$C$46,Assumptions!$C$47)))</f>
        <v>0.035</v>
      </c>
      <c r="Q7" s="24" t="n">
        <v>0</v>
      </c>
      <c r="R7" s="28" t="n">
        <f aca="false">Q7*Assumptions!$C$51</f>
        <v>0</v>
      </c>
      <c r="S7" s="27" t="n">
        <v>0.03</v>
      </c>
      <c r="T7" s="27" t="n">
        <v>0</v>
      </c>
      <c r="U7" s="27" t="n">
        <v>0</v>
      </c>
      <c r="V7" s="27" t="n">
        <v>0.005</v>
      </c>
      <c r="W7" s="27" t="n">
        <v>0</v>
      </c>
      <c r="X7" s="28" t="n">
        <f aca="false">P7+R7+SUM(S7:W7)</f>
        <v>0.07</v>
      </c>
      <c r="Y7" s="24" t="n">
        <v>0</v>
      </c>
      <c r="Z7" s="29" t="n">
        <f aca="false">LN(H7)</f>
        <v>10.1194050587586</v>
      </c>
      <c r="AA7" s="17" t="n">
        <f aca="false">ROUND(SUMIF(Lines!$B:$B,B7,Lines!$I:$I),2)</f>
        <v>2540866</v>
      </c>
      <c r="AB7" s="17" t="n">
        <f aca="false">ROUND(SUMIF(Lines!$B:$B,B7,Lines!$L:$L),2)</f>
        <v>2092798.76</v>
      </c>
      <c r="AC7" s="17" t="n">
        <f aca="false">ROUND(SUMIF(Lines!$B:$B,B7,Lines!$T:$T),2)</f>
        <v>1946302.85</v>
      </c>
      <c r="AD7" s="17" t="n">
        <f aca="false">ROUND(SUMIF(Lines!$B:$B,B7,Lines!$U:$U),2)</f>
        <v>1427582</v>
      </c>
      <c r="AE7" s="17" t="n">
        <f aca="false">ROUND(SUMIF(Lines!$B:$B,B7,Lines!$V:$V),2)</f>
        <v>41855.97</v>
      </c>
      <c r="AF7" s="17" t="n">
        <f aca="false">ROUND(AC7-AD7-AE7,2)</f>
        <v>476864.88</v>
      </c>
      <c r="AG7" s="26" t="n">
        <f aca="false">RANK(AC7,$AC$6:$AC$185)</f>
        <v>4</v>
      </c>
      <c r="AJ7" s="26" t="n">
        <f aca="false">IF(AND(H7&gt;=0.85*Assumptions!$B$44,H7&lt;Assumptions!$B$44),Assumptions!$B$44,IF(AND(H7&gt;=0.85*Assumptions!$B$45,H7&lt;Assumptions!$B$45),Assumptions!$B$45,IF(AND(H7&gt;=0.85*Assumptions!$B$46,H7&lt;Assumptions!$B$46),Assumptions!$B$46,0)))</f>
        <v>25000</v>
      </c>
      <c r="AK7" s="26" t="n">
        <f aca="false">IF(AJ7=0,0,AJ7-H7)</f>
        <v>180</v>
      </c>
      <c r="AL7" s="28" t="n">
        <f aca="false">IF(AJ7=Assumptions!$B$44,Assumptions!$C$44,IF(AJ7=Assumptions!$B$45,Assumptions!$C$45,IF(AJ7=Assumptions!$B$46,Assumptions!$C$46,0)))</f>
        <v>0.05</v>
      </c>
      <c r="AM7" s="17" t="n">
        <f aca="false">IF(AJ7=0,0,AB7*(AL7-P7))</f>
        <v>31391.9814</v>
      </c>
      <c r="AN7" s="17" t="n">
        <f aca="false">ROUND(AN12+AM7,2)</f>
        <v>85133.85</v>
      </c>
      <c r="AO7" s="17" t="n">
        <f aca="false">SUMIF(Lines!$B$6:$B$463,$B7,Lines!$M$6:$M$463)</f>
        <v>73247.96</v>
      </c>
      <c r="AP7" s="17" t="n">
        <f aca="false">(AB7/H7)*(MAX(0,MIN(H7,Assumptions!$B$46)-Assumptions!$B$47)*Assumptions!$C$47+MAX(0,MIN(H7,Assumptions!$B$45)-Assumptions!$B$46)*Assumptions!$C$46+MAX(0,MIN(H7,Assumptions!$B$44)-Assumptions!$B$45)*Assumptions!$C$45+MAX(0,H7-Assumptions!$B$44)*Assumptions!$C$44)</f>
        <v>55540.956616116</v>
      </c>
      <c r="AQ7" s="17" t="n">
        <f aca="false">ROUND(SUMIF(Lines!$B:$B,B7,Lines!$N:$N),2)</f>
        <v>0</v>
      </c>
    </row>
    <row r="8" customFormat="false" ht="15" hidden="false" customHeight="false" outlineLevel="0" collapsed="false">
      <c r="B8" s="14" t="s">
        <v>150</v>
      </c>
      <c r="C8" s="14" t="s">
        <v>147</v>
      </c>
      <c r="D8" s="14" t="s">
        <v>148</v>
      </c>
      <c r="E8" s="24" t="n">
        <v>15461</v>
      </c>
      <c r="F8" s="24" t="n">
        <v>16488</v>
      </c>
      <c r="G8" s="24" t="n">
        <v>15641</v>
      </c>
      <c r="H8" s="26" t="n">
        <f aca="false">SUM(E8:G8)</f>
        <v>47590</v>
      </c>
      <c r="I8" s="24" t="n">
        <v>1222</v>
      </c>
      <c r="J8" s="24" t="n">
        <v>39</v>
      </c>
      <c r="K8" s="27" t="n">
        <v>0.16</v>
      </c>
      <c r="L8" s="28" t="n">
        <f aca="false">MIN(Assumptions!$C$18,K8*Assumptions!$D$15)</f>
        <v>0.0992</v>
      </c>
      <c r="M8" s="28" t="n">
        <f aca="false">MIN(Assumptions!$C$18,K8*Assumptions!$D$16)</f>
        <v>0.208</v>
      </c>
      <c r="N8" s="28" t="n">
        <f aca="false">MIN(Assumptions!$C$18,K8*Assumptions!$D$17)</f>
        <v>0.1536</v>
      </c>
      <c r="O8" s="28" t="n">
        <f aca="false">IF(I8&gt;=Assumptions!$B$36,Assumptions!$C$36,IF(I8&gt;=Assumptions!$B$37,Assumptions!$C$37,IF(I8&gt;=Assumptions!$B$38,Assumptions!$C$38,Assumptions!$C$39)))</f>
        <v>0.06</v>
      </c>
      <c r="P8" s="28" t="n">
        <f aca="false">IF(H8&gt;=Assumptions!$B$44,Assumptions!$C$44,IF(H8&gt;=Assumptions!$B$45,Assumptions!$C$45,IF(H8&gt;=Assumptions!$B$46,Assumptions!$C$46,Assumptions!$C$47)))</f>
        <v>0.05</v>
      </c>
      <c r="Q8" s="24" t="n">
        <v>0</v>
      </c>
      <c r="R8" s="28" t="n">
        <f aca="false">Q8*Assumptions!$C$51</f>
        <v>0</v>
      </c>
      <c r="S8" s="27" t="n">
        <v>0.03</v>
      </c>
      <c r="T8" s="27" t="n">
        <v>0</v>
      </c>
      <c r="U8" s="27" t="n">
        <v>0</v>
      </c>
      <c r="V8" s="27" t="n">
        <v>0.005</v>
      </c>
      <c r="W8" s="27" t="n">
        <v>0</v>
      </c>
      <c r="X8" s="28" t="n">
        <f aca="false">P8+R8+SUM(S8:W8)</f>
        <v>0.085</v>
      </c>
      <c r="Y8" s="24" t="n">
        <v>0</v>
      </c>
      <c r="Z8" s="29" t="n">
        <f aca="false">LN(H8)</f>
        <v>10.7703779341152</v>
      </c>
      <c r="AA8" s="17" t="n">
        <f aca="false">ROUND(SUMIF(Lines!$B:$B,B8,Lines!$I:$I),2)</f>
        <v>4812020</v>
      </c>
      <c r="AB8" s="17" t="n">
        <f aca="false">ROUND(SUMIF(Lines!$B:$B,B8,Lines!$L:$L),2)</f>
        <v>3853041.4</v>
      </c>
      <c r="AC8" s="17" t="n">
        <f aca="false">ROUND(SUMIF(Lines!$B:$B,B8,Lines!$T:$T),2)</f>
        <v>3525532.87</v>
      </c>
      <c r="AD8" s="17" t="n">
        <f aca="false">ROUND(SUMIF(Lines!$B:$B,B8,Lines!$U:$U),2)</f>
        <v>2706704</v>
      </c>
      <c r="AE8" s="17" t="n">
        <f aca="false">ROUND(SUMIF(Lines!$B:$B,B8,Lines!$V:$V),2)</f>
        <v>77060.83</v>
      </c>
      <c r="AF8" s="17" t="n">
        <f aca="false">ROUND(AC8-AD8-AE8,2)</f>
        <v>741768.04</v>
      </c>
      <c r="AG8" s="26" t="n">
        <f aca="false">RANK(AC8,$AC$6:$AC$185)</f>
        <v>1</v>
      </c>
      <c r="AJ8" s="26" t="n">
        <f aca="false">IF(AND(H8&gt;=0.85*Assumptions!$B$44,H8&lt;Assumptions!$B$44),Assumptions!$B$44,IF(AND(H8&gt;=0.85*Assumptions!$B$45,H8&lt;Assumptions!$B$45),Assumptions!$B$45,IF(AND(H8&gt;=0.85*Assumptions!$B$46,H8&lt;Assumptions!$B$46),Assumptions!$B$46,0)))</f>
        <v>0</v>
      </c>
      <c r="AK8" s="26" t="n">
        <f aca="false">IF(AJ8=0,0,AJ8-H8)</f>
        <v>0</v>
      </c>
      <c r="AL8" s="28" t="n">
        <f aca="false">IF(AJ8=Assumptions!$B$44,Assumptions!$C$44,IF(AJ8=Assumptions!$B$45,Assumptions!$C$45,IF(AJ8=Assumptions!$B$46,Assumptions!$C$46,0)))</f>
        <v>0</v>
      </c>
      <c r="AM8" s="17" t="n">
        <f aca="false">IF(AJ8=0,0,AB8*(AL8-P8))</f>
        <v>0</v>
      </c>
      <c r="AN8" s="17" t="n">
        <f aca="false">ROUND(AN13+AM8,2)</f>
        <v>85133.85</v>
      </c>
      <c r="AO8" s="17" t="n">
        <f aca="false">SUMIF(Lines!$B$6:$B$463,$B8,Lines!$M$6:$M$463)</f>
        <v>192652.08</v>
      </c>
      <c r="AP8" s="17" t="n">
        <f aca="false">(AB8/H8)*(MAX(0,MIN(H8,Assumptions!$B$46)-Assumptions!$B$47)*Assumptions!$C$47+MAX(0,MIN(H8,Assumptions!$B$45)-Assumptions!$B$46)*Assumptions!$C$46+MAX(0,MIN(H8,Assumptions!$B$44)-Assumptions!$B$45)*Assumptions!$C$45+MAX(0,H8-Assumptions!$B$44)*Assumptions!$C$44)</f>
        <v>145288.564662744</v>
      </c>
      <c r="AQ8" s="17" t="n">
        <f aca="false">ROUND(SUMIF(Lines!$B:$B,B8,Lines!$N:$N),2)</f>
        <v>0</v>
      </c>
    </row>
    <row r="9" customFormat="false" ht="15" hidden="false" customHeight="false" outlineLevel="0" collapsed="false">
      <c r="B9" s="14" t="s">
        <v>151</v>
      </c>
      <c r="C9" s="14" t="s">
        <v>147</v>
      </c>
      <c r="D9" s="14" t="s">
        <v>148</v>
      </c>
      <c r="E9" s="24" t="n">
        <v>2168</v>
      </c>
      <c r="F9" s="24" t="n">
        <v>3445</v>
      </c>
      <c r="G9" s="24" t="n">
        <v>2814</v>
      </c>
      <c r="H9" s="26" t="n">
        <f aca="false">SUM(E9:G9)</f>
        <v>8427</v>
      </c>
      <c r="I9" s="24" t="n">
        <v>714</v>
      </c>
      <c r="J9" s="24" t="n">
        <v>12</v>
      </c>
      <c r="K9" s="27" t="n">
        <v>0.095</v>
      </c>
      <c r="L9" s="28" t="n">
        <f aca="false">MIN(Assumptions!$C$18,K9*Assumptions!$D$15)</f>
        <v>0.0589</v>
      </c>
      <c r="M9" s="28" t="n">
        <f aca="false">MIN(Assumptions!$C$18,K9*Assumptions!$D$16)</f>
        <v>0.1235</v>
      </c>
      <c r="N9" s="28" t="n">
        <f aca="false">MIN(Assumptions!$C$18,K9*Assumptions!$D$17)</f>
        <v>0.0912</v>
      </c>
      <c r="O9" s="28" t="n">
        <f aca="false">IF(I9&gt;=Assumptions!$B$36,Assumptions!$C$36,IF(I9&gt;=Assumptions!$B$37,Assumptions!$C$37,IF(I9&gt;=Assumptions!$B$38,Assumptions!$C$38,Assumptions!$C$39)))</f>
        <v>0.06</v>
      </c>
      <c r="P9" s="28" t="n">
        <f aca="false">IF(H9&gt;=Assumptions!$B$44,Assumptions!$C$44,IF(H9&gt;=Assumptions!$B$45,Assumptions!$C$45,IF(H9&gt;=Assumptions!$B$46,Assumptions!$C$46,Assumptions!$C$47)))</f>
        <v>0.02</v>
      </c>
      <c r="Q9" s="24" t="n">
        <v>0</v>
      </c>
      <c r="R9" s="28" t="n">
        <f aca="false">Q9*Assumptions!$C$51</f>
        <v>0</v>
      </c>
      <c r="S9" s="27" t="n">
        <v>0.03</v>
      </c>
      <c r="T9" s="27" t="n">
        <v>0</v>
      </c>
      <c r="U9" s="27" t="n">
        <v>0</v>
      </c>
      <c r="V9" s="27" t="n">
        <v>0.005</v>
      </c>
      <c r="W9" s="27" t="n">
        <v>0</v>
      </c>
      <c r="X9" s="28" t="n">
        <f aca="false">P9+R9+SUM(S9:W9)</f>
        <v>0.055</v>
      </c>
      <c r="Y9" s="24" t="n">
        <v>0</v>
      </c>
      <c r="Z9" s="29" t="n">
        <f aca="false">LN(H9)</f>
        <v>9.03919611577235</v>
      </c>
      <c r="AA9" s="17" t="n">
        <f aca="false">ROUND(SUMIF(Lines!$B:$B,B9,Lines!$I:$I),2)</f>
        <v>804598</v>
      </c>
      <c r="AB9" s="17" t="n">
        <f aca="false">ROUND(SUMIF(Lines!$B:$B,B9,Lines!$L:$L),2)</f>
        <v>686407.73</v>
      </c>
      <c r="AC9" s="17" t="n">
        <f aca="false">ROUND(SUMIF(Lines!$B:$B,B9,Lines!$T:$T),2)</f>
        <v>648655.3</v>
      </c>
      <c r="AD9" s="17" t="n">
        <f aca="false">ROUND(SUMIF(Lines!$B:$B,B9,Lines!$U:$U),2)</f>
        <v>456336</v>
      </c>
      <c r="AE9" s="17" t="n">
        <f aca="false">ROUND(SUMIF(Lines!$B:$B,B9,Lines!$V:$V),2)</f>
        <v>13728.15</v>
      </c>
      <c r="AF9" s="17" t="n">
        <f aca="false">ROUND(AC9-AD9-AE9,2)</f>
        <v>178591.15</v>
      </c>
      <c r="AG9" s="26" t="n">
        <f aca="false">RANK(AC9,$AC$6:$AC$185)</f>
        <v>24</v>
      </c>
      <c r="AJ9" s="26" t="n">
        <f aca="false">IF(AND(H9&gt;=0.85*Assumptions!$B$44,H9&lt;Assumptions!$B$44),Assumptions!$B$44,IF(AND(H9&gt;=0.85*Assumptions!$B$45,H9&lt;Assumptions!$B$45),Assumptions!$B$45,IF(AND(H9&gt;=0.85*Assumptions!$B$46,H9&lt;Assumptions!$B$46),Assumptions!$B$46,0)))</f>
        <v>0</v>
      </c>
      <c r="AK9" s="26" t="n">
        <f aca="false">IF(AJ9=0,0,AJ9-H9)</f>
        <v>0</v>
      </c>
      <c r="AL9" s="28" t="n">
        <f aca="false">IF(AJ9=Assumptions!$B$44,Assumptions!$C$44,IF(AJ9=Assumptions!$B$45,Assumptions!$C$45,IF(AJ9=Assumptions!$B$46,Assumptions!$C$46,0)))</f>
        <v>0</v>
      </c>
      <c r="AM9" s="17" t="n">
        <f aca="false">IF(AJ9=0,0,AB9*(AL9-P9))</f>
        <v>0</v>
      </c>
      <c r="AN9" s="17" t="n">
        <f aca="false">ROUND(AN14+AM9,2)</f>
        <v>85133.85</v>
      </c>
      <c r="AO9" s="17" t="n">
        <f aca="false">SUMIF(Lines!$B$6:$B$463,$B9,Lines!$M$6:$M$463)</f>
        <v>13728.15</v>
      </c>
      <c r="AP9" s="17" t="n">
        <f aca="false">(AB9/H9)*(MAX(0,MIN(H9,Assumptions!$B$46)-Assumptions!$B$47)*Assumptions!$C$47+MAX(0,MIN(H9,Assumptions!$B$45)-Assumptions!$B$46)*Assumptions!$C$46+MAX(0,MIN(H9,Assumptions!$B$44)-Assumptions!$B$45)*Assumptions!$C$45+MAX(0,H9-Assumptions!$B$44)*Assumptions!$C$44)</f>
        <v>8840.95111121396</v>
      </c>
      <c r="AQ9" s="17" t="n">
        <f aca="false">ROUND(SUMIF(Lines!$B:$B,B9,Lines!$N:$N),2)</f>
        <v>0</v>
      </c>
    </row>
    <row r="10" customFormat="false" ht="15" hidden="false" customHeight="false" outlineLevel="0" collapsed="false">
      <c r="B10" s="14" t="s">
        <v>152</v>
      </c>
      <c r="C10" s="14" t="s">
        <v>147</v>
      </c>
      <c r="D10" s="14" t="s">
        <v>148</v>
      </c>
      <c r="E10" s="24" t="n">
        <v>4179</v>
      </c>
      <c r="F10" s="24" t="n">
        <v>3592</v>
      </c>
      <c r="G10" s="24" t="n">
        <v>3193</v>
      </c>
      <c r="H10" s="26" t="n">
        <f aca="false">SUM(E10:G10)</f>
        <v>10964</v>
      </c>
      <c r="I10" s="24" t="n">
        <v>644</v>
      </c>
      <c r="J10" s="24" t="n">
        <v>17</v>
      </c>
      <c r="K10" s="27" t="n">
        <v>0.07</v>
      </c>
      <c r="L10" s="28" t="n">
        <f aca="false">MIN(Assumptions!$C$18,K10*Assumptions!$D$15)</f>
        <v>0.0434</v>
      </c>
      <c r="M10" s="28" t="n">
        <f aca="false">MIN(Assumptions!$C$18,K10*Assumptions!$D$16)</f>
        <v>0.091</v>
      </c>
      <c r="N10" s="28" t="n">
        <f aca="false">MIN(Assumptions!$C$18,K10*Assumptions!$D$17)</f>
        <v>0.0672</v>
      </c>
      <c r="O10" s="28" t="n">
        <f aca="false">IF(I10&gt;=Assumptions!$B$36,Assumptions!$C$36,IF(I10&gt;=Assumptions!$B$37,Assumptions!$C$37,IF(I10&gt;=Assumptions!$B$38,Assumptions!$C$38,Assumptions!$C$39)))</f>
        <v>0.06</v>
      </c>
      <c r="P10" s="28" t="n">
        <f aca="false">IF(H10&gt;=Assumptions!$B$44,Assumptions!$C$44,IF(H10&gt;=Assumptions!$B$45,Assumptions!$C$45,IF(H10&gt;=Assumptions!$B$46,Assumptions!$C$46,Assumptions!$C$47)))</f>
        <v>0.035</v>
      </c>
      <c r="Q10" s="24" t="n">
        <v>0</v>
      </c>
      <c r="R10" s="28" t="n">
        <f aca="false">Q10*Assumptions!$C$51</f>
        <v>0</v>
      </c>
      <c r="S10" s="27" t="n">
        <v>0.03</v>
      </c>
      <c r="T10" s="27" t="n">
        <v>0</v>
      </c>
      <c r="U10" s="27" t="n">
        <v>0</v>
      </c>
      <c r="V10" s="27" t="n">
        <v>0.005</v>
      </c>
      <c r="W10" s="27" t="n">
        <v>0</v>
      </c>
      <c r="X10" s="28" t="n">
        <f aca="false">P10+R10+SUM(S10:W10)</f>
        <v>0.07</v>
      </c>
      <c r="Y10" s="24" t="n">
        <v>0</v>
      </c>
      <c r="Z10" s="29" t="n">
        <f aca="false">LN(H10)</f>
        <v>9.30237245742268</v>
      </c>
      <c r="AA10" s="17" t="n">
        <f aca="false">ROUND(SUMIF(Lines!$B:$B,B10,Lines!$I:$I),2)</f>
        <v>1147724</v>
      </c>
      <c r="AB10" s="17" t="n">
        <f aca="false">ROUND(SUMIF(Lines!$B:$B,B10,Lines!$L:$L),2)</f>
        <v>1011153.27</v>
      </c>
      <c r="AC10" s="17" t="n">
        <f aca="false">ROUND(SUMIF(Lines!$B:$B,B10,Lines!$T:$T),2)</f>
        <v>940372.53</v>
      </c>
      <c r="AD10" s="17" t="n">
        <f aca="false">ROUND(SUMIF(Lines!$B:$B,B10,Lines!$U:$U),2)</f>
        <v>640468</v>
      </c>
      <c r="AE10" s="17" t="n">
        <f aca="false">ROUND(SUMIF(Lines!$B:$B,B10,Lines!$V:$V),2)</f>
        <v>20223.06</v>
      </c>
      <c r="AF10" s="17" t="n">
        <f aca="false">ROUND(AC10-AD10-AE10,2)</f>
        <v>279681.47</v>
      </c>
      <c r="AG10" s="26" t="n">
        <f aca="false">RANK(AC10,$AC$6:$AC$185)</f>
        <v>15</v>
      </c>
      <c r="AJ10" s="26" t="n">
        <f aca="false">IF(AND(H10&gt;=0.85*Assumptions!$B$44,H10&lt;Assumptions!$B$44),Assumptions!$B$44,IF(AND(H10&gt;=0.85*Assumptions!$B$45,H10&lt;Assumptions!$B$45),Assumptions!$B$45,IF(AND(H10&gt;=0.85*Assumptions!$B$46,H10&lt;Assumptions!$B$46),Assumptions!$B$46,0)))</f>
        <v>0</v>
      </c>
      <c r="AK10" s="26" t="n">
        <f aca="false">IF(AJ10=0,0,AJ10-H10)</f>
        <v>0</v>
      </c>
      <c r="AL10" s="28" t="n">
        <f aca="false">IF(AJ10=Assumptions!$B$44,Assumptions!$C$44,IF(AJ10=Assumptions!$B$45,Assumptions!$C$45,IF(AJ10=Assumptions!$B$46,Assumptions!$C$46,0)))</f>
        <v>0</v>
      </c>
      <c r="AM10" s="17" t="n">
        <f aca="false">IF(AJ10=0,0,AB10*(AL10-P10))</f>
        <v>0</v>
      </c>
      <c r="AN10" s="17" t="n">
        <f aca="false">ROUND(AN15+AM10,2)</f>
        <v>116053.77</v>
      </c>
      <c r="AO10" s="17" t="n">
        <f aca="false">SUMIF(Lines!$B$6:$B$463,$B10,Lines!$M$6:$M$463)</f>
        <v>35390.37</v>
      </c>
      <c r="AP10" s="17" t="n">
        <f aca="false">(AB10/H10)*(MAX(0,MIN(H10,Assumptions!$B$46)-Assumptions!$B$47)*Assumptions!$C$47+MAX(0,MIN(H10,Assumptions!$B$45)-Assumptions!$B$46)*Assumptions!$C$46+MAX(0,MIN(H10,Assumptions!$B$44)-Assumptions!$B$45)*Assumptions!$C$45+MAX(0,H10-Assumptions!$B$44)*Assumptions!$C$44)</f>
        <v>16023.1456703575</v>
      </c>
      <c r="AQ10" s="17" t="n">
        <f aca="false">ROUND(SUMIF(Lines!$B:$B,B10,Lines!$N:$N),2)</f>
        <v>0</v>
      </c>
    </row>
    <row r="11" customFormat="false" ht="15" hidden="false" customHeight="false" outlineLevel="0" collapsed="false">
      <c r="B11" s="14" t="s">
        <v>153</v>
      </c>
      <c r="C11" s="14" t="s">
        <v>147</v>
      </c>
      <c r="D11" s="14" t="s">
        <v>148</v>
      </c>
      <c r="E11" s="24" t="n">
        <v>10432</v>
      </c>
      <c r="F11" s="24" t="n">
        <v>8260</v>
      </c>
      <c r="G11" s="24" t="n">
        <v>6525</v>
      </c>
      <c r="H11" s="26" t="n">
        <f aca="false">SUM(E11:G11)</f>
        <v>25217</v>
      </c>
      <c r="I11" s="24" t="n">
        <v>1297</v>
      </c>
      <c r="J11" s="24" t="n">
        <v>19</v>
      </c>
      <c r="K11" s="27" t="n">
        <v>0.165</v>
      </c>
      <c r="L11" s="28" t="n">
        <f aca="false">MIN(Assumptions!$C$18,K11*Assumptions!$D$15)</f>
        <v>0.1023</v>
      </c>
      <c r="M11" s="28" t="n">
        <f aca="false">MIN(Assumptions!$C$18,K11*Assumptions!$D$16)</f>
        <v>0.2145</v>
      </c>
      <c r="N11" s="28" t="n">
        <f aca="false">MIN(Assumptions!$C$18,K11*Assumptions!$D$17)</f>
        <v>0.1584</v>
      </c>
      <c r="O11" s="28" t="n">
        <f aca="false">IF(I11&gt;=Assumptions!$B$36,Assumptions!$C$36,IF(I11&gt;=Assumptions!$B$37,Assumptions!$C$37,IF(I11&gt;=Assumptions!$B$38,Assumptions!$C$38,Assumptions!$C$39)))</f>
        <v>0.06</v>
      </c>
      <c r="P11" s="28" t="n">
        <f aca="false">IF(H11&gt;=Assumptions!$B$44,Assumptions!$C$44,IF(H11&gt;=Assumptions!$B$45,Assumptions!$C$45,IF(H11&gt;=Assumptions!$B$46,Assumptions!$C$46,Assumptions!$C$47)))</f>
        <v>0.05</v>
      </c>
      <c r="Q11" s="24" t="n">
        <v>0</v>
      </c>
      <c r="R11" s="28" t="n">
        <f aca="false">Q11*Assumptions!$C$51</f>
        <v>0</v>
      </c>
      <c r="S11" s="27" t="n">
        <v>0.03</v>
      </c>
      <c r="T11" s="27" t="n">
        <v>0</v>
      </c>
      <c r="U11" s="27" t="n">
        <v>0</v>
      </c>
      <c r="V11" s="27" t="n">
        <v>0.005</v>
      </c>
      <c r="W11" s="27" t="n">
        <v>0</v>
      </c>
      <c r="X11" s="28" t="n">
        <f aca="false">P11+R11+SUM(S11:W11)</f>
        <v>0.085</v>
      </c>
      <c r="Y11" s="24" t="n">
        <v>0</v>
      </c>
      <c r="Z11" s="29" t="n">
        <f aca="false">LN(H11)</f>
        <v>10.1352736492317</v>
      </c>
      <c r="AA11" s="17" t="n">
        <f aca="false">ROUND(SUMIF(Lines!$B:$B,B11,Lines!$I:$I),2)</f>
        <v>2682456</v>
      </c>
      <c r="AB11" s="17" t="n">
        <f aca="false">ROUND(SUMIF(Lines!$B:$B,B11,Lines!$L:$L),2)</f>
        <v>2154492.49</v>
      </c>
      <c r="AC11" s="17" t="n">
        <f aca="false">ROUND(SUMIF(Lines!$B:$B,B11,Lines!$T:$T),2)</f>
        <v>1971360.62</v>
      </c>
      <c r="AD11" s="17" t="n">
        <f aca="false">ROUND(SUMIF(Lines!$B:$B,B11,Lines!$U:$U),2)</f>
        <v>1489506</v>
      </c>
      <c r="AE11" s="17" t="n">
        <f aca="false">ROUND(SUMIF(Lines!$B:$B,B11,Lines!$V:$V),2)</f>
        <v>43089.84</v>
      </c>
      <c r="AF11" s="17" t="n">
        <f aca="false">ROUND(AC11-AD11-AE11,2)</f>
        <v>438764.78</v>
      </c>
      <c r="AG11" s="26" t="n">
        <f aca="false">RANK(AC11,$AC$6:$AC$185)</f>
        <v>3</v>
      </c>
      <c r="AJ11" s="26" t="n">
        <f aca="false">IF(AND(H11&gt;=0.85*Assumptions!$B$44,H11&lt;Assumptions!$B$44),Assumptions!$B$44,IF(AND(H11&gt;=0.85*Assumptions!$B$45,H11&lt;Assumptions!$B$45),Assumptions!$B$45,IF(AND(H11&gt;=0.85*Assumptions!$B$46,H11&lt;Assumptions!$B$46),Assumptions!$B$46,0)))</f>
        <v>0</v>
      </c>
      <c r="AK11" s="26" t="n">
        <f aca="false">IF(AJ11=0,0,AJ11-H11)</f>
        <v>0</v>
      </c>
      <c r="AL11" s="28" t="n">
        <f aca="false">IF(AJ11=Assumptions!$B$44,Assumptions!$C$44,IF(AJ11=Assumptions!$B$45,Assumptions!$C$45,IF(AJ11=Assumptions!$B$46,Assumptions!$C$46,0)))</f>
        <v>0</v>
      </c>
      <c r="AM11" s="17" t="n">
        <f aca="false">IF(AJ11=0,0,AB11*(AL11-P11))</f>
        <v>0</v>
      </c>
      <c r="AN11" s="17" t="n">
        <f aca="false">ROUND(AN16+AM11,2)</f>
        <v>116053.77</v>
      </c>
      <c r="AO11" s="17" t="n">
        <f aca="false">SUMIF(Lines!$B$6:$B$463,$B11,Lines!$M$6:$M$463)</f>
        <v>107724.62</v>
      </c>
      <c r="AP11" s="17" t="n">
        <f aca="false">(AB11/H11)*(MAX(0,MIN(H11,Assumptions!$B$46)-Assumptions!$B$47)*Assumptions!$C$47+MAX(0,MIN(H11,Assumptions!$B$45)-Assumptions!$B$46)*Assumptions!$C$46+MAX(0,MIN(H11,Assumptions!$B$44)-Assumptions!$B$45)*Assumptions!$C$45+MAX(0,H11-Assumptions!$B$44)*Assumptions!$C$44)</f>
        <v>57743.337802534</v>
      </c>
      <c r="AQ11" s="17" t="n">
        <f aca="false">ROUND(SUMIF(Lines!$B:$B,B11,Lines!$N:$N),2)</f>
        <v>0</v>
      </c>
    </row>
    <row r="12" customFormat="false" ht="15" hidden="false" customHeight="false" outlineLevel="0" collapsed="false">
      <c r="B12" s="14" t="s">
        <v>154</v>
      </c>
      <c r="C12" s="14" t="s">
        <v>147</v>
      </c>
      <c r="D12" s="14" t="s">
        <v>155</v>
      </c>
      <c r="E12" s="24" t="n">
        <v>6480</v>
      </c>
      <c r="F12" s="24" t="n">
        <v>8977</v>
      </c>
      <c r="G12" s="24" t="n">
        <v>7713</v>
      </c>
      <c r="H12" s="26" t="n">
        <f aca="false">SUM(E12:G12)</f>
        <v>23170</v>
      </c>
      <c r="I12" s="24" t="n">
        <v>1057</v>
      </c>
      <c r="J12" s="24" t="n">
        <v>22</v>
      </c>
      <c r="K12" s="27" t="n">
        <v>0.125</v>
      </c>
      <c r="L12" s="28" t="n">
        <f aca="false">MIN(Assumptions!$C$18,K12*Assumptions!$D$15)</f>
        <v>0.0775</v>
      </c>
      <c r="M12" s="28" t="n">
        <f aca="false">MIN(Assumptions!$C$18,K12*Assumptions!$D$16)</f>
        <v>0.1625</v>
      </c>
      <c r="N12" s="28" t="n">
        <f aca="false">MIN(Assumptions!$C$18,K12*Assumptions!$D$17)</f>
        <v>0.12</v>
      </c>
      <c r="O12" s="28" t="n">
        <f aca="false">IF(I12&gt;=Assumptions!$B$36,Assumptions!$C$36,IF(I12&gt;=Assumptions!$B$37,Assumptions!$C$37,IF(I12&gt;=Assumptions!$B$38,Assumptions!$C$38,Assumptions!$C$39)))</f>
        <v>0.06</v>
      </c>
      <c r="P12" s="28" t="n">
        <f aca="false">IF(H12&gt;=Assumptions!$B$44,Assumptions!$C$44,IF(H12&gt;=Assumptions!$B$45,Assumptions!$C$45,IF(H12&gt;=Assumptions!$B$46,Assumptions!$C$46,Assumptions!$C$47)))</f>
        <v>0.035</v>
      </c>
      <c r="Q12" s="24" t="n">
        <v>0</v>
      </c>
      <c r="R12" s="28" t="n">
        <f aca="false">Q12*Assumptions!$C$51</f>
        <v>0</v>
      </c>
      <c r="S12" s="27" t="n">
        <v>0.03</v>
      </c>
      <c r="T12" s="27" t="n">
        <v>0</v>
      </c>
      <c r="U12" s="27" t="n">
        <v>0</v>
      </c>
      <c r="V12" s="27" t="n">
        <v>0.005</v>
      </c>
      <c r="W12" s="27" t="n">
        <v>0</v>
      </c>
      <c r="X12" s="28" t="n">
        <f aca="false">P12+R12+SUM(S12:W12)</f>
        <v>0.07</v>
      </c>
      <c r="Y12" s="24" t="n">
        <v>0</v>
      </c>
      <c r="Z12" s="29" t="n">
        <f aca="false">LN(H12)</f>
        <v>10.0506136174264</v>
      </c>
      <c r="AA12" s="17" t="n">
        <f aca="false">ROUND(SUMIF(Lines!$B:$B,B12,Lines!$I:$I),2)</f>
        <v>2256062</v>
      </c>
      <c r="AB12" s="17" t="n">
        <f aca="false">ROUND(SUMIF(Lines!$B:$B,B12,Lines!$L:$L),2)</f>
        <v>1867075.64</v>
      </c>
      <c r="AC12" s="17" t="n">
        <f aca="false">ROUND(SUMIF(Lines!$B:$B,B12,Lines!$T:$T),2)</f>
        <v>1736380.34</v>
      </c>
      <c r="AD12" s="17" t="n">
        <f aca="false">ROUND(SUMIF(Lines!$B:$B,B12,Lines!$U:$U),2)</f>
        <v>1275966</v>
      </c>
      <c r="AE12" s="17" t="n">
        <f aca="false">ROUND(SUMIF(Lines!$B:$B,B12,Lines!$V:$V),2)</f>
        <v>37341.52</v>
      </c>
      <c r="AF12" s="17" t="n">
        <f aca="false">ROUND(AC12-AD12-AE12,2)</f>
        <v>423072.82</v>
      </c>
      <c r="AG12" s="26" t="n">
        <f aca="false">RANK(AC12,$AC$6:$AC$185)</f>
        <v>6</v>
      </c>
      <c r="AJ12" s="26" t="n">
        <f aca="false">IF(AND(H12&gt;=0.85*Assumptions!$B$44,H12&lt;Assumptions!$B$44),Assumptions!$B$44,IF(AND(H12&gt;=0.85*Assumptions!$B$45,H12&lt;Assumptions!$B$45),Assumptions!$B$45,IF(AND(H12&gt;=0.85*Assumptions!$B$46,H12&lt;Assumptions!$B$46),Assumptions!$B$46,0)))</f>
        <v>25000</v>
      </c>
      <c r="AK12" s="26" t="n">
        <f aca="false">IF(AJ12=0,0,AJ12-H12)</f>
        <v>1830</v>
      </c>
      <c r="AL12" s="28" t="n">
        <f aca="false">IF(AJ12=Assumptions!$B$44,Assumptions!$C$44,IF(AJ12=Assumptions!$B$45,Assumptions!$C$45,IF(AJ12=Assumptions!$B$46,Assumptions!$C$46,0)))</f>
        <v>0.05</v>
      </c>
      <c r="AM12" s="17" t="n">
        <f aca="false">IF(AJ12=0,0,AB12*(AL12-P12))</f>
        <v>28006.1346</v>
      </c>
      <c r="AN12" s="17" t="n">
        <f aca="false">ROUND(AN6+AM12,2)</f>
        <v>53741.87</v>
      </c>
      <c r="AO12" s="17" t="n">
        <f aca="false">SUMIF(Lines!$B$6:$B$463,$B12,Lines!$M$6:$M$463)</f>
        <v>65347.65</v>
      </c>
      <c r="AP12" s="17" t="n">
        <f aca="false">(AB12/H12)*(MAX(0,MIN(H12,Assumptions!$B$46)-Assumptions!$B$47)*Assumptions!$C$47+MAX(0,MIN(H12,Assumptions!$B$45)-Assumptions!$B$46)*Assumptions!$C$46+MAX(0,MIN(H12,Assumptions!$B$44)-Assumptions!$B$45)*Assumptions!$C$45+MAX(0,H12-Assumptions!$B$44)*Assumptions!$C$44)</f>
        <v>48425.5116900302</v>
      </c>
      <c r="AQ12" s="17" t="n">
        <f aca="false">ROUND(SUMIF(Lines!$B:$B,B12,Lines!$N:$N),2)</f>
        <v>0</v>
      </c>
    </row>
    <row r="13" customFormat="false" ht="15" hidden="false" customHeight="false" outlineLevel="0" collapsed="false">
      <c r="B13" s="14" t="s">
        <v>156</v>
      </c>
      <c r="C13" s="14" t="s">
        <v>147</v>
      </c>
      <c r="D13" s="14" t="s">
        <v>155</v>
      </c>
      <c r="E13" s="24" t="n">
        <v>9741</v>
      </c>
      <c r="F13" s="24" t="n">
        <v>8989</v>
      </c>
      <c r="G13" s="24" t="n">
        <v>8843</v>
      </c>
      <c r="H13" s="26" t="n">
        <f aca="false">SUM(E13:G13)</f>
        <v>27573</v>
      </c>
      <c r="I13" s="24" t="n">
        <v>1293</v>
      </c>
      <c r="J13" s="24" t="n">
        <v>21</v>
      </c>
      <c r="K13" s="27" t="n">
        <v>0.125</v>
      </c>
      <c r="L13" s="28" t="n">
        <f aca="false">MIN(Assumptions!$C$18,K13*Assumptions!$D$15)</f>
        <v>0.0775</v>
      </c>
      <c r="M13" s="28" t="n">
        <f aca="false">MIN(Assumptions!$C$18,K13*Assumptions!$D$16)</f>
        <v>0.1625</v>
      </c>
      <c r="N13" s="28" t="n">
        <f aca="false">MIN(Assumptions!$C$18,K13*Assumptions!$D$17)</f>
        <v>0.12</v>
      </c>
      <c r="O13" s="28" t="n">
        <f aca="false">IF(I13&gt;=Assumptions!$B$36,Assumptions!$C$36,IF(I13&gt;=Assumptions!$B$37,Assumptions!$C$37,IF(I13&gt;=Assumptions!$B$38,Assumptions!$C$38,Assumptions!$C$39)))</f>
        <v>0.06</v>
      </c>
      <c r="P13" s="28" t="n">
        <f aca="false">IF(H13&gt;=Assumptions!$B$44,Assumptions!$C$44,IF(H13&gt;=Assumptions!$B$45,Assumptions!$C$45,IF(H13&gt;=Assumptions!$B$46,Assumptions!$C$46,Assumptions!$C$47)))</f>
        <v>0.05</v>
      </c>
      <c r="Q13" s="24" t="n">
        <v>0</v>
      </c>
      <c r="R13" s="28" t="n">
        <f aca="false">Q13*Assumptions!$C$51</f>
        <v>0</v>
      </c>
      <c r="S13" s="27" t="n">
        <v>0.03</v>
      </c>
      <c r="T13" s="27" t="n">
        <v>0</v>
      </c>
      <c r="U13" s="27" t="n">
        <v>0</v>
      </c>
      <c r="V13" s="27" t="n">
        <v>0.005</v>
      </c>
      <c r="W13" s="27" t="n">
        <v>0</v>
      </c>
      <c r="X13" s="28" t="n">
        <f aca="false">P13+R13+SUM(S13:W13)</f>
        <v>0.085</v>
      </c>
      <c r="Y13" s="24" t="n">
        <v>0</v>
      </c>
      <c r="Z13" s="29" t="n">
        <f aca="false">LN(H13)</f>
        <v>10.2245923120262</v>
      </c>
      <c r="AA13" s="17" t="n">
        <f aca="false">ROUND(SUMIF(Lines!$B:$B,B13,Lines!$I:$I),2)</f>
        <v>2847914</v>
      </c>
      <c r="AB13" s="17" t="n">
        <f aca="false">ROUND(SUMIF(Lines!$B:$B,B13,Lines!$L:$L),2)</f>
        <v>2372874.35</v>
      </c>
      <c r="AC13" s="17" t="n">
        <f aca="false">ROUND(SUMIF(Lines!$B:$B,B13,Lines!$T:$T),2)</f>
        <v>2171180.04</v>
      </c>
      <c r="AD13" s="17" t="n">
        <f aca="false">ROUND(SUMIF(Lines!$B:$B,B13,Lines!$U:$U),2)</f>
        <v>1596296</v>
      </c>
      <c r="AE13" s="17" t="n">
        <f aca="false">ROUND(SUMIF(Lines!$B:$B,B13,Lines!$V:$V),2)</f>
        <v>47457.48</v>
      </c>
      <c r="AF13" s="17" t="n">
        <f aca="false">ROUND(AC13-AD13-AE13,2)</f>
        <v>527426.56</v>
      </c>
      <c r="AG13" s="26" t="n">
        <f aca="false">RANK(AC13,$AC$6:$AC$185)</f>
        <v>2</v>
      </c>
      <c r="AJ13" s="26" t="n">
        <f aca="false">IF(AND(H13&gt;=0.85*Assumptions!$B$44,H13&lt;Assumptions!$B$44),Assumptions!$B$44,IF(AND(H13&gt;=0.85*Assumptions!$B$45,H13&lt;Assumptions!$B$45),Assumptions!$B$45,IF(AND(H13&gt;=0.85*Assumptions!$B$46,H13&lt;Assumptions!$B$46),Assumptions!$B$46,0)))</f>
        <v>0</v>
      </c>
      <c r="AK13" s="26" t="n">
        <f aca="false">IF(AJ13=0,0,AJ13-H13)</f>
        <v>0</v>
      </c>
      <c r="AL13" s="28" t="n">
        <f aca="false">IF(AJ13=Assumptions!$B$44,Assumptions!$C$44,IF(AJ13=Assumptions!$B$45,Assumptions!$C$45,IF(AJ13=Assumptions!$B$46,Assumptions!$C$46,0)))</f>
        <v>0</v>
      </c>
      <c r="AM13" s="17" t="n">
        <f aca="false">IF(AJ13=0,0,AB13*(AL13-P13))</f>
        <v>0</v>
      </c>
      <c r="AN13" s="17" t="n">
        <f aca="false">ROUND(AN7+AM13,2)</f>
        <v>85133.85</v>
      </c>
      <c r="AO13" s="17" t="n">
        <f aca="false">SUMIF(Lines!$B$6:$B$463,$B13,Lines!$M$6:$M$463)</f>
        <v>118643.72</v>
      </c>
      <c r="AP13" s="17" t="n">
        <f aca="false">(AB13/H13)*(MAX(0,MIN(H13,Assumptions!$B$46)-Assumptions!$B$47)*Assumptions!$C$47+MAX(0,MIN(H13,Assumptions!$B$45)-Assumptions!$B$46)*Assumptions!$C$46+MAX(0,MIN(H13,Assumptions!$B$44)-Assumptions!$B$45)*Assumptions!$C$45+MAX(0,H13-Assumptions!$B$44)*Assumptions!$C$44)</f>
        <v>68299.8486881188</v>
      </c>
      <c r="AQ13" s="17" t="n">
        <f aca="false">ROUND(SUMIF(Lines!$B:$B,B13,Lines!$N:$N),2)</f>
        <v>0</v>
      </c>
    </row>
    <row r="14" customFormat="false" ht="15" hidden="false" customHeight="false" outlineLevel="0" collapsed="false">
      <c r="B14" s="14" t="s">
        <v>157</v>
      </c>
      <c r="C14" s="14" t="s">
        <v>147</v>
      </c>
      <c r="D14" s="14" t="s">
        <v>155</v>
      </c>
      <c r="E14" s="24" t="n">
        <v>6135</v>
      </c>
      <c r="F14" s="24" t="n">
        <v>8000</v>
      </c>
      <c r="G14" s="24" t="n">
        <v>6919</v>
      </c>
      <c r="H14" s="26" t="n">
        <f aca="false">SUM(E14:G14)</f>
        <v>21054</v>
      </c>
      <c r="I14" s="24" t="n">
        <v>822</v>
      </c>
      <c r="J14" s="24" t="n">
        <v>26</v>
      </c>
      <c r="K14" s="27" t="n">
        <v>0.135</v>
      </c>
      <c r="L14" s="28" t="n">
        <f aca="false">MIN(Assumptions!$C$18,K14*Assumptions!$D$15)</f>
        <v>0.0837</v>
      </c>
      <c r="M14" s="28" t="n">
        <f aca="false">MIN(Assumptions!$C$18,K14*Assumptions!$D$16)</f>
        <v>0.1755</v>
      </c>
      <c r="N14" s="28" t="n">
        <f aca="false">MIN(Assumptions!$C$18,K14*Assumptions!$D$17)</f>
        <v>0.1296</v>
      </c>
      <c r="O14" s="28" t="n">
        <f aca="false">IF(I14&gt;=Assumptions!$B$36,Assumptions!$C$36,IF(I14&gt;=Assumptions!$B$37,Assumptions!$C$37,IF(I14&gt;=Assumptions!$B$38,Assumptions!$C$38,Assumptions!$C$39)))</f>
        <v>0.06</v>
      </c>
      <c r="P14" s="28" t="n">
        <f aca="false">IF(H14&gt;=Assumptions!$B$44,Assumptions!$C$44,IF(H14&gt;=Assumptions!$B$45,Assumptions!$C$45,IF(H14&gt;=Assumptions!$B$46,Assumptions!$C$46,Assumptions!$C$47)))</f>
        <v>0.035</v>
      </c>
      <c r="Q14" s="24" t="n">
        <v>0</v>
      </c>
      <c r="R14" s="28" t="n">
        <f aca="false">Q14*Assumptions!$C$51</f>
        <v>0</v>
      </c>
      <c r="S14" s="27" t="n">
        <v>0.03</v>
      </c>
      <c r="T14" s="27" t="n">
        <v>0</v>
      </c>
      <c r="U14" s="27" t="n">
        <v>0</v>
      </c>
      <c r="V14" s="27" t="n">
        <v>0.005</v>
      </c>
      <c r="W14" s="27" t="n">
        <v>0</v>
      </c>
      <c r="X14" s="28" t="n">
        <f aca="false">P14+R14+SUM(S14:W14)</f>
        <v>0.07</v>
      </c>
      <c r="Y14" s="24" t="n">
        <v>0</v>
      </c>
      <c r="Z14" s="29" t="n">
        <f aca="false">LN(H14)</f>
        <v>9.95484584481127</v>
      </c>
      <c r="AA14" s="17" t="n">
        <f aca="false">ROUND(SUMIF(Lines!$B:$B,B14,Lines!$I:$I),2)</f>
        <v>2068204</v>
      </c>
      <c r="AB14" s="17" t="n">
        <f aca="false">ROUND(SUMIF(Lines!$B:$B,B14,Lines!$L:$L),2)</f>
        <v>1694982.4</v>
      </c>
      <c r="AC14" s="17" t="n">
        <f aca="false">ROUND(SUMIF(Lines!$B:$B,B14,Lines!$T:$T),2)</f>
        <v>1576333.63</v>
      </c>
      <c r="AD14" s="17" t="n">
        <f aca="false">ROUND(SUMIF(Lines!$B:$B,B14,Lines!$U:$U),2)</f>
        <v>1167832</v>
      </c>
      <c r="AE14" s="17" t="n">
        <f aca="false">ROUND(SUMIF(Lines!$B:$B,B14,Lines!$V:$V),2)</f>
        <v>33899.65</v>
      </c>
      <c r="AF14" s="17" t="n">
        <f aca="false">ROUND(AC14-AD14-AE14,2)</f>
        <v>374601.98</v>
      </c>
      <c r="AG14" s="26" t="n">
        <f aca="false">RANK(AC14,$AC$6:$AC$185)</f>
        <v>8</v>
      </c>
      <c r="AJ14" s="26" t="n">
        <f aca="false">IF(AND(H14&gt;=0.85*Assumptions!$B$44,H14&lt;Assumptions!$B$44),Assumptions!$B$44,IF(AND(H14&gt;=0.85*Assumptions!$B$45,H14&lt;Assumptions!$B$45),Assumptions!$B$45,IF(AND(H14&gt;=0.85*Assumptions!$B$46,H14&lt;Assumptions!$B$46),Assumptions!$B$46,0)))</f>
        <v>0</v>
      </c>
      <c r="AK14" s="26" t="n">
        <f aca="false">IF(AJ14=0,0,AJ14-H14)</f>
        <v>0</v>
      </c>
      <c r="AL14" s="28" t="n">
        <f aca="false">IF(AJ14=Assumptions!$B$44,Assumptions!$C$44,IF(AJ14=Assumptions!$B$45,Assumptions!$C$45,IF(AJ14=Assumptions!$B$46,Assumptions!$C$46,0)))</f>
        <v>0</v>
      </c>
      <c r="AM14" s="17" t="n">
        <f aca="false">IF(AJ14=0,0,AB14*(AL14-P14))</f>
        <v>0</v>
      </c>
      <c r="AN14" s="17" t="n">
        <f aca="false">ROUND(AN8+AM14,2)</f>
        <v>85133.85</v>
      </c>
      <c r="AO14" s="17" t="n">
        <f aca="false">SUMIF(Lines!$B$6:$B$463,$B14,Lines!$M$6:$M$463)</f>
        <v>59324.38</v>
      </c>
      <c r="AP14" s="17" t="n">
        <f aca="false">(AB14/H14)*(MAX(0,MIN(H14,Assumptions!$B$46)-Assumptions!$B$47)*Assumptions!$C$47+MAX(0,MIN(H14,Assumptions!$B$45)-Assumptions!$B$46)*Assumptions!$C$46+MAX(0,MIN(H14,Assumptions!$B$44)-Assumptions!$B$45)*Assumptions!$C$45+MAX(0,H14-Assumptions!$B$44)*Assumptions!$C$44)</f>
        <v>42418.0334727843</v>
      </c>
      <c r="AQ14" s="17" t="n">
        <f aca="false">ROUND(SUMIF(Lines!$B:$B,B14,Lines!$N:$N),2)</f>
        <v>0</v>
      </c>
    </row>
    <row r="15" customFormat="false" ht="15" hidden="false" customHeight="false" outlineLevel="0" collapsed="false">
      <c r="B15" s="14" t="s">
        <v>158</v>
      </c>
      <c r="C15" s="14" t="s">
        <v>147</v>
      </c>
      <c r="D15" s="14" t="s">
        <v>155</v>
      </c>
      <c r="E15" s="24" t="n">
        <v>10575</v>
      </c>
      <c r="F15" s="24" t="n">
        <v>10900</v>
      </c>
      <c r="G15" s="24" t="n">
        <v>3179</v>
      </c>
      <c r="H15" s="26" t="n">
        <f aca="false">SUM(E15:G15)</f>
        <v>24654</v>
      </c>
      <c r="I15" s="24" t="n">
        <v>983</v>
      </c>
      <c r="J15" s="24" t="n">
        <v>25</v>
      </c>
      <c r="K15" s="27" t="n">
        <v>0.155</v>
      </c>
      <c r="L15" s="28" t="n">
        <f aca="false">MIN(Assumptions!$C$18,K15*Assumptions!$D$15)</f>
        <v>0.0961</v>
      </c>
      <c r="M15" s="28" t="n">
        <f aca="false">MIN(Assumptions!$C$18,K15*Assumptions!$D$16)</f>
        <v>0.2015</v>
      </c>
      <c r="N15" s="28" t="n">
        <f aca="false">MIN(Assumptions!$C$18,K15*Assumptions!$D$17)</f>
        <v>0.1488</v>
      </c>
      <c r="O15" s="28" t="n">
        <f aca="false">IF(I15&gt;=Assumptions!$B$36,Assumptions!$C$36,IF(I15&gt;=Assumptions!$B$37,Assumptions!$C$37,IF(I15&gt;=Assumptions!$B$38,Assumptions!$C$38,Assumptions!$C$39)))</f>
        <v>0.06</v>
      </c>
      <c r="P15" s="28" t="n">
        <f aca="false">IF(H15&gt;=Assumptions!$B$44,Assumptions!$C$44,IF(H15&gt;=Assumptions!$B$45,Assumptions!$C$45,IF(H15&gt;=Assumptions!$B$46,Assumptions!$C$46,Assumptions!$C$47)))</f>
        <v>0.035</v>
      </c>
      <c r="Q15" s="24" t="n">
        <v>0</v>
      </c>
      <c r="R15" s="28" t="n">
        <f aca="false">Q15*Assumptions!$C$51</f>
        <v>0</v>
      </c>
      <c r="S15" s="27" t="n">
        <v>0.03</v>
      </c>
      <c r="T15" s="27" t="n">
        <v>0</v>
      </c>
      <c r="U15" s="27" t="n">
        <v>0</v>
      </c>
      <c r="V15" s="27" t="n">
        <v>0.005</v>
      </c>
      <c r="W15" s="27" t="n">
        <v>0</v>
      </c>
      <c r="X15" s="28" t="n">
        <f aca="false">P15+R15+SUM(S15:W15)</f>
        <v>0.07</v>
      </c>
      <c r="Y15" s="24" t="n">
        <v>0</v>
      </c>
      <c r="Z15" s="29" t="n">
        <f aca="false">LN(H15)</f>
        <v>10.1126944381115</v>
      </c>
      <c r="AA15" s="17" t="n">
        <f aca="false">ROUND(SUMIF(Lines!$B:$B,B15,Lines!$I:$I),2)</f>
        <v>2546084</v>
      </c>
      <c r="AB15" s="17" t="n">
        <f aca="false">ROUND(SUMIF(Lines!$B:$B,B15,Lines!$L:$L),2)</f>
        <v>2061327.77</v>
      </c>
      <c r="AC15" s="17" t="n">
        <f aca="false">ROUND(SUMIF(Lines!$B:$B,B15,Lines!$T:$T),2)</f>
        <v>1917034.81</v>
      </c>
      <c r="AD15" s="17" t="n">
        <f aca="false">ROUND(SUMIF(Lines!$B:$B,B15,Lines!$U:$U),2)</f>
        <v>1401632</v>
      </c>
      <c r="AE15" s="17" t="n">
        <f aca="false">ROUND(SUMIF(Lines!$B:$B,B15,Lines!$V:$V),2)</f>
        <v>41226.56</v>
      </c>
      <c r="AF15" s="17" t="n">
        <f aca="false">ROUND(AC15-AD15-AE15,2)</f>
        <v>474176.25</v>
      </c>
      <c r="AG15" s="26" t="n">
        <f aca="false">RANK(AC15,$AC$6:$AC$185)</f>
        <v>5</v>
      </c>
      <c r="AJ15" s="26" t="n">
        <f aca="false">IF(AND(H15&gt;=0.85*Assumptions!$B$44,H15&lt;Assumptions!$B$44),Assumptions!$B$44,IF(AND(H15&gt;=0.85*Assumptions!$B$45,H15&lt;Assumptions!$B$45),Assumptions!$B$45,IF(AND(H15&gt;=0.85*Assumptions!$B$46,H15&lt;Assumptions!$B$46),Assumptions!$B$46,0)))</f>
        <v>25000</v>
      </c>
      <c r="AK15" s="26" t="n">
        <f aca="false">IF(AJ15=0,0,AJ15-H15)</f>
        <v>346</v>
      </c>
      <c r="AL15" s="28" t="n">
        <f aca="false">IF(AJ15=Assumptions!$B$44,Assumptions!$C$44,IF(AJ15=Assumptions!$B$45,Assumptions!$C$45,IF(AJ15=Assumptions!$B$46,Assumptions!$C$46,0)))</f>
        <v>0.05</v>
      </c>
      <c r="AM15" s="17" t="n">
        <f aca="false">IF(AJ15=0,0,AB15*(AL15-P15))</f>
        <v>30919.91655</v>
      </c>
      <c r="AN15" s="17" t="n">
        <f aca="false">ROUND(AN9+AM15,2)</f>
        <v>116053.77</v>
      </c>
      <c r="AO15" s="17" t="n">
        <f aca="false">SUMIF(Lines!$B$6:$B$463,$B15,Lines!$M$6:$M$463)</f>
        <v>72146.48</v>
      </c>
      <c r="AP15" s="17" t="n">
        <f aca="false">(AB15/H15)*(MAX(0,MIN(H15,Assumptions!$B$46)-Assumptions!$B$47)*Assumptions!$C$47+MAX(0,MIN(H15,Assumptions!$B$45)-Assumptions!$B$46)*Assumptions!$C$46+MAX(0,MIN(H15,Assumptions!$B$44)-Assumptions!$B$45)*Assumptions!$C$45+MAX(0,H15-Assumptions!$B$44)*Assumptions!$C$44)</f>
        <v>54588.313772828</v>
      </c>
      <c r="AQ15" s="17" t="n">
        <f aca="false">ROUND(SUMIF(Lines!$B:$B,B15,Lines!$N:$N),2)</f>
        <v>0</v>
      </c>
    </row>
    <row r="16" customFormat="false" ht="15" hidden="false" customHeight="false" outlineLevel="0" collapsed="false">
      <c r="B16" s="14" t="s">
        <v>159</v>
      </c>
      <c r="C16" s="14" t="s">
        <v>147</v>
      </c>
      <c r="D16" s="14" t="s">
        <v>155</v>
      </c>
      <c r="E16" s="24" t="n">
        <v>6452</v>
      </c>
      <c r="F16" s="24" t="n">
        <v>7211</v>
      </c>
      <c r="G16" s="24" t="n">
        <v>6602</v>
      </c>
      <c r="H16" s="26" t="n">
        <f aca="false">SUM(E16:G16)</f>
        <v>20265</v>
      </c>
      <c r="I16" s="24" t="n">
        <v>721</v>
      </c>
      <c r="J16" s="24" t="n">
        <v>28</v>
      </c>
      <c r="K16" s="27" t="n">
        <v>0.14</v>
      </c>
      <c r="L16" s="28" t="n">
        <f aca="false">MIN(Assumptions!$C$18,K16*Assumptions!$D$15)</f>
        <v>0.0868</v>
      </c>
      <c r="M16" s="28" t="n">
        <f aca="false">MIN(Assumptions!$C$18,K16*Assumptions!$D$16)</f>
        <v>0.182</v>
      </c>
      <c r="N16" s="28" t="n">
        <f aca="false">MIN(Assumptions!$C$18,K16*Assumptions!$D$17)</f>
        <v>0.1344</v>
      </c>
      <c r="O16" s="28" t="n">
        <f aca="false">IF(I16&gt;=Assumptions!$B$36,Assumptions!$C$36,IF(I16&gt;=Assumptions!$B$37,Assumptions!$C$37,IF(I16&gt;=Assumptions!$B$38,Assumptions!$C$38,Assumptions!$C$39)))</f>
        <v>0.06</v>
      </c>
      <c r="P16" s="28" t="n">
        <f aca="false">IF(H16&gt;=Assumptions!$B$44,Assumptions!$C$44,IF(H16&gt;=Assumptions!$B$45,Assumptions!$C$45,IF(H16&gt;=Assumptions!$B$46,Assumptions!$C$46,Assumptions!$C$47)))</f>
        <v>0.035</v>
      </c>
      <c r="Q16" s="24" t="n">
        <v>0</v>
      </c>
      <c r="R16" s="28" t="n">
        <f aca="false">Q16*Assumptions!$C$51</f>
        <v>0</v>
      </c>
      <c r="S16" s="27" t="n">
        <v>0.03</v>
      </c>
      <c r="T16" s="27" t="n">
        <v>0</v>
      </c>
      <c r="U16" s="27" t="n">
        <v>0</v>
      </c>
      <c r="V16" s="27" t="n">
        <v>0.005</v>
      </c>
      <c r="W16" s="27" t="n">
        <v>0</v>
      </c>
      <c r="X16" s="28" t="n">
        <f aca="false">P16+R16+SUM(S16:W16)</f>
        <v>0.07</v>
      </c>
      <c r="Y16" s="24" t="n">
        <v>0</v>
      </c>
      <c r="Z16" s="29" t="n">
        <f aca="false">LN(H16)</f>
        <v>9.91665053906241</v>
      </c>
      <c r="AA16" s="17" t="n">
        <f aca="false">ROUND(SUMIF(Lines!$B:$B,B16,Lines!$I:$I),2)</f>
        <v>2035770</v>
      </c>
      <c r="AB16" s="17" t="n">
        <f aca="false">ROUND(SUMIF(Lines!$B:$B,B16,Lines!$L:$L),2)</f>
        <v>1664188.27</v>
      </c>
      <c r="AC16" s="17" t="n">
        <f aca="false">ROUND(SUMIF(Lines!$B:$B,B16,Lines!$T:$T),2)</f>
        <v>1547695.09</v>
      </c>
      <c r="AD16" s="17" t="n">
        <f aca="false">ROUND(SUMIF(Lines!$B:$B,B16,Lines!$U:$U),2)</f>
        <v>1145768</v>
      </c>
      <c r="AE16" s="17" t="n">
        <f aca="false">ROUND(SUMIF(Lines!$B:$B,B16,Lines!$V:$V),2)</f>
        <v>33283.77</v>
      </c>
      <c r="AF16" s="17" t="n">
        <f aca="false">ROUND(AC16-AD16-AE16,2)</f>
        <v>368643.32</v>
      </c>
      <c r="AG16" s="26" t="n">
        <f aca="false">RANK(AC16,$AC$6:$AC$185)</f>
        <v>9</v>
      </c>
      <c r="AJ16" s="26" t="n">
        <f aca="false">IF(AND(H16&gt;=0.85*Assumptions!$B$44,H16&lt;Assumptions!$B$44),Assumptions!$B$44,IF(AND(H16&gt;=0.85*Assumptions!$B$45,H16&lt;Assumptions!$B$45),Assumptions!$B$45,IF(AND(H16&gt;=0.85*Assumptions!$B$46,H16&lt;Assumptions!$B$46),Assumptions!$B$46,0)))</f>
        <v>0</v>
      </c>
      <c r="AK16" s="26" t="n">
        <f aca="false">IF(AJ16=0,0,AJ16-H16)</f>
        <v>0</v>
      </c>
      <c r="AL16" s="28" t="n">
        <f aca="false">IF(AJ16=Assumptions!$B$44,Assumptions!$C$44,IF(AJ16=Assumptions!$B$45,Assumptions!$C$45,IF(AJ16=Assumptions!$B$46,Assumptions!$C$46,0)))</f>
        <v>0</v>
      </c>
      <c r="AM16" s="17" t="n">
        <f aca="false">IF(AJ16=0,0,AB16*(AL16-P16))</f>
        <v>0</v>
      </c>
      <c r="AN16" s="17" t="n">
        <f aca="false">ROUND(AN10+AM16,2)</f>
        <v>116053.77</v>
      </c>
      <c r="AO16" s="17" t="n">
        <f aca="false">SUMIF(Lines!$B$6:$B$463,$B16,Lines!$M$6:$M$463)</f>
        <v>58246.59</v>
      </c>
      <c r="AP16" s="17" t="n">
        <f aca="false">(AB16/H16)*(MAX(0,MIN(H16,Assumptions!$B$46)-Assumptions!$B$47)*Assumptions!$C$47+MAX(0,MIN(H16,Assumptions!$B$45)-Assumptions!$B$46)*Assumptions!$C$46+MAX(0,MIN(H16,Assumptions!$B$44)-Assumptions!$B$45)*Assumptions!$C$45+MAX(0,H16-Assumptions!$B$44)*Assumptions!$C$44)</f>
        <v>41001.1151494819</v>
      </c>
      <c r="AQ16" s="17" t="n">
        <f aca="false">ROUND(SUMIF(Lines!$B:$B,B16,Lines!$N:$N),2)</f>
        <v>0</v>
      </c>
    </row>
    <row r="17" customFormat="false" ht="15" hidden="false" customHeight="false" outlineLevel="0" collapsed="false">
      <c r="B17" s="14" t="s">
        <v>160</v>
      </c>
      <c r="C17" s="14" t="s">
        <v>147</v>
      </c>
      <c r="D17" s="14" t="s">
        <v>155</v>
      </c>
      <c r="E17" s="24" t="n">
        <v>4765</v>
      </c>
      <c r="F17" s="24" t="n">
        <v>3875</v>
      </c>
      <c r="G17" s="24" t="n">
        <v>4431</v>
      </c>
      <c r="H17" s="26" t="n">
        <f aca="false">SUM(E17:G17)</f>
        <v>13071</v>
      </c>
      <c r="I17" s="24" t="n">
        <v>764</v>
      </c>
      <c r="J17" s="24" t="n">
        <v>17</v>
      </c>
      <c r="K17" s="27" t="n">
        <v>0.195</v>
      </c>
      <c r="L17" s="28" t="n">
        <f aca="false">MIN(Assumptions!$C$18,K17*Assumptions!$D$15)</f>
        <v>0.1209</v>
      </c>
      <c r="M17" s="28" t="n">
        <f aca="false">MIN(Assumptions!$C$18,K17*Assumptions!$D$16)</f>
        <v>0.24</v>
      </c>
      <c r="N17" s="28" t="n">
        <f aca="false">MIN(Assumptions!$C$18,K17*Assumptions!$D$17)</f>
        <v>0.1872</v>
      </c>
      <c r="O17" s="28" t="n">
        <f aca="false">IF(I17&gt;=Assumptions!$B$36,Assumptions!$C$36,IF(I17&gt;=Assumptions!$B$37,Assumptions!$C$37,IF(I17&gt;=Assumptions!$B$38,Assumptions!$C$38,Assumptions!$C$39)))</f>
        <v>0.06</v>
      </c>
      <c r="P17" s="28" t="n">
        <f aca="false">IF(H17&gt;=Assumptions!$B$44,Assumptions!$C$44,IF(H17&gt;=Assumptions!$B$45,Assumptions!$C$45,IF(H17&gt;=Assumptions!$B$46,Assumptions!$C$46,Assumptions!$C$47)))</f>
        <v>0.035</v>
      </c>
      <c r="Q17" s="24" t="n">
        <v>0</v>
      </c>
      <c r="R17" s="28" t="n">
        <f aca="false">Q17*Assumptions!$C$51</f>
        <v>0</v>
      </c>
      <c r="S17" s="27" t="n">
        <v>0.03</v>
      </c>
      <c r="T17" s="27" t="n">
        <v>0</v>
      </c>
      <c r="U17" s="27" t="n">
        <v>0</v>
      </c>
      <c r="V17" s="27" t="n">
        <v>0.005</v>
      </c>
      <c r="W17" s="27" t="n">
        <v>0</v>
      </c>
      <c r="X17" s="28" t="n">
        <f aca="false">P17+R17+SUM(S17:W17)</f>
        <v>0.07</v>
      </c>
      <c r="Y17" s="24" t="n">
        <v>0</v>
      </c>
      <c r="Z17" s="29" t="n">
        <f aca="false">LN(H17)</f>
        <v>9.47815131478555</v>
      </c>
      <c r="AA17" s="17" t="n">
        <f aca="false">ROUND(SUMIF(Lines!$B:$B,B17,Lines!$I:$I),2)</f>
        <v>1370846</v>
      </c>
      <c r="AB17" s="17" t="n">
        <f aca="false">ROUND(SUMIF(Lines!$B:$B,B17,Lines!$L:$L),2)</f>
        <v>1066043.75</v>
      </c>
      <c r="AC17" s="17" t="n">
        <f aca="false">ROUND(SUMIF(Lines!$B:$B,B17,Lines!$T:$T),2)</f>
        <v>991420.67</v>
      </c>
      <c r="AD17" s="17" t="n">
        <f aca="false">ROUND(SUMIF(Lines!$B:$B,B17,Lines!$U:$U),2)</f>
        <v>768168</v>
      </c>
      <c r="AE17" s="17" t="n">
        <f aca="false">ROUND(SUMIF(Lines!$B:$B,B17,Lines!$V:$V),2)</f>
        <v>21320.87</v>
      </c>
      <c r="AF17" s="17" t="n">
        <f aca="false">ROUND(AC17-AD17-AE17,2)</f>
        <v>201931.8</v>
      </c>
      <c r="AG17" s="26" t="n">
        <f aca="false">RANK(AC17,$AC$6:$AC$185)</f>
        <v>13</v>
      </c>
      <c r="AJ17" s="26" t="n">
        <f aca="false">IF(AND(H17&gt;=0.85*Assumptions!$B$44,H17&lt;Assumptions!$B$44),Assumptions!$B$44,IF(AND(H17&gt;=0.85*Assumptions!$B$45,H17&lt;Assumptions!$B$45),Assumptions!$B$45,IF(AND(H17&gt;=0.85*Assumptions!$B$46,H17&lt;Assumptions!$B$46),Assumptions!$B$46,0)))</f>
        <v>0</v>
      </c>
      <c r="AK17" s="26" t="n">
        <f aca="false">IF(AJ17=0,0,AJ17-H17)</f>
        <v>0</v>
      </c>
      <c r="AL17" s="28" t="n">
        <f aca="false">IF(AJ17=Assumptions!$B$44,Assumptions!$C$44,IF(AJ17=Assumptions!$B$45,Assumptions!$C$45,IF(AJ17=Assumptions!$B$46,Assumptions!$C$46,0)))</f>
        <v>0</v>
      </c>
      <c r="AM17" s="17" t="n">
        <f aca="false">IF(AJ17=0,0,AB17*(AL17-P17))</f>
        <v>0</v>
      </c>
      <c r="AN17" s="17" t="n">
        <f aca="false">ROUND(AN11+AM17,2)</f>
        <v>116053.77</v>
      </c>
      <c r="AO17" s="17" t="n">
        <f aca="false">SUMIF(Lines!$B$6:$B$463,$B17,Lines!$M$6:$M$463)</f>
        <v>37311.54</v>
      </c>
      <c r="AP17" s="17" t="n">
        <f aca="false">(AB17/H17)*(MAX(0,MIN(H17,Assumptions!$B$46)-Assumptions!$B$47)*Assumptions!$C$47+MAX(0,MIN(H17,Assumptions!$B$45)-Assumptions!$B$46)*Assumptions!$C$46+MAX(0,MIN(H17,Assumptions!$B$44)-Assumptions!$B$45)*Assumptions!$C$45+MAX(0,H17-Assumptions!$B$44)*Assumptions!$C$44)</f>
        <v>20184.3651953753</v>
      </c>
      <c r="AQ17" s="17" t="n">
        <f aca="false">ROUND(SUMIF(Lines!$B:$B,B17,Lines!$N:$N),2)</f>
        <v>0</v>
      </c>
    </row>
    <row r="18" customFormat="false" ht="15" hidden="false" customHeight="false" outlineLevel="0" collapsed="false">
      <c r="B18" s="14" t="s">
        <v>161</v>
      </c>
      <c r="C18" s="14" t="s">
        <v>162</v>
      </c>
      <c r="D18" s="14" t="s">
        <v>163</v>
      </c>
      <c r="E18" s="24" t="n">
        <v>134</v>
      </c>
      <c r="F18" s="24" t="n">
        <v>1201</v>
      </c>
      <c r="G18" s="24" t="n">
        <v>360</v>
      </c>
      <c r="H18" s="26" t="n">
        <f aca="false">SUM(E18:G18)</f>
        <v>1695</v>
      </c>
      <c r="I18" s="24" t="n">
        <v>243</v>
      </c>
      <c r="J18" s="24" t="n">
        <v>7</v>
      </c>
      <c r="K18" s="27" t="n">
        <v>0.105</v>
      </c>
      <c r="L18" s="28" t="n">
        <f aca="false">MIN(Assumptions!$C$18,K18*Assumptions!$D$15)</f>
        <v>0.0651</v>
      </c>
      <c r="M18" s="28" t="n">
        <f aca="false">MIN(Assumptions!$C$18,K18*Assumptions!$D$16)</f>
        <v>0.1365</v>
      </c>
      <c r="N18" s="28" t="n">
        <f aca="false">MIN(Assumptions!$C$18,K18*Assumptions!$D$17)</f>
        <v>0.1008</v>
      </c>
      <c r="O18" s="28" t="n">
        <f aca="false">IF(I18&gt;=Assumptions!$B$36,Assumptions!$C$36,IF(I18&gt;=Assumptions!$B$37,Assumptions!$C$37,IF(I18&gt;=Assumptions!$B$38,Assumptions!$C$38,Assumptions!$C$39)))</f>
        <v>0.04</v>
      </c>
      <c r="P18" s="28" t="n">
        <f aca="false">IF(H18&gt;=Assumptions!$B$44,Assumptions!$C$44,IF(H18&gt;=Assumptions!$B$45,Assumptions!$C$45,IF(H18&gt;=Assumptions!$B$46,Assumptions!$C$46,Assumptions!$C$47)))</f>
        <v>0</v>
      </c>
      <c r="Q18" s="24" t="n">
        <v>1</v>
      </c>
      <c r="R18" s="28" t="n">
        <f aca="false">Q18*Assumptions!$C$51</f>
        <v>0.02</v>
      </c>
      <c r="S18" s="27" t="n">
        <v>0.015</v>
      </c>
      <c r="T18" s="27" t="n">
        <v>0.025</v>
      </c>
      <c r="U18" s="27" t="n">
        <v>0.015</v>
      </c>
      <c r="V18" s="27" t="n">
        <v>0.008</v>
      </c>
      <c r="W18" s="27" t="n">
        <v>0.01</v>
      </c>
      <c r="X18" s="28" t="n">
        <f aca="false">P18+R18+SUM(S18:W18)</f>
        <v>0.093</v>
      </c>
      <c r="Y18" s="24" t="n">
        <v>0</v>
      </c>
      <c r="Z18" s="29" t="n">
        <f aca="false">LN(H18)</f>
        <v>7.43543801981455</v>
      </c>
      <c r="AA18" s="17" t="n">
        <f aca="false">ROUND(SUMIF(Lines!$B:$B,B18,Lines!$I:$I),2)</f>
        <v>128854</v>
      </c>
      <c r="AB18" s="17" t="n">
        <f aca="false">ROUND(SUMIF(Lines!$B:$B,B18,Lines!$L:$L),2)</f>
        <v>108761.07</v>
      </c>
      <c r="AC18" s="17" t="n">
        <f aca="false">ROUND(SUMIF(Lines!$B:$B,B18,Lines!$T:$T),2)</f>
        <v>98646.3</v>
      </c>
      <c r="AD18" s="17" t="n">
        <f aca="false">ROUND(SUMIF(Lines!$B:$B,B18,Lines!$U:$U),2)</f>
        <v>74568</v>
      </c>
      <c r="AE18" s="17" t="n">
        <f aca="false">ROUND(SUMIF(Lines!$B:$B,B18,Lines!$V:$V),2)</f>
        <v>2175.22</v>
      </c>
      <c r="AF18" s="17" t="n">
        <f aca="false">ROUND(AC18-AD18-AE18,2)</f>
        <v>21903.08</v>
      </c>
      <c r="AG18" s="26" t="n">
        <f aca="false">RANK(AC18,$AC$6:$AC$185)</f>
        <v>112</v>
      </c>
      <c r="AJ18" s="26" t="n">
        <f aca="false">IF(AND(H18&gt;=0.85*Assumptions!$B$44,H18&lt;Assumptions!$B$44),Assumptions!$B$44,IF(AND(H18&gt;=0.85*Assumptions!$B$45,H18&lt;Assumptions!$B$45),Assumptions!$B$45,IF(AND(H18&gt;=0.85*Assumptions!$B$46,H18&lt;Assumptions!$B$46),Assumptions!$B$46,0)))</f>
        <v>0</v>
      </c>
      <c r="AK18" s="26" t="n">
        <f aca="false">IF(AJ18=0,0,AJ18-H18)</f>
        <v>0</v>
      </c>
      <c r="AL18" s="28" t="n">
        <f aca="false">IF(AJ18=Assumptions!$B$44,Assumptions!$C$44,IF(AJ18=Assumptions!$B$45,Assumptions!$C$45,IF(AJ18=Assumptions!$B$46,Assumptions!$C$46,0)))</f>
        <v>0</v>
      </c>
      <c r="AM18" s="17" t="n">
        <f aca="false">IF(AJ18=0,0,AB18*(AL18-P18))</f>
        <v>0</v>
      </c>
      <c r="AN18" s="17" t="n">
        <f aca="false">ROUND(AN17+AM18,2)</f>
        <v>116053.77</v>
      </c>
      <c r="AO18" s="17" t="n">
        <f aca="false">SUMIF(Lines!$B$6:$B$463,$B18,Lines!$M$6:$M$463)</f>
        <v>0</v>
      </c>
      <c r="AP18" s="17" t="n">
        <f aca="false">(AB18/H18)*(MAX(0,MIN(H18,Assumptions!$B$46)-Assumptions!$B$47)*Assumptions!$C$47+MAX(0,MIN(H18,Assumptions!$B$45)-Assumptions!$B$46)*Assumptions!$C$46+MAX(0,MIN(H18,Assumptions!$B$44)-Assumptions!$B$45)*Assumptions!$C$45+MAX(0,H18-Assumptions!$B$44)*Assumptions!$C$44)</f>
        <v>0</v>
      </c>
      <c r="AQ18" s="17" t="n">
        <f aca="false">ROUND(SUMIF(Lines!$B:$B,B18,Lines!$N:$N),2)</f>
        <v>2175.22</v>
      </c>
    </row>
    <row r="19" customFormat="false" ht="15" hidden="false" customHeight="false" outlineLevel="0" collapsed="false">
      <c r="B19" s="14" t="s">
        <v>164</v>
      </c>
      <c r="C19" s="14" t="s">
        <v>162</v>
      </c>
      <c r="D19" s="14" t="s">
        <v>163</v>
      </c>
      <c r="E19" s="24" t="n">
        <v>1959</v>
      </c>
      <c r="F19" s="24" t="n">
        <v>8590</v>
      </c>
      <c r="G19" s="24" t="n">
        <v>2492</v>
      </c>
      <c r="H19" s="26" t="n">
        <f aca="false">SUM(E19:G19)</f>
        <v>13041</v>
      </c>
      <c r="I19" s="24" t="n">
        <v>366</v>
      </c>
      <c r="J19" s="24" t="n">
        <v>36</v>
      </c>
      <c r="K19" s="27" t="n">
        <v>0.18</v>
      </c>
      <c r="L19" s="28" t="n">
        <f aca="false">MIN(Assumptions!$C$18,K19*Assumptions!$D$15)</f>
        <v>0.1116</v>
      </c>
      <c r="M19" s="28" t="n">
        <f aca="false">MIN(Assumptions!$C$18,K19*Assumptions!$D$16)</f>
        <v>0.234</v>
      </c>
      <c r="N19" s="28" t="n">
        <f aca="false">MIN(Assumptions!$C$18,K19*Assumptions!$D$17)</f>
        <v>0.1728</v>
      </c>
      <c r="O19" s="28" t="n">
        <f aca="false">IF(I19&gt;=Assumptions!$B$36,Assumptions!$C$36,IF(I19&gt;=Assumptions!$B$37,Assumptions!$C$37,IF(I19&gt;=Assumptions!$B$38,Assumptions!$C$38,Assumptions!$C$39)))</f>
        <v>0.04</v>
      </c>
      <c r="P19" s="28" t="n">
        <f aca="false">IF(H19&gt;=Assumptions!$B$44,Assumptions!$C$44,IF(H19&gt;=Assumptions!$B$45,Assumptions!$C$45,IF(H19&gt;=Assumptions!$B$46,Assumptions!$C$46,Assumptions!$C$47)))</f>
        <v>0.035</v>
      </c>
      <c r="Q19" s="24" t="n">
        <v>1</v>
      </c>
      <c r="R19" s="28" t="n">
        <f aca="false">Q19*Assumptions!$C$51</f>
        <v>0.02</v>
      </c>
      <c r="S19" s="27" t="n">
        <v>0.015</v>
      </c>
      <c r="T19" s="27" t="n">
        <v>0.025</v>
      </c>
      <c r="U19" s="27" t="n">
        <v>0.015</v>
      </c>
      <c r="V19" s="27" t="n">
        <v>0.008</v>
      </c>
      <c r="W19" s="27" t="n">
        <v>0</v>
      </c>
      <c r="X19" s="28" t="n">
        <f aca="false">P19+R19+SUM(S19:W19)</f>
        <v>0.118</v>
      </c>
      <c r="Y19" s="24" t="n">
        <v>1</v>
      </c>
      <c r="Z19" s="29" t="n">
        <f aca="false">LN(H19)</f>
        <v>9.4758535196569</v>
      </c>
      <c r="AA19" s="17" t="n">
        <f aca="false">ROUND(SUMIF(Lines!$B:$B,B19,Lines!$I:$I),2)</f>
        <v>1061744</v>
      </c>
      <c r="AB19" s="17" t="n">
        <f aca="false">ROUND(SUMIF(Lines!$B:$B,B19,Lines!$L:$L),2)</f>
        <v>820954.82</v>
      </c>
      <c r="AC19" s="17" t="n">
        <f aca="false">ROUND(SUMIF(Lines!$B:$B,B19,Lines!$T:$T),2)</f>
        <v>724082.14</v>
      </c>
      <c r="AD19" s="17" t="n">
        <f aca="false">ROUND(SUMIF(Lines!$B:$B,B19,Lines!$U:$U),2)</f>
        <v>606578</v>
      </c>
      <c r="AE19" s="17" t="n">
        <f aca="false">ROUND(SUMIF(Lines!$B:$B,B19,Lines!$V:$V),2)</f>
        <v>16419.1</v>
      </c>
      <c r="AF19" s="17" t="n">
        <f aca="false">ROUND(AC19-AD19-AE19,2)</f>
        <v>101085.04</v>
      </c>
      <c r="AG19" s="26" t="n">
        <f aca="false">RANK(AC19,$AC$6:$AC$185)</f>
        <v>22</v>
      </c>
      <c r="AJ19" s="26" t="n">
        <f aca="false">IF(AND(H19&gt;=0.85*Assumptions!$B$44,H19&lt;Assumptions!$B$44),Assumptions!$B$44,IF(AND(H19&gt;=0.85*Assumptions!$B$45,H19&lt;Assumptions!$B$45),Assumptions!$B$45,IF(AND(H19&gt;=0.85*Assumptions!$B$46,H19&lt;Assumptions!$B$46),Assumptions!$B$46,0)))</f>
        <v>0</v>
      </c>
      <c r="AK19" s="26" t="n">
        <f aca="false">IF(AJ19=0,0,AJ19-H19)</f>
        <v>0</v>
      </c>
      <c r="AL19" s="28" t="n">
        <f aca="false">IF(AJ19=Assumptions!$B$44,Assumptions!$C$44,IF(AJ19=Assumptions!$B$45,Assumptions!$C$45,IF(AJ19=Assumptions!$B$46,Assumptions!$C$46,0)))</f>
        <v>0</v>
      </c>
      <c r="AM19" s="17" t="n">
        <f aca="false">IF(AJ19=0,0,AB19*(AL19-P19))</f>
        <v>0</v>
      </c>
      <c r="AN19" s="17" t="n">
        <f aca="false">ROUND(AN37+AM19,2)</f>
        <v>116053.77</v>
      </c>
      <c r="AO19" s="17" t="n">
        <f aca="false">SUMIF(Lines!$B$6:$B$463,$B19,Lines!$M$6:$M$463)</f>
        <v>28733.42</v>
      </c>
      <c r="AP19" s="17" t="n">
        <f aca="false">(AB19/H19)*(MAX(0,MIN(H19,Assumptions!$B$46)-Assumptions!$B$47)*Assumptions!$C$47+MAX(0,MIN(H19,Assumptions!$B$45)-Assumptions!$B$46)*Assumptions!$C$46+MAX(0,MIN(H19,Assumptions!$B$44)-Assumptions!$B$45)*Assumptions!$C$45+MAX(0,H19-Assumptions!$B$44)*Assumptions!$C$44)</f>
        <v>15513.5343199678</v>
      </c>
      <c r="AQ19" s="17" t="n">
        <f aca="false">ROUND(SUMIF(Lines!$B:$B,B19,Lines!$N:$N),2)</f>
        <v>16419.1</v>
      </c>
    </row>
    <row r="20" customFormat="false" ht="15" hidden="false" customHeight="false" outlineLevel="0" collapsed="false">
      <c r="B20" s="14" t="s">
        <v>165</v>
      </c>
      <c r="C20" s="14" t="s">
        <v>162</v>
      </c>
      <c r="D20" s="14" t="s">
        <v>163</v>
      </c>
      <c r="E20" s="24" t="n">
        <v>731</v>
      </c>
      <c r="F20" s="24" t="n">
        <v>9172</v>
      </c>
      <c r="G20" s="24" t="n">
        <v>2968</v>
      </c>
      <c r="H20" s="26" t="n">
        <f aca="false">SUM(E20:G20)</f>
        <v>12871</v>
      </c>
      <c r="I20" s="24" t="n">
        <v>429</v>
      </c>
      <c r="J20" s="24" t="n">
        <v>30</v>
      </c>
      <c r="K20" s="27" t="n">
        <v>0.085</v>
      </c>
      <c r="L20" s="28" t="n">
        <f aca="false">MIN(Assumptions!$C$18,K20*Assumptions!$D$15)</f>
        <v>0.0527</v>
      </c>
      <c r="M20" s="28" t="n">
        <f aca="false">MIN(Assumptions!$C$18,K20*Assumptions!$D$16)</f>
        <v>0.1105</v>
      </c>
      <c r="N20" s="28" t="n">
        <f aca="false">MIN(Assumptions!$C$18,K20*Assumptions!$D$17)</f>
        <v>0.0816</v>
      </c>
      <c r="O20" s="28" t="n">
        <f aca="false">IF(I20&gt;=Assumptions!$B$36,Assumptions!$C$36,IF(I20&gt;=Assumptions!$B$37,Assumptions!$C$37,IF(I20&gt;=Assumptions!$B$38,Assumptions!$C$38,Assumptions!$C$39)))</f>
        <v>0.04</v>
      </c>
      <c r="P20" s="28" t="n">
        <f aca="false">IF(H20&gt;=Assumptions!$B$44,Assumptions!$C$44,IF(H20&gt;=Assumptions!$B$45,Assumptions!$C$45,IF(H20&gt;=Assumptions!$B$46,Assumptions!$C$46,Assumptions!$C$47)))</f>
        <v>0.035</v>
      </c>
      <c r="Q20" s="24" t="n">
        <v>1</v>
      </c>
      <c r="R20" s="28" t="n">
        <f aca="false">Q20*Assumptions!$C$51</f>
        <v>0.02</v>
      </c>
      <c r="S20" s="27" t="n">
        <v>0.015</v>
      </c>
      <c r="T20" s="27" t="n">
        <v>0.025</v>
      </c>
      <c r="U20" s="27" t="n">
        <v>0.015</v>
      </c>
      <c r="V20" s="27" t="n">
        <v>0.008</v>
      </c>
      <c r="W20" s="27" t="n">
        <v>0.01</v>
      </c>
      <c r="X20" s="28" t="n">
        <f aca="false">P20+R20+SUM(S20:W20)</f>
        <v>0.128</v>
      </c>
      <c r="Y20" s="24" t="n">
        <v>0</v>
      </c>
      <c r="Z20" s="29" t="n">
        <f aca="false">LN(H20)</f>
        <v>9.46273199764938</v>
      </c>
      <c r="AA20" s="17" t="n">
        <f aca="false">ROUND(SUMIF(Lines!$B:$B,B20,Lines!$I:$I),2)</f>
        <v>961780</v>
      </c>
      <c r="AB20" s="17" t="n">
        <f aca="false">ROUND(SUMIF(Lines!$B:$B,B20,Lines!$L:$L),2)</f>
        <v>831519.8</v>
      </c>
      <c r="AC20" s="17" t="n">
        <f aca="false">ROUND(SUMIF(Lines!$B:$B,B20,Lines!$T:$T),2)</f>
        <v>725085.28</v>
      </c>
      <c r="AD20" s="17" t="n">
        <f aca="false">ROUND(SUMIF(Lines!$B:$B,B20,Lines!$U:$U),2)</f>
        <v>559354</v>
      </c>
      <c r="AE20" s="17" t="n">
        <f aca="false">ROUND(SUMIF(Lines!$B:$B,B20,Lines!$V:$V),2)</f>
        <v>16630.4</v>
      </c>
      <c r="AF20" s="17" t="n">
        <f aca="false">ROUND(AC20-AD20-AE20,2)</f>
        <v>149100.88</v>
      </c>
      <c r="AG20" s="26" t="n">
        <f aca="false">RANK(AC20,$AC$6:$AC$185)</f>
        <v>21</v>
      </c>
      <c r="AJ20" s="26" t="n">
        <f aca="false">IF(AND(H20&gt;=0.85*Assumptions!$B$44,H20&lt;Assumptions!$B$44),Assumptions!$B$44,IF(AND(H20&gt;=0.85*Assumptions!$B$45,H20&lt;Assumptions!$B$45),Assumptions!$B$45,IF(AND(H20&gt;=0.85*Assumptions!$B$46,H20&lt;Assumptions!$B$46),Assumptions!$B$46,0)))</f>
        <v>0</v>
      </c>
      <c r="AK20" s="26" t="n">
        <f aca="false">IF(AJ20=0,0,AJ20-H20)</f>
        <v>0</v>
      </c>
      <c r="AL20" s="28" t="n">
        <f aca="false">IF(AJ20=Assumptions!$B$44,Assumptions!$C$44,IF(AJ20=Assumptions!$B$45,Assumptions!$C$45,IF(AJ20=Assumptions!$B$46,Assumptions!$C$46,0)))</f>
        <v>0</v>
      </c>
      <c r="AM20" s="17" t="n">
        <f aca="false">IF(AJ20=0,0,AB20*(AL20-P20))</f>
        <v>0</v>
      </c>
      <c r="AN20" s="17" t="n">
        <f aca="false">ROUND(AN38+AM20,2)</f>
        <v>116053.77</v>
      </c>
      <c r="AO20" s="17" t="n">
        <f aca="false">SUMIF(Lines!$B$6:$B$463,$B20,Lines!$M$6:$M$463)</f>
        <v>29103.19</v>
      </c>
      <c r="AP20" s="17" t="n">
        <f aca="false">(AB20/H20)*(MAX(0,MIN(H20,Assumptions!$B$46)-Assumptions!$B$47)*Assumptions!$C$47+MAX(0,MIN(H20,Assumptions!$B$45)-Assumptions!$B$46)*Assumptions!$C$46+MAX(0,MIN(H20,Assumptions!$B$44)-Assumptions!$B$45)*Assumptions!$C$45+MAX(0,H20-Assumptions!$B$44)*Assumptions!$C$44)</f>
        <v>15536.3250021754</v>
      </c>
      <c r="AQ20" s="17" t="n">
        <f aca="false">ROUND(SUMIF(Lines!$B:$B,B20,Lines!$N:$N),2)</f>
        <v>16630.4</v>
      </c>
    </row>
    <row r="21" customFormat="false" ht="15" hidden="false" customHeight="false" outlineLevel="0" collapsed="false">
      <c r="B21" s="14" t="s">
        <v>166</v>
      </c>
      <c r="C21" s="14" t="s">
        <v>162</v>
      </c>
      <c r="D21" s="14" t="s">
        <v>163</v>
      </c>
      <c r="E21" s="24" t="n">
        <v>164</v>
      </c>
      <c r="F21" s="24" t="n">
        <v>3031</v>
      </c>
      <c r="G21" s="24" t="n">
        <v>1080</v>
      </c>
      <c r="H21" s="26" t="n">
        <f aca="false">SUM(E21:G21)</f>
        <v>4275</v>
      </c>
      <c r="I21" s="24" t="n">
        <v>371</v>
      </c>
      <c r="J21" s="24" t="n">
        <v>12</v>
      </c>
      <c r="K21" s="27" t="n">
        <v>0.165</v>
      </c>
      <c r="L21" s="28" t="n">
        <f aca="false">MIN(Assumptions!$C$18,K21*Assumptions!$D$15)</f>
        <v>0.1023</v>
      </c>
      <c r="M21" s="28" t="n">
        <f aca="false">MIN(Assumptions!$C$18,K21*Assumptions!$D$16)</f>
        <v>0.2145</v>
      </c>
      <c r="N21" s="28" t="n">
        <f aca="false">MIN(Assumptions!$C$18,K21*Assumptions!$D$17)</f>
        <v>0.1584</v>
      </c>
      <c r="O21" s="28" t="n">
        <f aca="false">IF(I21&gt;=Assumptions!$B$36,Assumptions!$C$36,IF(I21&gt;=Assumptions!$B$37,Assumptions!$C$37,IF(I21&gt;=Assumptions!$B$38,Assumptions!$C$38,Assumptions!$C$39)))</f>
        <v>0.04</v>
      </c>
      <c r="P21" s="28" t="n">
        <f aca="false">IF(H21&gt;=Assumptions!$B$44,Assumptions!$C$44,IF(H21&gt;=Assumptions!$B$45,Assumptions!$C$45,IF(H21&gt;=Assumptions!$B$46,Assumptions!$C$46,Assumptions!$C$47)))</f>
        <v>0.02</v>
      </c>
      <c r="Q21" s="24" t="n">
        <v>1</v>
      </c>
      <c r="R21" s="28" t="n">
        <f aca="false">Q21*Assumptions!$C$51</f>
        <v>0.02</v>
      </c>
      <c r="S21" s="27" t="n">
        <v>0.015</v>
      </c>
      <c r="T21" s="27" t="n">
        <v>0.025</v>
      </c>
      <c r="U21" s="27" t="n">
        <v>0.015</v>
      </c>
      <c r="V21" s="27" t="n">
        <v>0.008</v>
      </c>
      <c r="W21" s="27" t="n">
        <v>0.01</v>
      </c>
      <c r="X21" s="28" t="n">
        <f aca="false">P21+R21+SUM(S21:W21)</f>
        <v>0.113</v>
      </c>
      <c r="Y21" s="24" t="n">
        <v>1</v>
      </c>
      <c r="Z21" s="29" t="n">
        <f aca="false">LN(H21)</f>
        <v>8.36053938137086</v>
      </c>
      <c r="AA21" s="17" t="n">
        <f aca="false">ROUND(SUMIF(Lines!$B:$B,B21,Lines!$I:$I),2)</f>
        <v>315874</v>
      </c>
      <c r="AB21" s="17" t="n">
        <f aca="false">ROUND(SUMIF(Lines!$B:$B,B21,Lines!$L:$L),2)</f>
        <v>244023.83</v>
      </c>
      <c r="AC21" s="17" t="n">
        <f aca="false">ROUND(SUMIF(Lines!$B:$B,B21,Lines!$T:$T),2)</f>
        <v>216449.12</v>
      </c>
      <c r="AD21" s="17" t="n">
        <f aca="false">ROUND(SUMIF(Lines!$B:$B,B21,Lines!$U:$U),2)</f>
        <v>184548</v>
      </c>
      <c r="AE21" s="17" t="n">
        <f aca="false">ROUND(SUMIF(Lines!$B:$B,B21,Lines!$V:$V),2)</f>
        <v>4880.48</v>
      </c>
      <c r="AF21" s="17" t="n">
        <f aca="false">ROUND(AC21-AD21-AE21,2)</f>
        <v>27020.64</v>
      </c>
      <c r="AG21" s="26" t="n">
        <f aca="false">RANK(AC21,$AC$6:$AC$185)</f>
        <v>62</v>
      </c>
      <c r="AJ21" s="26" t="n">
        <f aca="false">IF(AND(H21&gt;=0.85*Assumptions!$B$44,H21&lt;Assumptions!$B$44),Assumptions!$B$44,IF(AND(H21&gt;=0.85*Assumptions!$B$45,H21&lt;Assumptions!$B$45),Assumptions!$B$45,IF(AND(H21&gt;=0.85*Assumptions!$B$46,H21&lt;Assumptions!$B$46),Assumptions!$B$46,0)))</f>
        <v>0</v>
      </c>
      <c r="AK21" s="26" t="n">
        <f aca="false">IF(AJ21=0,0,AJ21-H21)</f>
        <v>0</v>
      </c>
      <c r="AL21" s="28" t="n">
        <f aca="false">IF(AJ21=Assumptions!$B$44,Assumptions!$C$44,IF(AJ21=Assumptions!$B$45,Assumptions!$C$45,IF(AJ21=Assumptions!$B$46,Assumptions!$C$46,0)))</f>
        <v>0</v>
      </c>
      <c r="AM21" s="17" t="n">
        <f aca="false">IF(AJ21=0,0,AB21*(AL21-P21))</f>
        <v>0</v>
      </c>
      <c r="AN21" s="17" t="n">
        <f aca="false">ROUND(AN39+AM21,2)</f>
        <v>116053.77</v>
      </c>
      <c r="AO21" s="17" t="n">
        <f aca="false">SUMIF(Lines!$B$6:$B$463,$B21,Lines!$M$6:$M$463)</f>
        <v>4880.48</v>
      </c>
      <c r="AP21" s="17" t="n">
        <f aca="false">(AB21/H21)*(MAX(0,MIN(H21,Assumptions!$B$46)-Assumptions!$B$47)*Assumptions!$C$47+MAX(0,MIN(H21,Assumptions!$B$45)-Assumptions!$B$46)*Assumptions!$C$46+MAX(0,MIN(H21,Assumptions!$B$44)-Assumptions!$B$45)*Assumptions!$C$45+MAX(0,H21-Assumptions!$B$44)*Assumptions!$C$44)</f>
        <v>1455.58074035088</v>
      </c>
      <c r="AQ21" s="17" t="n">
        <f aca="false">ROUND(SUMIF(Lines!$B:$B,B21,Lines!$N:$N),2)</f>
        <v>4880.48</v>
      </c>
    </row>
    <row r="22" customFormat="false" ht="15" hidden="false" customHeight="false" outlineLevel="0" collapsed="false">
      <c r="B22" s="14" t="s">
        <v>167</v>
      </c>
      <c r="C22" s="14" t="s">
        <v>162</v>
      </c>
      <c r="D22" s="14" t="s">
        <v>163</v>
      </c>
      <c r="E22" s="24" t="n">
        <v>291</v>
      </c>
      <c r="F22" s="24" t="n">
        <v>11151</v>
      </c>
      <c r="G22" s="24" t="n">
        <v>2928</v>
      </c>
      <c r="H22" s="26" t="n">
        <f aca="false">SUM(E22:G22)</f>
        <v>14370</v>
      </c>
      <c r="I22" s="24" t="n">
        <v>503</v>
      </c>
      <c r="J22" s="24" t="n">
        <v>29</v>
      </c>
      <c r="K22" s="27" t="n">
        <v>0.085</v>
      </c>
      <c r="L22" s="28" t="n">
        <f aca="false">MIN(Assumptions!$C$18,K22*Assumptions!$D$15)</f>
        <v>0.0527</v>
      </c>
      <c r="M22" s="28" t="n">
        <f aca="false">MIN(Assumptions!$C$18,K22*Assumptions!$D$16)</f>
        <v>0.1105</v>
      </c>
      <c r="N22" s="28" t="n">
        <f aca="false">MIN(Assumptions!$C$18,K22*Assumptions!$D$17)</f>
        <v>0.0816</v>
      </c>
      <c r="O22" s="28" t="n">
        <f aca="false">IF(I22&gt;=Assumptions!$B$36,Assumptions!$C$36,IF(I22&gt;=Assumptions!$B$37,Assumptions!$C$37,IF(I22&gt;=Assumptions!$B$38,Assumptions!$C$38,Assumptions!$C$39)))</f>
        <v>0.06</v>
      </c>
      <c r="P22" s="28" t="n">
        <f aca="false">IF(H22&gt;=Assumptions!$B$44,Assumptions!$C$44,IF(H22&gt;=Assumptions!$B$45,Assumptions!$C$45,IF(H22&gt;=Assumptions!$B$46,Assumptions!$C$46,Assumptions!$C$47)))</f>
        <v>0.035</v>
      </c>
      <c r="Q22" s="24" t="n">
        <v>1</v>
      </c>
      <c r="R22" s="28" t="n">
        <f aca="false">Q22*Assumptions!$C$51</f>
        <v>0.02</v>
      </c>
      <c r="S22" s="27" t="n">
        <v>0.015</v>
      </c>
      <c r="T22" s="27" t="n">
        <v>0.025</v>
      </c>
      <c r="U22" s="27" t="n">
        <v>0</v>
      </c>
      <c r="V22" s="27" t="n">
        <v>0.008</v>
      </c>
      <c r="W22" s="27" t="n">
        <v>0.01</v>
      </c>
      <c r="X22" s="28" t="n">
        <f aca="false">P22+R22+SUM(S22:W22)</f>
        <v>0.113</v>
      </c>
      <c r="Y22" s="24" t="n">
        <v>0</v>
      </c>
      <c r="Z22" s="29" t="n">
        <f aca="false">LN(H22)</f>
        <v>9.57289797907307</v>
      </c>
      <c r="AA22" s="17" t="n">
        <f aca="false">ROUND(SUMIF(Lines!$B:$B,B22,Lines!$I:$I),2)</f>
        <v>1015518</v>
      </c>
      <c r="AB22" s="17" t="n">
        <f aca="false">ROUND(SUMIF(Lines!$B:$B,B22,Lines!$L:$L),2)</f>
        <v>852984.96</v>
      </c>
      <c r="AC22" s="17" t="n">
        <f aca="false">ROUND(SUMIF(Lines!$B:$B,B22,Lines!$T:$T),2)</f>
        <v>756597.65</v>
      </c>
      <c r="AD22" s="17" t="n">
        <f aca="false">ROUND(SUMIF(Lines!$B:$B,B22,Lines!$U:$U),2)</f>
        <v>593958</v>
      </c>
      <c r="AE22" s="17" t="n">
        <f aca="false">ROUND(SUMIF(Lines!$B:$B,B22,Lines!$V:$V),2)</f>
        <v>17059.7</v>
      </c>
      <c r="AF22" s="17" t="n">
        <f aca="false">ROUND(AC22-AD22-AE22,2)</f>
        <v>145579.95</v>
      </c>
      <c r="AG22" s="26" t="n">
        <f aca="false">RANK(AC22,$AC$6:$AC$185)</f>
        <v>19</v>
      </c>
      <c r="AJ22" s="26" t="n">
        <f aca="false">IF(AND(H22&gt;=0.85*Assumptions!$B$44,H22&lt;Assumptions!$B$44),Assumptions!$B$44,IF(AND(H22&gt;=0.85*Assumptions!$B$45,H22&lt;Assumptions!$B$45),Assumptions!$B$45,IF(AND(H22&gt;=0.85*Assumptions!$B$46,H22&lt;Assumptions!$B$46),Assumptions!$B$46,0)))</f>
        <v>0</v>
      </c>
      <c r="AK22" s="26" t="n">
        <f aca="false">IF(AJ22=0,0,AJ22-H22)</f>
        <v>0</v>
      </c>
      <c r="AL22" s="28" t="n">
        <f aca="false">IF(AJ22=Assumptions!$B$44,Assumptions!$C$44,IF(AJ22=Assumptions!$B$45,Assumptions!$C$45,IF(AJ22=Assumptions!$B$46,Assumptions!$C$46,0)))</f>
        <v>0</v>
      </c>
      <c r="AM22" s="17" t="n">
        <f aca="false">IF(AJ22=0,0,AB22*(AL22-P22))</f>
        <v>0</v>
      </c>
      <c r="AN22" s="17" t="n">
        <f aca="false">ROUND(AN40+AM22,2)</f>
        <v>116053.77</v>
      </c>
      <c r="AO22" s="17" t="n">
        <f aca="false">SUMIF(Lines!$B$6:$B$463,$B22,Lines!$M$6:$M$463)</f>
        <v>29854.48</v>
      </c>
      <c r="AP22" s="17" t="n">
        <f aca="false">(AB22/H22)*(MAX(0,MIN(H22,Assumptions!$B$46)-Assumptions!$B$47)*Assumptions!$C$47+MAX(0,MIN(H22,Assumptions!$B$45)-Assumptions!$B$46)*Assumptions!$C$46+MAX(0,MIN(H22,Assumptions!$B$44)-Assumptions!$B$45)*Assumptions!$C$45+MAX(0,H22-Assumptions!$B$44)*Assumptions!$C$44)</f>
        <v>17389.1401553236</v>
      </c>
      <c r="AQ22" s="17" t="n">
        <f aca="false">ROUND(SUMIF(Lines!$B:$B,B22,Lines!$N:$N),2)</f>
        <v>17059.7</v>
      </c>
    </row>
    <row r="23" customFormat="false" ht="15" hidden="false" customHeight="false" outlineLevel="0" collapsed="false">
      <c r="B23" s="14" t="s">
        <v>168</v>
      </c>
      <c r="C23" s="14" t="s">
        <v>162</v>
      </c>
      <c r="D23" s="14" t="s">
        <v>163</v>
      </c>
      <c r="E23" s="24" t="n">
        <v>80</v>
      </c>
      <c r="F23" s="24" t="n">
        <v>2038</v>
      </c>
      <c r="G23" s="24" t="n">
        <v>707</v>
      </c>
      <c r="H23" s="26" t="n">
        <f aca="false">SUM(E23:G23)</f>
        <v>2825</v>
      </c>
      <c r="I23" s="24" t="n">
        <v>233</v>
      </c>
      <c r="J23" s="24" t="n">
        <v>12</v>
      </c>
      <c r="K23" s="27" t="n">
        <v>0.1</v>
      </c>
      <c r="L23" s="28" t="n">
        <f aca="false">MIN(Assumptions!$C$18,K23*Assumptions!$D$15)</f>
        <v>0.062</v>
      </c>
      <c r="M23" s="28" t="n">
        <f aca="false">MIN(Assumptions!$C$18,K23*Assumptions!$D$16)</f>
        <v>0.13</v>
      </c>
      <c r="N23" s="28" t="n">
        <f aca="false">MIN(Assumptions!$C$18,K23*Assumptions!$D$17)</f>
        <v>0.096</v>
      </c>
      <c r="O23" s="28" t="n">
        <f aca="false">IF(I23&gt;=Assumptions!$B$36,Assumptions!$C$36,IF(I23&gt;=Assumptions!$B$37,Assumptions!$C$37,IF(I23&gt;=Assumptions!$B$38,Assumptions!$C$38,Assumptions!$C$39)))</f>
        <v>0.04</v>
      </c>
      <c r="P23" s="28" t="n">
        <f aca="false">IF(H23&gt;=Assumptions!$B$44,Assumptions!$C$44,IF(H23&gt;=Assumptions!$B$45,Assumptions!$C$45,IF(H23&gt;=Assumptions!$B$46,Assumptions!$C$46,Assumptions!$C$47)))</f>
        <v>0</v>
      </c>
      <c r="Q23" s="24" t="n">
        <v>1</v>
      </c>
      <c r="R23" s="28" t="n">
        <f aca="false">Q23*Assumptions!$C$51</f>
        <v>0.02</v>
      </c>
      <c r="S23" s="27" t="n">
        <v>0.015</v>
      </c>
      <c r="T23" s="27" t="n">
        <v>0.025</v>
      </c>
      <c r="U23" s="27" t="n">
        <v>0</v>
      </c>
      <c r="V23" s="27" t="n">
        <v>0.008</v>
      </c>
      <c r="W23" s="27" t="n">
        <v>0</v>
      </c>
      <c r="X23" s="28" t="n">
        <f aca="false">P23+R23+SUM(S23:W23)</f>
        <v>0.068</v>
      </c>
      <c r="Y23" s="24" t="n">
        <v>1</v>
      </c>
      <c r="Z23" s="29" t="n">
        <f aca="false">LN(H23)</f>
        <v>7.94626364358054</v>
      </c>
      <c r="AA23" s="17" t="n">
        <f aca="false">ROUND(SUMIF(Lines!$B:$B,B23,Lines!$I:$I),2)</f>
        <v>206068</v>
      </c>
      <c r="AB23" s="17" t="n">
        <f aca="false">ROUND(SUMIF(Lines!$B:$B,B23,Lines!$L:$L),2)</f>
        <v>174149.21</v>
      </c>
      <c r="AC23" s="17" t="n">
        <f aca="false">ROUND(SUMIF(Lines!$B:$B,B23,Lines!$T:$T),2)</f>
        <v>162307.06</v>
      </c>
      <c r="AD23" s="17" t="n">
        <f aca="false">ROUND(SUMIF(Lines!$B:$B,B23,Lines!$U:$U),2)</f>
        <v>120614</v>
      </c>
      <c r="AE23" s="17" t="n">
        <f aca="false">ROUND(SUMIF(Lines!$B:$B,B23,Lines!$V:$V),2)</f>
        <v>3482.99</v>
      </c>
      <c r="AF23" s="17" t="n">
        <f aca="false">ROUND(AC23-AD23-AE23,2)</f>
        <v>38210.07</v>
      </c>
      <c r="AG23" s="26" t="n">
        <f aca="false">RANK(AC23,$AC$6:$AC$185)</f>
        <v>84</v>
      </c>
      <c r="AJ23" s="26" t="n">
        <f aca="false">IF(AND(H23&gt;=0.85*Assumptions!$B$44,H23&lt;Assumptions!$B$44),Assumptions!$B$44,IF(AND(H23&gt;=0.85*Assumptions!$B$45,H23&lt;Assumptions!$B$45),Assumptions!$B$45,IF(AND(H23&gt;=0.85*Assumptions!$B$46,H23&lt;Assumptions!$B$46),Assumptions!$B$46,0)))</f>
        <v>3000</v>
      </c>
      <c r="AK23" s="26" t="n">
        <f aca="false">IF(AJ23=0,0,AJ23-H23)</f>
        <v>175</v>
      </c>
      <c r="AL23" s="28" t="n">
        <f aca="false">IF(AJ23=Assumptions!$B$44,Assumptions!$C$44,IF(AJ23=Assumptions!$B$45,Assumptions!$C$45,IF(AJ23=Assumptions!$B$46,Assumptions!$C$46,0)))</f>
        <v>0.02</v>
      </c>
      <c r="AM23" s="17" t="n">
        <f aca="false">IF(AJ23=0,0,AB23*(AL23-P23))</f>
        <v>3482.9842</v>
      </c>
      <c r="AN23" s="17" t="n">
        <f aca="false">ROUND(AN41+AM23,2)</f>
        <v>119536.75</v>
      </c>
      <c r="AO23" s="17" t="n">
        <f aca="false">SUMIF(Lines!$B$6:$B$463,$B23,Lines!$M$6:$M$463)</f>
        <v>0</v>
      </c>
      <c r="AP23" s="17" t="n">
        <f aca="false">(AB23/H23)*(MAX(0,MIN(H23,Assumptions!$B$46)-Assumptions!$B$47)*Assumptions!$C$47+MAX(0,MIN(H23,Assumptions!$B$45)-Assumptions!$B$46)*Assumptions!$C$46+MAX(0,MIN(H23,Assumptions!$B$44)-Assumptions!$B$45)*Assumptions!$C$45+MAX(0,H23-Assumptions!$B$44)*Assumptions!$C$44)</f>
        <v>0</v>
      </c>
      <c r="AQ23" s="17" t="n">
        <f aca="false">ROUND(SUMIF(Lines!$B:$B,B23,Lines!$N:$N),2)</f>
        <v>3482.99</v>
      </c>
    </row>
    <row r="24" customFormat="false" ht="15" hidden="false" customHeight="false" outlineLevel="0" collapsed="false">
      <c r="B24" s="14" t="s">
        <v>169</v>
      </c>
      <c r="C24" s="14" t="s">
        <v>162</v>
      </c>
      <c r="D24" s="14" t="s">
        <v>163</v>
      </c>
      <c r="E24" s="24" t="n">
        <v>857</v>
      </c>
      <c r="F24" s="24" t="n">
        <v>7778</v>
      </c>
      <c r="G24" s="24" t="n">
        <v>3273</v>
      </c>
      <c r="H24" s="26" t="n">
        <f aca="false">SUM(E24:G24)</f>
        <v>11908</v>
      </c>
      <c r="I24" s="24" t="n">
        <v>492</v>
      </c>
      <c r="J24" s="24" t="n">
        <v>24</v>
      </c>
      <c r="K24" s="27" t="n">
        <v>0.145</v>
      </c>
      <c r="L24" s="28" t="n">
        <f aca="false">MIN(Assumptions!$C$18,K24*Assumptions!$D$15)</f>
        <v>0.0899</v>
      </c>
      <c r="M24" s="28" t="n">
        <f aca="false">MIN(Assumptions!$C$18,K24*Assumptions!$D$16)</f>
        <v>0.1885</v>
      </c>
      <c r="N24" s="28" t="n">
        <f aca="false">MIN(Assumptions!$C$18,K24*Assumptions!$D$17)</f>
        <v>0.1392</v>
      </c>
      <c r="O24" s="28" t="n">
        <f aca="false">IF(I24&gt;=Assumptions!$B$36,Assumptions!$C$36,IF(I24&gt;=Assumptions!$B$37,Assumptions!$C$37,IF(I24&gt;=Assumptions!$B$38,Assumptions!$C$38,Assumptions!$C$39)))</f>
        <v>0.04</v>
      </c>
      <c r="P24" s="28" t="n">
        <f aca="false">IF(H24&gt;=Assumptions!$B$44,Assumptions!$C$44,IF(H24&gt;=Assumptions!$B$45,Assumptions!$C$45,IF(H24&gt;=Assumptions!$B$46,Assumptions!$C$46,Assumptions!$C$47)))</f>
        <v>0.035</v>
      </c>
      <c r="Q24" s="24" t="n">
        <v>1</v>
      </c>
      <c r="R24" s="28" t="n">
        <f aca="false">Q24*Assumptions!$C$51</f>
        <v>0.02</v>
      </c>
      <c r="S24" s="27" t="n">
        <v>0.015</v>
      </c>
      <c r="T24" s="27" t="n">
        <v>0.025</v>
      </c>
      <c r="U24" s="27" t="n">
        <v>0.015</v>
      </c>
      <c r="V24" s="27" t="n">
        <v>0.008</v>
      </c>
      <c r="W24" s="27" t="n">
        <v>0.01</v>
      </c>
      <c r="X24" s="28" t="n">
        <f aca="false">P24+R24+SUM(S24:W24)</f>
        <v>0.128</v>
      </c>
      <c r="Y24" s="24" t="n">
        <v>0</v>
      </c>
      <c r="Z24" s="29" t="n">
        <f aca="false">LN(H24)</f>
        <v>9.38496572213567</v>
      </c>
      <c r="AA24" s="17" t="n">
        <f aca="false">ROUND(SUMIF(Lines!$B:$B,B24,Lines!$I:$I),2)</f>
        <v>923280</v>
      </c>
      <c r="AB24" s="17" t="n">
        <f aca="false">ROUND(SUMIF(Lines!$B:$B,B24,Lines!$L:$L),2)</f>
        <v>740307</v>
      </c>
      <c r="AC24" s="17" t="n">
        <f aca="false">ROUND(SUMIF(Lines!$B:$B,B24,Lines!$T:$T),2)</f>
        <v>645547.68</v>
      </c>
      <c r="AD24" s="17" t="n">
        <f aca="false">ROUND(SUMIF(Lines!$B:$B,B24,Lines!$U:$U),2)</f>
        <v>536688</v>
      </c>
      <c r="AE24" s="17" t="n">
        <f aca="false">ROUND(SUMIF(Lines!$B:$B,B24,Lines!$V:$V),2)</f>
        <v>14806.14</v>
      </c>
      <c r="AF24" s="17" t="n">
        <f aca="false">ROUND(AC24-AD24-AE24,2)</f>
        <v>94053.54</v>
      </c>
      <c r="AG24" s="26" t="n">
        <f aca="false">RANK(AC24,$AC$6:$AC$185)</f>
        <v>25</v>
      </c>
      <c r="AJ24" s="26" t="n">
        <f aca="false">IF(AND(H24&gt;=0.85*Assumptions!$B$44,H24&lt;Assumptions!$B$44),Assumptions!$B$44,IF(AND(H24&gt;=0.85*Assumptions!$B$45,H24&lt;Assumptions!$B$45),Assumptions!$B$45,IF(AND(H24&gt;=0.85*Assumptions!$B$46,H24&lt;Assumptions!$B$46),Assumptions!$B$46,0)))</f>
        <v>0</v>
      </c>
      <c r="AK24" s="26" t="n">
        <f aca="false">IF(AJ24=0,0,AJ24-H24)</f>
        <v>0</v>
      </c>
      <c r="AL24" s="28" t="n">
        <f aca="false">IF(AJ24=Assumptions!$B$44,Assumptions!$C$44,IF(AJ24=Assumptions!$B$45,Assumptions!$C$45,IF(AJ24=Assumptions!$B$46,Assumptions!$C$46,0)))</f>
        <v>0</v>
      </c>
      <c r="AM24" s="17" t="n">
        <f aca="false">IF(AJ24=0,0,AB24*(AL24-P24))</f>
        <v>0</v>
      </c>
      <c r="AN24" s="17" t="n">
        <f aca="false">ROUND(AN42+AM24,2)</f>
        <v>119536.75</v>
      </c>
      <c r="AO24" s="17" t="n">
        <f aca="false">SUMIF(Lines!$B$6:$B$463,$B24,Lines!$M$6:$M$463)</f>
        <v>25910.75</v>
      </c>
      <c r="AP24" s="17" t="n">
        <f aca="false">(AB24/H24)*(MAX(0,MIN(H24,Assumptions!$B$46)-Assumptions!$B$47)*Assumptions!$C$47+MAX(0,MIN(H24,Assumptions!$B$45)-Assumptions!$B$46)*Assumptions!$C$46+MAX(0,MIN(H24,Assumptions!$B$44)-Assumptions!$B$45)*Assumptions!$C$45+MAX(0,H24-Assumptions!$B$44)*Assumptions!$C$44)</f>
        <v>12855.2806063151</v>
      </c>
      <c r="AQ24" s="17" t="n">
        <f aca="false">ROUND(SUMIF(Lines!$B:$B,B24,Lines!$N:$N),2)</f>
        <v>14806.14</v>
      </c>
    </row>
    <row r="25" customFormat="false" ht="15" hidden="false" customHeight="false" outlineLevel="0" collapsed="false">
      <c r="B25" s="14" t="s">
        <v>170</v>
      </c>
      <c r="C25" s="14" t="s">
        <v>162</v>
      </c>
      <c r="D25" s="14" t="s">
        <v>163</v>
      </c>
      <c r="E25" s="24" t="n">
        <v>2107</v>
      </c>
      <c r="F25" s="24" t="n">
        <v>13068</v>
      </c>
      <c r="G25" s="24" t="n">
        <v>1829</v>
      </c>
      <c r="H25" s="26" t="n">
        <f aca="false">SUM(E25:G25)</f>
        <v>17004</v>
      </c>
      <c r="I25" s="24" t="n">
        <v>443</v>
      </c>
      <c r="J25" s="24" t="n">
        <v>38</v>
      </c>
      <c r="K25" s="27" t="n">
        <v>0.085</v>
      </c>
      <c r="L25" s="28" t="n">
        <f aca="false">MIN(Assumptions!$C$18,K25*Assumptions!$D$15)</f>
        <v>0.0527</v>
      </c>
      <c r="M25" s="28" t="n">
        <f aca="false">MIN(Assumptions!$C$18,K25*Assumptions!$D$16)</f>
        <v>0.1105</v>
      </c>
      <c r="N25" s="28" t="n">
        <f aca="false">MIN(Assumptions!$C$18,K25*Assumptions!$D$17)</f>
        <v>0.0816</v>
      </c>
      <c r="O25" s="28" t="n">
        <f aca="false">IF(I25&gt;=Assumptions!$B$36,Assumptions!$C$36,IF(I25&gt;=Assumptions!$B$37,Assumptions!$C$37,IF(I25&gt;=Assumptions!$B$38,Assumptions!$C$38,Assumptions!$C$39)))</f>
        <v>0.04</v>
      </c>
      <c r="P25" s="28" t="n">
        <f aca="false">IF(H25&gt;=Assumptions!$B$44,Assumptions!$C$44,IF(H25&gt;=Assumptions!$B$45,Assumptions!$C$45,IF(H25&gt;=Assumptions!$B$46,Assumptions!$C$46,Assumptions!$C$47)))</f>
        <v>0.035</v>
      </c>
      <c r="Q25" s="24" t="n">
        <v>1</v>
      </c>
      <c r="R25" s="28" t="n">
        <f aca="false">Q25*Assumptions!$C$51</f>
        <v>0.02</v>
      </c>
      <c r="S25" s="27" t="n">
        <v>0.015</v>
      </c>
      <c r="T25" s="27" t="n">
        <v>0.025</v>
      </c>
      <c r="U25" s="27" t="n">
        <v>0.015</v>
      </c>
      <c r="V25" s="27" t="n">
        <v>0.008</v>
      </c>
      <c r="W25" s="27" t="n">
        <v>0</v>
      </c>
      <c r="X25" s="28" t="n">
        <f aca="false">P25+R25+SUM(S25:W25)</f>
        <v>0.118</v>
      </c>
      <c r="Y25" s="24" t="n">
        <v>0</v>
      </c>
      <c r="Z25" s="29" t="n">
        <f aca="false">LN(H25)</f>
        <v>9.74120388947868</v>
      </c>
      <c r="AA25" s="17" t="n">
        <f aca="false">ROUND(SUMIF(Lines!$B:$B,B25,Lines!$I:$I),2)</f>
        <v>1297636</v>
      </c>
      <c r="AB25" s="17" t="n">
        <f aca="false">ROUND(SUMIF(Lines!$B:$B,B25,Lines!$L:$L),2)</f>
        <v>1125440.28</v>
      </c>
      <c r="AC25" s="17" t="n">
        <f aca="false">ROUND(SUMIF(Lines!$B:$B,B25,Lines!$T:$T),2)</f>
        <v>992638.34</v>
      </c>
      <c r="AD25" s="17" t="n">
        <f aca="false">ROUND(SUMIF(Lines!$B:$B,B25,Lines!$U:$U),2)</f>
        <v>740876</v>
      </c>
      <c r="AE25" s="17" t="n">
        <f aca="false">ROUND(SUMIF(Lines!$B:$B,B25,Lines!$V:$V),2)</f>
        <v>22508.81</v>
      </c>
      <c r="AF25" s="17" t="n">
        <f aca="false">ROUND(AC25-AD25-AE25,2)</f>
        <v>229253.53</v>
      </c>
      <c r="AG25" s="26" t="n">
        <f aca="false">RANK(AC25,$AC$6:$AC$185)</f>
        <v>12</v>
      </c>
      <c r="AJ25" s="26" t="n">
        <f aca="false">IF(AND(H25&gt;=0.85*Assumptions!$B$44,H25&lt;Assumptions!$B$44),Assumptions!$B$44,IF(AND(H25&gt;=0.85*Assumptions!$B$45,H25&lt;Assumptions!$B$45),Assumptions!$B$45,IF(AND(H25&gt;=0.85*Assumptions!$B$46,H25&lt;Assumptions!$B$46),Assumptions!$B$46,0)))</f>
        <v>0</v>
      </c>
      <c r="AK25" s="26" t="n">
        <f aca="false">IF(AJ25=0,0,AJ25-H25)</f>
        <v>0</v>
      </c>
      <c r="AL25" s="28" t="n">
        <f aca="false">IF(AJ25=Assumptions!$B$44,Assumptions!$C$44,IF(AJ25=Assumptions!$B$45,Assumptions!$C$45,IF(AJ25=Assumptions!$B$46,Assumptions!$C$46,0)))</f>
        <v>0</v>
      </c>
      <c r="AM25" s="17" t="n">
        <f aca="false">IF(AJ25=0,0,AB25*(AL25-P25))</f>
        <v>0</v>
      </c>
      <c r="AN25" s="17" t="n">
        <f aca="false">ROUND(AN43+AM25,2)</f>
        <v>128252.25</v>
      </c>
      <c r="AO25" s="17" t="n">
        <f aca="false">SUMIF(Lines!$B$6:$B$463,$B25,Lines!$M$6:$M$463)</f>
        <v>39390.41</v>
      </c>
      <c r="AP25" s="17" t="n">
        <f aca="false">(AB25/H25)*(MAX(0,MIN(H25,Assumptions!$B$46)-Assumptions!$B$47)*Assumptions!$C$47+MAX(0,MIN(H25,Assumptions!$B$45)-Assumptions!$B$46)*Assumptions!$C$46+MAX(0,MIN(H25,Assumptions!$B$44)-Assumptions!$B$45)*Assumptions!$C$45+MAX(0,H25-Assumptions!$B$44)*Assumptions!$C$44)</f>
        <v>25491.1826299224</v>
      </c>
      <c r="AQ25" s="17" t="n">
        <f aca="false">ROUND(SUMIF(Lines!$B:$B,B25,Lines!$N:$N),2)</f>
        <v>22508.81</v>
      </c>
    </row>
    <row r="26" customFormat="false" ht="15" hidden="false" customHeight="false" outlineLevel="0" collapsed="false">
      <c r="B26" s="14" t="s">
        <v>171</v>
      </c>
      <c r="C26" s="14" t="s">
        <v>162</v>
      </c>
      <c r="D26" s="14" t="s">
        <v>163</v>
      </c>
      <c r="E26" s="24" t="n">
        <v>306</v>
      </c>
      <c r="F26" s="24" t="n">
        <v>12402</v>
      </c>
      <c r="G26" s="24" t="n">
        <v>871</v>
      </c>
      <c r="H26" s="26" t="n">
        <f aca="false">SUM(E26:G26)</f>
        <v>13579</v>
      </c>
      <c r="I26" s="24" t="n">
        <v>584</v>
      </c>
      <c r="J26" s="24" t="n">
        <v>23</v>
      </c>
      <c r="K26" s="27" t="n">
        <v>0.04</v>
      </c>
      <c r="L26" s="28" t="n">
        <f aca="false">MIN(Assumptions!$C$18,K26*Assumptions!$D$15)</f>
        <v>0.0248</v>
      </c>
      <c r="M26" s="28" t="n">
        <f aca="false">MIN(Assumptions!$C$18,K26*Assumptions!$D$16)</f>
        <v>0.052</v>
      </c>
      <c r="N26" s="28" t="n">
        <f aca="false">MIN(Assumptions!$C$18,K26*Assumptions!$D$17)</f>
        <v>0.0384</v>
      </c>
      <c r="O26" s="28" t="n">
        <f aca="false">IF(I26&gt;=Assumptions!$B$36,Assumptions!$C$36,IF(I26&gt;=Assumptions!$B$37,Assumptions!$C$37,IF(I26&gt;=Assumptions!$B$38,Assumptions!$C$38,Assumptions!$C$39)))</f>
        <v>0.06</v>
      </c>
      <c r="P26" s="28" t="n">
        <f aca="false">IF(H26&gt;=Assumptions!$B$44,Assumptions!$C$44,IF(H26&gt;=Assumptions!$B$45,Assumptions!$C$45,IF(H26&gt;=Assumptions!$B$46,Assumptions!$C$46,Assumptions!$C$47)))</f>
        <v>0.035</v>
      </c>
      <c r="Q26" s="24" t="n">
        <v>1</v>
      </c>
      <c r="R26" s="28" t="n">
        <f aca="false">Q26*Assumptions!$C$51</f>
        <v>0.02</v>
      </c>
      <c r="S26" s="27" t="n">
        <v>0.015</v>
      </c>
      <c r="T26" s="27" t="n">
        <v>0.025</v>
      </c>
      <c r="U26" s="27" t="n">
        <v>0.015</v>
      </c>
      <c r="V26" s="27" t="n">
        <v>0.008</v>
      </c>
      <c r="W26" s="27" t="n">
        <v>0.01</v>
      </c>
      <c r="X26" s="28" t="n">
        <f aca="false">P26+R26+SUM(S26:W26)</f>
        <v>0.128</v>
      </c>
      <c r="Y26" s="24" t="n">
        <v>0</v>
      </c>
      <c r="Z26" s="29" t="n">
        <f aca="false">LN(H26)</f>
        <v>9.5162797606988</v>
      </c>
      <c r="AA26" s="17" t="n">
        <f aca="false">ROUND(SUMIF(Lines!$B:$B,B26,Lines!$I:$I),2)</f>
        <v>897828</v>
      </c>
      <c r="AB26" s="17" t="n">
        <f aca="false">ROUND(SUMIF(Lines!$B:$B,B26,Lines!$L:$L),2)</f>
        <v>799640.28</v>
      </c>
      <c r="AC26" s="17" t="n">
        <f aca="false">ROUND(SUMIF(Lines!$B:$B,B26,Lines!$T:$T),2)</f>
        <v>697286.32</v>
      </c>
      <c r="AD26" s="17" t="n">
        <f aca="false">ROUND(SUMIF(Lines!$B:$B,B26,Lines!$U:$U),2)</f>
        <v>520858</v>
      </c>
      <c r="AE26" s="17" t="n">
        <f aca="false">ROUND(SUMIF(Lines!$B:$B,B26,Lines!$V:$V),2)</f>
        <v>15992.8</v>
      </c>
      <c r="AF26" s="17" t="n">
        <f aca="false">ROUND(AC26-AD26-AE26,2)</f>
        <v>160435.52</v>
      </c>
      <c r="AG26" s="26" t="n">
        <f aca="false">RANK(AC26,$AC$6:$AC$185)</f>
        <v>23</v>
      </c>
      <c r="AJ26" s="26" t="n">
        <f aca="false">IF(AND(H26&gt;=0.85*Assumptions!$B$44,H26&lt;Assumptions!$B$44),Assumptions!$B$44,IF(AND(H26&gt;=0.85*Assumptions!$B$45,H26&lt;Assumptions!$B$45),Assumptions!$B$45,IF(AND(H26&gt;=0.85*Assumptions!$B$46,H26&lt;Assumptions!$B$46),Assumptions!$B$46,0)))</f>
        <v>0</v>
      </c>
      <c r="AK26" s="26" t="n">
        <f aca="false">IF(AJ26=0,0,AJ26-H26)</f>
        <v>0</v>
      </c>
      <c r="AL26" s="28" t="n">
        <f aca="false">IF(AJ26=Assumptions!$B$44,Assumptions!$C$44,IF(AJ26=Assumptions!$B$45,Assumptions!$C$45,IF(AJ26=Assumptions!$B$46,Assumptions!$C$46,0)))</f>
        <v>0</v>
      </c>
      <c r="AM26" s="17" t="n">
        <f aca="false">IF(AJ26=0,0,AB26*(AL26-P26))</f>
        <v>0</v>
      </c>
      <c r="AN26" s="17" t="n">
        <f aca="false">ROUND(AN44+AM26,2)</f>
        <v>138146.69</v>
      </c>
      <c r="AO26" s="17" t="n">
        <f aca="false">SUMIF(Lines!$B$6:$B$463,$B26,Lines!$M$6:$M$463)</f>
        <v>27987.42</v>
      </c>
      <c r="AP26" s="17" t="n">
        <f aca="false">(AB26/H26)*(MAX(0,MIN(H26,Assumptions!$B$46)-Assumptions!$B$47)*Assumptions!$C$47+MAX(0,MIN(H26,Assumptions!$B$45)-Assumptions!$B$46)*Assumptions!$C$46+MAX(0,MIN(H26,Assumptions!$B$44)-Assumptions!$B$45)*Assumptions!$C$45+MAX(0,H26-Assumptions!$B$44)*Assumptions!$C$44)</f>
        <v>15620.9278204728</v>
      </c>
      <c r="AQ26" s="17" t="n">
        <f aca="false">ROUND(SUMIF(Lines!$B:$B,B26,Lines!$N:$N),2)</f>
        <v>15992.8</v>
      </c>
    </row>
    <row r="27" customFormat="false" ht="15" hidden="false" customHeight="false" outlineLevel="0" collapsed="false">
      <c r="B27" s="14" t="s">
        <v>172</v>
      </c>
      <c r="C27" s="14" t="s">
        <v>162</v>
      </c>
      <c r="D27" s="14" t="s">
        <v>163</v>
      </c>
      <c r="E27" s="24" t="n">
        <v>122</v>
      </c>
      <c r="F27" s="24" t="n">
        <v>5532</v>
      </c>
      <c r="G27" s="24" t="n">
        <v>2490</v>
      </c>
      <c r="H27" s="26" t="n">
        <f aca="false">SUM(E27:G27)</f>
        <v>8144</v>
      </c>
      <c r="I27" s="24" t="n">
        <v>439</v>
      </c>
      <c r="J27" s="24" t="n">
        <v>19</v>
      </c>
      <c r="K27" s="27" t="n">
        <v>0.145</v>
      </c>
      <c r="L27" s="28" t="n">
        <f aca="false">MIN(Assumptions!$C$18,K27*Assumptions!$D$15)</f>
        <v>0.0899</v>
      </c>
      <c r="M27" s="28" t="n">
        <f aca="false">MIN(Assumptions!$C$18,K27*Assumptions!$D$16)</f>
        <v>0.1885</v>
      </c>
      <c r="N27" s="28" t="n">
        <f aca="false">MIN(Assumptions!$C$18,K27*Assumptions!$D$17)</f>
        <v>0.1392</v>
      </c>
      <c r="O27" s="28" t="n">
        <f aca="false">IF(I27&gt;=Assumptions!$B$36,Assumptions!$C$36,IF(I27&gt;=Assumptions!$B$37,Assumptions!$C$37,IF(I27&gt;=Assumptions!$B$38,Assumptions!$C$38,Assumptions!$C$39)))</f>
        <v>0.04</v>
      </c>
      <c r="P27" s="28" t="n">
        <f aca="false">IF(H27&gt;=Assumptions!$B$44,Assumptions!$C$44,IF(H27&gt;=Assumptions!$B$45,Assumptions!$C$45,IF(H27&gt;=Assumptions!$B$46,Assumptions!$C$46,Assumptions!$C$47)))</f>
        <v>0.02</v>
      </c>
      <c r="Q27" s="24" t="n">
        <v>1</v>
      </c>
      <c r="R27" s="28" t="n">
        <f aca="false">Q27*Assumptions!$C$51</f>
        <v>0.02</v>
      </c>
      <c r="S27" s="27" t="n">
        <v>0.015</v>
      </c>
      <c r="T27" s="27" t="n">
        <v>0.025</v>
      </c>
      <c r="U27" s="27" t="n">
        <v>0.015</v>
      </c>
      <c r="V27" s="27" t="n">
        <v>0.008</v>
      </c>
      <c r="W27" s="27" t="n">
        <v>0.01</v>
      </c>
      <c r="X27" s="28" t="n">
        <f aca="false">P27+R27+SUM(S27:W27)</f>
        <v>0.113</v>
      </c>
      <c r="Y27" s="24" t="n">
        <v>0</v>
      </c>
      <c r="Z27" s="29" t="n">
        <f aca="false">LN(H27)</f>
        <v>9.0050367387903</v>
      </c>
      <c r="AA27" s="17" t="n">
        <f aca="false">ROUND(SUMIF(Lines!$B:$B,B27,Lines!$I:$I),2)</f>
        <v>600080</v>
      </c>
      <c r="AB27" s="17" t="n">
        <f aca="false">ROUND(SUMIF(Lines!$B:$B,B27,Lines!$L:$L),2)</f>
        <v>476526.72</v>
      </c>
      <c r="AC27" s="17" t="n">
        <f aca="false">ROUND(SUMIF(Lines!$B:$B,B27,Lines!$T:$T),2)</f>
        <v>422679.22</v>
      </c>
      <c r="AD27" s="17" t="n">
        <f aca="false">ROUND(SUMIF(Lines!$B:$B,B27,Lines!$U:$U),2)</f>
        <v>353088</v>
      </c>
      <c r="AE27" s="17" t="n">
        <f aca="false">ROUND(SUMIF(Lines!$B:$B,B27,Lines!$V:$V),2)</f>
        <v>9530.53</v>
      </c>
      <c r="AF27" s="17" t="n">
        <f aca="false">ROUND(AC27-AD27-AE27,2)</f>
        <v>60060.69</v>
      </c>
      <c r="AG27" s="26" t="n">
        <f aca="false">RANK(AC27,$AC$6:$AC$185)</f>
        <v>37</v>
      </c>
      <c r="AJ27" s="26" t="n">
        <f aca="false">IF(AND(H27&gt;=0.85*Assumptions!$B$44,H27&lt;Assumptions!$B$44),Assumptions!$B$44,IF(AND(H27&gt;=0.85*Assumptions!$B$45,H27&lt;Assumptions!$B$45),Assumptions!$B$45,IF(AND(H27&gt;=0.85*Assumptions!$B$46,H27&lt;Assumptions!$B$46),Assumptions!$B$46,0)))</f>
        <v>0</v>
      </c>
      <c r="AK27" s="26" t="n">
        <f aca="false">IF(AJ27=0,0,AJ27-H27)</f>
        <v>0</v>
      </c>
      <c r="AL27" s="28" t="n">
        <f aca="false">IF(AJ27=Assumptions!$B$44,Assumptions!$C$44,IF(AJ27=Assumptions!$B$45,Assumptions!$C$45,IF(AJ27=Assumptions!$B$46,Assumptions!$C$46,0)))</f>
        <v>0</v>
      </c>
      <c r="AM27" s="17" t="n">
        <f aca="false">IF(AJ27=0,0,AB27*(AL27-P27))</f>
        <v>0</v>
      </c>
      <c r="AN27" s="17" t="n">
        <f aca="false">ROUND(AN45+AM27,2)</f>
        <v>138146.69</v>
      </c>
      <c r="AO27" s="17" t="n">
        <f aca="false">SUMIF(Lines!$B$6:$B$463,$B27,Lines!$M$6:$M$463)</f>
        <v>9530.53</v>
      </c>
      <c r="AP27" s="17" t="n">
        <f aca="false">(AB27/H27)*(MAX(0,MIN(H27,Assumptions!$B$46)-Assumptions!$B$47)*Assumptions!$C$47+MAX(0,MIN(H27,Assumptions!$B$45)-Assumptions!$B$46)*Assumptions!$C$46+MAX(0,MIN(H27,Assumptions!$B$44)-Assumptions!$B$45)*Assumptions!$C$45+MAX(0,H27-Assumptions!$B$44)*Assumptions!$C$44)</f>
        <v>6019.77762200393</v>
      </c>
      <c r="AQ27" s="17" t="n">
        <f aca="false">ROUND(SUMIF(Lines!$B:$B,B27,Lines!$N:$N),2)</f>
        <v>9530.53</v>
      </c>
    </row>
    <row r="28" customFormat="false" ht="15" hidden="false" customHeight="false" outlineLevel="0" collapsed="false">
      <c r="B28" s="14" t="s">
        <v>173</v>
      </c>
      <c r="C28" s="14" t="s">
        <v>162</v>
      </c>
      <c r="D28" s="14" t="s">
        <v>174</v>
      </c>
      <c r="E28" s="24" t="n">
        <v>2157</v>
      </c>
      <c r="F28" s="24" t="n">
        <v>9044</v>
      </c>
      <c r="G28" s="24" t="n">
        <v>1945</v>
      </c>
      <c r="H28" s="26" t="n">
        <f aca="false">SUM(E28:G28)</f>
        <v>13146</v>
      </c>
      <c r="I28" s="24" t="n">
        <v>604</v>
      </c>
      <c r="J28" s="24" t="n">
        <v>22</v>
      </c>
      <c r="K28" s="27" t="n">
        <v>0.055</v>
      </c>
      <c r="L28" s="28" t="n">
        <f aca="false">MIN(Assumptions!$C$18,K28*Assumptions!$D$15)</f>
        <v>0.0341</v>
      </c>
      <c r="M28" s="28" t="n">
        <f aca="false">MIN(Assumptions!$C$18,K28*Assumptions!$D$16)</f>
        <v>0.0715</v>
      </c>
      <c r="N28" s="28" t="n">
        <f aca="false">MIN(Assumptions!$C$18,K28*Assumptions!$D$17)</f>
        <v>0.0528</v>
      </c>
      <c r="O28" s="28" t="n">
        <f aca="false">IF(I28&gt;=Assumptions!$B$36,Assumptions!$C$36,IF(I28&gt;=Assumptions!$B$37,Assumptions!$C$37,IF(I28&gt;=Assumptions!$B$38,Assumptions!$C$38,Assumptions!$C$39)))</f>
        <v>0.06</v>
      </c>
      <c r="P28" s="28" t="n">
        <f aca="false">IF(H28&gt;=Assumptions!$B$44,Assumptions!$C$44,IF(H28&gt;=Assumptions!$B$45,Assumptions!$C$45,IF(H28&gt;=Assumptions!$B$46,Assumptions!$C$46,Assumptions!$C$47)))</f>
        <v>0.035</v>
      </c>
      <c r="Q28" s="24" t="n">
        <v>1</v>
      </c>
      <c r="R28" s="28" t="n">
        <f aca="false">Q28*Assumptions!$C$51</f>
        <v>0.02</v>
      </c>
      <c r="S28" s="27" t="n">
        <v>0.015</v>
      </c>
      <c r="T28" s="27" t="n">
        <v>0.025</v>
      </c>
      <c r="U28" s="27" t="n">
        <v>0.015</v>
      </c>
      <c r="V28" s="27" t="n">
        <v>0.008</v>
      </c>
      <c r="W28" s="27" t="n">
        <v>0</v>
      </c>
      <c r="X28" s="28" t="n">
        <f aca="false">P28+R28+SUM(S28:W28)</f>
        <v>0.118</v>
      </c>
      <c r="Y28" s="24" t="n">
        <v>0</v>
      </c>
      <c r="Z28" s="29" t="n">
        <f aca="false">LN(H28)</f>
        <v>9.48387280882352</v>
      </c>
      <c r="AA28" s="17" t="n">
        <f aca="false">ROUND(SUMIF(Lines!$B:$B,B28,Lines!$I:$I),2)</f>
        <v>1066684</v>
      </c>
      <c r="AB28" s="17" t="n">
        <f aca="false">ROUND(SUMIF(Lines!$B:$B,B28,Lines!$L:$L),2)</f>
        <v>941846.14</v>
      </c>
      <c r="AC28" s="17" t="n">
        <f aca="false">ROUND(SUMIF(Lines!$B:$B,B28,Lines!$T:$T),2)</f>
        <v>830708.28</v>
      </c>
      <c r="AD28" s="17" t="n">
        <f aca="false">ROUND(SUMIF(Lines!$B:$B,B28,Lines!$U:$U),2)</f>
        <v>606640</v>
      </c>
      <c r="AE28" s="17" t="n">
        <f aca="false">ROUND(SUMIF(Lines!$B:$B,B28,Lines!$V:$V),2)</f>
        <v>18836.93</v>
      </c>
      <c r="AF28" s="17" t="n">
        <f aca="false">ROUND(AC28-AD28-AE28,2)</f>
        <v>205231.35</v>
      </c>
      <c r="AG28" s="26" t="n">
        <f aca="false">RANK(AC28,$AC$6:$AC$185)</f>
        <v>16</v>
      </c>
      <c r="AJ28" s="26" t="n">
        <f aca="false">IF(AND(H28&gt;=0.85*Assumptions!$B$44,H28&lt;Assumptions!$B$44),Assumptions!$B$44,IF(AND(H28&gt;=0.85*Assumptions!$B$45,H28&lt;Assumptions!$B$45),Assumptions!$B$45,IF(AND(H28&gt;=0.85*Assumptions!$B$46,H28&lt;Assumptions!$B$46),Assumptions!$B$46,0)))</f>
        <v>0</v>
      </c>
      <c r="AK28" s="26" t="n">
        <f aca="false">IF(AJ28=0,0,AJ28-H28)</f>
        <v>0</v>
      </c>
      <c r="AL28" s="28" t="n">
        <f aca="false">IF(AJ28=Assumptions!$B$44,Assumptions!$C$44,IF(AJ28=Assumptions!$B$45,Assumptions!$C$45,IF(AJ28=Assumptions!$B$46,Assumptions!$C$46,0)))</f>
        <v>0</v>
      </c>
      <c r="AM28" s="17" t="n">
        <f aca="false">IF(AJ28=0,0,AB28*(AL28-P28))</f>
        <v>0</v>
      </c>
      <c r="AN28" s="17" t="n">
        <f aca="false">ROUND(AN18+AM28,2)</f>
        <v>116053.77</v>
      </c>
      <c r="AO28" s="17" t="n">
        <f aca="false">SUMIF(Lines!$B$6:$B$463,$B28,Lines!$M$6:$M$463)</f>
        <v>32964.62</v>
      </c>
      <c r="AP28" s="17" t="n">
        <f aca="false">(AB28/H28)*(MAX(0,MIN(H28,Assumptions!$B$46)-Assumptions!$B$47)*Assumptions!$C$47+MAX(0,MIN(H28,Assumptions!$B$45)-Assumptions!$B$46)*Assumptions!$C$46+MAX(0,MIN(H28,Assumptions!$B$44)-Assumptions!$B$45)*Assumptions!$C$45+MAX(0,H28-Assumptions!$B$44)*Assumptions!$C$44)</f>
        <v>17919.1494047923</v>
      </c>
      <c r="AQ28" s="17" t="n">
        <f aca="false">ROUND(SUMIF(Lines!$B:$B,B28,Lines!$N:$N),2)</f>
        <v>18836.93</v>
      </c>
    </row>
    <row r="29" customFormat="false" ht="15" hidden="false" customHeight="false" outlineLevel="0" collapsed="false">
      <c r="B29" s="14" t="s">
        <v>175</v>
      </c>
      <c r="C29" s="14" t="s">
        <v>162</v>
      </c>
      <c r="D29" s="14" t="s">
        <v>174</v>
      </c>
      <c r="E29" s="24" t="n">
        <v>1854</v>
      </c>
      <c r="F29" s="24" t="n">
        <v>10593</v>
      </c>
      <c r="G29" s="24" t="n">
        <v>3698</v>
      </c>
      <c r="H29" s="26" t="n">
        <f aca="false">SUM(E29:G29)</f>
        <v>16145</v>
      </c>
      <c r="I29" s="24" t="n">
        <v>425</v>
      </c>
      <c r="J29" s="24" t="n">
        <v>38</v>
      </c>
      <c r="K29" s="27" t="n">
        <v>0.08</v>
      </c>
      <c r="L29" s="28" t="n">
        <f aca="false">MIN(Assumptions!$C$18,K29*Assumptions!$D$15)</f>
        <v>0.0496</v>
      </c>
      <c r="M29" s="28" t="n">
        <f aca="false">MIN(Assumptions!$C$18,K29*Assumptions!$D$16)</f>
        <v>0.104</v>
      </c>
      <c r="N29" s="28" t="n">
        <f aca="false">MIN(Assumptions!$C$18,K29*Assumptions!$D$17)</f>
        <v>0.0768</v>
      </c>
      <c r="O29" s="28" t="n">
        <f aca="false">IF(I29&gt;=Assumptions!$B$36,Assumptions!$C$36,IF(I29&gt;=Assumptions!$B$37,Assumptions!$C$37,IF(I29&gt;=Assumptions!$B$38,Assumptions!$C$38,Assumptions!$C$39)))</f>
        <v>0.04</v>
      </c>
      <c r="P29" s="28" t="n">
        <f aca="false">IF(H29&gt;=Assumptions!$B$44,Assumptions!$C$44,IF(H29&gt;=Assumptions!$B$45,Assumptions!$C$45,IF(H29&gt;=Assumptions!$B$46,Assumptions!$C$46,Assumptions!$C$47)))</f>
        <v>0.035</v>
      </c>
      <c r="Q29" s="24" t="n">
        <v>1</v>
      </c>
      <c r="R29" s="28" t="n">
        <f aca="false">Q29*Assumptions!$C$51</f>
        <v>0.02</v>
      </c>
      <c r="S29" s="27" t="n">
        <v>0.015</v>
      </c>
      <c r="T29" s="27" t="n">
        <v>0.025</v>
      </c>
      <c r="U29" s="27" t="n">
        <v>0</v>
      </c>
      <c r="V29" s="27" t="n">
        <v>0.008</v>
      </c>
      <c r="W29" s="27" t="n">
        <v>0.01</v>
      </c>
      <c r="X29" s="28" t="n">
        <f aca="false">P29+R29+SUM(S29:W29)</f>
        <v>0.113</v>
      </c>
      <c r="Y29" s="24" t="n">
        <v>1</v>
      </c>
      <c r="Z29" s="29" t="n">
        <f aca="false">LN(H29)</f>
        <v>9.68936568319238</v>
      </c>
      <c r="AA29" s="17" t="n">
        <f aca="false">ROUND(SUMIF(Lines!$B:$B,B29,Lines!$I:$I),2)</f>
        <v>1286166</v>
      </c>
      <c r="AB29" s="17" t="n">
        <f aca="false">ROUND(SUMIF(Lines!$B:$B,B29,Lines!$L:$L),2)</f>
        <v>1125541.25</v>
      </c>
      <c r="AC29" s="17" t="n">
        <f aca="false">ROUND(SUMIF(Lines!$B:$B,B29,Lines!$T:$T),2)</f>
        <v>998355.09</v>
      </c>
      <c r="AD29" s="17" t="n">
        <f aca="false">ROUND(SUMIF(Lines!$B:$B,B29,Lines!$U:$U),2)</f>
        <v>740444</v>
      </c>
      <c r="AE29" s="17" t="n">
        <f aca="false">ROUND(SUMIF(Lines!$B:$B,B29,Lines!$V:$V),2)</f>
        <v>22510.82</v>
      </c>
      <c r="AF29" s="17" t="n">
        <f aca="false">ROUND(AC29-AD29-AE29,2)</f>
        <v>235400.27</v>
      </c>
      <c r="AG29" s="26" t="n">
        <f aca="false">RANK(AC29,$AC$6:$AC$185)</f>
        <v>11</v>
      </c>
      <c r="AJ29" s="26" t="n">
        <f aca="false">IF(AND(H29&gt;=0.85*Assumptions!$B$44,H29&lt;Assumptions!$B$44),Assumptions!$B$44,IF(AND(H29&gt;=0.85*Assumptions!$B$45,H29&lt;Assumptions!$B$45),Assumptions!$B$45,IF(AND(H29&gt;=0.85*Assumptions!$B$46,H29&lt;Assumptions!$B$46),Assumptions!$B$46,0)))</f>
        <v>0</v>
      </c>
      <c r="AK29" s="26" t="n">
        <f aca="false">IF(AJ29=0,0,AJ29-H29)</f>
        <v>0</v>
      </c>
      <c r="AL29" s="28" t="n">
        <f aca="false">IF(AJ29=Assumptions!$B$44,Assumptions!$C$44,IF(AJ29=Assumptions!$B$45,Assumptions!$C$45,IF(AJ29=Assumptions!$B$46,Assumptions!$C$46,0)))</f>
        <v>0</v>
      </c>
      <c r="AM29" s="17" t="n">
        <f aca="false">IF(AJ29=0,0,AB29*(AL29-P29))</f>
        <v>0</v>
      </c>
      <c r="AN29" s="17" t="n">
        <f aca="false">ROUND(AN19+AM29,2)</f>
        <v>116053.77</v>
      </c>
      <c r="AO29" s="17" t="n">
        <f aca="false">SUMIF(Lines!$B$6:$B$463,$B29,Lines!$M$6:$M$463)</f>
        <v>39393.95</v>
      </c>
      <c r="AP29" s="17" t="n">
        <f aca="false">(AB29/H29)*(MAX(0,MIN(H29,Assumptions!$B$46)-Assumptions!$B$47)*Assumptions!$C$47+MAX(0,MIN(H29,Assumptions!$B$45)-Assumptions!$B$46)*Assumptions!$C$46+MAX(0,MIN(H29,Assumptions!$B$44)-Assumptions!$B$45)*Assumptions!$C$45+MAX(0,H29-Assumptions!$B$44)*Assumptions!$C$44)</f>
        <v>24753.8903278879</v>
      </c>
      <c r="AQ29" s="17" t="n">
        <f aca="false">ROUND(SUMIF(Lines!$B:$B,B29,Lines!$N:$N),2)</f>
        <v>22510.82</v>
      </c>
    </row>
    <row r="30" customFormat="false" ht="15" hidden="false" customHeight="false" outlineLevel="0" collapsed="false">
      <c r="B30" s="14" t="s">
        <v>176</v>
      </c>
      <c r="C30" s="14" t="s">
        <v>162</v>
      </c>
      <c r="D30" s="14" t="s">
        <v>174</v>
      </c>
      <c r="E30" s="24" t="n">
        <v>34</v>
      </c>
      <c r="F30" s="24" t="n">
        <v>1183</v>
      </c>
      <c r="G30" s="24" t="n">
        <v>357</v>
      </c>
      <c r="H30" s="26" t="n">
        <f aca="false">SUM(E30:G30)</f>
        <v>1574</v>
      </c>
      <c r="I30" s="24" t="n">
        <v>241</v>
      </c>
      <c r="J30" s="24" t="n">
        <v>7</v>
      </c>
      <c r="K30" s="27" t="n">
        <v>0.1</v>
      </c>
      <c r="L30" s="28" t="n">
        <f aca="false">MIN(Assumptions!$C$18,K30*Assumptions!$D$15)</f>
        <v>0.062</v>
      </c>
      <c r="M30" s="28" t="n">
        <f aca="false">MIN(Assumptions!$C$18,K30*Assumptions!$D$16)</f>
        <v>0.13</v>
      </c>
      <c r="N30" s="28" t="n">
        <f aca="false">MIN(Assumptions!$C$18,K30*Assumptions!$D$17)</f>
        <v>0.096</v>
      </c>
      <c r="O30" s="28" t="n">
        <f aca="false">IF(I30&gt;=Assumptions!$B$36,Assumptions!$C$36,IF(I30&gt;=Assumptions!$B$37,Assumptions!$C$37,IF(I30&gt;=Assumptions!$B$38,Assumptions!$C$38,Assumptions!$C$39)))</f>
        <v>0.04</v>
      </c>
      <c r="P30" s="28" t="n">
        <f aca="false">IF(H30&gt;=Assumptions!$B$44,Assumptions!$C$44,IF(H30&gt;=Assumptions!$B$45,Assumptions!$C$45,IF(H30&gt;=Assumptions!$B$46,Assumptions!$C$46,Assumptions!$C$47)))</f>
        <v>0</v>
      </c>
      <c r="Q30" s="24" t="n">
        <v>1</v>
      </c>
      <c r="R30" s="28" t="n">
        <f aca="false">Q30*Assumptions!$C$51</f>
        <v>0.02</v>
      </c>
      <c r="S30" s="27" t="n">
        <v>0.015</v>
      </c>
      <c r="T30" s="27" t="n">
        <v>0.025</v>
      </c>
      <c r="U30" s="27" t="n">
        <v>0.015</v>
      </c>
      <c r="V30" s="27" t="n">
        <v>0.008</v>
      </c>
      <c r="W30" s="27" t="n">
        <v>0</v>
      </c>
      <c r="X30" s="28" t="n">
        <f aca="false">P30+R30+SUM(S30:W30)</f>
        <v>0.083</v>
      </c>
      <c r="Y30" s="24" t="n">
        <v>1</v>
      </c>
      <c r="Z30" s="29" t="n">
        <f aca="false">LN(H30)</f>
        <v>7.36137542897735</v>
      </c>
      <c r="AA30" s="17" t="n">
        <f aca="false">ROUND(SUMIF(Lines!$B:$B,B30,Lines!$I:$I),2)</f>
        <v>112650</v>
      </c>
      <c r="AB30" s="17" t="n">
        <f aca="false">ROUND(SUMIF(Lines!$B:$B,B30,Lines!$L:$L),2)</f>
        <v>95006.93</v>
      </c>
      <c r="AC30" s="17" t="n">
        <f aca="false">ROUND(SUMIF(Lines!$B:$B,B30,Lines!$T:$T),2)</f>
        <v>87121.34</v>
      </c>
      <c r="AD30" s="17" t="n">
        <f aca="false">ROUND(SUMIF(Lines!$B:$B,B30,Lines!$U:$U),2)</f>
        <v>65946</v>
      </c>
      <c r="AE30" s="17" t="n">
        <f aca="false">ROUND(SUMIF(Lines!$B:$B,B30,Lines!$V:$V),2)</f>
        <v>1900.13</v>
      </c>
      <c r="AF30" s="17" t="n">
        <f aca="false">ROUND(AC30-AD30-AE30,2)</f>
        <v>19275.21</v>
      </c>
      <c r="AG30" s="26" t="n">
        <f aca="false">RANK(AC30,$AC$6:$AC$185)</f>
        <v>124</v>
      </c>
      <c r="AJ30" s="26" t="n">
        <f aca="false">IF(AND(H30&gt;=0.85*Assumptions!$B$44,H30&lt;Assumptions!$B$44),Assumptions!$B$44,IF(AND(H30&gt;=0.85*Assumptions!$B$45,H30&lt;Assumptions!$B$45),Assumptions!$B$45,IF(AND(H30&gt;=0.85*Assumptions!$B$46,H30&lt;Assumptions!$B$46),Assumptions!$B$46,0)))</f>
        <v>0</v>
      </c>
      <c r="AK30" s="26" t="n">
        <f aca="false">IF(AJ30=0,0,AJ30-H30)</f>
        <v>0</v>
      </c>
      <c r="AL30" s="28" t="n">
        <f aca="false">IF(AJ30=Assumptions!$B$44,Assumptions!$C$44,IF(AJ30=Assumptions!$B$45,Assumptions!$C$45,IF(AJ30=Assumptions!$B$46,Assumptions!$C$46,0)))</f>
        <v>0</v>
      </c>
      <c r="AM30" s="17" t="n">
        <f aca="false">IF(AJ30=0,0,AB30*(AL30-P30))</f>
        <v>0</v>
      </c>
      <c r="AN30" s="17" t="n">
        <f aca="false">ROUND(AN20+AM30,2)</f>
        <v>116053.77</v>
      </c>
      <c r="AO30" s="17" t="n">
        <f aca="false">SUMIF(Lines!$B$6:$B$463,$B30,Lines!$M$6:$M$463)</f>
        <v>0</v>
      </c>
      <c r="AP30" s="17" t="n">
        <f aca="false">(AB30/H30)*(MAX(0,MIN(H30,Assumptions!$B$46)-Assumptions!$B$47)*Assumptions!$C$47+MAX(0,MIN(H30,Assumptions!$B$45)-Assumptions!$B$46)*Assumptions!$C$46+MAX(0,MIN(H30,Assumptions!$B$44)-Assumptions!$B$45)*Assumptions!$C$45+MAX(0,H30-Assumptions!$B$44)*Assumptions!$C$44)</f>
        <v>0</v>
      </c>
      <c r="AQ30" s="17" t="n">
        <f aca="false">ROUND(SUMIF(Lines!$B:$B,B30,Lines!$N:$N),2)</f>
        <v>1900.13</v>
      </c>
    </row>
    <row r="31" customFormat="false" ht="15" hidden="false" customHeight="false" outlineLevel="0" collapsed="false">
      <c r="B31" s="14" t="s">
        <v>177</v>
      </c>
      <c r="C31" s="14" t="s">
        <v>162</v>
      </c>
      <c r="D31" s="14" t="s">
        <v>174</v>
      </c>
      <c r="E31" s="24" t="n">
        <v>392</v>
      </c>
      <c r="F31" s="24" t="n">
        <v>2589</v>
      </c>
      <c r="G31" s="24" t="n">
        <v>904</v>
      </c>
      <c r="H31" s="26" t="n">
        <f aca="false">SUM(E31:G31)</f>
        <v>3885</v>
      </c>
      <c r="I31" s="24" t="n">
        <v>427</v>
      </c>
      <c r="J31" s="24" t="n">
        <v>9</v>
      </c>
      <c r="K31" s="27" t="n">
        <v>0.02</v>
      </c>
      <c r="L31" s="28" t="n">
        <f aca="false">MIN(Assumptions!$C$18,K31*Assumptions!$D$15)</f>
        <v>0.0124</v>
      </c>
      <c r="M31" s="28" t="n">
        <f aca="false">MIN(Assumptions!$C$18,K31*Assumptions!$D$16)</f>
        <v>0.026</v>
      </c>
      <c r="N31" s="28" t="n">
        <f aca="false">MIN(Assumptions!$C$18,K31*Assumptions!$D$17)</f>
        <v>0.0192</v>
      </c>
      <c r="O31" s="28" t="n">
        <f aca="false">IF(I31&gt;=Assumptions!$B$36,Assumptions!$C$36,IF(I31&gt;=Assumptions!$B$37,Assumptions!$C$37,IF(I31&gt;=Assumptions!$B$38,Assumptions!$C$38,Assumptions!$C$39)))</f>
        <v>0.04</v>
      </c>
      <c r="P31" s="28" t="n">
        <f aca="false">IF(H31&gt;=Assumptions!$B$44,Assumptions!$C$44,IF(H31&gt;=Assumptions!$B$45,Assumptions!$C$45,IF(H31&gt;=Assumptions!$B$46,Assumptions!$C$46,Assumptions!$C$47)))</f>
        <v>0.02</v>
      </c>
      <c r="Q31" s="24" t="n">
        <v>0</v>
      </c>
      <c r="R31" s="28" t="n">
        <f aca="false">Q31*Assumptions!$C$51</f>
        <v>0</v>
      </c>
      <c r="S31" s="27" t="n">
        <v>0.015</v>
      </c>
      <c r="T31" s="27" t="n">
        <v>0.025</v>
      </c>
      <c r="U31" s="27" t="n">
        <v>0</v>
      </c>
      <c r="V31" s="27" t="n">
        <v>0.008</v>
      </c>
      <c r="W31" s="27" t="n">
        <v>0.01</v>
      </c>
      <c r="X31" s="28" t="n">
        <f aca="false">P31+R31+SUM(S31:W31)</f>
        <v>0.078</v>
      </c>
      <c r="Y31" s="24" t="n">
        <v>0</v>
      </c>
      <c r="Z31" s="29" t="n">
        <f aca="false">LN(H31)</f>
        <v>8.26487826280175</v>
      </c>
      <c r="AA31" s="17" t="n">
        <f aca="false">ROUND(SUMIF(Lines!$B:$B,B31,Lines!$I:$I),2)</f>
        <v>305318</v>
      </c>
      <c r="AB31" s="17" t="n">
        <f aca="false">ROUND(SUMIF(Lines!$B:$B,B31,Lines!$L:$L),2)</f>
        <v>286546.16</v>
      </c>
      <c r="AC31" s="17" t="n">
        <f aca="false">ROUND(SUMIF(Lines!$B:$B,B31,Lines!$T:$T),2)</f>
        <v>264195.54</v>
      </c>
      <c r="AD31" s="17" t="n">
        <f aca="false">ROUND(SUMIF(Lines!$B:$B,B31,Lines!$U:$U),2)</f>
        <v>176212</v>
      </c>
      <c r="AE31" s="17" t="n">
        <f aca="false">ROUND(SUMIF(Lines!$B:$B,B31,Lines!$V:$V),2)</f>
        <v>5730.93</v>
      </c>
      <c r="AF31" s="17" t="n">
        <f aca="false">ROUND(AC31-AD31-AE31,2)</f>
        <v>82252.61</v>
      </c>
      <c r="AG31" s="26" t="n">
        <f aca="false">RANK(AC31,$AC$6:$AC$185)</f>
        <v>52</v>
      </c>
      <c r="AJ31" s="26" t="n">
        <f aca="false">IF(AND(H31&gt;=0.85*Assumptions!$B$44,H31&lt;Assumptions!$B$44),Assumptions!$B$44,IF(AND(H31&gt;=0.85*Assumptions!$B$45,H31&lt;Assumptions!$B$45),Assumptions!$B$45,IF(AND(H31&gt;=0.85*Assumptions!$B$46,H31&lt;Assumptions!$B$46),Assumptions!$B$46,0)))</f>
        <v>0</v>
      </c>
      <c r="AK31" s="26" t="n">
        <f aca="false">IF(AJ31=0,0,AJ31-H31)</f>
        <v>0</v>
      </c>
      <c r="AL31" s="28" t="n">
        <f aca="false">IF(AJ31=Assumptions!$B$44,Assumptions!$C$44,IF(AJ31=Assumptions!$B$45,Assumptions!$C$45,IF(AJ31=Assumptions!$B$46,Assumptions!$C$46,0)))</f>
        <v>0</v>
      </c>
      <c r="AM31" s="17" t="n">
        <f aca="false">IF(AJ31=0,0,AB31*(AL31-P31))</f>
        <v>0</v>
      </c>
      <c r="AN31" s="17" t="n">
        <f aca="false">ROUND(AN21+AM31,2)</f>
        <v>116053.77</v>
      </c>
      <c r="AO31" s="17" t="n">
        <f aca="false">SUMIF(Lines!$B$6:$B$463,$B31,Lines!$M$6:$M$463)</f>
        <v>5730.93</v>
      </c>
      <c r="AP31" s="17" t="n">
        <f aca="false">(AB31/H31)*(MAX(0,MIN(H31,Assumptions!$B$46)-Assumptions!$B$47)*Assumptions!$C$47+MAX(0,MIN(H31,Assumptions!$B$45)-Assumptions!$B$46)*Assumptions!$C$46+MAX(0,MIN(H31,Assumptions!$B$44)-Assumptions!$B$45)*Assumptions!$C$45+MAX(0,H31-Assumptions!$B$44)*Assumptions!$C$44)</f>
        <v>1305.49987953668</v>
      </c>
      <c r="AQ31" s="17" t="n">
        <f aca="false">ROUND(SUMIF(Lines!$B:$B,B31,Lines!$N:$N),2)</f>
        <v>0</v>
      </c>
    </row>
    <row r="32" customFormat="false" ht="15" hidden="false" customHeight="false" outlineLevel="0" collapsed="false">
      <c r="B32" s="14" t="s">
        <v>178</v>
      </c>
      <c r="C32" s="14" t="s">
        <v>162</v>
      </c>
      <c r="D32" s="14" t="s">
        <v>174</v>
      </c>
      <c r="E32" s="24" t="n">
        <v>644</v>
      </c>
      <c r="F32" s="24" t="n">
        <v>5297</v>
      </c>
      <c r="G32" s="24" t="n">
        <v>2528</v>
      </c>
      <c r="H32" s="26" t="n">
        <f aca="false">SUM(E32:G32)</f>
        <v>8469</v>
      </c>
      <c r="I32" s="24" t="n">
        <v>358</v>
      </c>
      <c r="J32" s="24" t="n">
        <v>24</v>
      </c>
      <c r="K32" s="27" t="n">
        <v>0.045</v>
      </c>
      <c r="L32" s="28" t="n">
        <f aca="false">MIN(Assumptions!$C$18,K32*Assumptions!$D$15)</f>
        <v>0.0279</v>
      </c>
      <c r="M32" s="28" t="n">
        <f aca="false">MIN(Assumptions!$C$18,K32*Assumptions!$D$16)</f>
        <v>0.0585</v>
      </c>
      <c r="N32" s="28" t="n">
        <f aca="false">MIN(Assumptions!$C$18,K32*Assumptions!$D$17)</f>
        <v>0.0432</v>
      </c>
      <c r="O32" s="28" t="n">
        <f aca="false">IF(I32&gt;=Assumptions!$B$36,Assumptions!$C$36,IF(I32&gt;=Assumptions!$B$37,Assumptions!$C$37,IF(I32&gt;=Assumptions!$B$38,Assumptions!$C$38,Assumptions!$C$39)))</f>
        <v>0.04</v>
      </c>
      <c r="P32" s="28" t="n">
        <f aca="false">IF(H32&gt;=Assumptions!$B$44,Assumptions!$C$44,IF(H32&gt;=Assumptions!$B$45,Assumptions!$C$45,IF(H32&gt;=Assumptions!$B$46,Assumptions!$C$46,Assumptions!$C$47)))</f>
        <v>0.02</v>
      </c>
      <c r="Q32" s="24" t="n">
        <v>1</v>
      </c>
      <c r="R32" s="28" t="n">
        <f aca="false">Q32*Assumptions!$C$51</f>
        <v>0.02</v>
      </c>
      <c r="S32" s="27" t="n">
        <v>0.015</v>
      </c>
      <c r="T32" s="27" t="n">
        <v>0.025</v>
      </c>
      <c r="U32" s="27" t="n">
        <v>0</v>
      </c>
      <c r="V32" s="27" t="n">
        <v>0.008</v>
      </c>
      <c r="W32" s="27" t="n">
        <v>0.01</v>
      </c>
      <c r="X32" s="28" t="n">
        <f aca="false">P32+R32+SUM(S32:W32)</f>
        <v>0.098</v>
      </c>
      <c r="Y32" s="24" t="n">
        <v>1</v>
      </c>
      <c r="Z32" s="29" t="n">
        <f aca="false">LN(H32)</f>
        <v>9.0441677169216</v>
      </c>
      <c r="AA32" s="17" t="n">
        <f aca="false">ROUND(SUMIF(Lines!$B:$B,B32,Lines!$I:$I),2)</f>
        <v>666414</v>
      </c>
      <c r="AB32" s="17" t="n">
        <f aca="false">ROUND(SUMIF(Lines!$B:$B,B32,Lines!$L:$L),2)</f>
        <v>607401.9</v>
      </c>
      <c r="AC32" s="17" t="n">
        <f aca="false">ROUND(SUMIF(Lines!$B:$B,B32,Lines!$T:$T),2)</f>
        <v>547876.52</v>
      </c>
      <c r="AD32" s="17" t="n">
        <f aca="false">ROUND(SUMIF(Lines!$B:$B,B32,Lines!$U:$U),2)</f>
        <v>387548</v>
      </c>
      <c r="AE32" s="17" t="n">
        <f aca="false">ROUND(SUMIF(Lines!$B:$B,B32,Lines!$V:$V),2)</f>
        <v>12148.04</v>
      </c>
      <c r="AF32" s="17" t="n">
        <f aca="false">ROUND(AC32-AD32-AE32,2)</f>
        <v>148180.48</v>
      </c>
      <c r="AG32" s="26" t="n">
        <f aca="false">RANK(AC32,$AC$6:$AC$185)</f>
        <v>28</v>
      </c>
      <c r="AJ32" s="26" t="n">
        <f aca="false">IF(AND(H32&gt;=0.85*Assumptions!$B$44,H32&lt;Assumptions!$B$44),Assumptions!$B$44,IF(AND(H32&gt;=0.85*Assumptions!$B$45,H32&lt;Assumptions!$B$45),Assumptions!$B$45,IF(AND(H32&gt;=0.85*Assumptions!$B$46,H32&lt;Assumptions!$B$46),Assumptions!$B$46,0)))</f>
        <v>0</v>
      </c>
      <c r="AK32" s="26" t="n">
        <f aca="false">IF(AJ32=0,0,AJ32-H32)</f>
        <v>0</v>
      </c>
      <c r="AL32" s="28" t="n">
        <f aca="false">IF(AJ32=Assumptions!$B$44,Assumptions!$C$44,IF(AJ32=Assumptions!$B$45,Assumptions!$C$45,IF(AJ32=Assumptions!$B$46,Assumptions!$C$46,0)))</f>
        <v>0</v>
      </c>
      <c r="AM32" s="17" t="n">
        <f aca="false">IF(AJ32=0,0,AB32*(AL32-P32))</f>
        <v>0</v>
      </c>
      <c r="AN32" s="17" t="n">
        <f aca="false">ROUND(AN22+AM32,2)</f>
        <v>116053.77</v>
      </c>
      <c r="AO32" s="17" t="n">
        <f aca="false">SUMIF(Lines!$B$6:$B$463,$B32,Lines!$M$6:$M$463)</f>
        <v>12148.04</v>
      </c>
      <c r="AP32" s="17" t="n">
        <f aca="false">(AB32/H32)*(MAX(0,MIN(H32,Assumptions!$B$46)-Assumptions!$B$47)*Assumptions!$C$47+MAX(0,MIN(H32,Assumptions!$B$45)-Assumptions!$B$46)*Assumptions!$C$46+MAX(0,MIN(H32,Assumptions!$B$44)-Assumptions!$B$45)*Assumptions!$C$45+MAX(0,H32-Assumptions!$B$44)*Assumptions!$C$44)</f>
        <v>7844.80101806589</v>
      </c>
      <c r="AQ32" s="17" t="n">
        <f aca="false">ROUND(SUMIF(Lines!$B:$B,B32,Lines!$N:$N),2)</f>
        <v>12148.04</v>
      </c>
    </row>
    <row r="33" customFormat="false" ht="15" hidden="false" customHeight="false" outlineLevel="0" collapsed="false">
      <c r="B33" s="14" t="s">
        <v>179</v>
      </c>
      <c r="C33" s="14" t="s">
        <v>162</v>
      </c>
      <c r="D33" s="14" t="s">
        <v>174</v>
      </c>
      <c r="E33" s="24" t="n">
        <v>764</v>
      </c>
      <c r="F33" s="24" t="n">
        <v>4648</v>
      </c>
      <c r="G33" s="24" t="n">
        <v>1695</v>
      </c>
      <c r="H33" s="26" t="n">
        <f aca="false">SUM(E33:G33)</f>
        <v>7107</v>
      </c>
      <c r="I33" s="24" t="n">
        <v>456</v>
      </c>
      <c r="J33" s="24" t="n">
        <v>16</v>
      </c>
      <c r="K33" s="27" t="n">
        <v>0.015</v>
      </c>
      <c r="L33" s="28" t="n">
        <f aca="false">MIN(Assumptions!$C$18,K33*Assumptions!$D$15)</f>
        <v>0.0093</v>
      </c>
      <c r="M33" s="28" t="n">
        <f aca="false">MIN(Assumptions!$C$18,K33*Assumptions!$D$16)</f>
        <v>0.0195</v>
      </c>
      <c r="N33" s="28" t="n">
        <f aca="false">MIN(Assumptions!$C$18,K33*Assumptions!$D$17)</f>
        <v>0.0144</v>
      </c>
      <c r="O33" s="28" t="n">
        <f aca="false">IF(I33&gt;=Assumptions!$B$36,Assumptions!$C$36,IF(I33&gt;=Assumptions!$B$37,Assumptions!$C$37,IF(I33&gt;=Assumptions!$B$38,Assumptions!$C$38,Assumptions!$C$39)))</f>
        <v>0.04</v>
      </c>
      <c r="P33" s="28" t="n">
        <f aca="false">IF(H33&gt;=Assumptions!$B$44,Assumptions!$C$44,IF(H33&gt;=Assumptions!$B$45,Assumptions!$C$45,IF(H33&gt;=Assumptions!$B$46,Assumptions!$C$46,Assumptions!$C$47)))</f>
        <v>0.02</v>
      </c>
      <c r="Q33" s="24" t="n">
        <v>1</v>
      </c>
      <c r="R33" s="28" t="n">
        <f aca="false">Q33*Assumptions!$C$51</f>
        <v>0.02</v>
      </c>
      <c r="S33" s="27" t="n">
        <v>0.015</v>
      </c>
      <c r="T33" s="27" t="n">
        <v>0.025</v>
      </c>
      <c r="U33" s="27" t="n">
        <v>0</v>
      </c>
      <c r="V33" s="27" t="n">
        <v>0.008</v>
      </c>
      <c r="W33" s="27" t="n">
        <v>0</v>
      </c>
      <c r="X33" s="28" t="n">
        <f aca="false">P33+R33+SUM(S33:W33)</f>
        <v>0.088</v>
      </c>
      <c r="Y33" s="24" t="n">
        <v>0</v>
      </c>
      <c r="Z33" s="29" t="n">
        <f aca="false">LN(H33)</f>
        <v>8.8688354928269</v>
      </c>
      <c r="AA33" s="17" t="n">
        <f aca="false">ROUND(SUMIF(Lines!$B:$B,B33,Lines!$I:$I),2)</f>
        <v>563968</v>
      </c>
      <c r="AB33" s="17" t="n">
        <f aca="false">ROUND(SUMIF(Lines!$B:$B,B33,Lines!$L:$L),2)</f>
        <v>532395.11</v>
      </c>
      <c r="AC33" s="17" t="n">
        <f aca="false">ROUND(SUMIF(Lines!$B:$B,B33,Lines!$T:$T),2)</f>
        <v>485544.35</v>
      </c>
      <c r="AD33" s="17" t="n">
        <f aca="false">ROUND(SUMIF(Lines!$B:$B,B33,Lines!$U:$U),2)</f>
        <v>325230</v>
      </c>
      <c r="AE33" s="17" t="n">
        <f aca="false">ROUND(SUMIF(Lines!$B:$B,B33,Lines!$V:$V),2)</f>
        <v>10647.9</v>
      </c>
      <c r="AF33" s="17" t="n">
        <f aca="false">ROUND(AC33-AD33-AE33,2)</f>
        <v>149666.45</v>
      </c>
      <c r="AG33" s="26" t="n">
        <f aca="false">RANK(AC33,$AC$6:$AC$185)</f>
        <v>33</v>
      </c>
      <c r="AJ33" s="26" t="n">
        <f aca="false">IF(AND(H33&gt;=0.85*Assumptions!$B$44,H33&lt;Assumptions!$B$44),Assumptions!$B$44,IF(AND(H33&gt;=0.85*Assumptions!$B$45,H33&lt;Assumptions!$B$45),Assumptions!$B$45,IF(AND(H33&gt;=0.85*Assumptions!$B$46,H33&lt;Assumptions!$B$46),Assumptions!$B$46,0)))</f>
        <v>0</v>
      </c>
      <c r="AK33" s="26" t="n">
        <f aca="false">IF(AJ33=0,0,AJ33-H33)</f>
        <v>0</v>
      </c>
      <c r="AL33" s="28" t="n">
        <f aca="false">IF(AJ33=Assumptions!$B$44,Assumptions!$C$44,IF(AJ33=Assumptions!$B$45,Assumptions!$C$45,IF(AJ33=Assumptions!$B$46,Assumptions!$C$46,0)))</f>
        <v>0</v>
      </c>
      <c r="AM33" s="17" t="n">
        <f aca="false">IF(AJ33=0,0,AB33*(AL33-P33))</f>
        <v>0</v>
      </c>
      <c r="AN33" s="17" t="n">
        <f aca="false">ROUND(AN23+AM33,2)</f>
        <v>119536.75</v>
      </c>
      <c r="AO33" s="17" t="n">
        <f aca="false">SUMIF(Lines!$B$6:$B$463,$B33,Lines!$M$6:$M$463)</f>
        <v>10647.9</v>
      </c>
      <c r="AP33" s="17" t="n">
        <f aca="false">(AB33/H33)*(MAX(0,MIN(H33,Assumptions!$B$46)-Assumptions!$B$47)*Assumptions!$C$47+MAX(0,MIN(H33,Assumptions!$B$45)-Assumptions!$B$46)*Assumptions!$C$46+MAX(0,MIN(H33,Assumptions!$B$44)-Assumptions!$B$45)*Assumptions!$C$45+MAX(0,H33-Assumptions!$B$44)*Assumptions!$C$44)</f>
        <v>6153.21997121148</v>
      </c>
      <c r="AQ33" s="17" t="n">
        <f aca="false">ROUND(SUMIF(Lines!$B:$B,B33,Lines!$N:$N),2)</f>
        <v>10647.9</v>
      </c>
    </row>
    <row r="34" customFormat="false" ht="15" hidden="false" customHeight="false" outlineLevel="0" collapsed="false">
      <c r="B34" s="14" t="s">
        <v>180</v>
      </c>
      <c r="C34" s="14" t="s">
        <v>162</v>
      </c>
      <c r="D34" s="14" t="s">
        <v>174</v>
      </c>
      <c r="E34" s="24" t="n">
        <v>466</v>
      </c>
      <c r="F34" s="24" t="n">
        <v>2727</v>
      </c>
      <c r="G34" s="24" t="n">
        <v>1125</v>
      </c>
      <c r="H34" s="26" t="n">
        <f aca="false">SUM(E34:G34)</f>
        <v>4318</v>
      </c>
      <c r="I34" s="24" t="n">
        <v>238</v>
      </c>
      <c r="J34" s="24" t="n">
        <v>18</v>
      </c>
      <c r="K34" s="27" t="n">
        <v>0.125</v>
      </c>
      <c r="L34" s="28" t="n">
        <f aca="false">MIN(Assumptions!$C$18,K34*Assumptions!$D$15)</f>
        <v>0.0775</v>
      </c>
      <c r="M34" s="28" t="n">
        <f aca="false">MIN(Assumptions!$C$18,K34*Assumptions!$D$16)</f>
        <v>0.1625</v>
      </c>
      <c r="N34" s="28" t="n">
        <f aca="false">MIN(Assumptions!$C$18,K34*Assumptions!$D$17)</f>
        <v>0.12</v>
      </c>
      <c r="O34" s="28" t="n">
        <f aca="false">IF(I34&gt;=Assumptions!$B$36,Assumptions!$C$36,IF(I34&gt;=Assumptions!$B$37,Assumptions!$C$37,IF(I34&gt;=Assumptions!$B$38,Assumptions!$C$38,Assumptions!$C$39)))</f>
        <v>0.04</v>
      </c>
      <c r="P34" s="28" t="n">
        <f aca="false">IF(H34&gt;=Assumptions!$B$44,Assumptions!$C$44,IF(H34&gt;=Assumptions!$B$45,Assumptions!$C$45,IF(H34&gt;=Assumptions!$B$46,Assumptions!$C$46,Assumptions!$C$47)))</f>
        <v>0.02</v>
      </c>
      <c r="Q34" s="24" t="n">
        <v>1</v>
      </c>
      <c r="R34" s="28" t="n">
        <f aca="false">Q34*Assumptions!$C$51</f>
        <v>0.02</v>
      </c>
      <c r="S34" s="27" t="n">
        <v>0.015</v>
      </c>
      <c r="T34" s="27" t="n">
        <v>0.025</v>
      </c>
      <c r="U34" s="27" t="n">
        <v>0.015</v>
      </c>
      <c r="V34" s="27" t="n">
        <v>0.008</v>
      </c>
      <c r="W34" s="27" t="n">
        <v>0.01</v>
      </c>
      <c r="X34" s="28" t="n">
        <f aca="false">P34+R34+SUM(S34:W34)</f>
        <v>0.113</v>
      </c>
      <c r="Y34" s="24" t="n">
        <v>1</v>
      </c>
      <c r="Z34" s="29" t="n">
        <f aca="false">LN(H34)</f>
        <v>8.37054761107475</v>
      </c>
      <c r="AA34" s="17" t="n">
        <f aca="false">ROUND(SUMIF(Lines!$B:$B,B34,Lines!$I:$I),2)</f>
        <v>346042</v>
      </c>
      <c r="AB34" s="17" t="n">
        <f aca="false">ROUND(SUMIF(Lines!$B:$B,B34,Lines!$L:$L),2)</f>
        <v>286420.77</v>
      </c>
      <c r="AC34" s="17" t="n">
        <f aca="false">ROUND(SUMIF(Lines!$B:$B,B34,Lines!$T:$T),2)</f>
        <v>254055.22</v>
      </c>
      <c r="AD34" s="17" t="n">
        <f aca="false">ROUND(SUMIF(Lines!$B:$B,B34,Lines!$U:$U),2)</f>
        <v>199770</v>
      </c>
      <c r="AE34" s="17" t="n">
        <f aca="false">ROUND(SUMIF(Lines!$B:$B,B34,Lines!$V:$V),2)</f>
        <v>5728.42</v>
      </c>
      <c r="AF34" s="17" t="n">
        <f aca="false">ROUND(AC34-AD34-AE34,2)</f>
        <v>48556.8</v>
      </c>
      <c r="AG34" s="26" t="n">
        <f aca="false">RANK(AC34,$AC$6:$AC$185)</f>
        <v>54</v>
      </c>
      <c r="AJ34" s="26" t="n">
        <f aca="false">IF(AND(H34&gt;=0.85*Assumptions!$B$44,H34&lt;Assumptions!$B$44),Assumptions!$B$44,IF(AND(H34&gt;=0.85*Assumptions!$B$45,H34&lt;Assumptions!$B$45),Assumptions!$B$45,IF(AND(H34&gt;=0.85*Assumptions!$B$46,H34&lt;Assumptions!$B$46),Assumptions!$B$46,0)))</f>
        <v>0</v>
      </c>
      <c r="AK34" s="26" t="n">
        <f aca="false">IF(AJ34=0,0,AJ34-H34)</f>
        <v>0</v>
      </c>
      <c r="AL34" s="28" t="n">
        <f aca="false">IF(AJ34=Assumptions!$B$44,Assumptions!$C$44,IF(AJ34=Assumptions!$B$45,Assumptions!$C$45,IF(AJ34=Assumptions!$B$46,Assumptions!$C$46,0)))</f>
        <v>0</v>
      </c>
      <c r="AM34" s="17" t="n">
        <f aca="false">IF(AJ34=0,0,AB34*(AL34-P34))</f>
        <v>0</v>
      </c>
      <c r="AN34" s="17" t="n">
        <f aca="false">ROUND(AN24+AM34,2)</f>
        <v>119536.75</v>
      </c>
      <c r="AO34" s="17" t="n">
        <f aca="false">SUMIF(Lines!$B$6:$B$463,$B34,Lines!$M$6:$M$463)</f>
        <v>5728.42</v>
      </c>
      <c r="AP34" s="17" t="n">
        <f aca="false">(AB34/H34)*(MAX(0,MIN(H34,Assumptions!$B$46)-Assumptions!$B$47)*Assumptions!$C$47+MAX(0,MIN(H34,Assumptions!$B$45)-Assumptions!$B$46)*Assumptions!$C$46+MAX(0,MIN(H34,Assumptions!$B$44)-Assumptions!$B$45)*Assumptions!$C$45+MAX(0,H34-Assumptions!$B$44)*Assumptions!$C$44)</f>
        <v>1748.50659962946</v>
      </c>
      <c r="AQ34" s="17" t="n">
        <f aca="false">ROUND(SUMIF(Lines!$B:$B,B34,Lines!$N:$N),2)</f>
        <v>5728.42</v>
      </c>
    </row>
    <row r="35" customFormat="false" ht="15" hidden="false" customHeight="false" outlineLevel="0" collapsed="false">
      <c r="B35" s="14" t="s">
        <v>181</v>
      </c>
      <c r="C35" s="14" t="s">
        <v>162</v>
      </c>
      <c r="D35" s="14" t="s">
        <v>174</v>
      </c>
      <c r="E35" s="24" t="n">
        <v>1719</v>
      </c>
      <c r="F35" s="24" t="n">
        <v>5496</v>
      </c>
      <c r="G35" s="24" t="n">
        <v>1435</v>
      </c>
      <c r="H35" s="26" t="n">
        <f aca="false">SUM(E35:G35)</f>
        <v>8650</v>
      </c>
      <c r="I35" s="24" t="n">
        <v>441</v>
      </c>
      <c r="J35" s="24" t="n">
        <v>20</v>
      </c>
      <c r="K35" s="27" t="n">
        <v>0.06</v>
      </c>
      <c r="L35" s="28" t="n">
        <f aca="false">MIN(Assumptions!$C$18,K35*Assumptions!$D$15)</f>
        <v>0.0372</v>
      </c>
      <c r="M35" s="28" t="n">
        <f aca="false">MIN(Assumptions!$C$18,K35*Assumptions!$D$16)</f>
        <v>0.078</v>
      </c>
      <c r="N35" s="28" t="n">
        <f aca="false">MIN(Assumptions!$C$18,K35*Assumptions!$D$17)</f>
        <v>0.0576</v>
      </c>
      <c r="O35" s="28" t="n">
        <f aca="false">IF(I35&gt;=Assumptions!$B$36,Assumptions!$C$36,IF(I35&gt;=Assumptions!$B$37,Assumptions!$C$37,IF(I35&gt;=Assumptions!$B$38,Assumptions!$C$38,Assumptions!$C$39)))</f>
        <v>0.04</v>
      </c>
      <c r="P35" s="28" t="n">
        <f aca="false">IF(H35&gt;=Assumptions!$B$44,Assumptions!$C$44,IF(H35&gt;=Assumptions!$B$45,Assumptions!$C$45,IF(H35&gt;=Assumptions!$B$46,Assumptions!$C$46,Assumptions!$C$47)))</f>
        <v>0.02</v>
      </c>
      <c r="Q35" s="24" t="n">
        <v>1</v>
      </c>
      <c r="R35" s="28" t="n">
        <f aca="false">Q35*Assumptions!$C$51</f>
        <v>0.02</v>
      </c>
      <c r="S35" s="27" t="n">
        <v>0.015</v>
      </c>
      <c r="T35" s="27" t="n">
        <v>0.025</v>
      </c>
      <c r="U35" s="27" t="n">
        <v>0.015</v>
      </c>
      <c r="V35" s="27" t="n">
        <v>0.008</v>
      </c>
      <c r="W35" s="27" t="n">
        <v>0.01</v>
      </c>
      <c r="X35" s="28" t="n">
        <f aca="false">P35+R35+SUM(S35:W35)</f>
        <v>0.113</v>
      </c>
      <c r="Y35" s="24" t="n">
        <v>1</v>
      </c>
      <c r="Z35" s="29" t="n">
        <f aca="false">LN(H35)</f>
        <v>9.06531459992593</v>
      </c>
      <c r="AA35" s="17" t="n">
        <f aca="false">ROUND(SUMIF(Lines!$B:$B,B35,Lines!$I:$I),2)</f>
        <v>732924</v>
      </c>
      <c r="AB35" s="17" t="n">
        <f aca="false">ROUND(SUMIF(Lines!$B:$B,B35,Lines!$L:$L),2)</f>
        <v>659629.27</v>
      </c>
      <c r="AC35" s="17" t="n">
        <f aca="false">ROUND(SUMIF(Lines!$B:$B,B35,Lines!$T:$T),2)</f>
        <v>585091.15</v>
      </c>
      <c r="AD35" s="17" t="n">
        <f aca="false">ROUND(SUMIF(Lines!$B:$B,B35,Lines!$U:$U),2)</f>
        <v>415168</v>
      </c>
      <c r="AE35" s="17" t="n">
        <f aca="false">ROUND(SUMIF(Lines!$B:$B,B35,Lines!$V:$V),2)</f>
        <v>13192.59</v>
      </c>
      <c r="AF35" s="17" t="n">
        <f aca="false">ROUND(AC35-AD35-AE35,2)</f>
        <v>156730.56</v>
      </c>
      <c r="AG35" s="26" t="n">
        <f aca="false">RANK(AC35,$AC$6:$AC$185)</f>
        <v>26</v>
      </c>
      <c r="AJ35" s="26" t="n">
        <f aca="false">IF(AND(H35&gt;=0.85*Assumptions!$B$44,H35&lt;Assumptions!$B$44),Assumptions!$B$44,IF(AND(H35&gt;=0.85*Assumptions!$B$45,H35&lt;Assumptions!$B$45),Assumptions!$B$45,IF(AND(H35&gt;=0.85*Assumptions!$B$46,H35&lt;Assumptions!$B$46),Assumptions!$B$46,0)))</f>
        <v>10000</v>
      </c>
      <c r="AK35" s="26" t="n">
        <f aca="false">IF(AJ35=0,0,AJ35-H35)</f>
        <v>1350</v>
      </c>
      <c r="AL35" s="28" t="n">
        <f aca="false">IF(AJ35=Assumptions!$B$44,Assumptions!$C$44,IF(AJ35=Assumptions!$B$45,Assumptions!$C$45,IF(AJ35=Assumptions!$B$46,Assumptions!$C$46,0)))</f>
        <v>0.035</v>
      </c>
      <c r="AM35" s="17" t="n">
        <f aca="false">IF(AJ35=0,0,AB35*(AL35-P35))</f>
        <v>9894.43905</v>
      </c>
      <c r="AN35" s="17" t="n">
        <f aca="false">ROUND(AN25+AM35,2)</f>
        <v>138146.69</v>
      </c>
      <c r="AO35" s="17" t="n">
        <f aca="false">SUMIF(Lines!$B$6:$B$463,$B35,Lines!$M$6:$M$463)</f>
        <v>13192.59</v>
      </c>
      <c r="AP35" s="17" t="n">
        <f aca="false">(AB35/H35)*(MAX(0,MIN(H35,Assumptions!$B$46)-Assumptions!$B$47)*Assumptions!$C$47+MAX(0,MIN(H35,Assumptions!$B$45)-Assumptions!$B$46)*Assumptions!$C$46+MAX(0,MIN(H35,Assumptions!$B$44)-Assumptions!$B$45)*Assumptions!$C$45+MAX(0,H35-Assumptions!$B$44)*Assumptions!$C$44)</f>
        <v>8617.12225549133</v>
      </c>
      <c r="AQ35" s="17" t="n">
        <f aca="false">ROUND(SUMIF(Lines!$B:$B,B35,Lines!$N:$N),2)</f>
        <v>13192.59</v>
      </c>
    </row>
    <row r="36" customFormat="false" ht="15" hidden="false" customHeight="false" outlineLevel="0" collapsed="false">
      <c r="B36" s="14" t="s">
        <v>182</v>
      </c>
      <c r="C36" s="14" t="s">
        <v>162</v>
      </c>
      <c r="D36" s="14" t="s">
        <v>174</v>
      </c>
      <c r="E36" s="24" t="n">
        <v>364</v>
      </c>
      <c r="F36" s="24" t="n">
        <v>3576</v>
      </c>
      <c r="G36" s="24" t="n">
        <v>896</v>
      </c>
      <c r="H36" s="26" t="n">
        <f aca="false">SUM(E36:G36)</f>
        <v>4836</v>
      </c>
      <c r="I36" s="24" t="n">
        <v>329</v>
      </c>
      <c r="J36" s="24" t="n">
        <v>15</v>
      </c>
      <c r="K36" s="27" t="n">
        <v>0.115</v>
      </c>
      <c r="L36" s="28" t="n">
        <f aca="false">MIN(Assumptions!$C$18,K36*Assumptions!$D$15)</f>
        <v>0.0713</v>
      </c>
      <c r="M36" s="28" t="n">
        <f aca="false">MIN(Assumptions!$C$18,K36*Assumptions!$D$16)</f>
        <v>0.1495</v>
      </c>
      <c r="N36" s="28" t="n">
        <f aca="false">MIN(Assumptions!$C$18,K36*Assumptions!$D$17)</f>
        <v>0.1104</v>
      </c>
      <c r="O36" s="28" t="n">
        <f aca="false">IF(I36&gt;=Assumptions!$B$36,Assumptions!$C$36,IF(I36&gt;=Assumptions!$B$37,Assumptions!$C$37,IF(I36&gt;=Assumptions!$B$38,Assumptions!$C$38,Assumptions!$C$39)))</f>
        <v>0.04</v>
      </c>
      <c r="P36" s="28" t="n">
        <f aca="false">IF(H36&gt;=Assumptions!$B$44,Assumptions!$C$44,IF(H36&gt;=Assumptions!$B$45,Assumptions!$C$45,IF(H36&gt;=Assumptions!$B$46,Assumptions!$C$46,Assumptions!$C$47)))</f>
        <v>0.02</v>
      </c>
      <c r="Q36" s="24" t="n">
        <v>1</v>
      </c>
      <c r="R36" s="28" t="n">
        <f aca="false">Q36*Assumptions!$C$51</f>
        <v>0.02</v>
      </c>
      <c r="S36" s="27" t="n">
        <v>0.015</v>
      </c>
      <c r="T36" s="27" t="n">
        <v>0</v>
      </c>
      <c r="U36" s="27" t="n">
        <v>0.015</v>
      </c>
      <c r="V36" s="27" t="n">
        <v>0.008</v>
      </c>
      <c r="W36" s="27" t="n">
        <v>0</v>
      </c>
      <c r="X36" s="28" t="n">
        <f aca="false">P36+R36+SUM(S36:W36)</f>
        <v>0.078</v>
      </c>
      <c r="Y36" s="24" t="n">
        <v>0</v>
      </c>
      <c r="Z36" s="29" t="n">
        <f aca="false">LN(H36)</f>
        <v>8.48384321173468</v>
      </c>
      <c r="AA36" s="17" t="n">
        <f aca="false">ROUND(SUMIF(Lines!$B:$B,B36,Lines!$I:$I),2)</f>
        <v>361600</v>
      </c>
      <c r="AB36" s="17" t="n">
        <f aca="false">ROUND(SUMIF(Lines!$B:$B,B36,Lines!$L:$L),2)</f>
        <v>300652.82</v>
      </c>
      <c r="AC36" s="17" t="n">
        <f aca="false">ROUND(SUMIF(Lines!$B:$B,B36,Lines!$T:$T),2)</f>
        <v>277201.92</v>
      </c>
      <c r="AD36" s="17" t="n">
        <f aca="false">ROUND(SUMIF(Lines!$B:$B,B36,Lines!$U:$U),2)</f>
        <v>209096</v>
      </c>
      <c r="AE36" s="17" t="n">
        <f aca="false">ROUND(SUMIF(Lines!$B:$B,B36,Lines!$V:$V),2)</f>
        <v>6013.05</v>
      </c>
      <c r="AF36" s="17" t="n">
        <f aca="false">ROUND(AC36-AD36-AE36,2)</f>
        <v>62092.87</v>
      </c>
      <c r="AG36" s="26" t="n">
        <f aca="false">RANK(AC36,$AC$6:$AC$185)</f>
        <v>48</v>
      </c>
      <c r="AJ36" s="26" t="n">
        <f aca="false">IF(AND(H36&gt;=0.85*Assumptions!$B$44,H36&lt;Assumptions!$B$44),Assumptions!$B$44,IF(AND(H36&gt;=0.85*Assumptions!$B$45,H36&lt;Assumptions!$B$45),Assumptions!$B$45,IF(AND(H36&gt;=0.85*Assumptions!$B$46,H36&lt;Assumptions!$B$46),Assumptions!$B$46,0)))</f>
        <v>0</v>
      </c>
      <c r="AK36" s="26" t="n">
        <f aca="false">IF(AJ36=0,0,AJ36-H36)</f>
        <v>0</v>
      </c>
      <c r="AL36" s="28" t="n">
        <f aca="false">IF(AJ36=Assumptions!$B$44,Assumptions!$C$44,IF(AJ36=Assumptions!$B$45,Assumptions!$C$45,IF(AJ36=Assumptions!$B$46,Assumptions!$C$46,0)))</f>
        <v>0</v>
      </c>
      <c r="AM36" s="17" t="n">
        <f aca="false">IF(AJ36=0,0,AB36*(AL36-P36))</f>
        <v>0</v>
      </c>
      <c r="AN36" s="17" t="n">
        <f aca="false">ROUND(AN26+AM36,2)</f>
        <v>138146.69</v>
      </c>
      <c r="AO36" s="17" t="n">
        <f aca="false">SUMIF(Lines!$B$6:$B$463,$B36,Lines!$M$6:$M$463)</f>
        <v>6013.05</v>
      </c>
      <c r="AP36" s="17" t="n">
        <f aca="false">(AB36/H36)*(MAX(0,MIN(H36,Assumptions!$B$46)-Assumptions!$B$47)*Assumptions!$C$47+MAX(0,MIN(H36,Assumptions!$B$45)-Assumptions!$B$46)*Assumptions!$C$46+MAX(0,MIN(H36,Assumptions!$B$44)-Assumptions!$B$45)*Assumptions!$C$45+MAX(0,H36-Assumptions!$B$44)*Assumptions!$C$44)</f>
        <v>2282.87252903226</v>
      </c>
      <c r="AQ36" s="17" t="n">
        <f aca="false">ROUND(SUMIF(Lines!$B:$B,B36,Lines!$N:$N),2)</f>
        <v>6013.05</v>
      </c>
    </row>
    <row r="37" customFormat="false" ht="15" hidden="false" customHeight="false" outlineLevel="0" collapsed="false">
      <c r="B37" s="14" t="s">
        <v>183</v>
      </c>
      <c r="C37" s="14" t="s">
        <v>162</v>
      </c>
      <c r="D37" s="14" t="s">
        <v>184</v>
      </c>
      <c r="E37" s="24" t="n">
        <v>211</v>
      </c>
      <c r="F37" s="24" t="n">
        <v>1969</v>
      </c>
      <c r="G37" s="24" t="n">
        <v>1362</v>
      </c>
      <c r="H37" s="26" t="n">
        <f aca="false">SUM(E37:G37)</f>
        <v>3542</v>
      </c>
      <c r="I37" s="24" t="n">
        <v>443</v>
      </c>
      <c r="J37" s="24" t="n">
        <v>8</v>
      </c>
      <c r="K37" s="27" t="n">
        <v>0.025</v>
      </c>
      <c r="L37" s="28" t="n">
        <f aca="false">MIN(Assumptions!$C$18,K37*Assumptions!$D$15)</f>
        <v>0.0155</v>
      </c>
      <c r="M37" s="28" t="n">
        <f aca="false">MIN(Assumptions!$C$18,K37*Assumptions!$D$16)</f>
        <v>0.0325</v>
      </c>
      <c r="N37" s="28" t="n">
        <f aca="false">MIN(Assumptions!$C$18,K37*Assumptions!$D$17)</f>
        <v>0.024</v>
      </c>
      <c r="O37" s="28" t="n">
        <f aca="false">IF(I37&gt;=Assumptions!$B$36,Assumptions!$C$36,IF(I37&gt;=Assumptions!$B$37,Assumptions!$C$37,IF(I37&gt;=Assumptions!$B$38,Assumptions!$C$38,Assumptions!$C$39)))</f>
        <v>0.04</v>
      </c>
      <c r="P37" s="28" t="n">
        <f aca="false">IF(H37&gt;=Assumptions!$B$44,Assumptions!$C$44,IF(H37&gt;=Assumptions!$B$45,Assumptions!$C$45,IF(H37&gt;=Assumptions!$B$46,Assumptions!$C$46,Assumptions!$C$47)))</f>
        <v>0.02</v>
      </c>
      <c r="Q37" s="24" t="n">
        <v>1</v>
      </c>
      <c r="R37" s="28" t="n">
        <f aca="false">Q37*Assumptions!$C$51</f>
        <v>0.02</v>
      </c>
      <c r="S37" s="27" t="n">
        <v>0.015</v>
      </c>
      <c r="T37" s="27" t="n">
        <v>0.025</v>
      </c>
      <c r="U37" s="27" t="n">
        <v>0</v>
      </c>
      <c r="V37" s="27" t="n">
        <v>0.008</v>
      </c>
      <c r="W37" s="27" t="n">
        <v>0.01</v>
      </c>
      <c r="X37" s="28" t="n">
        <f aca="false">P37+R37+SUM(S37:W37)</f>
        <v>0.098</v>
      </c>
      <c r="Y37" s="24" t="n">
        <v>0</v>
      </c>
      <c r="Z37" s="29" t="n">
        <f aca="false">LN(H37)</f>
        <v>8.17244681834278</v>
      </c>
      <c r="AA37" s="17" t="n">
        <f aca="false">ROUND(SUMIF(Lines!$B:$B,B37,Lines!$I:$I),2)</f>
        <v>284058</v>
      </c>
      <c r="AB37" s="17" t="n">
        <f aca="false">ROUND(SUMIF(Lines!$B:$B,B37,Lines!$L:$L),2)</f>
        <v>265106.06</v>
      </c>
      <c r="AC37" s="17" t="n">
        <f aca="false">ROUND(SUMIF(Lines!$B:$B,B37,Lines!$T:$T),2)</f>
        <v>239125.65</v>
      </c>
      <c r="AD37" s="17" t="n">
        <f aca="false">ROUND(SUMIF(Lines!$B:$B,B37,Lines!$U:$U),2)</f>
        <v>166338</v>
      </c>
      <c r="AE37" s="17" t="n">
        <f aca="false">ROUND(SUMIF(Lines!$B:$B,B37,Lines!$V:$V),2)</f>
        <v>5302.13</v>
      </c>
      <c r="AF37" s="17" t="n">
        <f aca="false">ROUND(AC37-AD37-AE37,2)</f>
        <v>67485.52</v>
      </c>
      <c r="AG37" s="26" t="n">
        <f aca="false">RANK(AC37,$AC$6:$AC$185)</f>
        <v>60</v>
      </c>
      <c r="AJ37" s="26" t="n">
        <f aca="false">IF(AND(H37&gt;=0.85*Assumptions!$B$44,H37&lt;Assumptions!$B$44),Assumptions!$B$44,IF(AND(H37&gt;=0.85*Assumptions!$B$45,H37&lt;Assumptions!$B$45),Assumptions!$B$45,IF(AND(H37&gt;=0.85*Assumptions!$B$46,H37&lt;Assumptions!$B$46),Assumptions!$B$46,0)))</f>
        <v>0</v>
      </c>
      <c r="AK37" s="26" t="n">
        <f aca="false">IF(AJ37=0,0,AJ37-H37)</f>
        <v>0</v>
      </c>
      <c r="AL37" s="28" t="n">
        <f aca="false">IF(AJ37=Assumptions!$B$44,Assumptions!$C$44,IF(AJ37=Assumptions!$B$45,Assumptions!$C$45,IF(AJ37=Assumptions!$B$46,Assumptions!$C$46,0)))</f>
        <v>0</v>
      </c>
      <c r="AM37" s="17" t="n">
        <f aca="false">IF(AJ37=0,0,AB37*(AL37-P37))</f>
        <v>0</v>
      </c>
      <c r="AN37" s="17" t="n">
        <f aca="false">ROUND(AN28+AM37,2)</f>
        <v>116053.77</v>
      </c>
      <c r="AO37" s="17" t="n">
        <f aca="false">SUMIF(Lines!$B$6:$B$463,$B37,Lines!$M$6:$M$463)</f>
        <v>5302.13</v>
      </c>
      <c r="AP37" s="17" t="n">
        <f aca="false">(AB37/H37)*(MAX(0,MIN(H37,Assumptions!$B$46)-Assumptions!$B$47)*Assumptions!$C$47+MAX(0,MIN(H37,Assumptions!$B$45)-Assumptions!$B$46)*Assumptions!$C$46+MAX(0,MIN(H37,Assumptions!$B$44)-Assumptions!$B$45)*Assumptions!$C$45+MAX(0,H37-Assumptions!$B$44)*Assumptions!$C$44)</f>
        <v>811.335316318464</v>
      </c>
      <c r="AQ37" s="17" t="n">
        <f aca="false">ROUND(SUMIF(Lines!$B:$B,B37,Lines!$N:$N),2)</f>
        <v>5302.13</v>
      </c>
    </row>
    <row r="38" customFormat="false" ht="15" hidden="false" customHeight="false" outlineLevel="0" collapsed="false">
      <c r="B38" s="14" t="s">
        <v>185</v>
      </c>
      <c r="C38" s="14" t="s">
        <v>162</v>
      </c>
      <c r="D38" s="14" t="s">
        <v>184</v>
      </c>
      <c r="E38" s="24" t="n">
        <v>975</v>
      </c>
      <c r="F38" s="24" t="n">
        <v>5234</v>
      </c>
      <c r="G38" s="24" t="n">
        <v>1626</v>
      </c>
      <c r="H38" s="26" t="n">
        <f aca="false">SUM(E38:G38)</f>
        <v>7835</v>
      </c>
      <c r="I38" s="24" t="n">
        <v>275</v>
      </c>
      <c r="J38" s="24" t="n">
        <v>28</v>
      </c>
      <c r="K38" s="27" t="n">
        <v>0.11</v>
      </c>
      <c r="L38" s="28" t="n">
        <f aca="false">MIN(Assumptions!$C$18,K38*Assumptions!$D$15)</f>
        <v>0.0682</v>
      </c>
      <c r="M38" s="28" t="n">
        <f aca="false">MIN(Assumptions!$C$18,K38*Assumptions!$D$16)</f>
        <v>0.143</v>
      </c>
      <c r="N38" s="28" t="n">
        <f aca="false">MIN(Assumptions!$C$18,K38*Assumptions!$D$17)</f>
        <v>0.1056</v>
      </c>
      <c r="O38" s="28" t="n">
        <f aca="false">IF(I38&gt;=Assumptions!$B$36,Assumptions!$C$36,IF(I38&gt;=Assumptions!$B$37,Assumptions!$C$37,IF(I38&gt;=Assumptions!$B$38,Assumptions!$C$38,Assumptions!$C$39)))</f>
        <v>0.04</v>
      </c>
      <c r="P38" s="28" t="n">
        <f aca="false">IF(H38&gt;=Assumptions!$B$44,Assumptions!$C$44,IF(H38&gt;=Assumptions!$B$45,Assumptions!$C$45,IF(H38&gt;=Assumptions!$B$46,Assumptions!$C$46,Assumptions!$C$47)))</f>
        <v>0.02</v>
      </c>
      <c r="Q38" s="24" t="n">
        <v>1</v>
      </c>
      <c r="R38" s="28" t="n">
        <f aca="false">Q38*Assumptions!$C$51</f>
        <v>0.02</v>
      </c>
      <c r="S38" s="27" t="n">
        <v>0.015</v>
      </c>
      <c r="T38" s="27" t="n">
        <v>0.025</v>
      </c>
      <c r="U38" s="27" t="n">
        <v>0.015</v>
      </c>
      <c r="V38" s="27" t="n">
        <v>0.008</v>
      </c>
      <c r="W38" s="27" t="n">
        <v>0.01</v>
      </c>
      <c r="X38" s="28" t="n">
        <f aca="false">P38+R38+SUM(S38:W38)</f>
        <v>0.113</v>
      </c>
      <c r="Y38" s="24" t="n">
        <v>0</v>
      </c>
      <c r="Z38" s="29" t="n">
        <f aca="false">LN(H38)</f>
        <v>8.96635615479012</v>
      </c>
      <c r="AA38" s="17" t="n">
        <f aca="false">ROUND(SUMIF(Lines!$B:$B,B38,Lines!$I:$I),2)</f>
        <v>624904</v>
      </c>
      <c r="AB38" s="17" t="n">
        <f aca="false">ROUND(SUMIF(Lines!$B:$B,B38,Lines!$L:$L),2)</f>
        <v>527178.2</v>
      </c>
      <c r="AC38" s="17" t="n">
        <f aca="false">ROUND(SUMIF(Lines!$B:$B,B38,Lines!$T:$T),2)</f>
        <v>467607.06</v>
      </c>
      <c r="AD38" s="17" t="n">
        <f aca="false">ROUND(SUMIF(Lines!$B:$B,B38,Lines!$U:$U),2)</f>
        <v>358782</v>
      </c>
      <c r="AE38" s="17" t="n">
        <f aca="false">ROUND(SUMIF(Lines!$B:$B,B38,Lines!$V:$V),2)</f>
        <v>10543.56</v>
      </c>
      <c r="AF38" s="17" t="n">
        <f aca="false">ROUND(AC38-AD38-AE38,2)</f>
        <v>98281.5</v>
      </c>
      <c r="AG38" s="26" t="n">
        <f aca="false">RANK(AC38,$AC$6:$AC$185)</f>
        <v>34</v>
      </c>
      <c r="AJ38" s="26" t="n">
        <f aca="false">IF(AND(H38&gt;=0.85*Assumptions!$B$44,H38&lt;Assumptions!$B$44),Assumptions!$B$44,IF(AND(H38&gt;=0.85*Assumptions!$B$45,H38&lt;Assumptions!$B$45),Assumptions!$B$45,IF(AND(H38&gt;=0.85*Assumptions!$B$46,H38&lt;Assumptions!$B$46),Assumptions!$B$46,0)))</f>
        <v>0</v>
      </c>
      <c r="AK38" s="26" t="n">
        <f aca="false">IF(AJ38=0,0,AJ38-H38)</f>
        <v>0</v>
      </c>
      <c r="AL38" s="28" t="n">
        <f aca="false">IF(AJ38=Assumptions!$B$44,Assumptions!$C$44,IF(AJ38=Assumptions!$B$45,Assumptions!$C$45,IF(AJ38=Assumptions!$B$46,Assumptions!$C$46,0)))</f>
        <v>0</v>
      </c>
      <c r="AM38" s="17" t="n">
        <f aca="false">IF(AJ38=0,0,AB38*(AL38-P38))</f>
        <v>0</v>
      </c>
      <c r="AN38" s="17" t="n">
        <f aca="false">ROUND(AN29+AM38,2)</f>
        <v>116053.77</v>
      </c>
      <c r="AO38" s="17" t="n">
        <f aca="false">SUMIF(Lines!$B$6:$B$463,$B38,Lines!$M$6:$M$463)</f>
        <v>10543.56</v>
      </c>
      <c r="AP38" s="17" t="n">
        <f aca="false">(AB38/H38)*(MAX(0,MIN(H38,Assumptions!$B$46)-Assumptions!$B$47)*Assumptions!$C$47+MAX(0,MIN(H38,Assumptions!$B$45)-Assumptions!$B$46)*Assumptions!$C$46+MAX(0,MIN(H38,Assumptions!$B$44)-Assumptions!$B$45)*Assumptions!$C$45+MAX(0,H38-Assumptions!$B$44)*Assumptions!$C$44)</f>
        <v>6506.46227696235</v>
      </c>
      <c r="AQ38" s="17" t="n">
        <f aca="false">ROUND(SUMIF(Lines!$B:$B,B38,Lines!$N:$N),2)</f>
        <v>10543.56</v>
      </c>
    </row>
    <row r="39" customFormat="false" ht="15" hidden="false" customHeight="false" outlineLevel="0" collapsed="false">
      <c r="B39" s="14" t="s">
        <v>186</v>
      </c>
      <c r="C39" s="14" t="s">
        <v>162</v>
      </c>
      <c r="D39" s="14" t="s">
        <v>184</v>
      </c>
      <c r="E39" s="24" t="n">
        <v>1215</v>
      </c>
      <c r="F39" s="24" t="n">
        <v>5687</v>
      </c>
      <c r="G39" s="24" t="n">
        <v>1402</v>
      </c>
      <c r="H39" s="26" t="n">
        <f aca="false">SUM(E39:G39)</f>
        <v>8304</v>
      </c>
      <c r="I39" s="24" t="n">
        <v>429</v>
      </c>
      <c r="J39" s="24" t="n">
        <v>19</v>
      </c>
      <c r="K39" s="27" t="n">
        <v>0.1</v>
      </c>
      <c r="L39" s="28" t="n">
        <f aca="false">MIN(Assumptions!$C$18,K39*Assumptions!$D$15)</f>
        <v>0.062</v>
      </c>
      <c r="M39" s="28" t="n">
        <f aca="false">MIN(Assumptions!$C$18,K39*Assumptions!$D$16)</f>
        <v>0.13</v>
      </c>
      <c r="N39" s="28" t="n">
        <f aca="false">MIN(Assumptions!$C$18,K39*Assumptions!$D$17)</f>
        <v>0.096</v>
      </c>
      <c r="O39" s="28" t="n">
        <f aca="false">IF(I39&gt;=Assumptions!$B$36,Assumptions!$C$36,IF(I39&gt;=Assumptions!$B$37,Assumptions!$C$37,IF(I39&gt;=Assumptions!$B$38,Assumptions!$C$38,Assumptions!$C$39)))</f>
        <v>0.04</v>
      </c>
      <c r="P39" s="28" t="n">
        <f aca="false">IF(H39&gt;=Assumptions!$B$44,Assumptions!$C$44,IF(H39&gt;=Assumptions!$B$45,Assumptions!$C$45,IF(H39&gt;=Assumptions!$B$46,Assumptions!$C$46,Assumptions!$C$47)))</f>
        <v>0.02</v>
      </c>
      <c r="Q39" s="24" t="n">
        <v>1</v>
      </c>
      <c r="R39" s="28" t="n">
        <f aca="false">Q39*Assumptions!$C$51</f>
        <v>0.02</v>
      </c>
      <c r="S39" s="27" t="n">
        <v>0.015</v>
      </c>
      <c r="T39" s="27" t="n">
        <v>0.025</v>
      </c>
      <c r="U39" s="27" t="n">
        <v>0.015</v>
      </c>
      <c r="V39" s="27" t="n">
        <v>0.008</v>
      </c>
      <c r="W39" s="27" t="n">
        <v>0.01</v>
      </c>
      <c r="X39" s="28" t="n">
        <f aca="false">P39+R39+SUM(S39:W39)</f>
        <v>0.113</v>
      </c>
      <c r="Y39" s="24" t="n">
        <v>1</v>
      </c>
      <c r="Z39" s="29" t="n">
        <f aca="false">LN(H39)</f>
        <v>9.02449260540567</v>
      </c>
      <c r="AA39" s="17" t="n">
        <f aca="false">ROUND(SUMIF(Lines!$B:$B,B39,Lines!$I:$I),2)</f>
        <v>667006</v>
      </c>
      <c r="AB39" s="17" t="n">
        <f aca="false">ROUND(SUMIF(Lines!$B:$B,B39,Lines!$L:$L),2)</f>
        <v>570418.87</v>
      </c>
      <c r="AC39" s="17" t="n">
        <f aca="false">ROUND(SUMIF(Lines!$B:$B,B39,Lines!$T:$T),2)</f>
        <v>505961.52</v>
      </c>
      <c r="AD39" s="17" t="n">
        <f aca="false">ROUND(SUMIF(Lines!$B:$B,B39,Lines!$U:$U),2)</f>
        <v>380818</v>
      </c>
      <c r="AE39" s="17" t="n">
        <f aca="false">ROUND(SUMIF(Lines!$B:$B,B39,Lines!$V:$V),2)</f>
        <v>11408.38</v>
      </c>
      <c r="AF39" s="17" t="n">
        <f aca="false">ROUND(AC39-AD39-AE39,2)</f>
        <v>113735.14</v>
      </c>
      <c r="AG39" s="26" t="n">
        <f aca="false">RANK(AC39,$AC$6:$AC$185)</f>
        <v>32</v>
      </c>
      <c r="AJ39" s="26" t="n">
        <f aca="false">IF(AND(H39&gt;=0.85*Assumptions!$B$44,H39&lt;Assumptions!$B$44),Assumptions!$B$44,IF(AND(H39&gt;=0.85*Assumptions!$B$45,H39&lt;Assumptions!$B$45),Assumptions!$B$45,IF(AND(H39&gt;=0.85*Assumptions!$B$46,H39&lt;Assumptions!$B$46),Assumptions!$B$46,0)))</f>
        <v>0</v>
      </c>
      <c r="AK39" s="26" t="n">
        <f aca="false">IF(AJ39=0,0,AJ39-H39)</f>
        <v>0</v>
      </c>
      <c r="AL39" s="28" t="n">
        <f aca="false">IF(AJ39=Assumptions!$B$44,Assumptions!$C$44,IF(AJ39=Assumptions!$B$45,Assumptions!$C$45,IF(AJ39=Assumptions!$B$46,Assumptions!$C$46,0)))</f>
        <v>0</v>
      </c>
      <c r="AM39" s="17" t="n">
        <f aca="false">IF(AJ39=0,0,AB39*(AL39-P39))</f>
        <v>0</v>
      </c>
      <c r="AN39" s="17" t="n">
        <f aca="false">ROUND(AN30+AM39,2)</f>
        <v>116053.77</v>
      </c>
      <c r="AO39" s="17" t="n">
        <f aca="false">SUMIF(Lines!$B$6:$B$463,$B39,Lines!$M$6:$M$463)</f>
        <v>11408.38</v>
      </c>
      <c r="AP39" s="17" t="n">
        <f aca="false">(AB39/H39)*(MAX(0,MIN(H39,Assumptions!$B$46)-Assumptions!$B$47)*Assumptions!$C$47+MAX(0,MIN(H39,Assumptions!$B$45)-Assumptions!$B$46)*Assumptions!$C$46+MAX(0,MIN(H39,Assumptions!$B$44)-Assumptions!$B$45)*Assumptions!$C$45+MAX(0,H39-Assumptions!$B$44)*Assumptions!$C$44)</f>
        <v>7286.85377283237</v>
      </c>
      <c r="AQ39" s="17" t="n">
        <f aca="false">ROUND(SUMIF(Lines!$B:$B,B39,Lines!$N:$N),2)</f>
        <v>11408.38</v>
      </c>
    </row>
    <row r="40" customFormat="false" ht="15" hidden="false" customHeight="false" outlineLevel="0" collapsed="false">
      <c r="B40" s="14" t="s">
        <v>187</v>
      </c>
      <c r="C40" s="14" t="s">
        <v>162</v>
      </c>
      <c r="D40" s="14" t="s">
        <v>184</v>
      </c>
      <c r="E40" s="24" t="n">
        <v>1181</v>
      </c>
      <c r="F40" s="24" t="n">
        <v>6867</v>
      </c>
      <c r="G40" s="24" t="n">
        <v>2124</v>
      </c>
      <c r="H40" s="26" t="n">
        <f aca="false">SUM(E40:G40)</f>
        <v>10172</v>
      </c>
      <c r="I40" s="24" t="n">
        <v>538</v>
      </c>
      <c r="J40" s="24" t="n">
        <v>19</v>
      </c>
      <c r="K40" s="27" t="n">
        <v>0.11</v>
      </c>
      <c r="L40" s="28" t="n">
        <f aca="false">MIN(Assumptions!$C$18,K40*Assumptions!$D$15)</f>
        <v>0.0682</v>
      </c>
      <c r="M40" s="28" t="n">
        <f aca="false">MIN(Assumptions!$C$18,K40*Assumptions!$D$16)</f>
        <v>0.143</v>
      </c>
      <c r="N40" s="28" t="n">
        <f aca="false">MIN(Assumptions!$C$18,K40*Assumptions!$D$17)</f>
        <v>0.1056</v>
      </c>
      <c r="O40" s="28" t="n">
        <f aca="false">IF(I40&gt;=Assumptions!$B$36,Assumptions!$C$36,IF(I40&gt;=Assumptions!$B$37,Assumptions!$C$37,IF(I40&gt;=Assumptions!$B$38,Assumptions!$C$38,Assumptions!$C$39)))</f>
        <v>0.06</v>
      </c>
      <c r="P40" s="28" t="n">
        <f aca="false">IF(H40&gt;=Assumptions!$B$44,Assumptions!$C$44,IF(H40&gt;=Assumptions!$B$45,Assumptions!$C$45,IF(H40&gt;=Assumptions!$B$46,Assumptions!$C$46,Assumptions!$C$47)))</f>
        <v>0.035</v>
      </c>
      <c r="Q40" s="24" t="n">
        <v>1</v>
      </c>
      <c r="R40" s="28" t="n">
        <f aca="false">Q40*Assumptions!$C$51</f>
        <v>0.02</v>
      </c>
      <c r="S40" s="27" t="n">
        <v>0.015</v>
      </c>
      <c r="T40" s="27" t="n">
        <v>0.025</v>
      </c>
      <c r="U40" s="27" t="n">
        <v>0.015</v>
      </c>
      <c r="V40" s="27" t="n">
        <v>0.008</v>
      </c>
      <c r="W40" s="27" t="n">
        <v>0.01</v>
      </c>
      <c r="X40" s="28" t="n">
        <f aca="false">P40+R40+SUM(S40:W40)</f>
        <v>0.128</v>
      </c>
      <c r="Y40" s="24" t="n">
        <v>0</v>
      </c>
      <c r="Z40" s="29" t="n">
        <f aca="false">LN(H40)</f>
        <v>9.22739412654201</v>
      </c>
      <c r="AA40" s="17" t="n">
        <f aca="false">ROUND(SUMIF(Lines!$B:$B,B40,Lines!$I:$I),2)</f>
        <v>804446</v>
      </c>
      <c r="AB40" s="17" t="n">
        <f aca="false">ROUND(SUMIF(Lines!$B:$B,B40,Lines!$L:$L),2)</f>
        <v>661843.62</v>
      </c>
      <c r="AC40" s="17" t="n">
        <f aca="false">ROUND(SUMIF(Lines!$B:$B,B40,Lines!$T:$T),2)</f>
        <v>577127.64</v>
      </c>
      <c r="AD40" s="17" t="n">
        <f aca="false">ROUND(SUMIF(Lines!$B:$B,B40,Lines!$U:$U),2)</f>
        <v>462522</v>
      </c>
      <c r="AE40" s="17" t="n">
        <f aca="false">ROUND(SUMIF(Lines!$B:$B,B40,Lines!$V:$V),2)</f>
        <v>13236.87</v>
      </c>
      <c r="AF40" s="17" t="n">
        <f aca="false">ROUND(AC40-AD40-AE40,2)</f>
        <v>101368.77</v>
      </c>
      <c r="AG40" s="26" t="n">
        <f aca="false">RANK(AC40,$AC$6:$AC$185)</f>
        <v>27</v>
      </c>
      <c r="AJ40" s="26" t="n">
        <f aca="false">IF(AND(H40&gt;=0.85*Assumptions!$B$44,H40&lt;Assumptions!$B$44),Assumptions!$B$44,IF(AND(H40&gt;=0.85*Assumptions!$B$45,H40&lt;Assumptions!$B$45),Assumptions!$B$45,IF(AND(H40&gt;=0.85*Assumptions!$B$46,H40&lt;Assumptions!$B$46),Assumptions!$B$46,0)))</f>
        <v>0</v>
      </c>
      <c r="AK40" s="26" t="n">
        <f aca="false">IF(AJ40=0,0,AJ40-H40)</f>
        <v>0</v>
      </c>
      <c r="AL40" s="28" t="n">
        <f aca="false">IF(AJ40=Assumptions!$B$44,Assumptions!$C$44,IF(AJ40=Assumptions!$B$45,Assumptions!$C$45,IF(AJ40=Assumptions!$B$46,Assumptions!$C$46,0)))</f>
        <v>0</v>
      </c>
      <c r="AM40" s="17" t="n">
        <f aca="false">IF(AJ40=0,0,AB40*(AL40-P40))</f>
        <v>0</v>
      </c>
      <c r="AN40" s="17" t="n">
        <f aca="false">ROUND(AN31+AM40,2)</f>
        <v>116053.77</v>
      </c>
      <c r="AO40" s="17" t="n">
        <f aca="false">SUMIF(Lines!$B$6:$B$463,$B40,Lines!$M$6:$M$463)</f>
        <v>23164.53</v>
      </c>
      <c r="AP40" s="17" t="n">
        <f aca="false">(AB40/H40)*(MAX(0,MIN(H40,Assumptions!$B$46)-Assumptions!$B$47)*Assumptions!$C$47+MAX(0,MIN(H40,Assumptions!$B$45)-Assumptions!$B$46)*Assumptions!$C$46+MAX(0,MIN(H40,Assumptions!$B$44)-Assumptions!$B$45)*Assumptions!$C$45+MAX(0,H40-Assumptions!$B$44)*Assumptions!$C$44)</f>
        <v>9500.82632642548</v>
      </c>
      <c r="AQ40" s="17" t="n">
        <f aca="false">ROUND(SUMIF(Lines!$B:$B,B40,Lines!$N:$N),2)</f>
        <v>13236.87</v>
      </c>
    </row>
    <row r="41" customFormat="false" ht="15" hidden="false" customHeight="false" outlineLevel="0" collapsed="false">
      <c r="B41" s="14" t="s">
        <v>188</v>
      </c>
      <c r="C41" s="14" t="s">
        <v>162</v>
      </c>
      <c r="D41" s="14" t="s">
        <v>184</v>
      </c>
      <c r="E41" s="24" t="n">
        <v>185</v>
      </c>
      <c r="F41" s="24" t="n">
        <v>5877</v>
      </c>
      <c r="G41" s="24" t="n">
        <v>2016</v>
      </c>
      <c r="H41" s="26" t="n">
        <f aca="false">SUM(E41:G41)</f>
        <v>8078</v>
      </c>
      <c r="I41" s="24" t="n">
        <v>405</v>
      </c>
      <c r="J41" s="24" t="n">
        <v>20</v>
      </c>
      <c r="K41" s="27" t="n">
        <v>0.085</v>
      </c>
      <c r="L41" s="28" t="n">
        <f aca="false">MIN(Assumptions!$C$18,K41*Assumptions!$D$15)</f>
        <v>0.0527</v>
      </c>
      <c r="M41" s="28" t="n">
        <f aca="false">MIN(Assumptions!$C$18,K41*Assumptions!$D$16)</f>
        <v>0.1105</v>
      </c>
      <c r="N41" s="28" t="n">
        <f aca="false">MIN(Assumptions!$C$18,K41*Assumptions!$D$17)</f>
        <v>0.0816</v>
      </c>
      <c r="O41" s="28" t="n">
        <f aca="false">IF(I41&gt;=Assumptions!$B$36,Assumptions!$C$36,IF(I41&gt;=Assumptions!$B$37,Assumptions!$C$37,IF(I41&gt;=Assumptions!$B$38,Assumptions!$C$38,Assumptions!$C$39)))</f>
        <v>0.04</v>
      </c>
      <c r="P41" s="28" t="n">
        <f aca="false">IF(H41&gt;=Assumptions!$B$44,Assumptions!$C$44,IF(H41&gt;=Assumptions!$B$45,Assumptions!$C$45,IF(H41&gt;=Assumptions!$B$46,Assumptions!$C$46,Assumptions!$C$47)))</f>
        <v>0.02</v>
      </c>
      <c r="Q41" s="24" t="n">
        <v>1</v>
      </c>
      <c r="R41" s="28" t="n">
        <f aca="false">Q41*Assumptions!$C$51</f>
        <v>0.02</v>
      </c>
      <c r="S41" s="27" t="n">
        <v>0.015</v>
      </c>
      <c r="T41" s="27" t="n">
        <v>0.025</v>
      </c>
      <c r="U41" s="27" t="n">
        <v>0.015</v>
      </c>
      <c r="V41" s="27" t="n">
        <v>0.008</v>
      </c>
      <c r="W41" s="27" t="n">
        <v>0.01</v>
      </c>
      <c r="X41" s="28" t="n">
        <f aca="false">P41+R41+SUM(S41:W41)</f>
        <v>0.113</v>
      </c>
      <c r="Y41" s="24" t="n">
        <v>1</v>
      </c>
      <c r="Z41" s="29" t="n">
        <f aca="false">LN(H41)</f>
        <v>8.99689959612336</v>
      </c>
      <c r="AA41" s="17" t="n">
        <f aca="false">ROUND(SUMIF(Lines!$B:$B,B41,Lines!$I:$I),2)</f>
        <v>585290</v>
      </c>
      <c r="AB41" s="17" t="n">
        <f aca="false">ROUND(SUMIF(Lines!$B:$B,B41,Lines!$L:$L),2)</f>
        <v>504379.6</v>
      </c>
      <c r="AC41" s="17" t="n">
        <f aca="false">ROUND(SUMIF(Lines!$B:$B,B41,Lines!$T:$T),2)</f>
        <v>447384.69</v>
      </c>
      <c r="AD41" s="17" t="n">
        <f aca="false">ROUND(SUMIF(Lines!$B:$B,B41,Lines!$U:$U),2)</f>
        <v>342930</v>
      </c>
      <c r="AE41" s="17" t="n">
        <f aca="false">ROUND(SUMIF(Lines!$B:$B,B41,Lines!$V:$V),2)</f>
        <v>10087.59</v>
      </c>
      <c r="AF41" s="17" t="n">
        <f aca="false">ROUND(AC41-AD41-AE41,2)</f>
        <v>94367.1</v>
      </c>
      <c r="AG41" s="26" t="n">
        <f aca="false">RANK(AC41,$AC$6:$AC$185)</f>
        <v>35</v>
      </c>
      <c r="AJ41" s="26" t="n">
        <f aca="false">IF(AND(H41&gt;=0.85*Assumptions!$B$44,H41&lt;Assumptions!$B$44),Assumptions!$B$44,IF(AND(H41&gt;=0.85*Assumptions!$B$45,H41&lt;Assumptions!$B$45),Assumptions!$B$45,IF(AND(H41&gt;=0.85*Assumptions!$B$46,H41&lt;Assumptions!$B$46),Assumptions!$B$46,0)))</f>
        <v>0</v>
      </c>
      <c r="AK41" s="26" t="n">
        <f aca="false">IF(AJ41=0,0,AJ41-H41)</f>
        <v>0</v>
      </c>
      <c r="AL41" s="28" t="n">
        <f aca="false">IF(AJ41=Assumptions!$B$44,Assumptions!$C$44,IF(AJ41=Assumptions!$B$45,Assumptions!$C$45,IF(AJ41=Assumptions!$B$46,Assumptions!$C$46,0)))</f>
        <v>0</v>
      </c>
      <c r="AM41" s="17" t="n">
        <f aca="false">IF(AJ41=0,0,AB41*(AL41-P41))</f>
        <v>0</v>
      </c>
      <c r="AN41" s="17" t="n">
        <f aca="false">ROUND(AN32+AM41,2)</f>
        <v>116053.77</v>
      </c>
      <c r="AO41" s="17" t="n">
        <f aca="false">SUMIF(Lines!$B$6:$B$463,$B41,Lines!$M$6:$M$463)</f>
        <v>10087.59</v>
      </c>
      <c r="AP41" s="17" t="n">
        <f aca="false">(AB41/H41)*(MAX(0,MIN(H41,Assumptions!$B$46)-Assumptions!$B$47)*Assumptions!$C$47+MAX(0,MIN(H41,Assumptions!$B$45)-Assumptions!$B$46)*Assumptions!$C$46+MAX(0,MIN(H41,Assumptions!$B$44)-Assumptions!$B$45)*Assumptions!$C$45+MAX(0,H41-Assumptions!$B$44)*Assumptions!$C$44)</f>
        <v>6341.27162366923</v>
      </c>
      <c r="AQ41" s="17" t="n">
        <f aca="false">ROUND(SUMIF(Lines!$B:$B,B41,Lines!$N:$N),2)</f>
        <v>10087.59</v>
      </c>
    </row>
    <row r="42" customFormat="false" ht="15" hidden="false" customHeight="false" outlineLevel="0" collapsed="false">
      <c r="B42" s="14" t="s">
        <v>189</v>
      </c>
      <c r="C42" s="14" t="s">
        <v>162</v>
      </c>
      <c r="D42" s="14" t="s">
        <v>184</v>
      </c>
      <c r="E42" s="24" t="n">
        <v>827</v>
      </c>
      <c r="F42" s="24" t="n">
        <v>3820</v>
      </c>
      <c r="G42" s="24" t="n">
        <v>1096</v>
      </c>
      <c r="H42" s="26" t="n">
        <f aca="false">SUM(E42:G42)</f>
        <v>5743</v>
      </c>
      <c r="I42" s="24" t="n">
        <v>374</v>
      </c>
      <c r="J42" s="24" t="n">
        <v>15</v>
      </c>
      <c r="K42" s="27" t="n">
        <v>0.15</v>
      </c>
      <c r="L42" s="28" t="n">
        <f aca="false">MIN(Assumptions!$C$18,K42*Assumptions!$D$15)</f>
        <v>0.093</v>
      </c>
      <c r="M42" s="28" t="n">
        <f aca="false">MIN(Assumptions!$C$18,K42*Assumptions!$D$16)</f>
        <v>0.195</v>
      </c>
      <c r="N42" s="28" t="n">
        <f aca="false">MIN(Assumptions!$C$18,K42*Assumptions!$D$17)</f>
        <v>0.144</v>
      </c>
      <c r="O42" s="28" t="n">
        <f aca="false">IF(I42&gt;=Assumptions!$B$36,Assumptions!$C$36,IF(I42&gt;=Assumptions!$B$37,Assumptions!$C$37,IF(I42&gt;=Assumptions!$B$38,Assumptions!$C$38,Assumptions!$C$39)))</f>
        <v>0.04</v>
      </c>
      <c r="P42" s="28" t="n">
        <f aca="false">IF(H42&gt;=Assumptions!$B$44,Assumptions!$C$44,IF(H42&gt;=Assumptions!$B$45,Assumptions!$C$45,IF(H42&gt;=Assumptions!$B$46,Assumptions!$C$46,Assumptions!$C$47)))</f>
        <v>0.02</v>
      </c>
      <c r="Q42" s="24" t="n">
        <v>1</v>
      </c>
      <c r="R42" s="28" t="n">
        <f aca="false">Q42*Assumptions!$C$51</f>
        <v>0.02</v>
      </c>
      <c r="S42" s="27" t="n">
        <v>0.015</v>
      </c>
      <c r="T42" s="27" t="n">
        <v>0.025</v>
      </c>
      <c r="U42" s="27" t="n">
        <v>0.015</v>
      </c>
      <c r="V42" s="27" t="n">
        <v>0.008</v>
      </c>
      <c r="W42" s="27" t="n">
        <v>0</v>
      </c>
      <c r="X42" s="28" t="n">
        <f aca="false">P42+R42+SUM(S42:W42)</f>
        <v>0.103</v>
      </c>
      <c r="Y42" s="24" t="n">
        <v>0</v>
      </c>
      <c r="Z42" s="29" t="n">
        <f aca="false">LN(H42)</f>
        <v>8.6557370008643</v>
      </c>
      <c r="AA42" s="17" t="n">
        <f aca="false">ROUND(SUMIF(Lines!$B:$B,B42,Lines!$I:$I),2)</f>
        <v>464452</v>
      </c>
      <c r="AB42" s="17" t="n">
        <f aca="false">ROUND(SUMIF(Lines!$B:$B,B42,Lines!$L:$L),2)</f>
        <v>373156.19</v>
      </c>
      <c r="AC42" s="17" t="n">
        <f aca="false">ROUND(SUMIF(Lines!$B:$B,B42,Lines!$T:$T),2)</f>
        <v>334721.09</v>
      </c>
      <c r="AD42" s="17" t="n">
        <f aca="false">ROUND(SUMIF(Lines!$B:$B,B42,Lines!$U:$U),2)</f>
        <v>265594</v>
      </c>
      <c r="AE42" s="17" t="n">
        <f aca="false">ROUND(SUMIF(Lines!$B:$B,B42,Lines!$V:$V),2)</f>
        <v>7463.13</v>
      </c>
      <c r="AF42" s="17" t="n">
        <f aca="false">ROUND(AC42-AD42-AE42,2)</f>
        <v>61663.96</v>
      </c>
      <c r="AG42" s="26" t="n">
        <f aca="false">RANK(AC42,$AC$6:$AC$185)</f>
        <v>44</v>
      </c>
      <c r="AJ42" s="26" t="n">
        <f aca="false">IF(AND(H42&gt;=0.85*Assumptions!$B$44,H42&lt;Assumptions!$B$44),Assumptions!$B$44,IF(AND(H42&gt;=0.85*Assumptions!$B$45,H42&lt;Assumptions!$B$45),Assumptions!$B$45,IF(AND(H42&gt;=0.85*Assumptions!$B$46,H42&lt;Assumptions!$B$46),Assumptions!$B$46,0)))</f>
        <v>0</v>
      </c>
      <c r="AK42" s="26" t="n">
        <f aca="false">IF(AJ42=0,0,AJ42-H42)</f>
        <v>0</v>
      </c>
      <c r="AL42" s="28" t="n">
        <f aca="false">IF(AJ42=Assumptions!$B$44,Assumptions!$C$44,IF(AJ42=Assumptions!$B$45,Assumptions!$C$45,IF(AJ42=Assumptions!$B$46,Assumptions!$C$46,0)))</f>
        <v>0</v>
      </c>
      <c r="AM42" s="17" t="n">
        <f aca="false">IF(AJ42=0,0,AB42*(AL42-P42))</f>
        <v>0</v>
      </c>
      <c r="AN42" s="17" t="n">
        <f aca="false">ROUND(AN33+AM42,2)</f>
        <v>119536.75</v>
      </c>
      <c r="AO42" s="17" t="n">
        <f aca="false">SUMIF(Lines!$B$6:$B$463,$B42,Lines!$M$6:$M$463)</f>
        <v>7463.13</v>
      </c>
      <c r="AP42" s="17" t="n">
        <f aca="false">(AB42/H42)*(MAX(0,MIN(H42,Assumptions!$B$46)-Assumptions!$B$47)*Assumptions!$C$47+MAX(0,MIN(H42,Assumptions!$B$45)-Assumptions!$B$46)*Assumptions!$C$46+MAX(0,MIN(H42,Assumptions!$B$44)-Assumptions!$B$45)*Assumptions!$C$45+MAX(0,H42-Assumptions!$B$44)*Assumptions!$C$44)</f>
        <v>3564.57401765628</v>
      </c>
      <c r="AQ42" s="17" t="n">
        <f aca="false">ROUND(SUMIF(Lines!$B:$B,B42,Lines!$N:$N),2)</f>
        <v>7463.13</v>
      </c>
    </row>
    <row r="43" customFormat="false" ht="15" hidden="false" customHeight="false" outlineLevel="0" collapsed="false">
      <c r="B43" s="14" t="s">
        <v>190</v>
      </c>
      <c r="C43" s="14" t="s">
        <v>162</v>
      </c>
      <c r="D43" s="14" t="s">
        <v>184</v>
      </c>
      <c r="E43" s="24" t="n">
        <v>168</v>
      </c>
      <c r="F43" s="24" t="n">
        <v>6598</v>
      </c>
      <c r="G43" s="24" t="n">
        <v>3094</v>
      </c>
      <c r="H43" s="26" t="n">
        <f aca="false">SUM(E43:G43)</f>
        <v>9860</v>
      </c>
      <c r="I43" s="24" t="n">
        <v>392</v>
      </c>
      <c r="J43" s="24" t="n">
        <v>25</v>
      </c>
      <c r="K43" s="27" t="n">
        <v>0.145</v>
      </c>
      <c r="L43" s="28" t="n">
        <f aca="false">MIN(Assumptions!$C$18,K43*Assumptions!$D$15)</f>
        <v>0.0899</v>
      </c>
      <c r="M43" s="28" t="n">
        <f aca="false">MIN(Assumptions!$C$18,K43*Assumptions!$D$16)</f>
        <v>0.1885</v>
      </c>
      <c r="N43" s="28" t="n">
        <f aca="false">MIN(Assumptions!$C$18,K43*Assumptions!$D$17)</f>
        <v>0.1392</v>
      </c>
      <c r="O43" s="28" t="n">
        <f aca="false">IF(I43&gt;=Assumptions!$B$36,Assumptions!$C$36,IF(I43&gt;=Assumptions!$B$37,Assumptions!$C$37,IF(I43&gt;=Assumptions!$B$38,Assumptions!$C$38,Assumptions!$C$39)))</f>
        <v>0.04</v>
      </c>
      <c r="P43" s="28" t="n">
        <f aca="false">IF(H43&gt;=Assumptions!$B$44,Assumptions!$C$44,IF(H43&gt;=Assumptions!$B$45,Assumptions!$C$45,IF(H43&gt;=Assumptions!$B$46,Assumptions!$C$46,Assumptions!$C$47)))</f>
        <v>0.02</v>
      </c>
      <c r="Q43" s="24" t="n">
        <v>1</v>
      </c>
      <c r="R43" s="28" t="n">
        <f aca="false">Q43*Assumptions!$C$51</f>
        <v>0.02</v>
      </c>
      <c r="S43" s="27" t="n">
        <v>0.015</v>
      </c>
      <c r="T43" s="27" t="n">
        <v>0.025</v>
      </c>
      <c r="U43" s="27" t="n">
        <v>0.015</v>
      </c>
      <c r="V43" s="27" t="n">
        <v>0.008</v>
      </c>
      <c r="W43" s="27" t="n">
        <v>0.01</v>
      </c>
      <c r="X43" s="28" t="n">
        <f aca="false">P43+R43+SUM(S43:W43)</f>
        <v>0.113</v>
      </c>
      <c r="Y43" s="24" t="n">
        <v>0</v>
      </c>
      <c r="Z43" s="29" t="n">
        <f aca="false">LN(H43)</f>
        <v>9.19624144759668</v>
      </c>
      <c r="AA43" s="17" t="n">
        <f aca="false">ROUND(SUMIF(Lines!$B:$B,B43,Lines!$I:$I),2)</f>
        <v>730964</v>
      </c>
      <c r="AB43" s="17" t="n">
        <f aca="false">ROUND(SUMIF(Lines!$B:$B,B43,Lines!$L:$L),2)</f>
        <v>581033.6</v>
      </c>
      <c r="AC43" s="17" t="n">
        <f aca="false">ROUND(SUMIF(Lines!$B:$B,B43,Lines!$T:$T),2)</f>
        <v>515376.83</v>
      </c>
      <c r="AD43" s="17" t="n">
        <f aca="false">ROUND(SUMIF(Lines!$B:$B,B43,Lines!$U:$U),2)</f>
        <v>430084</v>
      </c>
      <c r="AE43" s="17" t="n">
        <f aca="false">ROUND(SUMIF(Lines!$B:$B,B43,Lines!$V:$V),2)</f>
        <v>11620.67</v>
      </c>
      <c r="AF43" s="17" t="n">
        <f aca="false">ROUND(AC43-AD43-AE43,2)</f>
        <v>73672.16</v>
      </c>
      <c r="AG43" s="26" t="n">
        <f aca="false">RANK(AC43,$AC$6:$AC$185)</f>
        <v>31</v>
      </c>
      <c r="AJ43" s="26" t="n">
        <f aca="false">IF(AND(H43&gt;=0.85*Assumptions!$B$44,H43&lt;Assumptions!$B$44),Assumptions!$B$44,IF(AND(H43&gt;=0.85*Assumptions!$B$45,H43&lt;Assumptions!$B$45),Assumptions!$B$45,IF(AND(H43&gt;=0.85*Assumptions!$B$46,H43&lt;Assumptions!$B$46),Assumptions!$B$46,0)))</f>
        <v>10000</v>
      </c>
      <c r="AK43" s="26" t="n">
        <f aca="false">IF(AJ43=0,0,AJ43-H43)</f>
        <v>140</v>
      </c>
      <c r="AL43" s="28" t="n">
        <f aca="false">IF(AJ43=Assumptions!$B$44,Assumptions!$C$44,IF(AJ43=Assumptions!$B$45,Assumptions!$C$45,IF(AJ43=Assumptions!$B$46,Assumptions!$C$46,0)))</f>
        <v>0.035</v>
      </c>
      <c r="AM43" s="17" t="n">
        <f aca="false">IF(AJ43=0,0,AB43*(AL43-P43))</f>
        <v>8715.504</v>
      </c>
      <c r="AN43" s="17" t="n">
        <f aca="false">ROUND(AN34+AM43,2)</f>
        <v>128252.25</v>
      </c>
      <c r="AO43" s="17" t="n">
        <f aca="false">SUMIF(Lines!$B$6:$B$463,$B43,Lines!$M$6:$M$463)</f>
        <v>11620.67</v>
      </c>
      <c r="AP43" s="17" t="n">
        <f aca="false">(AB43/H43)*(MAX(0,MIN(H43,Assumptions!$B$46)-Assumptions!$B$47)*Assumptions!$C$47+MAX(0,MIN(H43,Assumptions!$B$45)-Assumptions!$B$46)*Assumptions!$C$46+MAX(0,MIN(H43,Assumptions!$B$44)-Assumptions!$B$45)*Assumptions!$C$45+MAX(0,H43-Assumptions!$B$44)*Assumptions!$C$44)</f>
        <v>8084.9705801217</v>
      </c>
      <c r="AQ43" s="17" t="n">
        <f aca="false">ROUND(SUMIF(Lines!$B:$B,B43,Lines!$N:$N),2)</f>
        <v>11620.67</v>
      </c>
    </row>
    <row r="44" customFormat="false" ht="15" hidden="false" customHeight="false" outlineLevel="0" collapsed="false">
      <c r="B44" s="14" t="s">
        <v>191</v>
      </c>
      <c r="C44" s="14" t="s">
        <v>162</v>
      </c>
      <c r="D44" s="14" t="s">
        <v>184</v>
      </c>
      <c r="E44" s="24" t="n">
        <v>1008</v>
      </c>
      <c r="F44" s="24" t="n">
        <v>11471</v>
      </c>
      <c r="G44" s="24" t="n">
        <v>3115</v>
      </c>
      <c r="H44" s="26" t="n">
        <f aca="false">SUM(E44:G44)</f>
        <v>15594</v>
      </c>
      <c r="I44" s="24" t="n">
        <v>411</v>
      </c>
      <c r="J44" s="24" t="n">
        <v>38</v>
      </c>
      <c r="K44" s="27" t="n">
        <v>0.01</v>
      </c>
      <c r="L44" s="28" t="n">
        <f aca="false">MIN(Assumptions!$C$18,K44*Assumptions!$D$15)</f>
        <v>0.0062</v>
      </c>
      <c r="M44" s="28" t="n">
        <f aca="false">MIN(Assumptions!$C$18,K44*Assumptions!$D$16)</f>
        <v>0.013</v>
      </c>
      <c r="N44" s="28" t="n">
        <f aca="false">MIN(Assumptions!$C$18,K44*Assumptions!$D$17)</f>
        <v>0.0096</v>
      </c>
      <c r="O44" s="28" t="n">
        <f aca="false">IF(I44&gt;=Assumptions!$B$36,Assumptions!$C$36,IF(I44&gt;=Assumptions!$B$37,Assumptions!$C$37,IF(I44&gt;=Assumptions!$B$38,Assumptions!$C$38,Assumptions!$C$39)))</f>
        <v>0.04</v>
      </c>
      <c r="P44" s="28" t="n">
        <f aca="false">IF(H44&gt;=Assumptions!$B$44,Assumptions!$C$44,IF(H44&gt;=Assumptions!$B$45,Assumptions!$C$45,IF(H44&gt;=Assumptions!$B$46,Assumptions!$C$46,Assumptions!$C$47)))</f>
        <v>0.035</v>
      </c>
      <c r="Q44" s="24" t="n">
        <v>0</v>
      </c>
      <c r="R44" s="28" t="n">
        <f aca="false">Q44*Assumptions!$C$51</f>
        <v>0</v>
      </c>
      <c r="S44" s="27" t="n">
        <v>0.015</v>
      </c>
      <c r="T44" s="27" t="n">
        <v>0.025</v>
      </c>
      <c r="U44" s="27" t="n">
        <v>0.015</v>
      </c>
      <c r="V44" s="27" t="n">
        <v>0.008</v>
      </c>
      <c r="W44" s="27" t="n">
        <v>0.01</v>
      </c>
      <c r="X44" s="28" t="n">
        <f aca="false">P44+R44+SUM(S44:W44)</f>
        <v>0.108</v>
      </c>
      <c r="Y44" s="24" t="n">
        <v>0</v>
      </c>
      <c r="Z44" s="29" t="n">
        <f aca="false">LN(H44)</f>
        <v>9.65464150386955</v>
      </c>
      <c r="AA44" s="17" t="n">
        <f aca="false">ROUND(SUMIF(Lines!$B:$B,B44,Lines!$I:$I),2)</f>
        <v>1159426</v>
      </c>
      <c r="AB44" s="17" t="n">
        <f aca="false">ROUND(SUMIF(Lines!$B:$B,B44,Lines!$L:$L),2)</f>
        <v>1100007.61</v>
      </c>
      <c r="AC44" s="17" t="n">
        <f aca="false">ROUND(SUMIF(Lines!$B:$B,B44,Lines!$T:$T),2)</f>
        <v>981206.79</v>
      </c>
      <c r="AD44" s="17" t="n">
        <f aca="false">ROUND(SUMIF(Lines!$B:$B,B44,Lines!$U:$U),2)</f>
        <v>672250</v>
      </c>
      <c r="AE44" s="17" t="n">
        <f aca="false">ROUND(SUMIF(Lines!$B:$B,B44,Lines!$V:$V),2)</f>
        <v>22000.15</v>
      </c>
      <c r="AF44" s="17" t="n">
        <f aca="false">ROUND(AC44-AD44-AE44,2)</f>
        <v>286956.64</v>
      </c>
      <c r="AG44" s="26" t="n">
        <f aca="false">RANK(AC44,$AC$6:$AC$185)</f>
        <v>14</v>
      </c>
      <c r="AJ44" s="26" t="n">
        <f aca="false">IF(AND(H44&gt;=0.85*Assumptions!$B$44,H44&lt;Assumptions!$B$44),Assumptions!$B$44,IF(AND(H44&gt;=0.85*Assumptions!$B$45,H44&lt;Assumptions!$B$45),Assumptions!$B$45,IF(AND(H44&gt;=0.85*Assumptions!$B$46,H44&lt;Assumptions!$B$46),Assumptions!$B$46,0)))</f>
        <v>0</v>
      </c>
      <c r="AK44" s="26" t="n">
        <f aca="false">IF(AJ44=0,0,AJ44-H44)</f>
        <v>0</v>
      </c>
      <c r="AL44" s="28" t="n">
        <f aca="false">IF(AJ44=Assumptions!$B$44,Assumptions!$C$44,IF(AJ44=Assumptions!$B$45,Assumptions!$C$45,IF(AJ44=Assumptions!$B$46,Assumptions!$C$46,0)))</f>
        <v>0</v>
      </c>
      <c r="AM44" s="17" t="n">
        <f aca="false">IF(AJ44=0,0,AB44*(AL44-P44))</f>
        <v>0</v>
      </c>
      <c r="AN44" s="17" t="n">
        <f aca="false">ROUND(AN35+AM44,2)</f>
        <v>138146.69</v>
      </c>
      <c r="AO44" s="17" t="n">
        <f aca="false">SUMIF(Lines!$B$6:$B$463,$B44,Lines!$M$6:$M$463)</f>
        <v>38500.27</v>
      </c>
      <c r="AP44" s="17" t="n">
        <f aca="false">(AB44/H44)*(MAX(0,MIN(H44,Assumptions!$B$46)-Assumptions!$B$47)*Assumptions!$C$47+MAX(0,MIN(H44,Assumptions!$B$45)-Assumptions!$B$46)*Assumptions!$C$46+MAX(0,MIN(H44,Assumptions!$B$44)-Assumptions!$B$45)*Assumptions!$C$45+MAX(0,H44-Assumptions!$B$44)*Assumptions!$C$44)</f>
        <v>23686.7741029819</v>
      </c>
      <c r="AQ44" s="17" t="n">
        <f aca="false">ROUND(SUMIF(Lines!$B:$B,B44,Lines!$N:$N),2)</f>
        <v>0</v>
      </c>
    </row>
    <row r="45" customFormat="false" ht="15" hidden="false" customHeight="false" outlineLevel="0" collapsed="false">
      <c r="B45" s="14" t="s">
        <v>192</v>
      </c>
      <c r="C45" s="14" t="s">
        <v>162</v>
      </c>
      <c r="D45" s="14" t="s">
        <v>184</v>
      </c>
      <c r="E45" s="24" t="n">
        <v>1192</v>
      </c>
      <c r="F45" s="24" t="n">
        <v>4628</v>
      </c>
      <c r="G45" s="24" t="n">
        <v>2110</v>
      </c>
      <c r="H45" s="26" t="n">
        <f aca="false">SUM(E45:G45)</f>
        <v>7930</v>
      </c>
      <c r="I45" s="24" t="n">
        <v>314</v>
      </c>
      <c r="J45" s="24" t="n">
        <v>25</v>
      </c>
      <c r="K45" s="27" t="n">
        <v>0.09</v>
      </c>
      <c r="L45" s="28" t="n">
        <f aca="false">MIN(Assumptions!$C$18,K45*Assumptions!$D$15)</f>
        <v>0.0558</v>
      </c>
      <c r="M45" s="28" t="n">
        <f aca="false">MIN(Assumptions!$C$18,K45*Assumptions!$D$16)</f>
        <v>0.117</v>
      </c>
      <c r="N45" s="28" t="n">
        <f aca="false">MIN(Assumptions!$C$18,K45*Assumptions!$D$17)</f>
        <v>0.0864</v>
      </c>
      <c r="O45" s="28" t="n">
        <f aca="false">IF(I45&gt;=Assumptions!$B$36,Assumptions!$C$36,IF(I45&gt;=Assumptions!$B$37,Assumptions!$C$37,IF(I45&gt;=Assumptions!$B$38,Assumptions!$C$38,Assumptions!$C$39)))</f>
        <v>0.04</v>
      </c>
      <c r="P45" s="28" t="n">
        <f aca="false">IF(H45&gt;=Assumptions!$B$44,Assumptions!$C$44,IF(H45&gt;=Assumptions!$B$45,Assumptions!$C$45,IF(H45&gt;=Assumptions!$B$46,Assumptions!$C$46,Assumptions!$C$47)))</f>
        <v>0.02</v>
      </c>
      <c r="Q45" s="24" t="n">
        <v>1</v>
      </c>
      <c r="R45" s="28" t="n">
        <f aca="false">Q45*Assumptions!$C$51</f>
        <v>0.02</v>
      </c>
      <c r="S45" s="27" t="n">
        <v>0.015</v>
      </c>
      <c r="T45" s="27" t="n">
        <v>0.025</v>
      </c>
      <c r="U45" s="27" t="n">
        <v>0</v>
      </c>
      <c r="V45" s="27" t="n">
        <v>0.008</v>
      </c>
      <c r="W45" s="27" t="n">
        <v>0.01</v>
      </c>
      <c r="X45" s="28" t="n">
        <f aca="false">P45+R45+SUM(S45:W45)</f>
        <v>0.098</v>
      </c>
      <c r="Y45" s="24" t="n">
        <v>0</v>
      </c>
      <c r="Z45" s="29" t="n">
        <f aca="false">LN(H45)</f>
        <v>8.97840831462889</v>
      </c>
      <c r="AA45" s="17" t="n">
        <f aca="false">ROUND(SUMIF(Lines!$B:$B,B45,Lines!$I:$I),2)</f>
        <v>665912</v>
      </c>
      <c r="AB45" s="17" t="n">
        <f aca="false">ROUND(SUMIF(Lines!$B:$B,B45,Lines!$L:$L),2)</f>
        <v>578358.82</v>
      </c>
      <c r="AC45" s="17" t="n">
        <f aca="false">ROUND(SUMIF(Lines!$B:$B,B45,Lines!$T:$T),2)</f>
        <v>521679.65</v>
      </c>
      <c r="AD45" s="17" t="n">
        <f aca="false">ROUND(SUMIF(Lines!$B:$B,B45,Lines!$U:$U),2)</f>
        <v>381964</v>
      </c>
      <c r="AE45" s="17" t="n">
        <f aca="false">ROUND(SUMIF(Lines!$B:$B,B45,Lines!$V:$V),2)</f>
        <v>11567.18</v>
      </c>
      <c r="AF45" s="17" t="n">
        <f aca="false">ROUND(AC45-AD45-AE45,2)</f>
        <v>128148.47</v>
      </c>
      <c r="AG45" s="26" t="n">
        <f aca="false">RANK(AC45,$AC$6:$AC$185)</f>
        <v>30</v>
      </c>
      <c r="AJ45" s="26" t="n">
        <f aca="false">IF(AND(H45&gt;=0.85*Assumptions!$B$44,H45&lt;Assumptions!$B$44),Assumptions!$B$44,IF(AND(H45&gt;=0.85*Assumptions!$B$45,H45&lt;Assumptions!$B$45),Assumptions!$B$45,IF(AND(H45&gt;=0.85*Assumptions!$B$46,H45&lt;Assumptions!$B$46),Assumptions!$B$46,0)))</f>
        <v>0</v>
      </c>
      <c r="AK45" s="26" t="n">
        <f aca="false">IF(AJ45=0,0,AJ45-H45)</f>
        <v>0</v>
      </c>
      <c r="AL45" s="28" t="n">
        <f aca="false">IF(AJ45=Assumptions!$B$44,Assumptions!$C$44,IF(AJ45=Assumptions!$B$45,Assumptions!$C$45,IF(AJ45=Assumptions!$B$46,Assumptions!$C$46,0)))</f>
        <v>0</v>
      </c>
      <c r="AM45" s="17" t="n">
        <f aca="false">IF(AJ45=0,0,AB45*(AL45-P45))</f>
        <v>0</v>
      </c>
      <c r="AN45" s="17" t="n">
        <f aca="false">ROUND(AN36+AM45,2)</f>
        <v>138146.69</v>
      </c>
      <c r="AO45" s="17" t="n">
        <f aca="false">SUMIF(Lines!$B$6:$B$463,$B45,Lines!$M$6:$M$463)</f>
        <v>11567.18</v>
      </c>
      <c r="AP45" s="17" t="n">
        <f aca="false">(AB45/H45)*(MAX(0,MIN(H45,Assumptions!$B$46)-Assumptions!$B$47)*Assumptions!$C$47+MAX(0,MIN(H45,Assumptions!$B$45)-Assumptions!$B$46)*Assumptions!$C$46+MAX(0,MIN(H45,Assumptions!$B$44)-Assumptions!$B$45)*Assumptions!$C$45+MAX(0,H45-Assumptions!$B$44)*Assumptions!$C$44)</f>
        <v>7191.19541639344</v>
      </c>
      <c r="AQ45" s="17" t="n">
        <f aca="false">ROUND(SUMIF(Lines!$B:$B,B45,Lines!$N:$N),2)</f>
        <v>11567.18</v>
      </c>
    </row>
    <row r="46" customFormat="false" ht="15" hidden="false" customHeight="false" outlineLevel="0" collapsed="false">
      <c r="B46" s="14" t="s">
        <v>193</v>
      </c>
      <c r="C46" s="14" t="s">
        <v>194</v>
      </c>
      <c r="D46" s="14" t="s">
        <v>163</v>
      </c>
      <c r="E46" s="24" t="n">
        <v>1375</v>
      </c>
      <c r="F46" s="24" t="n">
        <v>3772</v>
      </c>
      <c r="G46" s="24" t="n">
        <v>2251</v>
      </c>
      <c r="H46" s="26" t="n">
        <f aca="false">SUM(E46:G46)</f>
        <v>7398</v>
      </c>
      <c r="I46" s="24" t="n">
        <v>252</v>
      </c>
      <c r="J46" s="24" t="n">
        <v>29</v>
      </c>
      <c r="K46" s="27" t="n">
        <v>0.115</v>
      </c>
      <c r="L46" s="28" t="n">
        <f aca="false">MIN(Assumptions!$C$18,K46*Assumptions!$D$15)</f>
        <v>0.0713</v>
      </c>
      <c r="M46" s="28" t="n">
        <f aca="false">MIN(Assumptions!$C$18,K46*Assumptions!$D$16)</f>
        <v>0.1495</v>
      </c>
      <c r="N46" s="28" t="n">
        <f aca="false">MIN(Assumptions!$C$18,K46*Assumptions!$D$17)</f>
        <v>0.1104</v>
      </c>
      <c r="O46" s="28" t="n">
        <f aca="false">IF(I46&gt;=Assumptions!$B$36,Assumptions!$C$36,IF(I46&gt;=Assumptions!$B$37,Assumptions!$C$37,IF(I46&gt;=Assumptions!$B$38,Assumptions!$C$38,Assumptions!$C$39)))</f>
        <v>0.04</v>
      </c>
      <c r="P46" s="28" t="n">
        <f aca="false">IF(H46&gt;=Assumptions!$B$44,Assumptions!$C$44,IF(H46&gt;=Assumptions!$B$45,Assumptions!$C$45,IF(H46&gt;=Assumptions!$B$46,Assumptions!$C$46,Assumptions!$C$47)))</f>
        <v>0.02</v>
      </c>
      <c r="Q46" s="24" t="n">
        <v>1</v>
      </c>
      <c r="R46" s="28" t="n">
        <f aca="false">Q46*Assumptions!$C$51</f>
        <v>0.02</v>
      </c>
      <c r="S46" s="27" t="n">
        <v>0</v>
      </c>
      <c r="T46" s="27" t="n">
        <v>0</v>
      </c>
      <c r="U46" s="27" t="n">
        <v>0</v>
      </c>
      <c r="V46" s="27" t="n">
        <v>0.006</v>
      </c>
      <c r="W46" s="27" t="n">
        <v>0</v>
      </c>
      <c r="X46" s="28" t="n">
        <f aca="false">P46+R46+SUM(S46:W46)</f>
        <v>0.046</v>
      </c>
      <c r="Y46" s="24" t="n">
        <v>0</v>
      </c>
      <c r="Z46" s="29" t="n">
        <f aca="false">LN(H46)</f>
        <v>8.9089649723924</v>
      </c>
      <c r="AA46" s="17" t="n">
        <f aca="false">ROUND(SUMIF(Lines!$B:$B,B46,Lines!$I:$I),2)</f>
        <v>653460</v>
      </c>
      <c r="AB46" s="17" t="n">
        <f aca="false">ROUND(SUMIF(Lines!$B:$B,B46,Lines!$L:$L),2)</f>
        <v>553992.38</v>
      </c>
      <c r="AC46" s="17" t="n">
        <f aca="false">ROUND(SUMIF(Lines!$B:$B,B46,Lines!$T:$T),2)</f>
        <v>528508.73</v>
      </c>
      <c r="AD46" s="17" t="n">
        <f aca="false">ROUND(SUMIF(Lines!$B:$B,B46,Lines!$U:$U),2)</f>
        <v>373600</v>
      </c>
      <c r="AE46" s="17" t="n">
        <f aca="false">ROUND(SUMIF(Lines!$B:$B,B46,Lines!$V:$V),2)</f>
        <v>11079.85</v>
      </c>
      <c r="AF46" s="17" t="n">
        <f aca="false">ROUND(AC46-AD46-AE46,2)</f>
        <v>143828.88</v>
      </c>
      <c r="AG46" s="26" t="n">
        <f aca="false">RANK(AC46,$AC$6:$AC$185)</f>
        <v>29</v>
      </c>
      <c r="AJ46" s="26" t="n">
        <f aca="false">IF(AND(H46&gt;=0.85*Assumptions!$B$44,H46&lt;Assumptions!$B$44),Assumptions!$B$44,IF(AND(H46&gt;=0.85*Assumptions!$B$45,H46&lt;Assumptions!$B$45),Assumptions!$B$45,IF(AND(H46&gt;=0.85*Assumptions!$B$46,H46&lt;Assumptions!$B$46),Assumptions!$B$46,0)))</f>
        <v>0</v>
      </c>
      <c r="AK46" s="26" t="n">
        <f aca="false">IF(AJ46=0,0,AJ46-H46)</f>
        <v>0</v>
      </c>
      <c r="AL46" s="28" t="n">
        <f aca="false">IF(AJ46=Assumptions!$B$44,Assumptions!$C$44,IF(AJ46=Assumptions!$B$45,Assumptions!$C$45,IF(AJ46=Assumptions!$B$46,Assumptions!$C$46,0)))</f>
        <v>0</v>
      </c>
      <c r="AM46" s="17" t="n">
        <f aca="false">IF(AJ46=0,0,AB46*(AL46-P46))</f>
        <v>0</v>
      </c>
      <c r="AN46" s="17" t="n">
        <f aca="false">ROUND(AN27+AM46,2)</f>
        <v>138146.69</v>
      </c>
      <c r="AO46" s="17" t="n">
        <f aca="false">SUMIF(Lines!$B$6:$B$463,$B46,Lines!$M$6:$M$463)</f>
        <v>11079.85</v>
      </c>
      <c r="AP46" s="17" t="n">
        <f aca="false">(AB46/H46)*(MAX(0,MIN(H46,Assumptions!$B$46)-Assumptions!$B$47)*Assumptions!$C$47+MAX(0,MIN(H46,Assumptions!$B$45)-Assumptions!$B$46)*Assumptions!$C$46+MAX(0,MIN(H46,Assumptions!$B$44)-Assumptions!$B$45)*Assumptions!$C$45+MAX(0,H46-Assumptions!$B$44)*Assumptions!$C$44)</f>
        <v>6586.80315555556</v>
      </c>
      <c r="AQ46" s="17" t="n">
        <f aca="false">ROUND(SUMIF(Lines!$B:$B,B46,Lines!$N:$N),2)</f>
        <v>11079.85</v>
      </c>
    </row>
    <row r="47" customFormat="false" ht="15" hidden="false" customHeight="false" outlineLevel="0" collapsed="false">
      <c r="B47" s="14" t="s">
        <v>195</v>
      </c>
      <c r="C47" s="14" t="s">
        <v>194</v>
      </c>
      <c r="D47" s="14" t="s">
        <v>163</v>
      </c>
      <c r="E47" s="24" t="n">
        <v>0</v>
      </c>
      <c r="F47" s="24" t="n">
        <v>986</v>
      </c>
      <c r="G47" s="24" t="n">
        <v>521</v>
      </c>
      <c r="H47" s="26" t="n">
        <f aca="false">SUM(E47:G47)</f>
        <v>1507</v>
      </c>
      <c r="I47" s="24" t="n">
        <v>190</v>
      </c>
      <c r="J47" s="24" t="n">
        <v>8</v>
      </c>
      <c r="K47" s="27" t="n">
        <v>0.06</v>
      </c>
      <c r="L47" s="28" t="n">
        <f aca="false">MIN(Assumptions!$C$18,K47*Assumptions!$D$15)</f>
        <v>0.0372</v>
      </c>
      <c r="M47" s="28" t="n">
        <f aca="false">MIN(Assumptions!$C$18,K47*Assumptions!$D$16)</f>
        <v>0.078</v>
      </c>
      <c r="N47" s="28" t="n">
        <f aca="false">MIN(Assumptions!$C$18,K47*Assumptions!$D$17)</f>
        <v>0.0576</v>
      </c>
      <c r="O47" s="28" t="n">
        <f aca="false">IF(I47&gt;=Assumptions!$B$36,Assumptions!$C$36,IF(I47&gt;=Assumptions!$B$37,Assumptions!$C$37,IF(I47&gt;=Assumptions!$B$38,Assumptions!$C$38,Assumptions!$C$39)))</f>
        <v>0.02</v>
      </c>
      <c r="P47" s="28" t="n">
        <f aca="false">IF(H47&gt;=Assumptions!$B$44,Assumptions!$C$44,IF(H47&gt;=Assumptions!$B$45,Assumptions!$C$45,IF(H47&gt;=Assumptions!$B$46,Assumptions!$C$46,Assumptions!$C$47)))</f>
        <v>0</v>
      </c>
      <c r="Q47" s="24" t="n">
        <v>1</v>
      </c>
      <c r="R47" s="28" t="n">
        <f aca="false">Q47*Assumptions!$C$51</f>
        <v>0.02</v>
      </c>
      <c r="S47" s="27" t="n">
        <v>0</v>
      </c>
      <c r="T47" s="27" t="n">
        <v>0</v>
      </c>
      <c r="U47" s="27" t="n">
        <v>0</v>
      </c>
      <c r="V47" s="27" t="n">
        <v>0.006</v>
      </c>
      <c r="W47" s="27" t="n">
        <v>0</v>
      </c>
      <c r="X47" s="28" t="n">
        <f aca="false">P47+R47+SUM(S47:W47)</f>
        <v>0.026</v>
      </c>
      <c r="Y47" s="24" t="n">
        <v>1</v>
      </c>
      <c r="Z47" s="29" t="n">
        <f aca="false">LN(H47)</f>
        <v>7.3178761986265</v>
      </c>
      <c r="AA47" s="17" t="n">
        <f aca="false">ROUND(SUMIF(Lines!$B:$B,B47,Lines!$I:$I),2)</f>
        <v>111148</v>
      </c>
      <c r="AB47" s="17" t="n">
        <f aca="false">ROUND(SUMIF(Lines!$B:$B,B47,Lines!$L:$L),2)</f>
        <v>101275.82</v>
      </c>
      <c r="AC47" s="17" t="n">
        <f aca="false">ROUND(SUMIF(Lines!$B:$B,B47,Lines!$T:$T),2)</f>
        <v>98642.64</v>
      </c>
      <c r="AD47" s="17" t="n">
        <f aca="false">ROUND(SUMIF(Lines!$B:$B,B47,Lines!$U:$U),2)</f>
        <v>65714</v>
      </c>
      <c r="AE47" s="17" t="n">
        <f aca="false">ROUND(SUMIF(Lines!$B:$B,B47,Lines!$V:$V),2)</f>
        <v>2025.52</v>
      </c>
      <c r="AF47" s="17" t="n">
        <f aca="false">ROUND(AC47-AD47-AE47,2)</f>
        <v>30903.12</v>
      </c>
      <c r="AG47" s="26" t="n">
        <f aca="false">RANK(AC47,$AC$6:$AC$185)</f>
        <v>113</v>
      </c>
      <c r="AJ47" s="26" t="n">
        <f aca="false">IF(AND(H47&gt;=0.85*Assumptions!$B$44,H47&lt;Assumptions!$B$44),Assumptions!$B$44,IF(AND(H47&gt;=0.85*Assumptions!$B$45,H47&lt;Assumptions!$B$45),Assumptions!$B$45,IF(AND(H47&gt;=0.85*Assumptions!$B$46,H47&lt;Assumptions!$B$46),Assumptions!$B$46,0)))</f>
        <v>0</v>
      </c>
      <c r="AK47" s="26" t="n">
        <f aca="false">IF(AJ47=0,0,AJ47-H47)</f>
        <v>0</v>
      </c>
      <c r="AL47" s="28" t="n">
        <f aca="false">IF(AJ47=Assumptions!$B$44,Assumptions!$C$44,IF(AJ47=Assumptions!$B$45,Assumptions!$C$45,IF(AJ47=Assumptions!$B$46,Assumptions!$C$46,0)))</f>
        <v>0</v>
      </c>
      <c r="AM47" s="17" t="n">
        <f aca="false">IF(AJ47=0,0,AB47*(AL47-P47))</f>
        <v>0</v>
      </c>
      <c r="AN47" s="17" t="n">
        <f aca="false">ROUND(AN99+AM47,2)</f>
        <v>141995.03</v>
      </c>
      <c r="AO47" s="17" t="n">
        <f aca="false">SUMIF(Lines!$B$6:$B$463,$B47,Lines!$M$6:$M$463)</f>
        <v>0</v>
      </c>
      <c r="AP47" s="17" t="n">
        <f aca="false">(AB47/H47)*(MAX(0,MIN(H47,Assumptions!$B$46)-Assumptions!$B$47)*Assumptions!$C$47+MAX(0,MIN(H47,Assumptions!$B$45)-Assumptions!$B$46)*Assumptions!$C$46+MAX(0,MIN(H47,Assumptions!$B$44)-Assumptions!$B$45)*Assumptions!$C$45+MAX(0,H47-Assumptions!$B$44)*Assumptions!$C$44)</f>
        <v>0</v>
      </c>
      <c r="AQ47" s="17" t="n">
        <f aca="false">ROUND(SUMIF(Lines!$B:$B,B47,Lines!$N:$N),2)</f>
        <v>2025.52</v>
      </c>
    </row>
    <row r="48" customFormat="false" ht="15" hidden="false" customHeight="false" outlineLevel="0" collapsed="false">
      <c r="B48" s="14" t="s">
        <v>196</v>
      </c>
      <c r="C48" s="14" t="s">
        <v>194</v>
      </c>
      <c r="D48" s="14" t="s">
        <v>163</v>
      </c>
      <c r="E48" s="24" t="n">
        <v>1553</v>
      </c>
      <c r="F48" s="24" t="n">
        <v>0</v>
      </c>
      <c r="G48" s="24" t="n">
        <v>2133</v>
      </c>
      <c r="H48" s="26" t="n">
        <f aca="false">SUM(E48:G48)</f>
        <v>3686</v>
      </c>
      <c r="I48" s="24" t="n">
        <v>293</v>
      </c>
      <c r="J48" s="24" t="n">
        <v>13</v>
      </c>
      <c r="K48" s="27" t="n">
        <v>0.15</v>
      </c>
      <c r="L48" s="28" t="n">
        <f aca="false">MIN(Assumptions!$C$18,K48*Assumptions!$D$15)</f>
        <v>0.093</v>
      </c>
      <c r="M48" s="28" t="n">
        <f aca="false">MIN(Assumptions!$C$18,K48*Assumptions!$D$16)</f>
        <v>0.195</v>
      </c>
      <c r="N48" s="28" t="n">
        <f aca="false">MIN(Assumptions!$C$18,K48*Assumptions!$D$17)</f>
        <v>0.144</v>
      </c>
      <c r="O48" s="28" t="n">
        <f aca="false">IF(I48&gt;=Assumptions!$B$36,Assumptions!$C$36,IF(I48&gt;=Assumptions!$B$37,Assumptions!$C$37,IF(I48&gt;=Assumptions!$B$38,Assumptions!$C$38,Assumptions!$C$39)))</f>
        <v>0.04</v>
      </c>
      <c r="P48" s="28" t="n">
        <f aca="false">IF(H48&gt;=Assumptions!$B$44,Assumptions!$C$44,IF(H48&gt;=Assumptions!$B$45,Assumptions!$C$45,IF(H48&gt;=Assumptions!$B$46,Assumptions!$C$46,Assumptions!$C$47)))</f>
        <v>0.02</v>
      </c>
      <c r="Q48" s="24" t="n">
        <v>0</v>
      </c>
      <c r="R48" s="28" t="n">
        <f aca="false">Q48*Assumptions!$C$51</f>
        <v>0</v>
      </c>
      <c r="S48" s="27" t="n">
        <v>0.015</v>
      </c>
      <c r="T48" s="27" t="n">
        <v>0</v>
      </c>
      <c r="U48" s="27" t="n">
        <v>0</v>
      </c>
      <c r="V48" s="27" t="n">
        <v>0.006</v>
      </c>
      <c r="W48" s="27" t="n">
        <v>0.005</v>
      </c>
      <c r="X48" s="28" t="n">
        <f aca="false">P48+R48+SUM(S48:W48)</f>
        <v>0.046</v>
      </c>
      <c r="Y48" s="24" t="n">
        <v>0</v>
      </c>
      <c r="Z48" s="29" t="n">
        <f aca="false">LN(H48)</f>
        <v>8.21229713822977</v>
      </c>
      <c r="AA48" s="17" t="n">
        <f aca="false">ROUND(SUMIF(Lines!$B:$B,B48,Lines!$I:$I),2)</f>
        <v>434612</v>
      </c>
      <c r="AB48" s="17" t="n">
        <f aca="false">ROUND(SUMIF(Lines!$B:$B,B48,Lines!$L:$L),2)</f>
        <v>366365.44</v>
      </c>
      <c r="AC48" s="17" t="n">
        <f aca="false">ROUND(SUMIF(Lines!$B:$B,B48,Lines!$T:$T),2)</f>
        <v>349512.64</v>
      </c>
      <c r="AD48" s="17" t="n">
        <f aca="false">ROUND(SUMIF(Lines!$B:$B,B48,Lines!$U:$U),2)</f>
        <v>244848</v>
      </c>
      <c r="AE48" s="17" t="n">
        <f aca="false">ROUND(SUMIF(Lines!$B:$B,B48,Lines!$V:$V),2)</f>
        <v>7327.31</v>
      </c>
      <c r="AF48" s="17" t="n">
        <f aca="false">ROUND(AC48-AD48-AE48,2)</f>
        <v>97337.33</v>
      </c>
      <c r="AG48" s="26" t="n">
        <f aca="false">RANK(AC48,$AC$6:$AC$185)</f>
        <v>42</v>
      </c>
      <c r="AJ48" s="26" t="n">
        <f aca="false">IF(AND(H48&gt;=0.85*Assumptions!$B$44,H48&lt;Assumptions!$B$44),Assumptions!$B$44,IF(AND(H48&gt;=0.85*Assumptions!$B$45,H48&lt;Assumptions!$B$45),Assumptions!$B$45,IF(AND(H48&gt;=0.85*Assumptions!$B$46,H48&lt;Assumptions!$B$46),Assumptions!$B$46,0)))</f>
        <v>0</v>
      </c>
      <c r="AK48" s="26" t="n">
        <f aca="false">IF(AJ48=0,0,AJ48-H48)</f>
        <v>0</v>
      </c>
      <c r="AL48" s="28" t="n">
        <f aca="false">IF(AJ48=Assumptions!$B$44,Assumptions!$C$44,IF(AJ48=Assumptions!$B$45,Assumptions!$C$45,IF(AJ48=Assumptions!$B$46,Assumptions!$C$46,0)))</f>
        <v>0</v>
      </c>
      <c r="AM48" s="17" t="n">
        <f aca="false">IF(AJ48=0,0,AB48*(AL48-P48))</f>
        <v>0</v>
      </c>
      <c r="AN48" s="17" t="n">
        <f aca="false">ROUND(AN100+AM48,2)</f>
        <v>146052.55</v>
      </c>
      <c r="AO48" s="17" t="n">
        <f aca="false">SUMIF(Lines!$B$6:$B$463,$B48,Lines!$M$6:$M$463)</f>
        <v>7327.31</v>
      </c>
      <c r="AP48" s="17" t="n">
        <f aca="false">(AB48/H48)*(MAX(0,MIN(H48,Assumptions!$B$46)-Assumptions!$B$47)*Assumptions!$C$47+MAX(0,MIN(H48,Assumptions!$B$45)-Assumptions!$B$46)*Assumptions!$C$46+MAX(0,MIN(H48,Assumptions!$B$44)-Assumptions!$B$45)*Assumptions!$C$45+MAX(0,H48-Assumptions!$B$44)*Assumptions!$C$44)</f>
        <v>1363.68253846989</v>
      </c>
      <c r="AQ48" s="17" t="n">
        <f aca="false">ROUND(SUMIF(Lines!$B:$B,B48,Lines!$N:$N),2)</f>
        <v>0</v>
      </c>
    </row>
    <row r="49" customFormat="false" ht="15" hidden="false" customHeight="false" outlineLevel="0" collapsed="false">
      <c r="B49" s="14" t="s">
        <v>197</v>
      </c>
      <c r="C49" s="14" t="s">
        <v>194</v>
      </c>
      <c r="D49" s="14" t="s">
        <v>163</v>
      </c>
      <c r="E49" s="24" t="n">
        <v>171</v>
      </c>
      <c r="F49" s="24" t="n">
        <v>0</v>
      </c>
      <c r="G49" s="24" t="n">
        <v>680</v>
      </c>
      <c r="H49" s="26" t="n">
        <f aca="false">SUM(E49:G49)</f>
        <v>851</v>
      </c>
      <c r="I49" s="24" t="n">
        <v>110</v>
      </c>
      <c r="J49" s="24" t="n">
        <v>8</v>
      </c>
      <c r="K49" s="27" t="n">
        <v>0.01</v>
      </c>
      <c r="L49" s="28" t="n">
        <f aca="false">MIN(Assumptions!$C$18,K49*Assumptions!$D$15)</f>
        <v>0.0062</v>
      </c>
      <c r="M49" s="28" t="n">
        <f aca="false">MIN(Assumptions!$C$18,K49*Assumptions!$D$16)</f>
        <v>0.013</v>
      </c>
      <c r="N49" s="28" t="n">
        <f aca="false">MIN(Assumptions!$C$18,K49*Assumptions!$D$17)</f>
        <v>0.0096</v>
      </c>
      <c r="O49" s="28" t="n">
        <f aca="false">IF(I49&gt;=Assumptions!$B$36,Assumptions!$C$36,IF(I49&gt;=Assumptions!$B$37,Assumptions!$C$37,IF(I49&gt;=Assumptions!$B$38,Assumptions!$C$38,Assumptions!$C$39)))</f>
        <v>0.02</v>
      </c>
      <c r="P49" s="28" t="n">
        <f aca="false">IF(H49&gt;=Assumptions!$B$44,Assumptions!$C$44,IF(H49&gt;=Assumptions!$B$45,Assumptions!$C$45,IF(H49&gt;=Assumptions!$B$46,Assumptions!$C$46,Assumptions!$C$47)))</f>
        <v>0</v>
      </c>
      <c r="Q49" s="24" t="n">
        <v>1</v>
      </c>
      <c r="R49" s="28" t="n">
        <f aca="false">Q49*Assumptions!$C$51</f>
        <v>0.02</v>
      </c>
      <c r="S49" s="27" t="n">
        <v>0</v>
      </c>
      <c r="T49" s="27" t="n">
        <v>0</v>
      </c>
      <c r="U49" s="27" t="n">
        <v>0</v>
      </c>
      <c r="V49" s="27" t="n">
        <v>0.006</v>
      </c>
      <c r="W49" s="27" t="n">
        <v>0</v>
      </c>
      <c r="X49" s="28" t="n">
        <f aca="false">P49+R49+SUM(S49:W49)</f>
        <v>0.026</v>
      </c>
      <c r="Y49" s="24" t="n">
        <v>1</v>
      </c>
      <c r="Z49" s="29" t="n">
        <f aca="false">LN(H49)</f>
        <v>6.74641212857337</v>
      </c>
      <c r="AA49" s="17" t="n">
        <f aca="false">ROUND(SUMIF(Lines!$B:$B,B49,Lines!$I:$I),2)</f>
        <v>90588</v>
      </c>
      <c r="AB49" s="17" t="n">
        <f aca="false">ROUND(SUMIF(Lines!$B:$B,B49,Lines!$L:$L),2)</f>
        <v>87992.64</v>
      </c>
      <c r="AC49" s="17" t="n">
        <f aca="false">ROUND(SUMIF(Lines!$B:$B,B49,Lines!$T:$T),2)</f>
        <v>85704.83</v>
      </c>
      <c r="AD49" s="17" t="n">
        <f aca="false">ROUND(SUMIF(Lines!$B:$B,B49,Lines!$U:$U),2)</f>
        <v>52778</v>
      </c>
      <c r="AE49" s="17" t="n">
        <f aca="false">ROUND(SUMIF(Lines!$B:$B,B49,Lines!$V:$V),2)</f>
        <v>1759.85</v>
      </c>
      <c r="AF49" s="17" t="n">
        <f aca="false">ROUND(AC49-AD49-AE49,2)</f>
        <v>31166.98</v>
      </c>
      <c r="AG49" s="26" t="n">
        <f aca="false">RANK(AC49,$AC$6:$AC$185)</f>
        <v>128</v>
      </c>
      <c r="AJ49" s="26" t="n">
        <f aca="false">IF(AND(H49&gt;=0.85*Assumptions!$B$44,H49&lt;Assumptions!$B$44),Assumptions!$B$44,IF(AND(H49&gt;=0.85*Assumptions!$B$45,H49&lt;Assumptions!$B$45),Assumptions!$B$45,IF(AND(H49&gt;=0.85*Assumptions!$B$46,H49&lt;Assumptions!$B$46),Assumptions!$B$46,0)))</f>
        <v>0</v>
      </c>
      <c r="AK49" s="26" t="n">
        <f aca="false">IF(AJ49=0,0,AJ49-H49)</f>
        <v>0</v>
      </c>
      <c r="AL49" s="28" t="n">
        <f aca="false">IF(AJ49=Assumptions!$B$44,Assumptions!$C$44,IF(AJ49=Assumptions!$B$45,Assumptions!$C$45,IF(AJ49=Assumptions!$B$46,Assumptions!$C$46,0)))</f>
        <v>0</v>
      </c>
      <c r="AM49" s="17" t="n">
        <f aca="false">IF(AJ49=0,0,AB49*(AL49-P49))</f>
        <v>0</v>
      </c>
      <c r="AN49" s="17" t="n">
        <f aca="false">ROUND(AN101+AM49,2)</f>
        <v>146052.55</v>
      </c>
      <c r="AO49" s="17" t="n">
        <f aca="false">SUMIF(Lines!$B$6:$B$463,$B49,Lines!$M$6:$M$463)</f>
        <v>0</v>
      </c>
      <c r="AP49" s="17" t="n">
        <f aca="false">(AB49/H49)*(MAX(0,MIN(H49,Assumptions!$B$46)-Assumptions!$B$47)*Assumptions!$C$47+MAX(0,MIN(H49,Assumptions!$B$45)-Assumptions!$B$46)*Assumptions!$C$46+MAX(0,MIN(H49,Assumptions!$B$44)-Assumptions!$B$45)*Assumptions!$C$45+MAX(0,H49-Assumptions!$B$44)*Assumptions!$C$44)</f>
        <v>0</v>
      </c>
      <c r="AQ49" s="17" t="n">
        <f aca="false">ROUND(SUMIF(Lines!$B:$B,B49,Lines!$N:$N),2)</f>
        <v>1759.85</v>
      </c>
    </row>
    <row r="50" customFormat="false" ht="15" hidden="false" customHeight="false" outlineLevel="0" collapsed="false">
      <c r="B50" s="14" t="s">
        <v>198</v>
      </c>
      <c r="C50" s="14" t="s">
        <v>194</v>
      </c>
      <c r="D50" s="14" t="s">
        <v>163</v>
      </c>
      <c r="E50" s="24" t="n">
        <v>1812</v>
      </c>
      <c r="F50" s="24" t="n">
        <v>5773</v>
      </c>
      <c r="G50" s="24" t="n">
        <v>3260</v>
      </c>
      <c r="H50" s="26" t="n">
        <f aca="false">SUM(E50:G50)</f>
        <v>10845</v>
      </c>
      <c r="I50" s="24" t="n">
        <v>294</v>
      </c>
      <c r="J50" s="24" t="n">
        <v>37</v>
      </c>
      <c r="K50" s="27" t="n">
        <v>0.045</v>
      </c>
      <c r="L50" s="28" t="n">
        <f aca="false">MIN(Assumptions!$C$18,K50*Assumptions!$D$15)</f>
        <v>0.0279</v>
      </c>
      <c r="M50" s="28" t="n">
        <f aca="false">MIN(Assumptions!$C$18,K50*Assumptions!$D$16)</f>
        <v>0.0585</v>
      </c>
      <c r="N50" s="28" t="n">
        <f aca="false">MIN(Assumptions!$C$18,K50*Assumptions!$D$17)</f>
        <v>0.0432</v>
      </c>
      <c r="O50" s="28" t="n">
        <f aca="false">IF(I50&gt;=Assumptions!$B$36,Assumptions!$C$36,IF(I50&gt;=Assumptions!$B$37,Assumptions!$C$37,IF(I50&gt;=Assumptions!$B$38,Assumptions!$C$38,Assumptions!$C$39)))</f>
        <v>0.04</v>
      </c>
      <c r="P50" s="28" t="n">
        <f aca="false">IF(H50&gt;=Assumptions!$B$44,Assumptions!$C$44,IF(H50&gt;=Assumptions!$B$45,Assumptions!$C$45,IF(H50&gt;=Assumptions!$B$46,Assumptions!$C$46,Assumptions!$C$47)))</f>
        <v>0.035</v>
      </c>
      <c r="Q50" s="24" t="n">
        <v>1</v>
      </c>
      <c r="R50" s="28" t="n">
        <f aca="false">Q50*Assumptions!$C$51</f>
        <v>0.02</v>
      </c>
      <c r="S50" s="27" t="n">
        <v>0</v>
      </c>
      <c r="T50" s="27" t="n">
        <v>0</v>
      </c>
      <c r="U50" s="27" t="n">
        <v>0</v>
      </c>
      <c r="V50" s="27" t="n">
        <v>0.006</v>
      </c>
      <c r="W50" s="27" t="n">
        <v>0</v>
      </c>
      <c r="X50" s="28" t="n">
        <f aca="false">P50+R50+SUM(S50:W50)</f>
        <v>0.061</v>
      </c>
      <c r="Y50" s="24" t="n">
        <v>0</v>
      </c>
      <c r="Z50" s="29" t="n">
        <f aca="false">LN(H50)</f>
        <v>9.29145942326097</v>
      </c>
      <c r="AA50" s="17" t="n">
        <f aca="false">ROUND(SUMIF(Lines!$B:$B,B50,Lines!$I:$I),2)</f>
        <v>939062</v>
      </c>
      <c r="AB50" s="17" t="n">
        <f aca="false">ROUND(SUMIF(Lines!$B:$B,B50,Lines!$L:$L),2)</f>
        <v>859558.87</v>
      </c>
      <c r="AC50" s="17" t="n">
        <f aca="false">ROUND(SUMIF(Lines!$B:$B,B50,Lines!$T:$T),2)</f>
        <v>807125.78</v>
      </c>
      <c r="AD50" s="17" t="n">
        <f aca="false">ROUND(SUMIF(Lines!$B:$B,B50,Lines!$U:$U),2)</f>
        <v>538244</v>
      </c>
      <c r="AE50" s="17" t="n">
        <f aca="false">ROUND(SUMIF(Lines!$B:$B,B50,Lines!$V:$V),2)</f>
        <v>17191.18</v>
      </c>
      <c r="AF50" s="17" t="n">
        <f aca="false">ROUND(AC50-AD50-AE50,2)</f>
        <v>251690.6</v>
      </c>
      <c r="AG50" s="26" t="n">
        <f aca="false">RANK(AC50,$AC$6:$AC$185)</f>
        <v>17</v>
      </c>
      <c r="AJ50" s="26" t="n">
        <f aca="false">IF(AND(H50&gt;=0.85*Assumptions!$B$44,H50&lt;Assumptions!$B$44),Assumptions!$B$44,IF(AND(H50&gt;=0.85*Assumptions!$B$45,H50&lt;Assumptions!$B$45),Assumptions!$B$45,IF(AND(H50&gt;=0.85*Assumptions!$B$46,H50&lt;Assumptions!$B$46),Assumptions!$B$46,0)))</f>
        <v>0</v>
      </c>
      <c r="AK50" s="26" t="n">
        <f aca="false">IF(AJ50=0,0,AJ50-H50)</f>
        <v>0</v>
      </c>
      <c r="AL50" s="28" t="n">
        <f aca="false">IF(AJ50=Assumptions!$B$44,Assumptions!$C$44,IF(AJ50=Assumptions!$B$45,Assumptions!$C$45,IF(AJ50=Assumptions!$B$46,Assumptions!$C$46,0)))</f>
        <v>0</v>
      </c>
      <c r="AM50" s="17" t="n">
        <f aca="false">IF(AJ50=0,0,AB50*(AL50-P50))</f>
        <v>0</v>
      </c>
      <c r="AN50" s="17" t="n">
        <f aca="false">ROUND(AN102+AM50,2)</f>
        <v>155000.84</v>
      </c>
      <c r="AO50" s="17" t="n">
        <f aca="false">SUMIF(Lines!$B$6:$B$463,$B50,Lines!$M$6:$M$463)</f>
        <v>30084.56</v>
      </c>
      <c r="AP50" s="17" t="n">
        <f aca="false">(AB50/H50)*(MAX(0,MIN(H50,Assumptions!$B$46)-Assumptions!$B$47)*Assumptions!$C$47+MAX(0,MIN(H50,Assumptions!$B$45)-Assumptions!$B$46)*Assumptions!$C$46+MAX(0,MIN(H50,Assumptions!$B$44)-Assumptions!$B$45)*Assumptions!$C$45+MAX(0,H50-Assumptions!$B$44)*Assumptions!$C$44)</f>
        <v>13440.2669783541</v>
      </c>
      <c r="AQ50" s="17" t="n">
        <f aca="false">ROUND(SUMIF(Lines!$B:$B,B50,Lines!$N:$N),2)</f>
        <v>17191.18</v>
      </c>
    </row>
    <row r="51" customFormat="false" ht="15" hidden="false" customHeight="false" outlineLevel="0" collapsed="false">
      <c r="B51" s="14" t="s">
        <v>199</v>
      </c>
      <c r="C51" s="14" t="s">
        <v>194</v>
      </c>
      <c r="D51" s="14" t="s">
        <v>163</v>
      </c>
      <c r="E51" s="24" t="n">
        <v>1271</v>
      </c>
      <c r="F51" s="24" t="n">
        <v>5806</v>
      </c>
      <c r="G51" s="24" t="n">
        <v>3329</v>
      </c>
      <c r="H51" s="26" t="n">
        <f aca="false">SUM(E51:G51)</f>
        <v>10406</v>
      </c>
      <c r="I51" s="24" t="n">
        <v>289</v>
      </c>
      <c r="J51" s="24" t="n">
        <v>36</v>
      </c>
      <c r="K51" s="27" t="n">
        <v>0</v>
      </c>
      <c r="L51" s="28" t="n">
        <f aca="false">MIN(Assumptions!$C$18,K51*Assumptions!$D$15)</f>
        <v>0</v>
      </c>
      <c r="M51" s="28" t="n">
        <f aca="false">MIN(Assumptions!$C$18,K51*Assumptions!$D$16)</f>
        <v>0</v>
      </c>
      <c r="N51" s="28" t="n">
        <f aca="false">MIN(Assumptions!$C$18,K51*Assumptions!$D$17)</f>
        <v>0</v>
      </c>
      <c r="O51" s="28" t="n">
        <f aca="false">IF(I51&gt;=Assumptions!$B$36,Assumptions!$C$36,IF(I51&gt;=Assumptions!$B$37,Assumptions!$C$37,IF(I51&gt;=Assumptions!$B$38,Assumptions!$C$38,Assumptions!$C$39)))</f>
        <v>0.04</v>
      </c>
      <c r="P51" s="28" t="n">
        <f aca="false">IF(H51&gt;=Assumptions!$B$44,Assumptions!$C$44,IF(H51&gt;=Assumptions!$B$45,Assumptions!$C$45,IF(H51&gt;=Assumptions!$B$46,Assumptions!$C$46,Assumptions!$C$47)))</f>
        <v>0.035</v>
      </c>
      <c r="Q51" s="24" t="n">
        <v>0</v>
      </c>
      <c r="R51" s="28" t="n">
        <f aca="false">Q51*Assumptions!$C$51</f>
        <v>0</v>
      </c>
      <c r="S51" s="27" t="n">
        <v>0.015</v>
      </c>
      <c r="T51" s="27" t="n">
        <v>0</v>
      </c>
      <c r="U51" s="27" t="n">
        <v>0</v>
      </c>
      <c r="V51" s="27" t="n">
        <v>0.006</v>
      </c>
      <c r="W51" s="27" t="n">
        <v>0.005</v>
      </c>
      <c r="X51" s="28" t="n">
        <f aca="false">P51+R51+SUM(S51:W51)</f>
        <v>0.061</v>
      </c>
      <c r="Y51" s="24" t="n">
        <v>0</v>
      </c>
      <c r="Z51" s="29" t="n">
        <f aca="false">LN(H51)</f>
        <v>9.25013784185025</v>
      </c>
      <c r="AA51" s="17" t="n">
        <f aca="false">ROUND(SUMIF(Lines!$B:$B,B51,Lines!$I:$I),2)</f>
        <v>867664</v>
      </c>
      <c r="AB51" s="17" t="n">
        <f aca="false">ROUND(SUMIF(Lines!$B:$B,B51,Lines!$L:$L),2)</f>
        <v>832957.44</v>
      </c>
      <c r="AC51" s="17" t="n">
        <f aca="false">ROUND(SUMIF(Lines!$B:$B,B51,Lines!$T:$T),2)</f>
        <v>782147.03</v>
      </c>
      <c r="AD51" s="17" t="n">
        <f aca="false">ROUND(SUMIF(Lines!$B:$B,B51,Lines!$U:$U),2)</f>
        <v>501236</v>
      </c>
      <c r="AE51" s="17" t="n">
        <f aca="false">ROUND(SUMIF(Lines!$B:$B,B51,Lines!$V:$V),2)</f>
        <v>16659.14</v>
      </c>
      <c r="AF51" s="17" t="n">
        <f aca="false">ROUND(AC51-AD51-AE51,2)</f>
        <v>264251.89</v>
      </c>
      <c r="AG51" s="26" t="n">
        <f aca="false">RANK(AC51,$AC$6:$AC$185)</f>
        <v>18</v>
      </c>
      <c r="AJ51" s="26" t="n">
        <f aca="false">IF(AND(H51&gt;=0.85*Assumptions!$B$44,H51&lt;Assumptions!$B$44),Assumptions!$B$44,IF(AND(H51&gt;=0.85*Assumptions!$B$45,H51&lt;Assumptions!$B$45),Assumptions!$B$45,IF(AND(H51&gt;=0.85*Assumptions!$B$46,H51&lt;Assumptions!$B$46),Assumptions!$B$46,0)))</f>
        <v>0</v>
      </c>
      <c r="AK51" s="26" t="n">
        <f aca="false">IF(AJ51=0,0,AJ51-H51)</f>
        <v>0</v>
      </c>
      <c r="AL51" s="28" t="n">
        <f aca="false">IF(AJ51=Assumptions!$B$44,Assumptions!$C$44,IF(AJ51=Assumptions!$B$45,Assumptions!$C$45,IF(AJ51=Assumptions!$B$46,Assumptions!$C$46,0)))</f>
        <v>0</v>
      </c>
      <c r="AM51" s="17" t="n">
        <f aca="false">IF(AJ51=0,0,AB51*(AL51-P51))</f>
        <v>0</v>
      </c>
      <c r="AN51" s="17" t="n">
        <f aca="false">ROUND(AN103+AM51,2)</f>
        <v>171110.19</v>
      </c>
      <c r="AO51" s="17" t="n">
        <f aca="false">SUMIF(Lines!$B$6:$B$463,$B51,Lines!$M$6:$M$463)</f>
        <v>29153.51</v>
      </c>
      <c r="AP51" s="17" t="n">
        <f aca="false">(AB51/H51)*(MAX(0,MIN(H51,Assumptions!$B$46)-Assumptions!$B$47)*Assumptions!$C$47+MAX(0,MIN(H51,Assumptions!$B$45)-Assumptions!$B$46)*Assumptions!$C$46+MAX(0,MIN(H51,Assumptions!$B$44)-Assumptions!$B$45)*Assumptions!$C$45+MAX(0,H51-Assumptions!$B$44)*Assumptions!$C$44)</f>
        <v>12343.8753433019</v>
      </c>
      <c r="AQ51" s="17" t="n">
        <f aca="false">ROUND(SUMIF(Lines!$B:$B,B51,Lines!$N:$N),2)</f>
        <v>0</v>
      </c>
    </row>
    <row r="52" customFormat="false" ht="15" hidden="false" customHeight="false" outlineLevel="0" collapsed="false">
      <c r="B52" s="14" t="s">
        <v>200</v>
      </c>
      <c r="C52" s="14" t="s">
        <v>194</v>
      </c>
      <c r="D52" s="14" t="s">
        <v>163</v>
      </c>
      <c r="E52" s="24" t="n">
        <v>264</v>
      </c>
      <c r="F52" s="24" t="n">
        <v>1043</v>
      </c>
      <c r="G52" s="24" t="n">
        <v>555</v>
      </c>
      <c r="H52" s="26" t="n">
        <f aca="false">SUM(E52:G52)</f>
        <v>1862</v>
      </c>
      <c r="I52" s="24" t="n">
        <v>86</v>
      </c>
      <c r="J52" s="24" t="n">
        <v>22</v>
      </c>
      <c r="K52" s="27" t="n">
        <v>0</v>
      </c>
      <c r="L52" s="28" t="n">
        <f aca="false">MIN(Assumptions!$C$18,K52*Assumptions!$D$15)</f>
        <v>0</v>
      </c>
      <c r="M52" s="28" t="n">
        <f aca="false">MIN(Assumptions!$C$18,K52*Assumptions!$D$16)</f>
        <v>0</v>
      </c>
      <c r="N52" s="28" t="n">
        <f aca="false">MIN(Assumptions!$C$18,K52*Assumptions!$D$17)</f>
        <v>0</v>
      </c>
      <c r="O52" s="28" t="n">
        <f aca="false">IF(I52&gt;=Assumptions!$B$36,Assumptions!$C$36,IF(I52&gt;=Assumptions!$B$37,Assumptions!$C$37,IF(I52&gt;=Assumptions!$B$38,Assumptions!$C$38,Assumptions!$C$39)))</f>
        <v>0.02</v>
      </c>
      <c r="P52" s="28" t="n">
        <f aca="false">IF(H52&gt;=Assumptions!$B$44,Assumptions!$C$44,IF(H52&gt;=Assumptions!$B$45,Assumptions!$C$45,IF(H52&gt;=Assumptions!$B$46,Assumptions!$C$46,Assumptions!$C$47)))</f>
        <v>0</v>
      </c>
      <c r="Q52" s="24" t="n">
        <v>0</v>
      </c>
      <c r="R52" s="28" t="n">
        <f aca="false">Q52*Assumptions!$C$51</f>
        <v>0</v>
      </c>
      <c r="S52" s="27" t="n">
        <v>0</v>
      </c>
      <c r="T52" s="27" t="n">
        <v>0</v>
      </c>
      <c r="U52" s="27" t="n">
        <v>0</v>
      </c>
      <c r="V52" s="27" t="n">
        <v>0.006</v>
      </c>
      <c r="W52" s="27" t="n">
        <v>0.005</v>
      </c>
      <c r="X52" s="28" t="n">
        <f aca="false">P52+R52+SUM(S52:W52)</f>
        <v>0.011</v>
      </c>
      <c r="Y52" s="24" t="n">
        <v>0</v>
      </c>
      <c r="Z52" s="29" t="n">
        <f aca="false">LN(H52)</f>
        <v>7.52940645783701</v>
      </c>
      <c r="AA52" s="17" t="n">
        <f aca="false">ROUND(SUMIF(Lines!$B:$B,B52,Lines!$I:$I),2)</f>
        <v>157018</v>
      </c>
      <c r="AB52" s="17" t="n">
        <f aca="false">ROUND(SUMIF(Lines!$B:$B,B52,Lines!$L:$L),2)</f>
        <v>153877.64</v>
      </c>
      <c r="AC52" s="17" t="n">
        <f aca="false">ROUND(SUMIF(Lines!$B:$B,B52,Lines!$T:$T),2)</f>
        <v>152184.99</v>
      </c>
      <c r="AD52" s="17" t="n">
        <f aca="false">ROUND(SUMIF(Lines!$B:$B,B52,Lines!$U:$U),2)</f>
        <v>90330</v>
      </c>
      <c r="AE52" s="17" t="n">
        <f aca="false">ROUND(SUMIF(Lines!$B:$B,B52,Lines!$V:$V),2)</f>
        <v>3077.55</v>
      </c>
      <c r="AF52" s="17" t="n">
        <f aca="false">ROUND(AC52-AD52-AE52,2)</f>
        <v>58777.44</v>
      </c>
      <c r="AG52" s="26" t="n">
        <f aca="false">RANK(AC52,$AC$6:$AC$185)</f>
        <v>87</v>
      </c>
      <c r="AJ52" s="26" t="n">
        <f aca="false">IF(AND(H52&gt;=0.85*Assumptions!$B$44,H52&lt;Assumptions!$B$44),Assumptions!$B$44,IF(AND(H52&gt;=0.85*Assumptions!$B$45,H52&lt;Assumptions!$B$45),Assumptions!$B$45,IF(AND(H52&gt;=0.85*Assumptions!$B$46,H52&lt;Assumptions!$B$46),Assumptions!$B$46,0)))</f>
        <v>0</v>
      </c>
      <c r="AK52" s="26" t="n">
        <f aca="false">IF(AJ52=0,0,AJ52-H52)</f>
        <v>0</v>
      </c>
      <c r="AL52" s="28" t="n">
        <f aca="false">IF(AJ52=Assumptions!$B$44,Assumptions!$C$44,IF(AJ52=Assumptions!$B$45,Assumptions!$C$45,IF(AJ52=Assumptions!$B$46,Assumptions!$C$46,0)))</f>
        <v>0</v>
      </c>
      <c r="AM52" s="17" t="n">
        <f aca="false">IF(AJ52=0,0,AB52*(AL52-P52))</f>
        <v>0</v>
      </c>
      <c r="AN52" s="17" t="n">
        <f aca="false">ROUND(AN104+AM52,2)</f>
        <v>171110.19</v>
      </c>
      <c r="AO52" s="17" t="n">
        <f aca="false">SUMIF(Lines!$B$6:$B$463,$B52,Lines!$M$6:$M$463)</f>
        <v>0</v>
      </c>
      <c r="AP52" s="17" t="n">
        <f aca="false">(AB52/H52)*(MAX(0,MIN(H52,Assumptions!$B$46)-Assumptions!$B$47)*Assumptions!$C$47+MAX(0,MIN(H52,Assumptions!$B$45)-Assumptions!$B$46)*Assumptions!$C$46+MAX(0,MIN(H52,Assumptions!$B$44)-Assumptions!$B$45)*Assumptions!$C$45+MAX(0,H52-Assumptions!$B$44)*Assumptions!$C$44)</f>
        <v>0</v>
      </c>
      <c r="AQ52" s="17" t="n">
        <f aca="false">ROUND(SUMIF(Lines!$B:$B,B52,Lines!$N:$N),2)</f>
        <v>0</v>
      </c>
    </row>
    <row r="53" customFormat="false" ht="15" hidden="false" customHeight="false" outlineLevel="0" collapsed="false">
      <c r="B53" s="14" t="s">
        <v>201</v>
      </c>
      <c r="C53" s="14" t="s">
        <v>194</v>
      </c>
      <c r="D53" s="14" t="s">
        <v>163</v>
      </c>
      <c r="E53" s="24" t="n">
        <v>604</v>
      </c>
      <c r="F53" s="24" t="n">
        <v>1879</v>
      </c>
      <c r="G53" s="24" t="n">
        <v>0</v>
      </c>
      <c r="H53" s="26" t="n">
        <f aca="false">SUM(E53:G53)</f>
        <v>2483</v>
      </c>
      <c r="I53" s="24" t="n">
        <v>333</v>
      </c>
      <c r="J53" s="24" t="n">
        <v>7</v>
      </c>
      <c r="K53" s="27" t="n">
        <v>0.1</v>
      </c>
      <c r="L53" s="28" t="n">
        <f aca="false">MIN(Assumptions!$C$18,K53*Assumptions!$D$15)</f>
        <v>0.062</v>
      </c>
      <c r="M53" s="28" t="n">
        <f aca="false">MIN(Assumptions!$C$18,K53*Assumptions!$D$16)</f>
        <v>0.13</v>
      </c>
      <c r="N53" s="28" t="n">
        <f aca="false">MIN(Assumptions!$C$18,K53*Assumptions!$D$17)</f>
        <v>0.096</v>
      </c>
      <c r="O53" s="28" t="n">
        <f aca="false">IF(I53&gt;=Assumptions!$B$36,Assumptions!$C$36,IF(I53&gt;=Assumptions!$B$37,Assumptions!$C$37,IF(I53&gt;=Assumptions!$B$38,Assumptions!$C$38,Assumptions!$C$39)))</f>
        <v>0.04</v>
      </c>
      <c r="P53" s="28" t="n">
        <f aca="false">IF(H53&gt;=Assumptions!$B$44,Assumptions!$C$44,IF(H53&gt;=Assumptions!$B$45,Assumptions!$C$45,IF(H53&gt;=Assumptions!$B$46,Assumptions!$C$46,Assumptions!$C$47)))</f>
        <v>0</v>
      </c>
      <c r="Q53" s="24" t="n">
        <v>0</v>
      </c>
      <c r="R53" s="28" t="n">
        <f aca="false">Q53*Assumptions!$C$51</f>
        <v>0</v>
      </c>
      <c r="S53" s="27" t="n">
        <v>0</v>
      </c>
      <c r="T53" s="27" t="n">
        <v>0</v>
      </c>
      <c r="U53" s="27" t="n">
        <v>0</v>
      </c>
      <c r="V53" s="27" t="n">
        <v>0.006</v>
      </c>
      <c r="W53" s="27" t="n">
        <v>0</v>
      </c>
      <c r="X53" s="28" t="n">
        <f aca="false">P53+R53+SUM(S53:W53)</f>
        <v>0.006</v>
      </c>
      <c r="Y53" s="24" t="n">
        <v>0</v>
      </c>
      <c r="Z53" s="29" t="n">
        <f aca="false">LN(H53)</f>
        <v>7.81722278550817</v>
      </c>
      <c r="AA53" s="17" t="n">
        <f aca="false">ROUND(SUMIF(Lines!$B:$B,B53,Lines!$I:$I),2)</f>
        <v>205890</v>
      </c>
      <c r="AB53" s="17" t="n">
        <f aca="false">ROUND(SUMIF(Lines!$B:$B,B53,Lines!$L:$L),2)</f>
        <v>176967.36</v>
      </c>
      <c r="AC53" s="17" t="n">
        <f aca="false">ROUND(SUMIF(Lines!$B:$B,B53,Lines!$T:$T),2)</f>
        <v>175905.56</v>
      </c>
      <c r="AD53" s="17" t="n">
        <f aca="false">ROUND(SUMIF(Lines!$B:$B,B53,Lines!$U:$U),2)</f>
        <v>114756</v>
      </c>
      <c r="AE53" s="17" t="n">
        <f aca="false">ROUND(SUMIF(Lines!$B:$B,B53,Lines!$V:$V),2)</f>
        <v>3539.35</v>
      </c>
      <c r="AF53" s="17" t="n">
        <f aca="false">ROUND(AC53-AD53-AE53,2)</f>
        <v>57610.21</v>
      </c>
      <c r="AG53" s="26" t="n">
        <f aca="false">RANK(AC53,$AC$6:$AC$185)</f>
        <v>79</v>
      </c>
      <c r="AJ53" s="26" t="n">
        <f aca="false">IF(AND(H53&gt;=0.85*Assumptions!$B$44,H53&lt;Assumptions!$B$44),Assumptions!$B$44,IF(AND(H53&gt;=0.85*Assumptions!$B$45,H53&lt;Assumptions!$B$45),Assumptions!$B$45,IF(AND(H53&gt;=0.85*Assumptions!$B$46,H53&lt;Assumptions!$B$46),Assumptions!$B$46,0)))</f>
        <v>0</v>
      </c>
      <c r="AK53" s="26" t="n">
        <f aca="false">IF(AJ53=0,0,AJ53-H53)</f>
        <v>0</v>
      </c>
      <c r="AL53" s="28" t="n">
        <f aca="false">IF(AJ53=Assumptions!$B$44,Assumptions!$C$44,IF(AJ53=Assumptions!$B$45,Assumptions!$C$45,IF(AJ53=Assumptions!$B$46,Assumptions!$C$46,0)))</f>
        <v>0</v>
      </c>
      <c r="AM53" s="17" t="n">
        <f aca="false">IF(AJ53=0,0,AB53*(AL53-P53))</f>
        <v>0</v>
      </c>
      <c r="AN53" s="17" t="n">
        <f aca="false">ROUND(AN105+AM53,2)</f>
        <v>175350.28</v>
      </c>
      <c r="AO53" s="17" t="n">
        <f aca="false">SUMIF(Lines!$B$6:$B$463,$B53,Lines!$M$6:$M$463)</f>
        <v>0</v>
      </c>
      <c r="AP53" s="17" t="n">
        <f aca="false">(AB53/H53)*(MAX(0,MIN(H53,Assumptions!$B$46)-Assumptions!$B$47)*Assumptions!$C$47+MAX(0,MIN(H53,Assumptions!$B$45)-Assumptions!$B$46)*Assumptions!$C$46+MAX(0,MIN(H53,Assumptions!$B$44)-Assumptions!$B$45)*Assumptions!$C$45+MAX(0,H53-Assumptions!$B$44)*Assumptions!$C$44)</f>
        <v>0</v>
      </c>
      <c r="AQ53" s="17" t="n">
        <f aca="false">ROUND(SUMIF(Lines!$B:$B,B53,Lines!$N:$N),2)</f>
        <v>0</v>
      </c>
    </row>
    <row r="54" customFormat="false" ht="15" hidden="false" customHeight="false" outlineLevel="0" collapsed="false">
      <c r="B54" s="14" t="s">
        <v>202</v>
      </c>
      <c r="C54" s="14" t="s">
        <v>194</v>
      </c>
      <c r="D54" s="14" t="s">
        <v>174</v>
      </c>
      <c r="E54" s="24" t="n">
        <v>0</v>
      </c>
      <c r="F54" s="24" t="n">
        <v>1099</v>
      </c>
      <c r="G54" s="24" t="n">
        <v>404</v>
      </c>
      <c r="H54" s="26" t="n">
        <f aca="false">SUM(E54:G54)</f>
        <v>1503</v>
      </c>
      <c r="I54" s="24" t="n">
        <v>216</v>
      </c>
      <c r="J54" s="24" t="n">
        <v>7</v>
      </c>
      <c r="K54" s="27" t="n">
        <v>0</v>
      </c>
      <c r="L54" s="28" t="n">
        <f aca="false">MIN(Assumptions!$C$18,K54*Assumptions!$D$15)</f>
        <v>0</v>
      </c>
      <c r="M54" s="28" t="n">
        <f aca="false">MIN(Assumptions!$C$18,K54*Assumptions!$D$16)</f>
        <v>0</v>
      </c>
      <c r="N54" s="28" t="n">
        <f aca="false">MIN(Assumptions!$C$18,K54*Assumptions!$D$17)</f>
        <v>0</v>
      </c>
      <c r="O54" s="28" t="n">
        <f aca="false">IF(I54&gt;=Assumptions!$B$36,Assumptions!$C$36,IF(I54&gt;=Assumptions!$B$37,Assumptions!$C$37,IF(I54&gt;=Assumptions!$B$38,Assumptions!$C$38,Assumptions!$C$39)))</f>
        <v>0.04</v>
      </c>
      <c r="P54" s="28" t="n">
        <f aca="false">IF(H54&gt;=Assumptions!$B$44,Assumptions!$C$44,IF(H54&gt;=Assumptions!$B$45,Assumptions!$C$45,IF(H54&gt;=Assumptions!$B$46,Assumptions!$C$46,Assumptions!$C$47)))</f>
        <v>0</v>
      </c>
      <c r="Q54" s="24" t="n">
        <v>1</v>
      </c>
      <c r="R54" s="28" t="n">
        <f aca="false">Q54*Assumptions!$C$51</f>
        <v>0.02</v>
      </c>
      <c r="S54" s="27" t="n">
        <v>0.015</v>
      </c>
      <c r="T54" s="27" t="n">
        <v>0</v>
      </c>
      <c r="U54" s="27" t="n">
        <v>0</v>
      </c>
      <c r="V54" s="27" t="n">
        <v>0.006</v>
      </c>
      <c r="W54" s="27" t="n">
        <v>0.005</v>
      </c>
      <c r="X54" s="28" t="n">
        <f aca="false">P54+R54+SUM(S54:W54)</f>
        <v>0.046</v>
      </c>
      <c r="Y54" s="24" t="n">
        <v>0</v>
      </c>
      <c r="Z54" s="29" t="n">
        <f aca="false">LN(H54)</f>
        <v>7.31521838975298</v>
      </c>
      <c r="AA54" s="17" t="n">
        <f aca="false">ROUND(SUMIF(Lines!$B:$B,B54,Lines!$I:$I),2)</f>
        <v>106922</v>
      </c>
      <c r="AB54" s="17" t="n">
        <f aca="false">ROUND(SUMIF(Lines!$B:$B,B54,Lines!$L:$L),2)</f>
        <v>102645.12</v>
      </c>
      <c r="AC54" s="17" t="n">
        <f aca="false">ROUND(SUMIF(Lines!$B:$B,B54,Lines!$T:$T),2)</f>
        <v>97923.45</v>
      </c>
      <c r="AD54" s="17" t="n">
        <f aca="false">ROUND(SUMIF(Lines!$B:$B,B54,Lines!$U:$U),2)</f>
        <v>62996</v>
      </c>
      <c r="AE54" s="17" t="n">
        <f aca="false">ROUND(SUMIF(Lines!$B:$B,B54,Lines!$V:$V),2)</f>
        <v>2052.9</v>
      </c>
      <c r="AF54" s="17" t="n">
        <f aca="false">ROUND(AC54-AD54-AE54,2)</f>
        <v>32874.55</v>
      </c>
      <c r="AG54" s="26" t="n">
        <f aca="false">RANK(AC54,$AC$6:$AC$185)</f>
        <v>114</v>
      </c>
      <c r="AJ54" s="26" t="n">
        <f aca="false">IF(AND(H54&gt;=0.85*Assumptions!$B$44,H54&lt;Assumptions!$B$44),Assumptions!$B$44,IF(AND(H54&gt;=0.85*Assumptions!$B$45,H54&lt;Assumptions!$B$45),Assumptions!$B$45,IF(AND(H54&gt;=0.85*Assumptions!$B$46,H54&lt;Assumptions!$B$46),Assumptions!$B$46,0)))</f>
        <v>0</v>
      </c>
      <c r="AK54" s="26" t="n">
        <f aca="false">IF(AJ54=0,0,AJ54-H54)</f>
        <v>0</v>
      </c>
      <c r="AL54" s="28" t="n">
        <f aca="false">IF(AJ54=Assumptions!$B$44,Assumptions!$C$44,IF(AJ54=Assumptions!$B$45,Assumptions!$C$45,IF(AJ54=Assumptions!$B$46,Assumptions!$C$46,0)))</f>
        <v>0</v>
      </c>
      <c r="AM54" s="17" t="n">
        <f aca="false">IF(AJ54=0,0,AB54*(AL54-P54))</f>
        <v>0</v>
      </c>
      <c r="AN54" s="17" t="n">
        <f aca="false">ROUND(AN46+AM54,2)</f>
        <v>138146.69</v>
      </c>
      <c r="AO54" s="17" t="n">
        <f aca="false">SUMIF(Lines!$B$6:$B$463,$B54,Lines!$M$6:$M$463)</f>
        <v>0</v>
      </c>
      <c r="AP54" s="17" t="n">
        <f aca="false">(AB54/H54)*(MAX(0,MIN(H54,Assumptions!$B$46)-Assumptions!$B$47)*Assumptions!$C$47+MAX(0,MIN(H54,Assumptions!$B$45)-Assumptions!$B$46)*Assumptions!$C$46+MAX(0,MIN(H54,Assumptions!$B$44)-Assumptions!$B$45)*Assumptions!$C$45+MAX(0,H54-Assumptions!$B$44)*Assumptions!$C$44)</f>
        <v>0</v>
      </c>
      <c r="AQ54" s="17" t="n">
        <f aca="false">ROUND(SUMIF(Lines!$B:$B,B54,Lines!$N:$N),2)</f>
        <v>2052.9</v>
      </c>
    </row>
    <row r="55" customFormat="false" ht="15" hidden="false" customHeight="false" outlineLevel="0" collapsed="false">
      <c r="B55" s="14" t="s">
        <v>203</v>
      </c>
      <c r="C55" s="14" t="s">
        <v>194</v>
      </c>
      <c r="D55" s="14" t="s">
        <v>174</v>
      </c>
      <c r="E55" s="24" t="n">
        <v>893</v>
      </c>
      <c r="F55" s="24" t="n">
        <v>2266</v>
      </c>
      <c r="G55" s="24" t="n">
        <v>1076</v>
      </c>
      <c r="H55" s="26" t="n">
        <f aca="false">SUM(E55:G55)</f>
        <v>4235</v>
      </c>
      <c r="I55" s="24" t="n">
        <v>259</v>
      </c>
      <c r="J55" s="24" t="n">
        <v>16</v>
      </c>
      <c r="K55" s="27" t="n">
        <v>0</v>
      </c>
      <c r="L55" s="28" t="n">
        <f aca="false">MIN(Assumptions!$C$18,K55*Assumptions!$D$15)</f>
        <v>0</v>
      </c>
      <c r="M55" s="28" t="n">
        <f aca="false">MIN(Assumptions!$C$18,K55*Assumptions!$D$16)</f>
        <v>0</v>
      </c>
      <c r="N55" s="28" t="n">
        <f aca="false">MIN(Assumptions!$C$18,K55*Assumptions!$D$17)</f>
        <v>0</v>
      </c>
      <c r="O55" s="28" t="n">
        <f aca="false">IF(I55&gt;=Assumptions!$B$36,Assumptions!$C$36,IF(I55&gt;=Assumptions!$B$37,Assumptions!$C$37,IF(I55&gt;=Assumptions!$B$38,Assumptions!$C$38,Assumptions!$C$39)))</f>
        <v>0.04</v>
      </c>
      <c r="P55" s="28" t="n">
        <f aca="false">IF(H55&gt;=Assumptions!$B$44,Assumptions!$C$44,IF(H55&gt;=Assumptions!$B$45,Assumptions!$C$45,IF(H55&gt;=Assumptions!$B$46,Assumptions!$C$46,Assumptions!$C$47)))</f>
        <v>0.02</v>
      </c>
      <c r="Q55" s="24" t="n">
        <v>1</v>
      </c>
      <c r="R55" s="28" t="n">
        <f aca="false">Q55*Assumptions!$C$51</f>
        <v>0.02</v>
      </c>
      <c r="S55" s="27" t="n">
        <v>0</v>
      </c>
      <c r="T55" s="27" t="n">
        <v>0</v>
      </c>
      <c r="U55" s="27" t="n">
        <v>0</v>
      </c>
      <c r="V55" s="27" t="n">
        <v>0.006</v>
      </c>
      <c r="W55" s="27" t="n">
        <v>0.005</v>
      </c>
      <c r="X55" s="28" t="n">
        <f aca="false">P55+R55+SUM(S55:W55)</f>
        <v>0.051</v>
      </c>
      <c r="Y55" s="24" t="n">
        <v>1</v>
      </c>
      <c r="Z55" s="29" t="n">
        <f aca="false">LN(H55)</f>
        <v>8.35113860708615</v>
      </c>
      <c r="AA55" s="17" t="n">
        <f aca="false">ROUND(SUMIF(Lines!$B:$B,B55,Lines!$I:$I),2)</f>
        <v>375952</v>
      </c>
      <c r="AB55" s="17" t="n">
        <f aca="false">ROUND(SUMIF(Lines!$B:$B,B55,Lines!$L:$L),2)</f>
        <v>360913.92</v>
      </c>
      <c r="AC55" s="17" t="n">
        <f aca="false">ROUND(SUMIF(Lines!$B:$B,B55,Lines!$T:$T),2)</f>
        <v>342507.32</v>
      </c>
      <c r="AD55" s="17" t="n">
        <f aca="false">ROUND(SUMIF(Lines!$B:$B,B55,Lines!$U:$U),2)</f>
        <v>213638</v>
      </c>
      <c r="AE55" s="17" t="n">
        <f aca="false">ROUND(SUMIF(Lines!$B:$B,B55,Lines!$V:$V),2)</f>
        <v>7218.28</v>
      </c>
      <c r="AF55" s="17" t="n">
        <f aca="false">ROUND(AC55-AD55-AE55,2)</f>
        <v>121651.04</v>
      </c>
      <c r="AG55" s="26" t="n">
        <f aca="false">RANK(AC55,$AC$6:$AC$185)</f>
        <v>43</v>
      </c>
      <c r="AJ55" s="26" t="n">
        <f aca="false">IF(AND(H55&gt;=0.85*Assumptions!$B$44,H55&lt;Assumptions!$B$44),Assumptions!$B$44,IF(AND(H55&gt;=0.85*Assumptions!$B$45,H55&lt;Assumptions!$B$45),Assumptions!$B$45,IF(AND(H55&gt;=0.85*Assumptions!$B$46,H55&lt;Assumptions!$B$46),Assumptions!$B$46,0)))</f>
        <v>0</v>
      </c>
      <c r="AK55" s="26" t="n">
        <f aca="false">IF(AJ55=0,0,AJ55-H55)</f>
        <v>0</v>
      </c>
      <c r="AL55" s="28" t="n">
        <f aca="false">IF(AJ55=Assumptions!$B$44,Assumptions!$C$44,IF(AJ55=Assumptions!$B$45,Assumptions!$C$45,IF(AJ55=Assumptions!$B$46,Assumptions!$C$46,0)))</f>
        <v>0</v>
      </c>
      <c r="AM55" s="17" t="n">
        <f aca="false">IF(AJ55=0,0,AB55*(AL55-P55))</f>
        <v>0</v>
      </c>
      <c r="AN55" s="17" t="n">
        <f aca="false">ROUND(AN47+AM55,2)</f>
        <v>141995.03</v>
      </c>
      <c r="AO55" s="17" t="n">
        <f aca="false">SUMIF(Lines!$B$6:$B$463,$B55,Lines!$M$6:$M$463)</f>
        <v>7218.28</v>
      </c>
      <c r="AP55" s="17" t="n">
        <f aca="false">(AB55/H55)*(MAX(0,MIN(H55,Assumptions!$B$46)-Assumptions!$B$47)*Assumptions!$C$47+MAX(0,MIN(H55,Assumptions!$B$45)-Assumptions!$B$46)*Assumptions!$C$46+MAX(0,MIN(H55,Assumptions!$B$44)-Assumptions!$B$45)*Assumptions!$C$45+MAX(0,H55-Assumptions!$B$44)*Assumptions!$C$44)</f>
        <v>2104.97610956316</v>
      </c>
      <c r="AQ55" s="17" t="n">
        <f aca="false">ROUND(SUMIF(Lines!$B:$B,B55,Lines!$N:$N),2)</f>
        <v>7218.28</v>
      </c>
    </row>
    <row r="56" customFormat="false" ht="15" hidden="false" customHeight="false" outlineLevel="0" collapsed="false">
      <c r="B56" s="14" t="s">
        <v>204</v>
      </c>
      <c r="C56" s="14" t="s">
        <v>194</v>
      </c>
      <c r="D56" s="14" t="s">
        <v>174</v>
      </c>
      <c r="E56" s="24" t="n">
        <v>0</v>
      </c>
      <c r="F56" s="24" t="n">
        <v>3002</v>
      </c>
      <c r="G56" s="24" t="n">
        <v>1094</v>
      </c>
      <c r="H56" s="26" t="n">
        <f aca="false">SUM(E56:G56)</f>
        <v>4096</v>
      </c>
      <c r="I56" s="24" t="n">
        <v>350</v>
      </c>
      <c r="J56" s="24" t="n">
        <v>12</v>
      </c>
      <c r="K56" s="27" t="n">
        <v>0.025</v>
      </c>
      <c r="L56" s="28" t="n">
        <f aca="false">MIN(Assumptions!$C$18,K56*Assumptions!$D$15)</f>
        <v>0.0155</v>
      </c>
      <c r="M56" s="28" t="n">
        <f aca="false">MIN(Assumptions!$C$18,K56*Assumptions!$D$16)</f>
        <v>0.0325</v>
      </c>
      <c r="N56" s="28" t="n">
        <f aca="false">MIN(Assumptions!$C$18,K56*Assumptions!$D$17)</f>
        <v>0.024</v>
      </c>
      <c r="O56" s="28" t="n">
        <f aca="false">IF(I56&gt;=Assumptions!$B$36,Assumptions!$C$36,IF(I56&gt;=Assumptions!$B$37,Assumptions!$C$37,IF(I56&gt;=Assumptions!$B$38,Assumptions!$C$38,Assumptions!$C$39)))</f>
        <v>0.04</v>
      </c>
      <c r="P56" s="28" t="n">
        <f aca="false">IF(H56&gt;=Assumptions!$B$44,Assumptions!$C$44,IF(H56&gt;=Assumptions!$B$45,Assumptions!$C$45,IF(H56&gt;=Assumptions!$B$46,Assumptions!$C$46,Assumptions!$C$47)))</f>
        <v>0.02</v>
      </c>
      <c r="Q56" s="24" t="n">
        <v>1</v>
      </c>
      <c r="R56" s="28" t="n">
        <f aca="false">Q56*Assumptions!$C$51</f>
        <v>0.02</v>
      </c>
      <c r="S56" s="27" t="n">
        <v>0</v>
      </c>
      <c r="T56" s="27" t="n">
        <v>0</v>
      </c>
      <c r="U56" s="27" t="n">
        <v>0</v>
      </c>
      <c r="V56" s="27" t="n">
        <v>0.006</v>
      </c>
      <c r="W56" s="27" t="n">
        <v>0.005</v>
      </c>
      <c r="X56" s="28" t="n">
        <f aca="false">P56+R56+SUM(S56:W56)</f>
        <v>0.051</v>
      </c>
      <c r="Y56" s="24" t="n">
        <v>0</v>
      </c>
      <c r="Z56" s="29" t="n">
        <f aca="false">LN(H56)</f>
        <v>8.31776616671934</v>
      </c>
      <c r="AA56" s="17" t="n">
        <f aca="false">ROUND(SUMIF(Lines!$B:$B,B56,Lines!$I:$I),2)</f>
        <v>291148</v>
      </c>
      <c r="AB56" s="17" t="n">
        <f aca="false">ROUND(SUMIF(Lines!$B:$B,B56,Lines!$L:$L),2)</f>
        <v>270932.47</v>
      </c>
      <c r="AC56" s="17" t="n">
        <f aca="false">ROUND(SUMIF(Lines!$B:$B,B56,Lines!$T:$T),2)</f>
        <v>257114.92</v>
      </c>
      <c r="AD56" s="17" t="n">
        <f aca="false">ROUND(SUMIF(Lines!$B:$B,B56,Lines!$U:$U),2)</f>
        <v>171524</v>
      </c>
      <c r="AE56" s="17" t="n">
        <f aca="false">ROUND(SUMIF(Lines!$B:$B,B56,Lines!$V:$V),2)</f>
        <v>5418.65</v>
      </c>
      <c r="AF56" s="17" t="n">
        <f aca="false">ROUND(AC56-AD56-AE56,2)</f>
        <v>80172.27</v>
      </c>
      <c r="AG56" s="26" t="n">
        <f aca="false">RANK(AC56,$AC$6:$AC$185)</f>
        <v>53</v>
      </c>
      <c r="AJ56" s="26" t="n">
        <f aca="false">IF(AND(H56&gt;=0.85*Assumptions!$B$44,H56&lt;Assumptions!$B$44),Assumptions!$B$44,IF(AND(H56&gt;=0.85*Assumptions!$B$45,H56&lt;Assumptions!$B$45),Assumptions!$B$45,IF(AND(H56&gt;=0.85*Assumptions!$B$46,H56&lt;Assumptions!$B$46),Assumptions!$B$46,0)))</f>
        <v>0</v>
      </c>
      <c r="AK56" s="26" t="n">
        <f aca="false">IF(AJ56=0,0,AJ56-H56)</f>
        <v>0</v>
      </c>
      <c r="AL56" s="28" t="n">
        <f aca="false">IF(AJ56=Assumptions!$B$44,Assumptions!$C$44,IF(AJ56=Assumptions!$B$45,Assumptions!$C$45,IF(AJ56=Assumptions!$B$46,Assumptions!$C$46,0)))</f>
        <v>0</v>
      </c>
      <c r="AM56" s="17" t="n">
        <f aca="false">IF(AJ56=0,0,AB56*(AL56-P56))</f>
        <v>0</v>
      </c>
      <c r="AN56" s="17" t="n">
        <f aca="false">ROUND(AN48+AM56,2)</f>
        <v>146052.55</v>
      </c>
      <c r="AO56" s="17" t="n">
        <f aca="false">SUMIF(Lines!$B$6:$B$463,$B56,Lines!$M$6:$M$463)</f>
        <v>5418.65</v>
      </c>
      <c r="AP56" s="17" t="n">
        <f aca="false">(AB56/H56)*(MAX(0,MIN(H56,Assumptions!$B$46)-Assumptions!$B$47)*Assumptions!$C$47+MAX(0,MIN(H56,Assumptions!$B$45)-Assumptions!$B$46)*Assumptions!$C$46+MAX(0,MIN(H56,Assumptions!$B$44)-Assumptions!$B$45)*Assumptions!$C$45+MAX(0,H56-Assumptions!$B$44)*Assumptions!$C$44)</f>
        <v>1449.91204648438</v>
      </c>
      <c r="AQ56" s="17" t="n">
        <f aca="false">ROUND(SUMIF(Lines!$B:$B,B56,Lines!$N:$N),2)</f>
        <v>5418.65</v>
      </c>
    </row>
    <row r="57" customFormat="false" ht="15" hidden="false" customHeight="false" outlineLevel="0" collapsed="false">
      <c r="B57" s="14" t="s">
        <v>205</v>
      </c>
      <c r="C57" s="14" t="s">
        <v>194</v>
      </c>
      <c r="D57" s="14" t="s">
        <v>174</v>
      </c>
      <c r="E57" s="24" t="n">
        <v>0</v>
      </c>
      <c r="F57" s="24" t="n">
        <v>1500</v>
      </c>
      <c r="G57" s="24" t="n">
        <v>0</v>
      </c>
      <c r="H57" s="26" t="n">
        <f aca="false">SUM(E57:G57)</f>
        <v>1500</v>
      </c>
      <c r="I57" s="24" t="n">
        <v>201</v>
      </c>
      <c r="J57" s="24" t="n">
        <v>7</v>
      </c>
      <c r="K57" s="27" t="n">
        <v>0.065</v>
      </c>
      <c r="L57" s="28" t="n">
        <f aca="false">MIN(Assumptions!$C$18,K57*Assumptions!$D$15)</f>
        <v>0.0403</v>
      </c>
      <c r="M57" s="28" t="n">
        <f aca="false">MIN(Assumptions!$C$18,K57*Assumptions!$D$16)</f>
        <v>0.0845</v>
      </c>
      <c r="N57" s="28" t="n">
        <f aca="false">MIN(Assumptions!$C$18,K57*Assumptions!$D$17)</f>
        <v>0.0624</v>
      </c>
      <c r="O57" s="28" t="n">
        <f aca="false">IF(I57&gt;=Assumptions!$B$36,Assumptions!$C$36,IF(I57&gt;=Assumptions!$B$37,Assumptions!$C$37,IF(I57&gt;=Assumptions!$B$38,Assumptions!$C$38,Assumptions!$C$39)))</f>
        <v>0.04</v>
      </c>
      <c r="P57" s="28" t="n">
        <f aca="false">IF(H57&gt;=Assumptions!$B$44,Assumptions!$C$44,IF(H57&gt;=Assumptions!$B$45,Assumptions!$C$45,IF(H57&gt;=Assumptions!$B$46,Assumptions!$C$46,Assumptions!$C$47)))</f>
        <v>0</v>
      </c>
      <c r="Q57" s="24" t="n">
        <v>1</v>
      </c>
      <c r="R57" s="28" t="n">
        <f aca="false">Q57*Assumptions!$C$51</f>
        <v>0.02</v>
      </c>
      <c r="S57" s="27" t="n">
        <v>0.015</v>
      </c>
      <c r="T57" s="27" t="n">
        <v>0</v>
      </c>
      <c r="U57" s="27" t="n">
        <v>0</v>
      </c>
      <c r="V57" s="27" t="n">
        <v>0.006</v>
      </c>
      <c r="W57" s="27" t="n">
        <v>0.005</v>
      </c>
      <c r="X57" s="28" t="n">
        <f aca="false">P57+R57+SUM(S57:W57)</f>
        <v>0.046</v>
      </c>
      <c r="Y57" s="24" t="n">
        <v>0</v>
      </c>
      <c r="Z57" s="29" t="n">
        <f aca="false">LN(H57)</f>
        <v>7.3132203870903</v>
      </c>
      <c r="AA57" s="17" t="n">
        <f aca="false">ROUND(SUMIF(Lines!$B:$B,B57,Lines!$I:$I),2)</f>
        <v>93000</v>
      </c>
      <c r="AB57" s="17" t="n">
        <f aca="false">ROUND(SUMIF(Lines!$B:$B,B57,Lines!$L:$L),2)</f>
        <v>81421.5</v>
      </c>
      <c r="AC57" s="17" t="n">
        <f aca="false">ROUND(SUMIF(Lines!$B:$B,B57,Lines!$T:$T),2)</f>
        <v>77676.11</v>
      </c>
      <c r="AD57" s="17" t="n">
        <f aca="false">ROUND(SUMIF(Lines!$B:$B,B57,Lines!$U:$U),2)</f>
        <v>54000</v>
      </c>
      <c r="AE57" s="17" t="n">
        <f aca="false">ROUND(SUMIF(Lines!$B:$B,B57,Lines!$V:$V),2)</f>
        <v>1628.43</v>
      </c>
      <c r="AF57" s="17" t="n">
        <f aca="false">ROUND(AC57-AD57-AE57,2)</f>
        <v>22047.68</v>
      </c>
      <c r="AG57" s="26" t="n">
        <f aca="false">RANK(AC57,$AC$6:$AC$185)</f>
        <v>131</v>
      </c>
      <c r="AJ57" s="26" t="n">
        <f aca="false">IF(AND(H57&gt;=0.85*Assumptions!$B$44,H57&lt;Assumptions!$B$44),Assumptions!$B$44,IF(AND(H57&gt;=0.85*Assumptions!$B$45,H57&lt;Assumptions!$B$45),Assumptions!$B$45,IF(AND(H57&gt;=0.85*Assumptions!$B$46,H57&lt;Assumptions!$B$46),Assumptions!$B$46,0)))</f>
        <v>0</v>
      </c>
      <c r="AK57" s="26" t="n">
        <f aca="false">IF(AJ57=0,0,AJ57-H57)</f>
        <v>0</v>
      </c>
      <c r="AL57" s="28" t="n">
        <f aca="false">IF(AJ57=Assumptions!$B$44,Assumptions!$C$44,IF(AJ57=Assumptions!$B$45,Assumptions!$C$45,IF(AJ57=Assumptions!$B$46,Assumptions!$C$46,0)))</f>
        <v>0</v>
      </c>
      <c r="AM57" s="17" t="n">
        <f aca="false">IF(AJ57=0,0,AB57*(AL57-P57))</f>
        <v>0</v>
      </c>
      <c r="AN57" s="17" t="n">
        <f aca="false">ROUND(AN49+AM57,2)</f>
        <v>146052.55</v>
      </c>
      <c r="AO57" s="17" t="n">
        <f aca="false">SUMIF(Lines!$B$6:$B$463,$B57,Lines!$M$6:$M$463)</f>
        <v>0</v>
      </c>
      <c r="AP57" s="17" t="n">
        <f aca="false">(AB57/H57)*(MAX(0,MIN(H57,Assumptions!$B$46)-Assumptions!$B$47)*Assumptions!$C$47+MAX(0,MIN(H57,Assumptions!$B$45)-Assumptions!$B$46)*Assumptions!$C$46+MAX(0,MIN(H57,Assumptions!$B$44)-Assumptions!$B$45)*Assumptions!$C$45+MAX(0,H57-Assumptions!$B$44)*Assumptions!$C$44)</f>
        <v>0</v>
      </c>
      <c r="AQ57" s="17" t="n">
        <f aca="false">ROUND(SUMIF(Lines!$B:$B,B57,Lines!$N:$N),2)</f>
        <v>1628.43</v>
      </c>
    </row>
    <row r="58" customFormat="false" ht="15" hidden="false" customHeight="false" outlineLevel="0" collapsed="false">
      <c r="B58" s="14" t="s">
        <v>206</v>
      </c>
      <c r="C58" s="14" t="s">
        <v>194</v>
      </c>
      <c r="D58" s="14" t="s">
        <v>174</v>
      </c>
      <c r="E58" s="24" t="n">
        <v>918</v>
      </c>
      <c r="F58" s="24" t="n">
        <v>3348</v>
      </c>
      <c r="G58" s="24" t="n">
        <v>1453</v>
      </c>
      <c r="H58" s="26" t="n">
        <f aca="false">SUM(E58:G58)</f>
        <v>5719</v>
      </c>
      <c r="I58" s="24" t="n">
        <v>316</v>
      </c>
      <c r="J58" s="24" t="n">
        <v>18</v>
      </c>
      <c r="K58" s="27" t="n">
        <v>0.115</v>
      </c>
      <c r="L58" s="28" t="n">
        <f aca="false">MIN(Assumptions!$C$18,K58*Assumptions!$D$15)</f>
        <v>0.0713</v>
      </c>
      <c r="M58" s="28" t="n">
        <f aca="false">MIN(Assumptions!$C$18,K58*Assumptions!$D$16)</f>
        <v>0.1495</v>
      </c>
      <c r="N58" s="28" t="n">
        <f aca="false">MIN(Assumptions!$C$18,K58*Assumptions!$D$17)</f>
        <v>0.1104</v>
      </c>
      <c r="O58" s="28" t="n">
        <f aca="false">IF(I58&gt;=Assumptions!$B$36,Assumptions!$C$36,IF(I58&gt;=Assumptions!$B$37,Assumptions!$C$37,IF(I58&gt;=Assumptions!$B$38,Assumptions!$C$38,Assumptions!$C$39)))</f>
        <v>0.04</v>
      </c>
      <c r="P58" s="28" t="n">
        <f aca="false">IF(H58&gt;=Assumptions!$B$44,Assumptions!$C$44,IF(H58&gt;=Assumptions!$B$45,Assumptions!$C$45,IF(H58&gt;=Assumptions!$B$46,Assumptions!$C$46,Assumptions!$C$47)))</f>
        <v>0.02</v>
      </c>
      <c r="Q58" s="24" t="n">
        <v>0</v>
      </c>
      <c r="R58" s="28" t="n">
        <f aca="false">Q58*Assumptions!$C$51</f>
        <v>0</v>
      </c>
      <c r="S58" s="27" t="n">
        <v>0</v>
      </c>
      <c r="T58" s="27" t="n">
        <v>0</v>
      </c>
      <c r="U58" s="27" t="n">
        <v>0</v>
      </c>
      <c r="V58" s="27" t="n">
        <v>0.006</v>
      </c>
      <c r="W58" s="27" t="n">
        <v>0</v>
      </c>
      <c r="X58" s="28" t="n">
        <f aca="false">P58+R58+SUM(S58:W58)</f>
        <v>0.026</v>
      </c>
      <c r="Y58" s="24" t="n">
        <v>0</v>
      </c>
      <c r="Z58" s="29" t="n">
        <f aca="false">LN(H58)</f>
        <v>8.65154924391532</v>
      </c>
      <c r="AA58" s="17" t="n">
        <f aca="false">ROUND(SUMIF(Lines!$B:$B,B58,Lines!$I:$I),2)</f>
        <v>482928</v>
      </c>
      <c r="AB58" s="17" t="n">
        <f aca="false">ROUND(SUMIF(Lines!$B:$B,B58,Lines!$L:$L),2)</f>
        <v>407491.69</v>
      </c>
      <c r="AC58" s="17" t="n">
        <f aca="false">ROUND(SUMIF(Lines!$B:$B,B58,Lines!$T:$T),2)</f>
        <v>396896.91</v>
      </c>
      <c r="AD58" s="17" t="n">
        <f aca="false">ROUND(SUMIF(Lines!$B:$B,B58,Lines!$U:$U),2)</f>
        <v>276406</v>
      </c>
      <c r="AE58" s="17" t="n">
        <f aca="false">ROUND(SUMIF(Lines!$B:$B,B58,Lines!$V:$V),2)</f>
        <v>8149.84</v>
      </c>
      <c r="AF58" s="17" t="n">
        <f aca="false">ROUND(AC58-AD58-AE58,2)</f>
        <v>112341.07</v>
      </c>
      <c r="AG58" s="26" t="n">
        <f aca="false">RANK(AC58,$AC$6:$AC$185)</f>
        <v>38</v>
      </c>
      <c r="AJ58" s="26" t="n">
        <f aca="false">IF(AND(H58&gt;=0.85*Assumptions!$B$44,H58&lt;Assumptions!$B$44),Assumptions!$B$44,IF(AND(H58&gt;=0.85*Assumptions!$B$45,H58&lt;Assumptions!$B$45),Assumptions!$B$45,IF(AND(H58&gt;=0.85*Assumptions!$B$46,H58&lt;Assumptions!$B$46),Assumptions!$B$46,0)))</f>
        <v>0</v>
      </c>
      <c r="AK58" s="26" t="n">
        <f aca="false">IF(AJ58=0,0,AJ58-H58)</f>
        <v>0</v>
      </c>
      <c r="AL58" s="28" t="n">
        <f aca="false">IF(AJ58=Assumptions!$B$44,Assumptions!$C$44,IF(AJ58=Assumptions!$B$45,Assumptions!$C$45,IF(AJ58=Assumptions!$B$46,Assumptions!$C$46,0)))</f>
        <v>0</v>
      </c>
      <c r="AM58" s="17" t="n">
        <f aca="false">IF(AJ58=0,0,AB58*(AL58-P58))</f>
        <v>0</v>
      </c>
      <c r="AN58" s="17" t="n">
        <f aca="false">ROUND(AN50+AM58,2)</f>
        <v>155000.84</v>
      </c>
      <c r="AO58" s="17" t="n">
        <f aca="false">SUMIF(Lines!$B$6:$B$463,$B58,Lines!$M$6:$M$463)</f>
        <v>8149.84</v>
      </c>
      <c r="AP58" s="17" t="n">
        <f aca="false">(AB58/H58)*(MAX(0,MIN(H58,Assumptions!$B$46)-Assumptions!$B$47)*Assumptions!$C$47+MAX(0,MIN(H58,Assumptions!$B$45)-Assumptions!$B$46)*Assumptions!$C$46+MAX(0,MIN(H58,Assumptions!$B$44)-Assumptions!$B$45)*Assumptions!$C$45+MAX(0,H58-Assumptions!$B$44)*Assumptions!$C$44)</f>
        <v>3874.69804200035</v>
      </c>
      <c r="AQ58" s="17" t="n">
        <f aca="false">ROUND(SUMIF(Lines!$B:$B,B58,Lines!$N:$N),2)</f>
        <v>0</v>
      </c>
    </row>
    <row r="59" customFormat="false" ht="15" hidden="false" customHeight="false" outlineLevel="0" collapsed="false">
      <c r="B59" s="14" t="s">
        <v>207</v>
      </c>
      <c r="C59" s="14" t="s">
        <v>194</v>
      </c>
      <c r="D59" s="14" t="s">
        <v>174</v>
      </c>
      <c r="E59" s="24" t="n">
        <v>248</v>
      </c>
      <c r="F59" s="24" t="n">
        <v>757</v>
      </c>
      <c r="G59" s="24" t="n">
        <v>341</v>
      </c>
      <c r="H59" s="26" t="n">
        <f aca="false">SUM(E59:G59)</f>
        <v>1346</v>
      </c>
      <c r="I59" s="24" t="n">
        <v>50</v>
      </c>
      <c r="J59" s="24" t="n">
        <v>27</v>
      </c>
      <c r="K59" s="27" t="n">
        <v>0</v>
      </c>
      <c r="L59" s="28" t="n">
        <f aca="false">MIN(Assumptions!$C$18,K59*Assumptions!$D$15)</f>
        <v>0</v>
      </c>
      <c r="M59" s="28" t="n">
        <f aca="false">MIN(Assumptions!$C$18,K59*Assumptions!$D$16)</f>
        <v>0</v>
      </c>
      <c r="N59" s="28" t="n">
        <f aca="false">MIN(Assumptions!$C$18,K59*Assumptions!$D$17)</f>
        <v>0</v>
      </c>
      <c r="O59" s="28" t="n">
        <f aca="false">IF(I59&gt;=Assumptions!$B$36,Assumptions!$C$36,IF(I59&gt;=Assumptions!$B$37,Assumptions!$C$37,IF(I59&gt;=Assumptions!$B$38,Assumptions!$C$38,Assumptions!$C$39)))</f>
        <v>0.02</v>
      </c>
      <c r="P59" s="28" t="n">
        <f aca="false">IF(H59&gt;=Assumptions!$B$44,Assumptions!$C$44,IF(H59&gt;=Assumptions!$B$45,Assumptions!$C$45,IF(H59&gt;=Assumptions!$B$46,Assumptions!$C$46,Assumptions!$C$47)))</f>
        <v>0</v>
      </c>
      <c r="Q59" s="24" t="n">
        <v>1</v>
      </c>
      <c r="R59" s="28" t="n">
        <f aca="false">Q59*Assumptions!$C$51</f>
        <v>0.02</v>
      </c>
      <c r="S59" s="27" t="n">
        <v>0.015</v>
      </c>
      <c r="T59" s="27" t="n">
        <v>0</v>
      </c>
      <c r="U59" s="27" t="n">
        <v>0</v>
      </c>
      <c r="V59" s="27" t="n">
        <v>0.006</v>
      </c>
      <c r="W59" s="27" t="n">
        <v>0</v>
      </c>
      <c r="X59" s="28" t="n">
        <f aca="false">P59+R59+SUM(S59:W59)</f>
        <v>0.041</v>
      </c>
      <c r="Y59" s="24" t="n">
        <v>1</v>
      </c>
      <c r="Z59" s="29" t="n">
        <f aca="false">LN(H59)</f>
        <v>7.20489251020467</v>
      </c>
      <c r="AA59" s="17" t="n">
        <f aca="false">ROUND(SUMIF(Lines!$B:$B,B59,Lines!$I:$I),2)</f>
        <v>116374</v>
      </c>
      <c r="AB59" s="17" t="n">
        <f aca="false">ROUND(SUMIF(Lines!$B:$B,B59,Lines!$L:$L),2)</f>
        <v>114046.52</v>
      </c>
      <c r="AC59" s="17" t="n">
        <f aca="false">ROUND(SUMIF(Lines!$B:$B,B59,Lines!$T:$T),2)</f>
        <v>109370.6</v>
      </c>
      <c r="AD59" s="17" t="n">
        <f aca="false">ROUND(SUMIF(Lines!$B:$B,B59,Lines!$U:$U),2)</f>
        <v>66374</v>
      </c>
      <c r="AE59" s="17" t="n">
        <f aca="false">ROUND(SUMIF(Lines!$B:$B,B59,Lines!$V:$V),2)</f>
        <v>2280.94</v>
      </c>
      <c r="AF59" s="17" t="n">
        <f aca="false">ROUND(AC59-AD59-AE59,2)</f>
        <v>40715.66</v>
      </c>
      <c r="AG59" s="26" t="n">
        <f aca="false">RANK(AC59,$AC$6:$AC$185)</f>
        <v>105</v>
      </c>
      <c r="AJ59" s="26" t="n">
        <f aca="false">IF(AND(H59&gt;=0.85*Assumptions!$B$44,H59&lt;Assumptions!$B$44),Assumptions!$B$44,IF(AND(H59&gt;=0.85*Assumptions!$B$45,H59&lt;Assumptions!$B$45),Assumptions!$B$45,IF(AND(H59&gt;=0.85*Assumptions!$B$46,H59&lt;Assumptions!$B$46),Assumptions!$B$46,0)))</f>
        <v>0</v>
      </c>
      <c r="AK59" s="26" t="n">
        <f aca="false">IF(AJ59=0,0,AJ59-H59)</f>
        <v>0</v>
      </c>
      <c r="AL59" s="28" t="n">
        <f aca="false">IF(AJ59=Assumptions!$B$44,Assumptions!$C$44,IF(AJ59=Assumptions!$B$45,Assumptions!$C$45,IF(AJ59=Assumptions!$B$46,Assumptions!$C$46,0)))</f>
        <v>0</v>
      </c>
      <c r="AM59" s="17" t="n">
        <f aca="false">IF(AJ59=0,0,AB59*(AL59-P59))</f>
        <v>0</v>
      </c>
      <c r="AN59" s="17" t="n">
        <f aca="false">ROUND(AN51+AM59,2)</f>
        <v>171110.19</v>
      </c>
      <c r="AO59" s="17" t="n">
        <f aca="false">SUMIF(Lines!$B$6:$B$463,$B59,Lines!$M$6:$M$463)</f>
        <v>0</v>
      </c>
      <c r="AP59" s="17" t="n">
        <f aca="false">(AB59/H59)*(MAX(0,MIN(H59,Assumptions!$B$46)-Assumptions!$B$47)*Assumptions!$C$47+MAX(0,MIN(H59,Assumptions!$B$45)-Assumptions!$B$46)*Assumptions!$C$46+MAX(0,MIN(H59,Assumptions!$B$44)-Assumptions!$B$45)*Assumptions!$C$45+MAX(0,H59-Assumptions!$B$44)*Assumptions!$C$44)</f>
        <v>0</v>
      </c>
      <c r="AQ59" s="17" t="n">
        <f aca="false">ROUND(SUMIF(Lines!$B:$B,B59,Lines!$N:$N),2)</f>
        <v>2280.94</v>
      </c>
    </row>
    <row r="60" customFormat="false" ht="15" hidden="false" customHeight="false" outlineLevel="0" collapsed="false">
      <c r="B60" s="14" t="s">
        <v>208</v>
      </c>
      <c r="C60" s="14" t="s">
        <v>194</v>
      </c>
      <c r="D60" s="14" t="s">
        <v>174</v>
      </c>
      <c r="E60" s="24" t="n">
        <v>401</v>
      </c>
      <c r="F60" s="24" t="n">
        <v>1523</v>
      </c>
      <c r="G60" s="24" t="n">
        <v>840</v>
      </c>
      <c r="H60" s="26" t="n">
        <f aca="false">SUM(E60:G60)</f>
        <v>2764</v>
      </c>
      <c r="I60" s="24" t="n">
        <v>299</v>
      </c>
      <c r="J60" s="24" t="n">
        <v>9</v>
      </c>
      <c r="K60" s="27" t="n">
        <v>0.055</v>
      </c>
      <c r="L60" s="28" t="n">
        <f aca="false">MIN(Assumptions!$C$18,K60*Assumptions!$D$15)</f>
        <v>0.0341</v>
      </c>
      <c r="M60" s="28" t="n">
        <f aca="false">MIN(Assumptions!$C$18,K60*Assumptions!$D$16)</f>
        <v>0.0715</v>
      </c>
      <c r="N60" s="28" t="n">
        <f aca="false">MIN(Assumptions!$C$18,K60*Assumptions!$D$17)</f>
        <v>0.0528</v>
      </c>
      <c r="O60" s="28" t="n">
        <f aca="false">IF(I60&gt;=Assumptions!$B$36,Assumptions!$C$36,IF(I60&gt;=Assumptions!$B$37,Assumptions!$C$37,IF(I60&gt;=Assumptions!$B$38,Assumptions!$C$38,Assumptions!$C$39)))</f>
        <v>0.04</v>
      </c>
      <c r="P60" s="28" t="n">
        <f aca="false">IF(H60&gt;=Assumptions!$B$44,Assumptions!$C$44,IF(H60&gt;=Assumptions!$B$45,Assumptions!$C$45,IF(H60&gt;=Assumptions!$B$46,Assumptions!$C$46,Assumptions!$C$47)))</f>
        <v>0</v>
      </c>
      <c r="Q60" s="24" t="n">
        <v>0</v>
      </c>
      <c r="R60" s="28" t="n">
        <f aca="false">Q60*Assumptions!$C$51</f>
        <v>0</v>
      </c>
      <c r="S60" s="27" t="n">
        <v>0</v>
      </c>
      <c r="T60" s="27" t="n">
        <v>0</v>
      </c>
      <c r="U60" s="27" t="n">
        <v>0</v>
      </c>
      <c r="V60" s="27" t="n">
        <v>0.006</v>
      </c>
      <c r="W60" s="27" t="n">
        <v>0</v>
      </c>
      <c r="X60" s="28" t="n">
        <f aca="false">P60+R60+SUM(S60:W60)</f>
        <v>0.006</v>
      </c>
      <c r="Y60" s="24" t="n">
        <v>0</v>
      </c>
      <c r="Z60" s="29" t="n">
        <f aca="false">LN(H60)</f>
        <v>7.92443418488756</v>
      </c>
      <c r="AA60" s="17" t="n">
        <f aca="false">ROUND(SUMIF(Lines!$B:$B,B60,Lines!$I:$I),2)</f>
        <v>234414</v>
      </c>
      <c r="AB60" s="17" t="n">
        <f aca="false">ROUND(SUMIF(Lines!$B:$B,B60,Lines!$L:$L),2)</f>
        <v>212004.42</v>
      </c>
      <c r="AC60" s="17" t="n">
        <f aca="false">ROUND(SUMIF(Lines!$B:$B,B60,Lines!$T:$T),2)</f>
        <v>210732.39</v>
      </c>
      <c r="AD60" s="17" t="n">
        <f aca="false">ROUND(SUMIF(Lines!$B:$B,B60,Lines!$U:$U),2)</f>
        <v>134826</v>
      </c>
      <c r="AE60" s="17" t="n">
        <f aca="false">ROUND(SUMIF(Lines!$B:$B,B60,Lines!$V:$V),2)</f>
        <v>4240.09</v>
      </c>
      <c r="AF60" s="17" t="n">
        <f aca="false">ROUND(AC60-AD60-AE60,2)</f>
        <v>71666.3</v>
      </c>
      <c r="AG60" s="26" t="n">
        <f aca="false">RANK(AC60,$AC$6:$AC$185)</f>
        <v>65</v>
      </c>
      <c r="AJ60" s="26" t="n">
        <f aca="false">IF(AND(H60&gt;=0.85*Assumptions!$B$44,H60&lt;Assumptions!$B$44),Assumptions!$B$44,IF(AND(H60&gt;=0.85*Assumptions!$B$45,H60&lt;Assumptions!$B$45),Assumptions!$B$45,IF(AND(H60&gt;=0.85*Assumptions!$B$46,H60&lt;Assumptions!$B$46),Assumptions!$B$46,0)))</f>
        <v>3000</v>
      </c>
      <c r="AK60" s="26" t="n">
        <f aca="false">IF(AJ60=0,0,AJ60-H60)</f>
        <v>236</v>
      </c>
      <c r="AL60" s="28" t="n">
        <f aca="false">IF(AJ60=Assumptions!$B$44,Assumptions!$C$44,IF(AJ60=Assumptions!$B$45,Assumptions!$C$45,IF(AJ60=Assumptions!$B$46,Assumptions!$C$46,0)))</f>
        <v>0.02</v>
      </c>
      <c r="AM60" s="17" t="n">
        <f aca="false">IF(AJ60=0,0,AB60*(AL60-P60))</f>
        <v>4240.0884</v>
      </c>
      <c r="AN60" s="17" t="n">
        <f aca="false">ROUND(AN52+AM60,2)</f>
        <v>175350.28</v>
      </c>
      <c r="AO60" s="17" t="n">
        <f aca="false">SUMIF(Lines!$B$6:$B$463,$B60,Lines!$M$6:$M$463)</f>
        <v>0</v>
      </c>
      <c r="AP60" s="17" t="n">
        <f aca="false">(AB60/H60)*(MAX(0,MIN(H60,Assumptions!$B$46)-Assumptions!$B$47)*Assumptions!$C$47+MAX(0,MIN(H60,Assumptions!$B$45)-Assumptions!$B$46)*Assumptions!$C$46+MAX(0,MIN(H60,Assumptions!$B$44)-Assumptions!$B$45)*Assumptions!$C$45+MAX(0,H60-Assumptions!$B$44)*Assumptions!$C$44)</f>
        <v>0</v>
      </c>
      <c r="AQ60" s="17" t="n">
        <f aca="false">ROUND(SUMIF(Lines!$B:$B,B60,Lines!$N:$N),2)</f>
        <v>0</v>
      </c>
    </row>
    <row r="61" customFormat="false" ht="15" hidden="false" customHeight="false" outlineLevel="0" collapsed="false">
      <c r="B61" s="14" t="s">
        <v>209</v>
      </c>
      <c r="C61" s="14" t="s">
        <v>194</v>
      </c>
      <c r="D61" s="14" t="s">
        <v>174</v>
      </c>
      <c r="E61" s="24" t="n">
        <v>0</v>
      </c>
      <c r="F61" s="24" t="n">
        <v>923</v>
      </c>
      <c r="G61" s="24" t="n">
        <v>0</v>
      </c>
      <c r="H61" s="26" t="n">
        <f aca="false">SUM(E61:G61)</f>
        <v>923</v>
      </c>
      <c r="I61" s="24" t="n">
        <v>220</v>
      </c>
      <c r="J61" s="24" t="n">
        <v>4</v>
      </c>
      <c r="K61" s="27" t="n">
        <v>0.025</v>
      </c>
      <c r="L61" s="28" t="n">
        <f aca="false">MIN(Assumptions!$C$18,K61*Assumptions!$D$15)</f>
        <v>0.0155</v>
      </c>
      <c r="M61" s="28" t="n">
        <f aca="false">MIN(Assumptions!$C$18,K61*Assumptions!$D$16)</f>
        <v>0.0325</v>
      </c>
      <c r="N61" s="28" t="n">
        <f aca="false">MIN(Assumptions!$C$18,K61*Assumptions!$D$17)</f>
        <v>0.024</v>
      </c>
      <c r="O61" s="28" t="n">
        <f aca="false">IF(I61&gt;=Assumptions!$B$36,Assumptions!$C$36,IF(I61&gt;=Assumptions!$B$37,Assumptions!$C$37,IF(I61&gt;=Assumptions!$B$38,Assumptions!$C$38,Assumptions!$C$39)))</f>
        <v>0.04</v>
      </c>
      <c r="P61" s="28" t="n">
        <f aca="false">IF(H61&gt;=Assumptions!$B$44,Assumptions!$C$44,IF(H61&gt;=Assumptions!$B$45,Assumptions!$C$45,IF(H61&gt;=Assumptions!$B$46,Assumptions!$C$46,Assumptions!$C$47)))</f>
        <v>0</v>
      </c>
      <c r="Q61" s="24" t="n">
        <v>1</v>
      </c>
      <c r="R61" s="28" t="n">
        <f aca="false">Q61*Assumptions!$C$51</f>
        <v>0.02</v>
      </c>
      <c r="S61" s="27" t="n">
        <v>0.015</v>
      </c>
      <c r="T61" s="27" t="n">
        <v>0</v>
      </c>
      <c r="U61" s="27" t="n">
        <v>0</v>
      </c>
      <c r="V61" s="27" t="n">
        <v>0.006</v>
      </c>
      <c r="W61" s="27" t="n">
        <v>0</v>
      </c>
      <c r="X61" s="28" t="n">
        <f aca="false">P61+R61+SUM(S61:W61)</f>
        <v>0.041</v>
      </c>
      <c r="Y61" s="24" t="n">
        <v>0</v>
      </c>
      <c r="Z61" s="29" t="n">
        <f aca="false">LN(H61)</f>
        <v>6.82762923450285</v>
      </c>
      <c r="AA61" s="17" t="n">
        <f aca="false">ROUND(SUMIF(Lines!$B:$B,B61,Lines!$I:$I),2)</f>
        <v>57226</v>
      </c>
      <c r="AB61" s="17" t="n">
        <f aca="false">ROUND(SUMIF(Lines!$B:$B,B61,Lines!$L:$L),2)</f>
        <v>53077.11</v>
      </c>
      <c r="AC61" s="17" t="n">
        <f aca="false">ROUND(SUMIF(Lines!$B:$B,B61,Lines!$T:$T),2)</f>
        <v>50900.95</v>
      </c>
      <c r="AD61" s="17" t="n">
        <f aca="false">ROUND(SUMIF(Lines!$B:$B,B61,Lines!$U:$U),2)</f>
        <v>33228</v>
      </c>
      <c r="AE61" s="17" t="n">
        <f aca="false">ROUND(SUMIF(Lines!$B:$B,B61,Lines!$V:$V),2)</f>
        <v>1061.54</v>
      </c>
      <c r="AF61" s="17" t="n">
        <f aca="false">ROUND(AC61-AD61-AE61,2)</f>
        <v>16611.41</v>
      </c>
      <c r="AG61" s="26" t="n">
        <f aca="false">RANK(AC61,$AC$6:$AC$185)</f>
        <v>152</v>
      </c>
      <c r="AJ61" s="26" t="n">
        <f aca="false">IF(AND(H61&gt;=0.85*Assumptions!$B$44,H61&lt;Assumptions!$B$44),Assumptions!$B$44,IF(AND(H61&gt;=0.85*Assumptions!$B$45,H61&lt;Assumptions!$B$45),Assumptions!$B$45,IF(AND(H61&gt;=0.85*Assumptions!$B$46,H61&lt;Assumptions!$B$46),Assumptions!$B$46,0)))</f>
        <v>0</v>
      </c>
      <c r="AK61" s="26" t="n">
        <f aca="false">IF(AJ61=0,0,AJ61-H61)</f>
        <v>0</v>
      </c>
      <c r="AL61" s="28" t="n">
        <f aca="false">IF(AJ61=Assumptions!$B$44,Assumptions!$C$44,IF(AJ61=Assumptions!$B$45,Assumptions!$C$45,IF(AJ61=Assumptions!$B$46,Assumptions!$C$46,0)))</f>
        <v>0</v>
      </c>
      <c r="AM61" s="17" t="n">
        <f aca="false">IF(AJ61=0,0,AB61*(AL61-P61))</f>
        <v>0</v>
      </c>
      <c r="AN61" s="17" t="n">
        <f aca="false">ROUND(AN53+AM61,2)</f>
        <v>175350.28</v>
      </c>
      <c r="AO61" s="17" t="n">
        <f aca="false">SUMIF(Lines!$B$6:$B$463,$B61,Lines!$M$6:$M$463)</f>
        <v>0</v>
      </c>
      <c r="AP61" s="17" t="n">
        <f aca="false">(AB61/H61)*(MAX(0,MIN(H61,Assumptions!$B$46)-Assumptions!$B$47)*Assumptions!$C$47+MAX(0,MIN(H61,Assumptions!$B$45)-Assumptions!$B$46)*Assumptions!$C$46+MAX(0,MIN(H61,Assumptions!$B$44)-Assumptions!$B$45)*Assumptions!$C$45+MAX(0,H61-Assumptions!$B$44)*Assumptions!$C$44)</f>
        <v>0</v>
      </c>
      <c r="AQ61" s="17" t="n">
        <f aca="false">ROUND(SUMIF(Lines!$B:$B,B61,Lines!$N:$N),2)</f>
        <v>1061.54</v>
      </c>
    </row>
    <row r="62" customFormat="false" ht="15" hidden="false" customHeight="false" outlineLevel="0" collapsed="false">
      <c r="B62" s="14" t="s">
        <v>210</v>
      </c>
      <c r="C62" s="14" t="s">
        <v>194</v>
      </c>
      <c r="D62" s="14" t="s">
        <v>184</v>
      </c>
      <c r="E62" s="24" t="n">
        <v>516</v>
      </c>
      <c r="F62" s="24" t="n">
        <v>1002</v>
      </c>
      <c r="G62" s="24" t="n">
        <v>481</v>
      </c>
      <c r="H62" s="26" t="n">
        <f aca="false">SUM(E62:G62)</f>
        <v>1999</v>
      </c>
      <c r="I62" s="24" t="n">
        <v>231</v>
      </c>
      <c r="J62" s="24" t="n">
        <v>9</v>
      </c>
      <c r="K62" s="27" t="n">
        <v>0.025</v>
      </c>
      <c r="L62" s="28" t="n">
        <f aca="false">MIN(Assumptions!$C$18,K62*Assumptions!$D$15)</f>
        <v>0.0155</v>
      </c>
      <c r="M62" s="28" t="n">
        <f aca="false">MIN(Assumptions!$C$18,K62*Assumptions!$D$16)</f>
        <v>0.0325</v>
      </c>
      <c r="N62" s="28" t="n">
        <f aca="false">MIN(Assumptions!$C$18,K62*Assumptions!$D$17)</f>
        <v>0.024</v>
      </c>
      <c r="O62" s="28" t="n">
        <f aca="false">IF(I62&gt;=Assumptions!$B$36,Assumptions!$C$36,IF(I62&gt;=Assumptions!$B$37,Assumptions!$C$37,IF(I62&gt;=Assumptions!$B$38,Assumptions!$C$38,Assumptions!$C$39)))</f>
        <v>0.04</v>
      </c>
      <c r="P62" s="28" t="n">
        <f aca="false">IF(H62&gt;=Assumptions!$B$44,Assumptions!$C$44,IF(H62&gt;=Assumptions!$B$45,Assumptions!$C$45,IF(H62&gt;=Assumptions!$B$46,Assumptions!$C$46,Assumptions!$C$47)))</f>
        <v>0</v>
      </c>
      <c r="Q62" s="24" t="n">
        <v>0</v>
      </c>
      <c r="R62" s="28" t="n">
        <f aca="false">Q62*Assumptions!$C$51</f>
        <v>0</v>
      </c>
      <c r="S62" s="27" t="n">
        <v>0</v>
      </c>
      <c r="T62" s="27" t="n">
        <v>0</v>
      </c>
      <c r="U62" s="27" t="n">
        <v>0</v>
      </c>
      <c r="V62" s="27" t="n">
        <v>0.006</v>
      </c>
      <c r="W62" s="27" t="n">
        <v>0</v>
      </c>
      <c r="X62" s="28" t="n">
        <f aca="false">P62+R62+SUM(S62:W62)</f>
        <v>0.006</v>
      </c>
      <c r="Y62" s="24" t="n">
        <v>0</v>
      </c>
      <c r="Z62" s="29" t="n">
        <f aca="false">LN(H62)</f>
        <v>7.6004023345004</v>
      </c>
      <c r="AA62" s="17" t="n">
        <f aca="false">ROUND(SUMIF(Lines!$B:$B,B62,Lines!$I:$I),2)</f>
        <v>184668</v>
      </c>
      <c r="AB62" s="17" t="n">
        <f aca="false">ROUND(SUMIF(Lines!$B:$B,B62,Lines!$L:$L),2)</f>
        <v>172970.33</v>
      </c>
      <c r="AC62" s="17" t="n">
        <f aca="false">ROUND(SUMIF(Lines!$B:$B,B62,Lines!$T:$T),2)</f>
        <v>171932.51</v>
      </c>
      <c r="AD62" s="17" t="n">
        <f aca="false">ROUND(SUMIF(Lines!$B:$B,B62,Lines!$U:$U),2)</f>
        <v>104218</v>
      </c>
      <c r="AE62" s="17" t="n">
        <f aca="false">ROUND(SUMIF(Lines!$B:$B,B62,Lines!$V:$V),2)</f>
        <v>3459.4</v>
      </c>
      <c r="AF62" s="17" t="n">
        <f aca="false">ROUND(AC62-AD62-AE62,2)</f>
        <v>64255.11</v>
      </c>
      <c r="AG62" s="26" t="n">
        <f aca="false">RANK(AC62,$AC$6:$AC$185)</f>
        <v>82</v>
      </c>
      <c r="AJ62" s="26" t="n">
        <f aca="false">IF(AND(H62&gt;=0.85*Assumptions!$B$44,H62&lt;Assumptions!$B$44),Assumptions!$B$44,IF(AND(H62&gt;=0.85*Assumptions!$B$45,H62&lt;Assumptions!$B$45),Assumptions!$B$45,IF(AND(H62&gt;=0.85*Assumptions!$B$46,H62&lt;Assumptions!$B$46),Assumptions!$B$46,0)))</f>
        <v>0</v>
      </c>
      <c r="AK62" s="26" t="n">
        <f aca="false">IF(AJ62=0,0,AJ62-H62)</f>
        <v>0</v>
      </c>
      <c r="AL62" s="28" t="n">
        <f aca="false">IF(AJ62=Assumptions!$B$44,Assumptions!$C$44,IF(AJ62=Assumptions!$B$45,Assumptions!$C$45,IF(AJ62=Assumptions!$B$46,Assumptions!$C$46,0)))</f>
        <v>0</v>
      </c>
      <c r="AM62" s="17" t="n">
        <f aca="false">IF(AJ62=0,0,AB62*(AL62-P62))</f>
        <v>0</v>
      </c>
      <c r="AN62" s="17" t="n">
        <f aca="false">ROUND(AN54+AM62,2)</f>
        <v>138146.69</v>
      </c>
      <c r="AO62" s="17" t="n">
        <f aca="false">SUMIF(Lines!$B$6:$B$463,$B62,Lines!$M$6:$M$463)</f>
        <v>0</v>
      </c>
      <c r="AP62" s="17" t="n">
        <f aca="false">(AB62/H62)*(MAX(0,MIN(H62,Assumptions!$B$46)-Assumptions!$B$47)*Assumptions!$C$47+MAX(0,MIN(H62,Assumptions!$B$45)-Assumptions!$B$46)*Assumptions!$C$46+MAX(0,MIN(H62,Assumptions!$B$44)-Assumptions!$B$45)*Assumptions!$C$45+MAX(0,H62-Assumptions!$B$44)*Assumptions!$C$44)</f>
        <v>0</v>
      </c>
      <c r="AQ62" s="17" t="n">
        <f aca="false">ROUND(SUMIF(Lines!$B:$B,B62,Lines!$N:$N),2)</f>
        <v>0</v>
      </c>
    </row>
    <row r="63" customFormat="false" ht="15" hidden="false" customHeight="false" outlineLevel="0" collapsed="false">
      <c r="B63" s="14" t="s">
        <v>211</v>
      </c>
      <c r="C63" s="14" t="s">
        <v>194</v>
      </c>
      <c r="D63" s="14" t="s">
        <v>184</v>
      </c>
      <c r="E63" s="24" t="n">
        <v>765</v>
      </c>
      <c r="F63" s="24" t="n">
        <v>2312</v>
      </c>
      <c r="G63" s="24" t="n">
        <v>1368</v>
      </c>
      <c r="H63" s="26" t="n">
        <f aca="false">SUM(E63:G63)</f>
        <v>4445</v>
      </c>
      <c r="I63" s="24" t="n">
        <v>360</v>
      </c>
      <c r="J63" s="24" t="n">
        <v>12</v>
      </c>
      <c r="K63" s="27" t="n">
        <v>0.015</v>
      </c>
      <c r="L63" s="28" t="n">
        <f aca="false">MIN(Assumptions!$C$18,K63*Assumptions!$D$15)</f>
        <v>0.0093</v>
      </c>
      <c r="M63" s="28" t="n">
        <f aca="false">MIN(Assumptions!$C$18,K63*Assumptions!$D$16)</f>
        <v>0.0195</v>
      </c>
      <c r="N63" s="28" t="n">
        <f aca="false">MIN(Assumptions!$C$18,K63*Assumptions!$D$17)</f>
        <v>0.0144</v>
      </c>
      <c r="O63" s="28" t="n">
        <f aca="false">IF(I63&gt;=Assumptions!$B$36,Assumptions!$C$36,IF(I63&gt;=Assumptions!$B$37,Assumptions!$C$37,IF(I63&gt;=Assumptions!$B$38,Assumptions!$C$38,Assumptions!$C$39)))</f>
        <v>0.04</v>
      </c>
      <c r="P63" s="28" t="n">
        <f aca="false">IF(H63&gt;=Assumptions!$B$44,Assumptions!$C$44,IF(H63&gt;=Assumptions!$B$45,Assumptions!$C$45,IF(H63&gt;=Assumptions!$B$46,Assumptions!$C$46,Assumptions!$C$47)))</f>
        <v>0.02</v>
      </c>
      <c r="Q63" s="24" t="n">
        <v>0</v>
      </c>
      <c r="R63" s="28" t="n">
        <f aca="false">Q63*Assumptions!$C$51</f>
        <v>0</v>
      </c>
      <c r="S63" s="27" t="n">
        <v>0</v>
      </c>
      <c r="T63" s="27" t="n">
        <v>0</v>
      </c>
      <c r="U63" s="27" t="n">
        <v>0</v>
      </c>
      <c r="V63" s="27" t="n">
        <v>0.006</v>
      </c>
      <c r="W63" s="27" t="n">
        <v>0</v>
      </c>
      <c r="X63" s="28" t="n">
        <f aca="false">P63+R63+SUM(S63:W63)</f>
        <v>0.026</v>
      </c>
      <c r="Y63" s="24" t="n">
        <v>0</v>
      </c>
      <c r="Z63" s="29" t="n">
        <f aca="false">LN(H63)</f>
        <v>8.399535147948</v>
      </c>
      <c r="AA63" s="17" t="n">
        <f aca="false">ROUND(SUMIF(Lines!$B:$B,B63,Lines!$I:$I),2)</f>
        <v>387892</v>
      </c>
      <c r="AB63" s="17" t="n">
        <f aca="false">ROUND(SUMIF(Lines!$B:$B,B63,Lines!$L:$L),2)</f>
        <v>366637.04</v>
      </c>
      <c r="AC63" s="17" t="n">
        <f aca="false">ROUND(SUMIF(Lines!$B:$B,B63,Lines!$T:$T),2)</f>
        <v>357104.47</v>
      </c>
      <c r="AD63" s="17" t="n">
        <f aca="false">ROUND(SUMIF(Lines!$B:$B,B63,Lines!$U:$U),2)</f>
        <v>222246</v>
      </c>
      <c r="AE63" s="17" t="n">
        <f aca="false">ROUND(SUMIF(Lines!$B:$B,B63,Lines!$V:$V),2)</f>
        <v>7332.75</v>
      </c>
      <c r="AF63" s="17" t="n">
        <f aca="false">ROUND(AC63-AD63-AE63,2)</f>
        <v>127525.72</v>
      </c>
      <c r="AG63" s="26" t="n">
        <f aca="false">RANK(AC63,$AC$6:$AC$185)</f>
        <v>39</v>
      </c>
      <c r="AJ63" s="26" t="n">
        <f aca="false">IF(AND(H63&gt;=0.85*Assumptions!$B$44,H63&lt;Assumptions!$B$44),Assumptions!$B$44,IF(AND(H63&gt;=0.85*Assumptions!$B$45,H63&lt;Assumptions!$B$45),Assumptions!$B$45,IF(AND(H63&gt;=0.85*Assumptions!$B$46,H63&lt;Assumptions!$B$46),Assumptions!$B$46,0)))</f>
        <v>0</v>
      </c>
      <c r="AK63" s="26" t="n">
        <f aca="false">IF(AJ63=0,0,AJ63-H63)</f>
        <v>0</v>
      </c>
      <c r="AL63" s="28" t="n">
        <f aca="false">IF(AJ63=Assumptions!$B$44,Assumptions!$C$44,IF(AJ63=Assumptions!$B$45,Assumptions!$C$45,IF(AJ63=Assumptions!$B$46,Assumptions!$C$46,0)))</f>
        <v>0</v>
      </c>
      <c r="AM63" s="17" t="n">
        <f aca="false">IF(AJ63=0,0,AB63*(AL63-P63))</f>
        <v>0</v>
      </c>
      <c r="AN63" s="17" t="n">
        <f aca="false">ROUND(AN55+AM63,2)</f>
        <v>141995.03</v>
      </c>
      <c r="AO63" s="17" t="n">
        <f aca="false">SUMIF(Lines!$B$6:$B$463,$B63,Lines!$M$6:$M$463)</f>
        <v>7332.75</v>
      </c>
      <c r="AP63" s="17" t="n">
        <f aca="false">(AB63/H63)*(MAX(0,MIN(H63,Assumptions!$B$46)-Assumptions!$B$47)*Assumptions!$C$47+MAX(0,MIN(H63,Assumptions!$B$45)-Assumptions!$B$46)*Assumptions!$C$46+MAX(0,MIN(H63,Assumptions!$B$44)-Assumptions!$B$45)*Assumptions!$C$45+MAX(0,H63-Assumptions!$B$44)*Assumptions!$C$44)</f>
        <v>2383.75938267717</v>
      </c>
      <c r="AQ63" s="17" t="n">
        <f aca="false">ROUND(SUMIF(Lines!$B:$B,B63,Lines!$N:$N),2)</f>
        <v>0</v>
      </c>
    </row>
    <row r="64" customFormat="false" ht="15" hidden="false" customHeight="false" outlineLevel="0" collapsed="false">
      <c r="B64" s="14" t="s">
        <v>212</v>
      </c>
      <c r="C64" s="14" t="s">
        <v>194</v>
      </c>
      <c r="D64" s="14" t="s">
        <v>184</v>
      </c>
      <c r="E64" s="24" t="n">
        <v>397</v>
      </c>
      <c r="F64" s="24" t="n">
        <v>1506</v>
      </c>
      <c r="G64" s="24" t="n">
        <v>625</v>
      </c>
      <c r="H64" s="26" t="n">
        <f aca="false">SUM(E64:G64)</f>
        <v>2528</v>
      </c>
      <c r="I64" s="24" t="n">
        <v>277</v>
      </c>
      <c r="J64" s="24" t="n">
        <v>9</v>
      </c>
      <c r="K64" s="27" t="n">
        <v>0.05</v>
      </c>
      <c r="L64" s="28" t="n">
        <f aca="false">MIN(Assumptions!$C$18,K64*Assumptions!$D$15)</f>
        <v>0.031</v>
      </c>
      <c r="M64" s="28" t="n">
        <f aca="false">MIN(Assumptions!$C$18,K64*Assumptions!$D$16)</f>
        <v>0.065</v>
      </c>
      <c r="N64" s="28" t="n">
        <f aca="false">MIN(Assumptions!$C$18,K64*Assumptions!$D$17)</f>
        <v>0.048</v>
      </c>
      <c r="O64" s="28" t="n">
        <f aca="false">IF(I64&gt;=Assumptions!$B$36,Assumptions!$C$36,IF(I64&gt;=Assumptions!$B$37,Assumptions!$C$37,IF(I64&gt;=Assumptions!$B$38,Assumptions!$C$38,Assumptions!$C$39)))</f>
        <v>0.04</v>
      </c>
      <c r="P64" s="28" t="n">
        <f aca="false">IF(H64&gt;=Assumptions!$B$44,Assumptions!$C$44,IF(H64&gt;=Assumptions!$B$45,Assumptions!$C$45,IF(H64&gt;=Assumptions!$B$46,Assumptions!$C$46,Assumptions!$C$47)))</f>
        <v>0</v>
      </c>
      <c r="Q64" s="24" t="n">
        <v>0</v>
      </c>
      <c r="R64" s="28" t="n">
        <f aca="false">Q64*Assumptions!$C$51</f>
        <v>0</v>
      </c>
      <c r="S64" s="27" t="n">
        <v>0.015</v>
      </c>
      <c r="T64" s="27" t="n">
        <v>0</v>
      </c>
      <c r="U64" s="27" t="n">
        <v>0</v>
      </c>
      <c r="V64" s="27" t="n">
        <v>0.006</v>
      </c>
      <c r="W64" s="27" t="n">
        <v>0.005</v>
      </c>
      <c r="X64" s="28" t="n">
        <f aca="false">P64+R64+SUM(S64:W64)</f>
        <v>0.026</v>
      </c>
      <c r="Y64" s="24" t="n">
        <v>0</v>
      </c>
      <c r="Z64" s="29" t="n">
        <f aca="false">LN(H64)</f>
        <v>7.83518375526675</v>
      </c>
      <c r="AA64" s="17" t="n">
        <f aca="false">ROUND(SUMIF(Lines!$B:$B,B64,Lines!$I:$I),2)</f>
        <v>212128</v>
      </c>
      <c r="AB64" s="17" t="n">
        <f aca="false">ROUND(SUMIF(Lines!$B:$B,B64,Lines!$L:$L),2)</f>
        <v>192872.26</v>
      </c>
      <c r="AC64" s="17" t="n">
        <f aca="false">ROUND(SUMIF(Lines!$B:$B,B64,Lines!$T:$T),2)</f>
        <v>187857.58</v>
      </c>
      <c r="AD64" s="17" t="n">
        <f aca="false">ROUND(SUMIF(Lines!$B:$B,B64,Lines!$U:$U),2)</f>
        <v>121432</v>
      </c>
      <c r="AE64" s="17" t="n">
        <f aca="false">ROUND(SUMIF(Lines!$B:$B,B64,Lines!$V:$V),2)</f>
        <v>3857.45</v>
      </c>
      <c r="AF64" s="17" t="n">
        <f aca="false">ROUND(AC64-AD64-AE64,2)</f>
        <v>62568.13</v>
      </c>
      <c r="AG64" s="26" t="n">
        <f aca="false">RANK(AC64,$AC$6:$AC$185)</f>
        <v>76</v>
      </c>
      <c r="AJ64" s="26" t="n">
        <f aca="false">IF(AND(H64&gt;=0.85*Assumptions!$B$44,H64&lt;Assumptions!$B$44),Assumptions!$B$44,IF(AND(H64&gt;=0.85*Assumptions!$B$45,H64&lt;Assumptions!$B$45),Assumptions!$B$45,IF(AND(H64&gt;=0.85*Assumptions!$B$46,H64&lt;Assumptions!$B$46),Assumptions!$B$46,0)))</f>
        <v>0</v>
      </c>
      <c r="AK64" s="26" t="n">
        <f aca="false">IF(AJ64=0,0,AJ64-H64)</f>
        <v>0</v>
      </c>
      <c r="AL64" s="28" t="n">
        <f aca="false">IF(AJ64=Assumptions!$B$44,Assumptions!$C$44,IF(AJ64=Assumptions!$B$45,Assumptions!$C$45,IF(AJ64=Assumptions!$B$46,Assumptions!$C$46,0)))</f>
        <v>0</v>
      </c>
      <c r="AM64" s="17" t="n">
        <f aca="false">IF(AJ64=0,0,AB64*(AL64-P64))</f>
        <v>0</v>
      </c>
      <c r="AN64" s="17" t="n">
        <f aca="false">ROUND(AN56+AM64,2)</f>
        <v>146052.55</v>
      </c>
      <c r="AO64" s="17" t="n">
        <f aca="false">SUMIF(Lines!$B$6:$B$463,$B64,Lines!$M$6:$M$463)</f>
        <v>0</v>
      </c>
      <c r="AP64" s="17" t="n">
        <f aca="false">(AB64/H64)*(MAX(0,MIN(H64,Assumptions!$B$46)-Assumptions!$B$47)*Assumptions!$C$47+MAX(0,MIN(H64,Assumptions!$B$45)-Assumptions!$B$46)*Assumptions!$C$46+MAX(0,MIN(H64,Assumptions!$B$44)-Assumptions!$B$45)*Assumptions!$C$45+MAX(0,H64-Assumptions!$B$44)*Assumptions!$C$44)</f>
        <v>0</v>
      </c>
      <c r="AQ64" s="17" t="n">
        <f aca="false">ROUND(SUMIF(Lines!$B:$B,B64,Lines!$N:$N),2)</f>
        <v>0</v>
      </c>
    </row>
    <row r="65" customFormat="false" ht="15" hidden="false" customHeight="false" outlineLevel="0" collapsed="false">
      <c r="B65" s="14" t="s">
        <v>213</v>
      </c>
      <c r="C65" s="14" t="s">
        <v>194</v>
      </c>
      <c r="D65" s="14" t="s">
        <v>184</v>
      </c>
      <c r="E65" s="24" t="n">
        <v>643</v>
      </c>
      <c r="F65" s="24" t="n">
        <v>2035</v>
      </c>
      <c r="G65" s="24" t="n">
        <v>1054</v>
      </c>
      <c r="H65" s="26" t="n">
        <f aca="false">SUM(E65:G65)</f>
        <v>3732</v>
      </c>
      <c r="I65" s="24" t="n">
        <v>165</v>
      </c>
      <c r="J65" s="24" t="n">
        <v>23</v>
      </c>
      <c r="K65" s="27" t="n">
        <v>0</v>
      </c>
      <c r="L65" s="28" t="n">
        <f aca="false">MIN(Assumptions!$C$18,K65*Assumptions!$D$15)</f>
        <v>0</v>
      </c>
      <c r="M65" s="28" t="n">
        <f aca="false">MIN(Assumptions!$C$18,K65*Assumptions!$D$16)</f>
        <v>0</v>
      </c>
      <c r="N65" s="28" t="n">
        <f aca="false">MIN(Assumptions!$C$18,K65*Assumptions!$D$17)</f>
        <v>0</v>
      </c>
      <c r="O65" s="28" t="n">
        <f aca="false">IF(I65&gt;=Assumptions!$B$36,Assumptions!$C$36,IF(I65&gt;=Assumptions!$B$37,Assumptions!$C$37,IF(I65&gt;=Assumptions!$B$38,Assumptions!$C$38,Assumptions!$C$39)))</f>
        <v>0.02</v>
      </c>
      <c r="P65" s="28" t="n">
        <f aca="false">IF(H65&gt;=Assumptions!$B$44,Assumptions!$C$44,IF(H65&gt;=Assumptions!$B$45,Assumptions!$C$45,IF(H65&gt;=Assumptions!$B$46,Assumptions!$C$46,Assumptions!$C$47)))</f>
        <v>0.02</v>
      </c>
      <c r="Q65" s="24" t="n">
        <v>0</v>
      </c>
      <c r="R65" s="28" t="n">
        <f aca="false">Q65*Assumptions!$C$51</f>
        <v>0</v>
      </c>
      <c r="S65" s="27" t="n">
        <v>0</v>
      </c>
      <c r="T65" s="27" t="n">
        <v>0</v>
      </c>
      <c r="U65" s="27" t="n">
        <v>0</v>
      </c>
      <c r="V65" s="27" t="n">
        <v>0.006</v>
      </c>
      <c r="W65" s="27" t="n">
        <v>0</v>
      </c>
      <c r="X65" s="28" t="n">
        <f aca="false">P65+R65+SUM(S65:W65)</f>
        <v>0.026</v>
      </c>
      <c r="Y65" s="24" t="n">
        <v>0</v>
      </c>
      <c r="Z65" s="29" t="n">
        <f aca="false">LN(H65)</f>
        <v>8.22469956196724</v>
      </c>
      <c r="AA65" s="17" t="n">
        <f aca="false">ROUND(SUMIF(Lines!$B:$B,B65,Lines!$I:$I),2)</f>
        <v>322518</v>
      </c>
      <c r="AB65" s="17" t="n">
        <f aca="false">ROUND(SUMIF(Lines!$B:$B,B65,Lines!$L:$L),2)</f>
        <v>316067.64</v>
      </c>
      <c r="AC65" s="17" t="n">
        <f aca="false">ROUND(SUMIF(Lines!$B:$B,B65,Lines!$T:$T),2)</f>
        <v>307849.89</v>
      </c>
      <c r="AD65" s="17" t="n">
        <f aca="false">ROUND(SUMIF(Lines!$B:$B,B65,Lines!$U:$U),2)</f>
        <v>184546</v>
      </c>
      <c r="AE65" s="17" t="n">
        <f aca="false">ROUND(SUMIF(Lines!$B:$B,B65,Lines!$V:$V),2)</f>
        <v>6321.35</v>
      </c>
      <c r="AF65" s="17" t="n">
        <f aca="false">ROUND(AC65-AD65-AE65,2)</f>
        <v>116982.54</v>
      </c>
      <c r="AG65" s="26" t="n">
        <f aca="false">RANK(AC65,$AC$6:$AC$185)</f>
        <v>47</v>
      </c>
      <c r="AJ65" s="26" t="n">
        <f aca="false">IF(AND(H65&gt;=0.85*Assumptions!$B$44,H65&lt;Assumptions!$B$44),Assumptions!$B$44,IF(AND(H65&gt;=0.85*Assumptions!$B$45,H65&lt;Assumptions!$B$45),Assumptions!$B$45,IF(AND(H65&gt;=0.85*Assumptions!$B$46,H65&lt;Assumptions!$B$46),Assumptions!$B$46,0)))</f>
        <v>0</v>
      </c>
      <c r="AK65" s="26" t="n">
        <f aca="false">IF(AJ65=0,0,AJ65-H65)</f>
        <v>0</v>
      </c>
      <c r="AL65" s="28" t="n">
        <f aca="false">IF(AJ65=Assumptions!$B$44,Assumptions!$C$44,IF(AJ65=Assumptions!$B$45,Assumptions!$C$45,IF(AJ65=Assumptions!$B$46,Assumptions!$C$46,0)))</f>
        <v>0</v>
      </c>
      <c r="AM65" s="17" t="n">
        <f aca="false">IF(AJ65=0,0,AB65*(AL65-P65))</f>
        <v>0</v>
      </c>
      <c r="AN65" s="17" t="n">
        <f aca="false">ROUND(AN57+AM65,2)</f>
        <v>146052.55</v>
      </c>
      <c r="AO65" s="17" t="n">
        <f aca="false">SUMIF(Lines!$B$6:$B$463,$B65,Lines!$M$6:$M$463)</f>
        <v>6321.35</v>
      </c>
      <c r="AP65" s="17" t="n">
        <f aca="false">(AB65/H65)*(MAX(0,MIN(H65,Assumptions!$B$46)-Assumptions!$B$47)*Assumptions!$C$47+MAX(0,MIN(H65,Assumptions!$B$45)-Assumptions!$B$46)*Assumptions!$C$46+MAX(0,MIN(H65,Assumptions!$B$44)-Assumptions!$B$45)*Assumptions!$C$45+MAX(0,H65-Assumptions!$B$44)*Assumptions!$C$44)</f>
        <v>1239.87948810289</v>
      </c>
      <c r="AQ65" s="17" t="n">
        <f aca="false">ROUND(SUMIF(Lines!$B:$B,B65,Lines!$N:$N),2)</f>
        <v>0</v>
      </c>
    </row>
    <row r="66" customFormat="false" ht="15" hidden="false" customHeight="false" outlineLevel="0" collapsed="false">
      <c r="B66" s="14" t="s">
        <v>93</v>
      </c>
      <c r="C66" s="14" t="s">
        <v>194</v>
      </c>
      <c r="D66" s="14" t="s">
        <v>184</v>
      </c>
      <c r="E66" s="24" t="n">
        <v>1945</v>
      </c>
      <c r="F66" s="24" t="n">
        <v>4756</v>
      </c>
      <c r="G66" s="24" t="n">
        <v>2659</v>
      </c>
      <c r="H66" s="26" t="n">
        <f aca="false">SUM(E66:G66)</f>
        <v>9360</v>
      </c>
      <c r="I66" s="24" t="n">
        <v>260</v>
      </c>
      <c r="J66" s="24" t="n">
        <v>36</v>
      </c>
      <c r="K66" s="27" t="n">
        <v>0.03</v>
      </c>
      <c r="L66" s="28" t="n">
        <f aca="false">MIN(Assumptions!$C$18,K66*Assumptions!$D$15)</f>
        <v>0.0186</v>
      </c>
      <c r="M66" s="28" t="n">
        <f aca="false">MIN(Assumptions!$C$18,K66*Assumptions!$D$16)</f>
        <v>0.039</v>
      </c>
      <c r="N66" s="28" t="n">
        <f aca="false">MIN(Assumptions!$C$18,K66*Assumptions!$D$17)</f>
        <v>0.0288</v>
      </c>
      <c r="O66" s="28" t="n">
        <f aca="false">IF(I66&gt;=Assumptions!$B$36,Assumptions!$C$36,IF(I66&gt;=Assumptions!$B$37,Assumptions!$C$37,IF(I66&gt;=Assumptions!$B$38,Assumptions!$C$38,Assumptions!$C$39)))</f>
        <v>0.04</v>
      </c>
      <c r="P66" s="28" t="n">
        <f aca="false">IF(H66&gt;=Assumptions!$B$44,Assumptions!$C$44,IF(H66&gt;=Assumptions!$B$45,Assumptions!$C$45,IF(H66&gt;=Assumptions!$B$46,Assumptions!$C$46,Assumptions!$C$47)))</f>
        <v>0.02</v>
      </c>
      <c r="Q66" s="24" t="n">
        <v>0</v>
      </c>
      <c r="R66" s="28" t="n">
        <f aca="false">Q66*Assumptions!$C$51</f>
        <v>0</v>
      </c>
      <c r="S66" s="27" t="n">
        <v>0.015</v>
      </c>
      <c r="T66" s="27" t="n">
        <v>0</v>
      </c>
      <c r="U66" s="27" t="n">
        <v>0</v>
      </c>
      <c r="V66" s="27" t="n">
        <v>0.006</v>
      </c>
      <c r="W66" s="27" t="n">
        <v>0</v>
      </c>
      <c r="X66" s="28" t="n">
        <f aca="false">P66+R66+SUM(S66:W66)</f>
        <v>0.041</v>
      </c>
      <c r="Y66" s="24" t="n">
        <v>0</v>
      </c>
      <c r="Z66" s="29" t="n">
        <f aca="false">LN(H66)</f>
        <v>9.14420056947164</v>
      </c>
      <c r="AA66" s="17" t="n">
        <f aca="false">ROUND(SUMIF(Lines!$B:$B,B66,Lines!$I:$I),2)</f>
        <v>837996</v>
      </c>
      <c r="AB66" s="17" t="n">
        <f aca="false">ROUND(SUMIF(Lines!$B:$B,B66,Lines!$L:$L),2)</f>
        <v>780270.35</v>
      </c>
      <c r="AC66" s="17" t="n">
        <f aca="false">ROUND(SUMIF(Lines!$B:$B,B66,Lines!$T:$T),2)</f>
        <v>748279.26</v>
      </c>
      <c r="AD66" s="17" t="n">
        <f aca="false">ROUND(SUMIF(Lines!$B:$B,B66,Lines!$U:$U),2)</f>
        <v>477148</v>
      </c>
      <c r="AE66" s="17" t="n">
        <f aca="false">ROUND(SUMIF(Lines!$B:$B,B66,Lines!$V:$V),2)</f>
        <v>15605.41</v>
      </c>
      <c r="AF66" s="17" t="n">
        <f aca="false">ROUND(AC66-AD66-AE66,2)</f>
        <v>255525.85</v>
      </c>
      <c r="AG66" s="26" t="n">
        <f aca="false">RANK(AC66,$AC$6:$AC$185)</f>
        <v>20</v>
      </c>
      <c r="AJ66" s="26" t="n">
        <f aca="false">IF(AND(H66&gt;=0.85*Assumptions!$B$44,H66&lt;Assumptions!$B$44),Assumptions!$B$44,IF(AND(H66&gt;=0.85*Assumptions!$B$45,H66&lt;Assumptions!$B$45),Assumptions!$B$45,IF(AND(H66&gt;=0.85*Assumptions!$B$46,H66&lt;Assumptions!$B$46),Assumptions!$B$46,0)))</f>
        <v>10000</v>
      </c>
      <c r="AK66" s="26" t="n">
        <f aca="false">IF(AJ66=0,0,AJ66-H66)</f>
        <v>640</v>
      </c>
      <c r="AL66" s="28" t="n">
        <f aca="false">IF(AJ66=Assumptions!$B$44,Assumptions!$C$44,IF(AJ66=Assumptions!$B$45,Assumptions!$C$45,IF(AJ66=Assumptions!$B$46,Assumptions!$C$46,0)))</f>
        <v>0.035</v>
      </c>
      <c r="AM66" s="17" t="n">
        <f aca="false">IF(AJ66=0,0,AB66*(AL66-P66))</f>
        <v>11704.05525</v>
      </c>
      <c r="AN66" s="17" t="n">
        <f aca="false">ROUND(AN58+AM66,2)</f>
        <v>166704.9</v>
      </c>
      <c r="AO66" s="17" t="n">
        <f aca="false">SUMIF(Lines!$B$6:$B$463,$B66,Lines!$M$6:$M$463)</f>
        <v>15605.41</v>
      </c>
      <c r="AP66" s="17" t="n">
        <f aca="false">(AB66/H66)*(MAX(0,MIN(H66,Assumptions!$B$46)-Assumptions!$B$47)*Assumptions!$C$47+MAX(0,MIN(H66,Assumptions!$B$45)-Assumptions!$B$46)*Assumptions!$C$46+MAX(0,MIN(H66,Assumptions!$B$44)-Assumptions!$B$45)*Assumptions!$C$45+MAX(0,H66-Assumptions!$B$44)*Assumptions!$C$44)</f>
        <v>10603.6739871795</v>
      </c>
      <c r="AQ66" s="17" t="n">
        <f aca="false">ROUND(SUMIF(Lines!$B:$B,B66,Lines!$N:$N),2)</f>
        <v>0</v>
      </c>
    </row>
    <row r="67" customFormat="false" ht="15" hidden="false" customHeight="false" outlineLevel="0" collapsed="false">
      <c r="B67" s="14" t="s">
        <v>214</v>
      </c>
      <c r="C67" s="14" t="s">
        <v>194</v>
      </c>
      <c r="D67" s="14" t="s">
        <v>184</v>
      </c>
      <c r="E67" s="24" t="n">
        <v>921</v>
      </c>
      <c r="F67" s="24" t="n">
        <v>0</v>
      </c>
      <c r="G67" s="24" t="n">
        <v>1517</v>
      </c>
      <c r="H67" s="26" t="n">
        <f aca="false">SUM(E67:G67)</f>
        <v>2438</v>
      </c>
      <c r="I67" s="24" t="n">
        <v>251</v>
      </c>
      <c r="J67" s="24" t="n">
        <v>10</v>
      </c>
      <c r="K67" s="27" t="n">
        <v>0.07</v>
      </c>
      <c r="L67" s="28" t="n">
        <f aca="false">MIN(Assumptions!$C$18,K67*Assumptions!$D$15)</f>
        <v>0.0434</v>
      </c>
      <c r="M67" s="28" t="n">
        <f aca="false">MIN(Assumptions!$C$18,K67*Assumptions!$D$16)</f>
        <v>0.091</v>
      </c>
      <c r="N67" s="28" t="n">
        <f aca="false">MIN(Assumptions!$C$18,K67*Assumptions!$D$17)</f>
        <v>0.0672</v>
      </c>
      <c r="O67" s="28" t="n">
        <f aca="false">IF(I67&gt;=Assumptions!$B$36,Assumptions!$C$36,IF(I67&gt;=Assumptions!$B$37,Assumptions!$C$37,IF(I67&gt;=Assumptions!$B$38,Assumptions!$C$38,Assumptions!$C$39)))</f>
        <v>0.04</v>
      </c>
      <c r="P67" s="28" t="n">
        <f aca="false">IF(H67&gt;=Assumptions!$B$44,Assumptions!$C$44,IF(H67&gt;=Assumptions!$B$45,Assumptions!$C$45,IF(H67&gt;=Assumptions!$B$46,Assumptions!$C$46,Assumptions!$C$47)))</f>
        <v>0</v>
      </c>
      <c r="Q67" s="24" t="n">
        <v>1</v>
      </c>
      <c r="R67" s="28" t="n">
        <f aca="false">Q67*Assumptions!$C$51</f>
        <v>0.02</v>
      </c>
      <c r="S67" s="27" t="n">
        <v>0</v>
      </c>
      <c r="T67" s="27" t="n">
        <v>0</v>
      </c>
      <c r="U67" s="27" t="n">
        <v>0</v>
      </c>
      <c r="V67" s="27" t="n">
        <v>0.006</v>
      </c>
      <c r="W67" s="27" t="n">
        <v>0</v>
      </c>
      <c r="X67" s="28" t="n">
        <f aca="false">P67+R67+SUM(S67:W67)</f>
        <v>0.026</v>
      </c>
      <c r="Y67" s="24" t="n">
        <v>1</v>
      </c>
      <c r="Z67" s="29" t="n">
        <f aca="false">LN(H67)</f>
        <v>7.79893331004122</v>
      </c>
      <c r="AA67" s="17" t="n">
        <f aca="false">ROUND(SUMIF(Lines!$B:$B,B67,Lines!$I:$I),2)</f>
        <v>281940</v>
      </c>
      <c r="AB67" s="17" t="n">
        <f aca="false">ROUND(SUMIF(Lines!$B:$B,B67,Lines!$L:$L),2)</f>
        <v>254960.16</v>
      </c>
      <c r="AC67" s="17" t="n">
        <f aca="false">ROUND(SUMIF(Lines!$B:$B,B67,Lines!$T:$T),2)</f>
        <v>248331.19</v>
      </c>
      <c r="AD67" s="17" t="n">
        <f aca="false">ROUND(SUMIF(Lines!$B:$B,B67,Lines!$U:$U),2)</f>
        <v>159824</v>
      </c>
      <c r="AE67" s="17" t="n">
        <f aca="false">ROUND(SUMIF(Lines!$B:$B,B67,Lines!$V:$V),2)</f>
        <v>5099.21</v>
      </c>
      <c r="AF67" s="17" t="n">
        <f aca="false">ROUND(AC67-AD67-AE67,2)</f>
        <v>83407.98</v>
      </c>
      <c r="AG67" s="26" t="n">
        <f aca="false">RANK(AC67,$AC$6:$AC$185)</f>
        <v>56</v>
      </c>
      <c r="AJ67" s="26" t="n">
        <f aca="false">IF(AND(H67&gt;=0.85*Assumptions!$B$44,H67&lt;Assumptions!$B$44),Assumptions!$B$44,IF(AND(H67&gt;=0.85*Assumptions!$B$45,H67&lt;Assumptions!$B$45),Assumptions!$B$45,IF(AND(H67&gt;=0.85*Assumptions!$B$46,H67&lt;Assumptions!$B$46),Assumptions!$B$46,0)))</f>
        <v>0</v>
      </c>
      <c r="AK67" s="26" t="n">
        <f aca="false">IF(AJ67=0,0,AJ67-H67)</f>
        <v>0</v>
      </c>
      <c r="AL67" s="28" t="n">
        <f aca="false">IF(AJ67=Assumptions!$B$44,Assumptions!$C$44,IF(AJ67=Assumptions!$B$45,Assumptions!$C$45,IF(AJ67=Assumptions!$B$46,Assumptions!$C$46,0)))</f>
        <v>0</v>
      </c>
      <c r="AM67" s="17" t="n">
        <f aca="false">IF(AJ67=0,0,AB67*(AL67-P67))</f>
        <v>0</v>
      </c>
      <c r="AN67" s="17" t="n">
        <f aca="false">ROUND(AN59+AM67,2)</f>
        <v>171110.19</v>
      </c>
      <c r="AO67" s="17" t="n">
        <f aca="false">SUMIF(Lines!$B$6:$B$463,$B67,Lines!$M$6:$M$463)</f>
        <v>0</v>
      </c>
      <c r="AP67" s="17" t="n">
        <f aca="false">(AB67/H67)*(MAX(0,MIN(H67,Assumptions!$B$46)-Assumptions!$B$47)*Assumptions!$C$47+MAX(0,MIN(H67,Assumptions!$B$45)-Assumptions!$B$46)*Assumptions!$C$46+MAX(0,MIN(H67,Assumptions!$B$44)-Assumptions!$B$45)*Assumptions!$C$45+MAX(0,H67-Assumptions!$B$44)*Assumptions!$C$44)</f>
        <v>0</v>
      </c>
      <c r="AQ67" s="17" t="n">
        <f aca="false">ROUND(SUMIF(Lines!$B:$B,B67,Lines!$N:$N),2)</f>
        <v>5099.21</v>
      </c>
    </row>
    <row r="68" customFormat="false" ht="15" hidden="false" customHeight="false" outlineLevel="0" collapsed="false">
      <c r="B68" s="14" t="s">
        <v>215</v>
      </c>
      <c r="C68" s="14" t="s">
        <v>194</v>
      </c>
      <c r="D68" s="14" t="s">
        <v>184</v>
      </c>
      <c r="E68" s="24" t="n">
        <v>961</v>
      </c>
      <c r="F68" s="24" t="n">
        <v>2255</v>
      </c>
      <c r="G68" s="24" t="n">
        <v>1010</v>
      </c>
      <c r="H68" s="26" t="n">
        <f aca="false">SUM(E68:G68)</f>
        <v>4226</v>
      </c>
      <c r="I68" s="24" t="n">
        <v>224</v>
      </c>
      <c r="J68" s="24" t="n">
        <v>19</v>
      </c>
      <c r="K68" s="27" t="n">
        <v>0.005</v>
      </c>
      <c r="L68" s="28" t="n">
        <f aca="false">MIN(Assumptions!$C$18,K68*Assumptions!$D$15)</f>
        <v>0.0031</v>
      </c>
      <c r="M68" s="28" t="n">
        <f aca="false">MIN(Assumptions!$C$18,K68*Assumptions!$D$16)</f>
        <v>0.0065</v>
      </c>
      <c r="N68" s="28" t="n">
        <f aca="false">MIN(Assumptions!$C$18,K68*Assumptions!$D$17)</f>
        <v>0.0048</v>
      </c>
      <c r="O68" s="28" t="n">
        <f aca="false">IF(I68&gt;=Assumptions!$B$36,Assumptions!$C$36,IF(I68&gt;=Assumptions!$B$37,Assumptions!$C$37,IF(I68&gt;=Assumptions!$B$38,Assumptions!$C$38,Assumptions!$C$39)))</f>
        <v>0.04</v>
      </c>
      <c r="P68" s="28" t="n">
        <f aca="false">IF(H68&gt;=Assumptions!$B$44,Assumptions!$C$44,IF(H68&gt;=Assumptions!$B$45,Assumptions!$C$45,IF(H68&gt;=Assumptions!$B$46,Assumptions!$C$46,Assumptions!$C$47)))</f>
        <v>0.02</v>
      </c>
      <c r="Q68" s="24" t="n">
        <v>0</v>
      </c>
      <c r="R68" s="28" t="n">
        <f aca="false">Q68*Assumptions!$C$51</f>
        <v>0</v>
      </c>
      <c r="S68" s="27" t="n">
        <v>0</v>
      </c>
      <c r="T68" s="27" t="n">
        <v>0</v>
      </c>
      <c r="U68" s="27" t="n">
        <v>0</v>
      </c>
      <c r="V68" s="27" t="n">
        <v>0.006</v>
      </c>
      <c r="W68" s="27" t="n">
        <v>0.005</v>
      </c>
      <c r="X68" s="28" t="n">
        <f aca="false">P68+R68+SUM(S68:W68)</f>
        <v>0.031</v>
      </c>
      <c r="Y68" s="24" t="n">
        <v>0</v>
      </c>
      <c r="Z68" s="29" t="n">
        <f aca="false">LN(H68)</f>
        <v>8.349011198176</v>
      </c>
      <c r="AA68" s="17" t="n">
        <f aca="false">ROUND(SUMIF(Lines!$B:$B,B68,Lines!$I:$I),2)</f>
        <v>378998</v>
      </c>
      <c r="AB68" s="17" t="n">
        <f aca="false">ROUND(SUMIF(Lines!$B:$B,B68,Lines!$L:$L),2)</f>
        <v>362022.99</v>
      </c>
      <c r="AC68" s="17" t="n">
        <f aca="false">ROUND(SUMIF(Lines!$B:$B,B68,Lines!$T:$T),2)</f>
        <v>350800.28</v>
      </c>
      <c r="AD68" s="17" t="n">
        <f aca="false">ROUND(SUMIF(Lines!$B:$B,B68,Lines!$U:$U),2)</f>
        <v>214718</v>
      </c>
      <c r="AE68" s="17" t="n">
        <f aca="false">ROUND(SUMIF(Lines!$B:$B,B68,Lines!$V:$V),2)</f>
        <v>7240.46</v>
      </c>
      <c r="AF68" s="17" t="n">
        <f aca="false">ROUND(AC68-AD68-AE68,2)</f>
        <v>128841.82</v>
      </c>
      <c r="AG68" s="26" t="n">
        <f aca="false">RANK(AC68,$AC$6:$AC$185)</f>
        <v>41</v>
      </c>
      <c r="AJ68" s="26" t="n">
        <f aca="false">IF(AND(H68&gt;=0.85*Assumptions!$B$44,H68&lt;Assumptions!$B$44),Assumptions!$B$44,IF(AND(H68&gt;=0.85*Assumptions!$B$45,H68&lt;Assumptions!$B$45),Assumptions!$B$45,IF(AND(H68&gt;=0.85*Assumptions!$B$46,H68&lt;Assumptions!$B$46),Assumptions!$B$46,0)))</f>
        <v>0</v>
      </c>
      <c r="AK68" s="26" t="n">
        <f aca="false">IF(AJ68=0,0,AJ68-H68)</f>
        <v>0</v>
      </c>
      <c r="AL68" s="28" t="n">
        <f aca="false">IF(AJ68=Assumptions!$B$44,Assumptions!$C$44,IF(AJ68=Assumptions!$B$45,Assumptions!$C$45,IF(AJ68=Assumptions!$B$46,Assumptions!$C$46,0)))</f>
        <v>0</v>
      </c>
      <c r="AM68" s="17" t="n">
        <f aca="false">IF(AJ68=0,0,AB68*(AL68-P68))</f>
        <v>0</v>
      </c>
      <c r="AN68" s="17" t="n">
        <f aca="false">ROUND(AN60+AM68,2)</f>
        <v>175350.28</v>
      </c>
      <c r="AO68" s="17" t="n">
        <f aca="false">SUMIF(Lines!$B$6:$B$463,$B68,Lines!$M$6:$M$463)</f>
        <v>7240.46</v>
      </c>
      <c r="AP68" s="17" t="n">
        <f aca="false">(AB68/H68)*(MAX(0,MIN(H68,Assumptions!$B$46)-Assumptions!$B$47)*Assumptions!$C$47+MAX(0,MIN(H68,Assumptions!$B$45)-Assumptions!$B$46)*Assumptions!$C$46+MAX(0,MIN(H68,Assumptions!$B$44)-Assumptions!$B$45)*Assumptions!$C$45+MAX(0,H68-Assumptions!$B$44)*Assumptions!$C$44)</f>
        <v>2100.5214658779</v>
      </c>
      <c r="AQ68" s="17" t="n">
        <f aca="false">ROUND(SUMIF(Lines!$B:$B,B68,Lines!$N:$N),2)</f>
        <v>0</v>
      </c>
    </row>
    <row r="69" customFormat="false" ht="15" hidden="false" customHeight="false" outlineLevel="0" collapsed="false">
      <c r="B69" s="14" t="s">
        <v>216</v>
      </c>
      <c r="C69" s="14" t="s">
        <v>194</v>
      </c>
      <c r="D69" s="14" t="s">
        <v>184</v>
      </c>
      <c r="E69" s="24" t="n">
        <v>776</v>
      </c>
      <c r="F69" s="24" t="n">
        <v>0</v>
      </c>
      <c r="G69" s="24" t="n">
        <v>1324</v>
      </c>
      <c r="H69" s="26" t="n">
        <f aca="false">SUM(E69:G69)</f>
        <v>2100</v>
      </c>
      <c r="I69" s="24" t="n">
        <v>291</v>
      </c>
      <c r="J69" s="24" t="n">
        <v>7</v>
      </c>
      <c r="K69" s="27" t="n">
        <v>0.105</v>
      </c>
      <c r="L69" s="28" t="n">
        <f aca="false">MIN(Assumptions!$C$18,K69*Assumptions!$D$15)</f>
        <v>0.0651</v>
      </c>
      <c r="M69" s="28" t="n">
        <f aca="false">MIN(Assumptions!$C$18,K69*Assumptions!$D$16)</f>
        <v>0.1365</v>
      </c>
      <c r="N69" s="28" t="n">
        <f aca="false">MIN(Assumptions!$C$18,K69*Assumptions!$D$17)</f>
        <v>0.1008</v>
      </c>
      <c r="O69" s="28" t="n">
        <f aca="false">IF(I69&gt;=Assumptions!$B$36,Assumptions!$C$36,IF(I69&gt;=Assumptions!$B$37,Assumptions!$C$37,IF(I69&gt;=Assumptions!$B$38,Assumptions!$C$38,Assumptions!$C$39)))</f>
        <v>0.04</v>
      </c>
      <c r="P69" s="28" t="n">
        <f aca="false">IF(H69&gt;=Assumptions!$B$44,Assumptions!$C$44,IF(H69&gt;=Assumptions!$B$45,Assumptions!$C$45,IF(H69&gt;=Assumptions!$B$46,Assumptions!$C$46,Assumptions!$C$47)))</f>
        <v>0</v>
      </c>
      <c r="Q69" s="24" t="n">
        <v>1</v>
      </c>
      <c r="R69" s="28" t="n">
        <f aca="false">Q69*Assumptions!$C$51</f>
        <v>0.02</v>
      </c>
      <c r="S69" s="27" t="n">
        <v>0</v>
      </c>
      <c r="T69" s="27" t="n">
        <v>0</v>
      </c>
      <c r="U69" s="27" t="n">
        <v>0</v>
      </c>
      <c r="V69" s="27" t="n">
        <v>0.006</v>
      </c>
      <c r="W69" s="27" t="n">
        <v>0.005</v>
      </c>
      <c r="X69" s="28" t="n">
        <f aca="false">P69+R69+SUM(S69:W69)</f>
        <v>0.031</v>
      </c>
      <c r="Y69" s="24" t="n">
        <v>1</v>
      </c>
      <c r="Z69" s="29" t="n">
        <f aca="false">LN(H69)</f>
        <v>7.64969262371151</v>
      </c>
      <c r="AA69" s="17" t="n">
        <f aca="false">ROUND(SUMIF(Lines!$B:$B,B69,Lines!$I:$I),2)</f>
        <v>241952</v>
      </c>
      <c r="AB69" s="17" t="n">
        <f aca="false">ROUND(SUMIF(Lines!$B:$B,B69,Lines!$L:$L),2)</f>
        <v>211985.24</v>
      </c>
      <c r="AC69" s="17" t="n">
        <f aca="false">ROUND(SUMIF(Lines!$B:$B,B69,Lines!$T:$T),2)</f>
        <v>205413.69</v>
      </c>
      <c r="AD69" s="17" t="n">
        <f aca="false">ROUND(SUMIF(Lines!$B:$B,B69,Lines!$U:$U),2)</f>
        <v>137320</v>
      </c>
      <c r="AE69" s="17" t="n">
        <f aca="false">ROUND(SUMIF(Lines!$B:$B,B69,Lines!$V:$V),2)</f>
        <v>4239.71</v>
      </c>
      <c r="AF69" s="17" t="n">
        <f aca="false">ROUND(AC69-AD69-AE69,2)</f>
        <v>63853.98</v>
      </c>
      <c r="AG69" s="26" t="n">
        <f aca="false">RANK(AC69,$AC$6:$AC$185)</f>
        <v>67</v>
      </c>
      <c r="AJ69" s="26" t="n">
        <f aca="false">IF(AND(H69&gt;=0.85*Assumptions!$B$44,H69&lt;Assumptions!$B$44),Assumptions!$B$44,IF(AND(H69&gt;=0.85*Assumptions!$B$45,H69&lt;Assumptions!$B$45),Assumptions!$B$45,IF(AND(H69&gt;=0.85*Assumptions!$B$46,H69&lt;Assumptions!$B$46),Assumptions!$B$46,0)))</f>
        <v>0</v>
      </c>
      <c r="AK69" s="26" t="n">
        <f aca="false">IF(AJ69=0,0,AJ69-H69)</f>
        <v>0</v>
      </c>
      <c r="AL69" s="28" t="n">
        <f aca="false">IF(AJ69=Assumptions!$B$44,Assumptions!$C$44,IF(AJ69=Assumptions!$B$45,Assumptions!$C$45,IF(AJ69=Assumptions!$B$46,Assumptions!$C$46,0)))</f>
        <v>0</v>
      </c>
      <c r="AM69" s="17" t="n">
        <f aca="false">IF(AJ69=0,0,AB69*(AL69-P69))</f>
        <v>0</v>
      </c>
      <c r="AN69" s="17" t="n">
        <f aca="false">ROUND(AN61+AM69,2)</f>
        <v>175350.28</v>
      </c>
      <c r="AO69" s="17" t="n">
        <f aca="false">SUMIF(Lines!$B$6:$B$463,$B69,Lines!$M$6:$M$463)</f>
        <v>0</v>
      </c>
      <c r="AP69" s="17" t="n">
        <f aca="false">(AB69/H69)*(MAX(0,MIN(H69,Assumptions!$B$46)-Assumptions!$B$47)*Assumptions!$C$47+MAX(0,MIN(H69,Assumptions!$B$45)-Assumptions!$B$46)*Assumptions!$C$46+MAX(0,MIN(H69,Assumptions!$B$44)-Assumptions!$B$45)*Assumptions!$C$45+MAX(0,H69-Assumptions!$B$44)*Assumptions!$C$44)</f>
        <v>0</v>
      </c>
      <c r="AQ69" s="17" t="n">
        <f aca="false">ROUND(SUMIF(Lines!$B:$B,B69,Lines!$N:$N),2)</f>
        <v>4239.71</v>
      </c>
    </row>
    <row r="70" customFormat="false" ht="15" hidden="false" customHeight="false" outlineLevel="0" collapsed="false">
      <c r="B70" s="14" t="s">
        <v>217</v>
      </c>
      <c r="C70" s="14" t="s">
        <v>194</v>
      </c>
      <c r="D70" s="14" t="s">
        <v>218</v>
      </c>
      <c r="E70" s="24" t="n">
        <v>975</v>
      </c>
      <c r="F70" s="24" t="n">
        <v>3085</v>
      </c>
      <c r="G70" s="24" t="n">
        <v>1568</v>
      </c>
      <c r="H70" s="26" t="n">
        <f aca="false">SUM(E70:G70)</f>
        <v>5628</v>
      </c>
      <c r="I70" s="24" t="n">
        <v>193</v>
      </c>
      <c r="J70" s="24" t="n">
        <v>29</v>
      </c>
      <c r="K70" s="27" t="n">
        <v>0.055</v>
      </c>
      <c r="L70" s="28" t="n">
        <f aca="false">MIN(Assumptions!$C$18,K70*Assumptions!$D$15)</f>
        <v>0.0341</v>
      </c>
      <c r="M70" s="28" t="n">
        <f aca="false">MIN(Assumptions!$C$18,K70*Assumptions!$D$16)</f>
        <v>0.0715</v>
      </c>
      <c r="N70" s="28" t="n">
        <f aca="false">MIN(Assumptions!$C$18,K70*Assumptions!$D$17)</f>
        <v>0.0528</v>
      </c>
      <c r="O70" s="28" t="n">
        <f aca="false">IF(I70&gt;=Assumptions!$B$36,Assumptions!$C$36,IF(I70&gt;=Assumptions!$B$37,Assumptions!$C$37,IF(I70&gt;=Assumptions!$B$38,Assumptions!$C$38,Assumptions!$C$39)))</f>
        <v>0.02</v>
      </c>
      <c r="P70" s="28" t="n">
        <f aca="false">IF(H70&gt;=Assumptions!$B$44,Assumptions!$C$44,IF(H70&gt;=Assumptions!$B$45,Assumptions!$C$45,IF(H70&gt;=Assumptions!$B$46,Assumptions!$C$46,Assumptions!$C$47)))</f>
        <v>0.02</v>
      </c>
      <c r="Q70" s="24" t="n">
        <v>0</v>
      </c>
      <c r="R70" s="28" t="n">
        <f aca="false">Q70*Assumptions!$C$51</f>
        <v>0</v>
      </c>
      <c r="S70" s="27" t="n">
        <v>0.015</v>
      </c>
      <c r="T70" s="27" t="n">
        <v>0</v>
      </c>
      <c r="U70" s="27" t="n">
        <v>0</v>
      </c>
      <c r="V70" s="27" t="n">
        <v>0.006</v>
      </c>
      <c r="W70" s="27" t="n">
        <v>0.005</v>
      </c>
      <c r="X70" s="28" t="n">
        <f aca="false">P70+R70+SUM(S70:W70)</f>
        <v>0.046</v>
      </c>
      <c r="Y70" s="24" t="n">
        <v>0</v>
      </c>
      <c r="Z70" s="29" t="n">
        <f aca="false">LN(H70)</f>
        <v>8.63550941823428</v>
      </c>
      <c r="AA70" s="17" t="n">
        <f aca="false">ROUND(SUMIF(Lines!$B:$B,B70,Lines!$I:$I),2)</f>
        <v>486098</v>
      </c>
      <c r="AB70" s="17" t="n">
        <f aca="false">ROUND(SUMIF(Lines!$B:$B,B70,Lines!$L:$L),2)</f>
        <v>449831.72</v>
      </c>
      <c r="AC70" s="17" t="n">
        <f aca="false">ROUND(SUMIF(Lines!$B:$B,B70,Lines!$T:$T),2)</f>
        <v>429139.46</v>
      </c>
      <c r="AD70" s="17" t="n">
        <f aca="false">ROUND(SUMIF(Lines!$B:$B,B70,Lines!$U:$U),2)</f>
        <v>278054</v>
      </c>
      <c r="AE70" s="17" t="n">
        <f aca="false">ROUND(SUMIF(Lines!$B:$B,B70,Lines!$V:$V),2)</f>
        <v>8996.64</v>
      </c>
      <c r="AF70" s="17" t="n">
        <f aca="false">ROUND(AC70-AD70-AE70,2)</f>
        <v>142088.82</v>
      </c>
      <c r="AG70" s="26" t="n">
        <f aca="false">RANK(AC70,$AC$6:$AC$185)</f>
        <v>36</v>
      </c>
      <c r="AJ70" s="26" t="n">
        <f aca="false">IF(AND(H70&gt;=0.85*Assumptions!$B$44,H70&lt;Assumptions!$B$44),Assumptions!$B$44,IF(AND(H70&gt;=0.85*Assumptions!$B$45,H70&lt;Assumptions!$B$45),Assumptions!$B$45,IF(AND(H70&gt;=0.85*Assumptions!$B$46,H70&lt;Assumptions!$B$46),Assumptions!$B$46,0)))</f>
        <v>0</v>
      </c>
      <c r="AK70" s="26" t="n">
        <f aca="false">IF(AJ70=0,0,AJ70-H70)</f>
        <v>0</v>
      </c>
      <c r="AL70" s="28" t="n">
        <f aca="false">IF(AJ70=Assumptions!$B$44,Assumptions!$C$44,IF(AJ70=Assumptions!$B$45,Assumptions!$C$45,IF(AJ70=Assumptions!$B$46,Assumptions!$C$46,0)))</f>
        <v>0</v>
      </c>
      <c r="AM70" s="17" t="n">
        <f aca="false">IF(AJ70=0,0,AB70*(AL70-P70))</f>
        <v>0</v>
      </c>
      <c r="AN70" s="17" t="n">
        <f aca="false">ROUND(AN62+AM70,2)</f>
        <v>138146.69</v>
      </c>
      <c r="AO70" s="17" t="n">
        <f aca="false">SUMIF(Lines!$B$6:$B$463,$B70,Lines!$M$6:$M$463)</f>
        <v>8996.64</v>
      </c>
      <c r="AP70" s="17" t="n">
        <f aca="false">(AB70/H70)*(MAX(0,MIN(H70,Assumptions!$B$46)-Assumptions!$B$47)*Assumptions!$C$47+MAX(0,MIN(H70,Assumptions!$B$45)-Assumptions!$B$46)*Assumptions!$C$46+MAX(0,MIN(H70,Assumptions!$B$44)-Assumptions!$B$45)*Assumptions!$C$45+MAX(0,H70-Assumptions!$B$44)*Assumptions!$C$44)</f>
        <v>4200.9870652452</v>
      </c>
      <c r="AQ70" s="17" t="n">
        <f aca="false">ROUND(SUMIF(Lines!$B:$B,B70,Lines!$N:$N),2)</f>
        <v>0</v>
      </c>
    </row>
    <row r="71" customFormat="false" ht="15" hidden="false" customHeight="false" outlineLevel="0" collapsed="false">
      <c r="B71" s="14" t="s">
        <v>219</v>
      </c>
      <c r="C71" s="14" t="s">
        <v>194</v>
      </c>
      <c r="D71" s="14" t="s">
        <v>218</v>
      </c>
      <c r="E71" s="24" t="n">
        <v>0</v>
      </c>
      <c r="F71" s="24" t="n">
        <v>2002</v>
      </c>
      <c r="G71" s="24" t="n">
        <v>1118</v>
      </c>
      <c r="H71" s="26" t="n">
        <f aca="false">SUM(E71:G71)</f>
        <v>3120</v>
      </c>
      <c r="I71" s="24" t="n">
        <v>168</v>
      </c>
      <c r="J71" s="24" t="n">
        <v>19</v>
      </c>
      <c r="K71" s="27" t="n">
        <v>0.02</v>
      </c>
      <c r="L71" s="28" t="n">
        <f aca="false">MIN(Assumptions!$C$18,K71*Assumptions!$D$15)</f>
        <v>0.0124</v>
      </c>
      <c r="M71" s="28" t="n">
        <f aca="false">MIN(Assumptions!$C$18,K71*Assumptions!$D$16)</f>
        <v>0.026</v>
      </c>
      <c r="N71" s="28" t="n">
        <f aca="false">MIN(Assumptions!$C$18,K71*Assumptions!$D$17)</f>
        <v>0.0192</v>
      </c>
      <c r="O71" s="28" t="n">
        <f aca="false">IF(I71&gt;=Assumptions!$B$36,Assumptions!$C$36,IF(I71&gt;=Assumptions!$B$37,Assumptions!$C$37,IF(I71&gt;=Assumptions!$B$38,Assumptions!$C$38,Assumptions!$C$39)))</f>
        <v>0.02</v>
      </c>
      <c r="P71" s="28" t="n">
        <f aca="false">IF(H71&gt;=Assumptions!$B$44,Assumptions!$C$44,IF(H71&gt;=Assumptions!$B$45,Assumptions!$C$45,IF(H71&gt;=Assumptions!$B$46,Assumptions!$C$46,Assumptions!$C$47)))</f>
        <v>0.02</v>
      </c>
      <c r="Q71" s="24" t="n">
        <v>0</v>
      </c>
      <c r="R71" s="28" t="n">
        <f aca="false">Q71*Assumptions!$C$51</f>
        <v>0</v>
      </c>
      <c r="S71" s="27" t="n">
        <v>0.015</v>
      </c>
      <c r="T71" s="27" t="n">
        <v>0</v>
      </c>
      <c r="U71" s="27" t="n">
        <v>0</v>
      </c>
      <c r="V71" s="27" t="n">
        <v>0.006</v>
      </c>
      <c r="W71" s="27" t="n">
        <v>0.005</v>
      </c>
      <c r="X71" s="28" t="n">
        <f aca="false">P71+R71+SUM(S71:W71)</f>
        <v>0.046</v>
      </c>
      <c r="Y71" s="24" t="n">
        <v>0</v>
      </c>
      <c r="Z71" s="29" t="n">
        <f aca="false">LN(H71)</f>
        <v>8.04558828080353</v>
      </c>
      <c r="AA71" s="17" t="n">
        <f aca="false">ROUND(SUMIF(Lines!$B:$B,B71,Lines!$I:$I),2)</f>
        <v>231452</v>
      </c>
      <c r="AB71" s="17" t="n">
        <f aca="false">ROUND(SUMIF(Lines!$B:$B,B71,Lines!$L:$L),2)</f>
        <v>221535.04</v>
      </c>
      <c r="AC71" s="17" t="n">
        <f aca="false">ROUND(SUMIF(Lines!$B:$B,B71,Lines!$T:$T),2)</f>
        <v>211344.44</v>
      </c>
      <c r="AD71" s="17" t="n">
        <f aca="false">ROUND(SUMIF(Lines!$B:$B,B71,Lines!$U:$U),2)</f>
        <v>136916</v>
      </c>
      <c r="AE71" s="17" t="n">
        <f aca="false">ROUND(SUMIF(Lines!$B:$B,B71,Lines!$V:$V),2)</f>
        <v>4430.7</v>
      </c>
      <c r="AF71" s="17" t="n">
        <f aca="false">ROUND(AC71-AD71-AE71,2)</f>
        <v>69997.74</v>
      </c>
      <c r="AG71" s="26" t="n">
        <f aca="false">RANK(AC71,$AC$6:$AC$185)</f>
        <v>64</v>
      </c>
      <c r="AJ71" s="26" t="n">
        <f aca="false">IF(AND(H71&gt;=0.85*Assumptions!$B$44,H71&lt;Assumptions!$B$44),Assumptions!$B$44,IF(AND(H71&gt;=0.85*Assumptions!$B$45,H71&lt;Assumptions!$B$45),Assumptions!$B$45,IF(AND(H71&gt;=0.85*Assumptions!$B$46,H71&lt;Assumptions!$B$46),Assumptions!$B$46,0)))</f>
        <v>0</v>
      </c>
      <c r="AK71" s="26" t="n">
        <f aca="false">IF(AJ71=0,0,AJ71-H71)</f>
        <v>0</v>
      </c>
      <c r="AL71" s="28" t="n">
        <f aca="false">IF(AJ71=Assumptions!$B$44,Assumptions!$C$44,IF(AJ71=Assumptions!$B$45,Assumptions!$C$45,IF(AJ71=Assumptions!$B$46,Assumptions!$C$46,0)))</f>
        <v>0</v>
      </c>
      <c r="AM71" s="17" t="n">
        <f aca="false">IF(AJ71=0,0,AB71*(AL71-P71))</f>
        <v>0</v>
      </c>
      <c r="AN71" s="17" t="n">
        <f aca="false">ROUND(AN63+AM71,2)</f>
        <v>141995.03</v>
      </c>
      <c r="AO71" s="17" t="n">
        <f aca="false">SUMIF(Lines!$B$6:$B$463,$B71,Lines!$M$6:$M$463)</f>
        <v>4430.7</v>
      </c>
      <c r="AP71" s="17" t="n">
        <f aca="false">(AB71/H71)*(MAX(0,MIN(H71,Assumptions!$B$46)-Assumptions!$B$47)*Assumptions!$C$47+MAX(0,MIN(H71,Assumptions!$B$45)-Assumptions!$B$46)*Assumptions!$C$46+MAX(0,MIN(H71,Assumptions!$B$44)-Assumptions!$B$45)*Assumptions!$C$45+MAX(0,H71-Assumptions!$B$44)*Assumptions!$C$44)</f>
        <v>170.411569230769</v>
      </c>
      <c r="AQ71" s="17" t="n">
        <f aca="false">ROUND(SUMIF(Lines!$B:$B,B71,Lines!$N:$N),2)</f>
        <v>0</v>
      </c>
    </row>
    <row r="72" customFormat="false" ht="15" hidden="false" customHeight="false" outlineLevel="0" collapsed="false">
      <c r="B72" s="14" t="s">
        <v>220</v>
      </c>
      <c r="C72" s="14" t="s">
        <v>194</v>
      </c>
      <c r="D72" s="14" t="s">
        <v>218</v>
      </c>
      <c r="E72" s="24" t="n">
        <v>541</v>
      </c>
      <c r="F72" s="24" t="n">
        <v>1075</v>
      </c>
      <c r="G72" s="24" t="n">
        <v>0</v>
      </c>
      <c r="H72" s="26" t="n">
        <f aca="false">SUM(E72:G72)</f>
        <v>1616</v>
      </c>
      <c r="I72" s="24" t="n">
        <v>246</v>
      </c>
      <c r="J72" s="24" t="n">
        <v>7</v>
      </c>
      <c r="K72" s="27" t="n">
        <v>0</v>
      </c>
      <c r="L72" s="28" t="n">
        <f aca="false">MIN(Assumptions!$C$18,K72*Assumptions!$D$15)</f>
        <v>0</v>
      </c>
      <c r="M72" s="28" t="n">
        <f aca="false">MIN(Assumptions!$C$18,K72*Assumptions!$D$16)</f>
        <v>0</v>
      </c>
      <c r="N72" s="28" t="n">
        <f aca="false">MIN(Assumptions!$C$18,K72*Assumptions!$D$17)</f>
        <v>0</v>
      </c>
      <c r="O72" s="28" t="n">
        <f aca="false">IF(I72&gt;=Assumptions!$B$36,Assumptions!$C$36,IF(I72&gt;=Assumptions!$B$37,Assumptions!$C$37,IF(I72&gt;=Assumptions!$B$38,Assumptions!$C$38,Assumptions!$C$39)))</f>
        <v>0.04</v>
      </c>
      <c r="P72" s="28" t="n">
        <f aca="false">IF(H72&gt;=Assumptions!$B$44,Assumptions!$C$44,IF(H72&gt;=Assumptions!$B$45,Assumptions!$C$45,IF(H72&gt;=Assumptions!$B$46,Assumptions!$C$46,Assumptions!$C$47)))</f>
        <v>0</v>
      </c>
      <c r="Q72" s="24" t="n">
        <v>0</v>
      </c>
      <c r="R72" s="28" t="n">
        <f aca="false">Q72*Assumptions!$C$51</f>
        <v>0</v>
      </c>
      <c r="S72" s="27" t="n">
        <v>0</v>
      </c>
      <c r="T72" s="27" t="n">
        <v>0</v>
      </c>
      <c r="U72" s="27" t="n">
        <v>0</v>
      </c>
      <c r="V72" s="27" t="n">
        <v>0.006</v>
      </c>
      <c r="W72" s="27" t="n">
        <v>0</v>
      </c>
      <c r="X72" s="28" t="n">
        <f aca="false">P72+R72+SUM(S72:W72)</f>
        <v>0.006</v>
      </c>
      <c r="Y72" s="24" t="n">
        <v>0</v>
      </c>
      <c r="Z72" s="29" t="n">
        <f aca="false">LN(H72)</f>
        <v>7.38770923908104</v>
      </c>
      <c r="AA72" s="17" t="n">
        <f aca="false">ROUND(SUMIF(Lines!$B:$B,B72,Lines!$I:$I),2)</f>
        <v>146718</v>
      </c>
      <c r="AB72" s="17" t="n">
        <f aca="false">ROUND(SUMIF(Lines!$B:$B,B72,Lines!$L:$L),2)</f>
        <v>140849.28</v>
      </c>
      <c r="AC72" s="17" t="n">
        <f aca="false">ROUND(SUMIF(Lines!$B:$B,B72,Lines!$T:$T),2)</f>
        <v>140004.19</v>
      </c>
      <c r="AD72" s="17" t="n">
        <f aca="false">ROUND(SUMIF(Lines!$B:$B,B72,Lines!$U:$U),2)</f>
        <v>80898</v>
      </c>
      <c r="AE72" s="17" t="n">
        <f aca="false">ROUND(SUMIF(Lines!$B:$B,B72,Lines!$V:$V),2)</f>
        <v>2816.99</v>
      </c>
      <c r="AF72" s="17" t="n">
        <f aca="false">ROUND(AC72-AD72-AE72,2)</f>
        <v>56289.2</v>
      </c>
      <c r="AG72" s="26" t="n">
        <f aca="false">RANK(AC72,$AC$6:$AC$185)</f>
        <v>92</v>
      </c>
      <c r="AJ72" s="26" t="n">
        <f aca="false">IF(AND(H72&gt;=0.85*Assumptions!$B$44,H72&lt;Assumptions!$B$44),Assumptions!$B$44,IF(AND(H72&gt;=0.85*Assumptions!$B$45,H72&lt;Assumptions!$B$45),Assumptions!$B$45,IF(AND(H72&gt;=0.85*Assumptions!$B$46,H72&lt;Assumptions!$B$46),Assumptions!$B$46,0)))</f>
        <v>0</v>
      </c>
      <c r="AK72" s="26" t="n">
        <f aca="false">IF(AJ72=0,0,AJ72-H72)</f>
        <v>0</v>
      </c>
      <c r="AL72" s="28" t="n">
        <f aca="false">IF(AJ72=Assumptions!$B$44,Assumptions!$C$44,IF(AJ72=Assumptions!$B$45,Assumptions!$C$45,IF(AJ72=Assumptions!$B$46,Assumptions!$C$46,0)))</f>
        <v>0</v>
      </c>
      <c r="AM72" s="17" t="n">
        <f aca="false">IF(AJ72=0,0,AB72*(AL72-P72))</f>
        <v>0</v>
      </c>
      <c r="AN72" s="17" t="n">
        <f aca="false">ROUND(AN64+AM72,2)</f>
        <v>146052.55</v>
      </c>
      <c r="AO72" s="17" t="n">
        <f aca="false">SUMIF(Lines!$B$6:$B$463,$B72,Lines!$M$6:$M$463)</f>
        <v>0</v>
      </c>
      <c r="AP72" s="17" t="n">
        <f aca="false">(AB72/H72)*(MAX(0,MIN(H72,Assumptions!$B$46)-Assumptions!$B$47)*Assumptions!$C$47+MAX(0,MIN(H72,Assumptions!$B$45)-Assumptions!$B$46)*Assumptions!$C$46+MAX(0,MIN(H72,Assumptions!$B$44)-Assumptions!$B$45)*Assumptions!$C$45+MAX(0,H72-Assumptions!$B$44)*Assumptions!$C$44)</f>
        <v>0</v>
      </c>
      <c r="AQ72" s="17" t="n">
        <f aca="false">ROUND(SUMIF(Lines!$B:$B,B72,Lines!$N:$N),2)</f>
        <v>0</v>
      </c>
    </row>
    <row r="73" customFormat="false" ht="15" hidden="false" customHeight="false" outlineLevel="0" collapsed="false">
      <c r="B73" s="14" t="s">
        <v>221</v>
      </c>
      <c r="C73" s="14" t="s">
        <v>194</v>
      </c>
      <c r="D73" s="14" t="s">
        <v>218</v>
      </c>
      <c r="E73" s="24" t="n">
        <v>274</v>
      </c>
      <c r="F73" s="24" t="n">
        <v>1645</v>
      </c>
      <c r="G73" s="24" t="n">
        <v>883</v>
      </c>
      <c r="H73" s="26" t="n">
        <f aca="false">SUM(E73:G73)</f>
        <v>2802</v>
      </c>
      <c r="I73" s="24" t="n">
        <v>158</v>
      </c>
      <c r="J73" s="24" t="n">
        <v>18</v>
      </c>
      <c r="K73" s="27" t="n">
        <v>0.065</v>
      </c>
      <c r="L73" s="28" t="n">
        <f aca="false">MIN(Assumptions!$C$18,K73*Assumptions!$D$15)</f>
        <v>0.0403</v>
      </c>
      <c r="M73" s="28" t="n">
        <f aca="false">MIN(Assumptions!$C$18,K73*Assumptions!$D$16)</f>
        <v>0.0845</v>
      </c>
      <c r="N73" s="28" t="n">
        <f aca="false">MIN(Assumptions!$C$18,K73*Assumptions!$D$17)</f>
        <v>0.0624</v>
      </c>
      <c r="O73" s="28" t="n">
        <f aca="false">IF(I73&gt;=Assumptions!$B$36,Assumptions!$C$36,IF(I73&gt;=Assumptions!$B$37,Assumptions!$C$37,IF(I73&gt;=Assumptions!$B$38,Assumptions!$C$38,Assumptions!$C$39)))</f>
        <v>0.02</v>
      </c>
      <c r="P73" s="28" t="n">
        <f aca="false">IF(H73&gt;=Assumptions!$B$44,Assumptions!$C$44,IF(H73&gt;=Assumptions!$B$45,Assumptions!$C$45,IF(H73&gt;=Assumptions!$B$46,Assumptions!$C$46,Assumptions!$C$47)))</f>
        <v>0</v>
      </c>
      <c r="Q73" s="24" t="n">
        <v>0</v>
      </c>
      <c r="R73" s="28" t="n">
        <f aca="false">Q73*Assumptions!$C$51</f>
        <v>0</v>
      </c>
      <c r="S73" s="27" t="n">
        <v>0.015</v>
      </c>
      <c r="T73" s="27" t="n">
        <v>0</v>
      </c>
      <c r="U73" s="27" t="n">
        <v>0</v>
      </c>
      <c r="V73" s="27" t="n">
        <v>0.006</v>
      </c>
      <c r="W73" s="27" t="n">
        <v>0.005</v>
      </c>
      <c r="X73" s="28" t="n">
        <f aca="false">P73+R73+SUM(S73:W73)</f>
        <v>0.026</v>
      </c>
      <c r="Y73" s="24" t="n">
        <v>0</v>
      </c>
      <c r="Z73" s="29" t="n">
        <f aca="false">LN(H73)</f>
        <v>7.93808872689695</v>
      </c>
      <c r="AA73" s="17" t="n">
        <f aca="false">ROUND(SUMIF(Lines!$B:$B,B73,Lines!$I:$I),2)</f>
        <v>227310</v>
      </c>
      <c r="AB73" s="17" t="n">
        <f aca="false">ROUND(SUMIF(Lines!$B:$B,B73,Lines!$L:$L),2)</f>
        <v>207221.87</v>
      </c>
      <c r="AC73" s="17" t="n">
        <f aca="false">ROUND(SUMIF(Lines!$B:$B,B73,Lines!$T:$T),2)</f>
        <v>201834.1</v>
      </c>
      <c r="AD73" s="17" t="n">
        <f aca="false">ROUND(SUMIF(Lines!$B:$B,B73,Lines!$U:$U),2)</f>
        <v>131806</v>
      </c>
      <c r="AE73" s="17" t="n">
        <f aca="false">ROUND(SUMIF(Lines!$B:$B,B73,Lines!$V:$V),2)</f>
        <v>4144.43</v>
      </c>
      <c r="AF73" s="17" t="n">
        <f aca="false">ROUND(AC73-AD73-AE73,2)</f>
        <v>65883.67</v>
      </c>
      <c r="AG73" s="26" t="n">
        <f aca="false">RANK(AC73,$AC$6:$AC$185)</f>
        <v>68</v>
      </c>
      <c r="AJ73" s="26" t="n">
        <f aca="false">IF(AND(H73&gt;=0.85*Assumptions!$B$44,H73&lt;Assumptions!$B$44),Assumptions!$B$44,IF(AND(H73&gt;=0.85*Assumptions!$B$45,H73&lt;Assumptions!$B$45),Assumptions!$B$45,IF(AND(H73&gt;=0.85*Assumptions!$B$46,H73&lt;Assumptions!$B$46),Assumptions!$B$46,0)))</f>
        <v>3000</v>
      </c>
      <c r="AK73" s="26" t="n">
        <f aca="false">IF(AJ73=0,0,AJ73-H73)</f>
        <v>198</v>
      </c>
      <c r="AL73" s="28" t="n">
        <f aca="false">IF(AJ73=Assumptions!$B$44,Assumptions!$C$44,IF(AJ73=Assumptions!$B$45,Assumptions!$C$45,IF(AJ73=Assumptions!$B$46,Assumptions!$C$46,0)))</f>
        <v>0.02</v>
      </c>
      <c r="AM73" s="17" t="n">
        <f aca="false">IF(AJ73=0,0,AB73*(AL73-P73))</f>
        <v>4144.4374</v>
      </c>
      <c r="AN73" s="17" t="n">
        <f aca="false">ROUND(AN65+AM73,2)</f>
        <v>150196.99</v>
      </c>
      <c r="AO73" s="17" t="n">
        <f aca="false">SUMIF(Lines!$B$6:$B$463,$B73,Lines!$M$6:$M$463)</f>
        <v>0</v>
      </c>
      <c r="AP73" s="17" t="n">
        <f aca="false">(AB73/H73)*(MAX(0,MIN(H73,Assumptions!$B$46)-Assumptions!$B$47)*Assumptions!$C$47+MAX(0,MIN(H73,Assumptions!$B$45)-Assumptions!$B$46)*Assumptions!$C$46+MAX(0,MIN(H73,Assumptions!$B$44)-Assumptions!$B$45)*Assumptions!$C$45+MAX(0,H73-Assumptions!$B$44)*Assumptions!$C$44)</f>
        <v>0</v>
      </c>
      <c r="AQ73" s="17" t="n">
        <f aca="false">ROUND(SUMIF(Lines!$B:$B,B73,Lines!$N:$N),2)</f>
        <v>0</v>
      </c>
    </row>
    <row r="74" customFormat="false" ht="15" hidden="false" customHeight="false" outlineLevel="0" collapsed="false">
      <c r="B74" s="14" t="s">
        <v>222</v>
      </c>
      <c r="C74" s="14" t="s">
        <v>194</v>
      </c>
      <c r="D74" s="14" t="s">
        <v>218</v>
      </c>
      <c r="E74" s="24" t="n">
        <v>0</v>
      </c>
      <c r="F74" s="24" t="n">
        <v>2107</v>
      </c>
      <c r="G74" s="24" t="n">
        <v>0</v>
      </c>
      <c r="H74" s="26" t="n">
        <f aca="false">SUM(E74:G74)</f>
        <v>2107</v>
      </c>
      <c r="I74" s="24" t="n">
        <v>218</v>
      </c>
      <c r="J74" s="24" t="n">
        <v>10</v>
      </c>
      <c r="K74" s="27" t="n">
        <v>0</v>
      </c>
      <c r="L74" s="28" t="n">
        <f aca="false">MIN(Assumptions!$C$18,K74*Assumptions!$D$15)</f>
        <v>0</v>
      </c>
      <c r="M74" s="28" t="n">
        <f aca="false">MIN(Assumptions!$C$18,K74*Assumptions!$D$16)</f>
        <v>0</v>
      </c>
      <c r="N74" s="28" t="n">
        <f aca="false">MIN(Assumptions!$C$18,K74*Assumptions!$D$17)</f>
        <v>0</v>
      </c>
      <c r="O74" s="28" t="n">
        <f aca="false">IF(I74&gt;=Assumptions!$B$36,Assumptions!$C$36,IF(I74&gt;=Assumptions!$B$37,Assumptions!$C$37,IF(I74&gt;=Assumptions!$B$38,Assumptions!$C$38,Assumptions!$C$39)))</f>
        <v>0.04</v>
      </c>
      <c r="P74" s="28" t="n">
        <f aca="false">IF(H74&gt;=Assumptions!$B$44,Assumptions!$C$44,IF(H74&gt;=Assumptions!$B$45,Assumptions!$C$45,IF(H74&gt;=Assumptions!$B$46,Assumptions!$C$46,Assumptions!$C$47)))</f>
        <v>0</v>
      </c>
      <c r="Q74" s="24" t="n">
        <v>0</v>
      </c>
      <c r="R74" s="28" t="n">
        <f aca="false">Q74*Assumptions!$C$51</f>
        <v>0</v>
      </c>
      <c r="S74" s="27" t="n">
        <v>0.015</v>
      </c>
      <c r="T74" s="27" t="n">
        <v>0</v>
      </c>
      <c r="U74" s="27" t="n">
        <v>0</v>
      </c>
      <c r="V74" s="27" t="n">
        <v>0.006</v>
      </c>
      <c r="W74" s="27" t="n">
        <v>0</v>
      </c>
      <c r="X74" s="28" t="n">
        <f aca="false">P74+R74+SUM(S74:W74)</f>
        <v>0.021</v>
      </c>
      <c r="Y74" s="24" t="n">
        <v>0</v>
      </c>
      <c r="Z74" s="29" t="n">
        <f aca="false">LN(H74)</f>
        <v>7.65302041380419</v>
      </c>
      <c r="AA74" s="17" t="n">
        <f aca="false">ROUND(SUMIF(Lines!$B:$B,B74,Lines!$I:$I),2)</f>
        <v>130634</v>
      </c>
      <c r="AB74" s="17" t="n">
        <f aca="false">ROUND(SUMIF(Lines!$B:$B,B74,Lines!$L:$L),2)</f>
        <v>125408.64</v>
      </c>
      <c r="AC74" s="17" t="n">
        <f aca="false">ROUND(SUMIF(Lines!$B:$B,B74,Lines!$T:$T),2)</f>
        <v>122775.06</v>
      </c>
      <c r="AD74" s="17" t="n">
        <f aca="false">ROUND(SUMIF(Lines!$B:$B,B74,Lines!$U:$U),2)</f>
        <v>75852</v>
      </c>
      <c r="AE74" s="17" t="n">
        <f aca="false">ROUND(SUMIF(Lines!$B:$B,B74,Lines!$V:$V),2)</f>
        <v>2508.17</v>
      </c>
      <c r="AF74" s="17" t="n">
        <f aca="false">ROUND(AC74-AD74-AE74,2)</f>
        <v>44414.89</v>
      </c>
      <c r="AG74" s="26" t="n">
        <f aca="false">RANK(AC74,$AC$6:$AC$185)</f>
        <v>100</v>
      </c>
      <c r="AJ74" s="26" t="n">
        <f aca="false">IF(AND(H74&gt;=0.85*Assumptions!$B$44,H74&lt;Assumptions!$B$44),Assumptions!$B$44,IF(AND(H74&gt;=0.85*Assumptions!$B$45,H74&lt;Assumptions!$B$45),Assumptions!$B$45,IF(AND(H74&gt;=0.85*Assumptions!$B$46,H74&lt;Assumptions!$B$46),Assumptions!$B$46,0)))</f>
        <v>0</v>
      </c>
      <c r="AK74" s="26" t="n">
        <f aca="false">IF(AJ74=0,0,AJ74-H74)</f>
        <v>0</v>
      </c>
      <c r="AL74" s="28" t="n">
        <f aca="false">IF(AJ74=Assumptions!$B$44,Assumptions!$C$44,IF(AJ74=Assumptions!$B$45,Assumptions!$C$45,IF(AJ74=Assumptions!$B$46,Assumptions!$C$46,0)))</f>
        <v>0</v>
      </c>
      <c r="AM74" s="17" t="n">
        <f aca="false">IF(AJ74=0,0,AB74*(AL74-P74))</f>
        <v>0</v>
      </c>
      <c r="AN74" s="17" t="n">
        <f aca="false">ROUND(AN66+AM74,2)</f>
        <v>166704.9</v>
      </c>
      <c r="AO74" s="17" t="n">
        <f aca="false">SUMIF(Lines!$B$6:$B$463,$B74,Lines!$M$6:$M$463)</f>
        <v>0</v>
      </c>
      <c r="AP74" s="17" t="n">
        <f aca="false">(AB74/H74)*(MAX(0,MIN(H74,Assumptions!$B$46)-Assumptions!$B$47)*Assumptions!$C$47+MAX(0,MIN(H74,Assumptions!$B$45)-Assumptions!$B$46)*Assumptions!$C$46+MAX(0,MIN(H74,Assumptions!$B$44)-Assumptions!$B$45)*Assumptions!$C$45+MAX(0,H74-Assumptions!$B$44)*Assumptions!$C$44)</f>
        <v>0</v>
      </c>
      <c r="AQ74" s="17" t="n">
        <f aca="false">ROUND(SUMIF(Lines!$B:$B,B74,Lines!$N:$N),2)</f>
        <v>0</v>
      </c>
    </row>
    <row r="75" customFormat="false" ht="15" hidden="false" customHeight="false" outlineLevel="0" collapsed="false">
      <c r="B75" s="14" t="s">
        <v>223</v>
      </c>
      <c r="C75" s="14" t="s">
        <v>194</v>
      </c>
      <c r="D75" s="14" t="s">
        <v>218</v>
      </c>
      <c r="E75" s="24" t="n">
        <v>606</v>
      </c>
      <c r="F75" s="24" t="n">
        <v>1121</v>
      </c>
      <c r="G75" s="24" t="n">
        <v>537</v>
      </c>
      <c r="H75" s="26" t="n">
        <f aca="false">SUM(E75:G75)</f>
        <v>2264</v>
      </c>
      <c r="I75" s="24" t="n">
        <v>255</v>
      </c>
      <c r="J75" s="24" t="n">
        <v>9</v>
      </c>
      <c r="K75" s="27" t="n">
        <v>0.03</v>
      </c>
      <c r="L75" s="28" t="n">
        <f aca="false">MIN(Assumptions!$C$18,K75*Assumptions!$D$15)</f>
        <v>0.0186</v>
      </c>
      <c r="M75" s="28" t="n">
        <f aca="false">MIN(Assumptions!$C$18,K75*Assumptions!$D$16)</f>
        <v>0.039</v>
      </c>
      <c r="N75" s="28" t="n">
        <f aca="false">MIN(Assumptions!$C$18,K75*Assumptions!$D$17)</f>
        <v>0.0288</v>
      </c>
      <c r="O75" s="28" t="n">
        <f aca="false">IF(I75&gt;=Assumptions!$B$36,Assumptions!$C$36,IF(I75&gt;=Assumptions!$B$37,Assumptions!$C$37,IF(I75&gt;=Assumptions!$B$38,Assumptions!$C$38,Assumptions!$C$39)))</f>
        <v>0.04</v>
      </c>
      <c r="P75" s="28" t="n">
        <f aca="false">IF(H75&gt;=Assumptions!$B$44,Assumptions!$C$44,IF(H75&gt;=Assumptions!$B$45,Assumptions!$C$45,IF(H75&gt;=Assumptions!$B$46,Assumptions!$C$46,Assumptions!$C$47)))</f>
        <v>0</v>
      </c>
      <c r="Q75" s="24" t="n">
        <v>0</v>
      </c>
      <c r="R75" s="28" t="n">
        <f aca="false">Q75*Assumptions!$C$51</f>
        <v>0</v>
      </c>
      <c r="S75" s="27" t="n">
        <v>0</v>
      </c>
      <c r="T75" s="27" t="n">
        <v>0</v>
      </c>
      <c r="U75" s="27" t="n">
        <v>0</v>
      </c>
      <c r="V75" s="27" t="n">
        <v>0.006</v>
      </c>
      <c r="W75" s="27" t="n">
        <v>0.005</v>
      </c>
      <c r="X75" s="28" t="n">
        <f aca="false">P75+R75+SUM(S75:W75)</f>
        <v>0.011</v>
      </c>
      <c r="Y75" s="24" t="n">
        <v>0</v>
      </c>
      <c r="Z75" s="29" t="n">
        <f aca="false">LN(H75)</f>
        <v>7.72488843932307</v>
      </c>
      <c r="AA75" s="17" t="n">
        <f aca="false">ROUND(SUMIF(Lines!$B:$B,B75,Lines!$I:$I),2)</f>
        <v>210742</v>
      </c>
      <c r="AB75" s="17" t="n">
        <f aca="false">ROUND(SUMIF(Lines!$B:$B,B75,Lines!$L:$L),2)</f>
        <v>196448.84</v>
      </c>
      <c r="AC75" s="17" t="n">
        <f aca="false">ROUND(SUMIF(Lines!$B:$B,B75,Lines!$T:$T),2)</f>
        <v>194287.9</v>
      </c>
      <c r="AD75" s="17" t="n">
        <f aca="false">ROUND(SUMIF(Lines!$B:$B,B75,Lines!$U:$U),2)</f>
        <v>118770</v>
      </c>
      <c r="AE75" s="17" t="n">
        <f aca="false">ROUND(SUMIF(Lines!$B:$B,B75,Lines!$V:$V),2)</f>
        <v>3928.98</v>
      </c>
      <c r="AF75" s="17" t="n">
        <f aca="false">ROUND(AC75-AD75-AE75,2)</f>
        <v>71588.92</v>
      </c>
      <c r="AG75" s="26" t="n">
        <f aca="false">RANK(AC75,$AC$6:$AC$185)</f>
        <v>74</v>
      </c>
      <c r="AJ75" s="26" t="n">
        <f aca="false">IF(AND(H75&gt;=0.85*Assumptions!$B$44,H75&lt;Assumptions!$B$44),Assumptions!$B$44,IF(AND(H75&gt;=0.85*Assumptions!$B$45,H75&lt;Assumptions!$B$45),Assumptions!$B$45,IF(AND(H75&gt;=0.85*Assumptions!$B$46,H75&lt;Assumptions!$B$46),Assumptions!$B$46,0)))</f>
        <v>0</v>
      </c>
      <c r="AK75" s="26" t="n">
        <f aca="false">IF(AJ75=0,0,AJ75-H75)</f>
        <v>0</v>
      </c>
      <c r="AL75" s="28" t="n">
        <f aca="false">IF(AJ75=Assumptions!$B$44,Assumptions!$C$44,IF(AJ75=Assumptions!$B$45,Assumptions!$C$45,IF(AJ75=Assumptions!$B$46,Assumptions!$C$46,0)))</f>
        <v>0</v>
      </c>
      <c r="AM75" s="17" t="n">
        <f aca="false">IF(AJ75=0,0,AB75*(AL75-P75))</f>
        <v>0</v>
      </c>
      <c r="AN75" s="17" t="n">
        <f aca="false">ROUND(AN67+AM75,2)</f>
        <v>171110.19</v>
      </c>
      <c r="AO75" s="17" t="n">
        <f aca="false">SUMIF(Lines!$B$6:$B$463,$B75,Lines!$M$6:$M$463)</f>
        <v>0</v>
      </c>
      <c r="AP75" s="17" t="n">
        <f aca="false">(AB75/H75)*(MAX(0,MIN(H75,Assumptions!$B$46)-Assumptions!$B$47)*Assumptions!$C$47+MAX(0,MIN(H75,Assumptions!$B$45)-Assumptions!$B$46)*Assumptions!$C$46+MAX(0,MIN(H75,Assumptions!$B$44)-Assumptions!$B$45)*Assumptions!$C$45+MAX(0,H75-Assumptions!$B$44)*Assumptions!$C$44)</f>
        <v>0</v>
      </c>
      <c r="AQ75" s="17" t="n">
        <f aca="false">ROUND(SUMIF(Lines!$B:$B,B75,Lines!$N:$N),2)</f>
        <v>0</v>
      </c>
    </row>
    <row r="76" customFormat="false" ht="15" hidden="false" customHeight="false" outlineLevel="0" collapsed="false">
      <c r="B76" s="14" t="s">
        <v>224</v>
      </c>
      <c r="C76" s="14" t="s">
        <v>194</v>
      </c>
      <c r="D76" s="14" t="s">
        <v>218</v>
      </c>
      <c r="E76" s="24" t="n">
        <v>765</v>
      </c>
      <c r="F76" s="24" t="n">
        <v>0</v>
      </c>
      <c r="G76" s="24" t="n">
        <v>925</v>
      </c>
      <c r="H76" s="26" t="n">
        <f aca="false">SUM(E76:G76)</f>
        <v>1690</v>
      </c>
      <c r="I76" s="24" t="n">
        <v>231</v>
      </c>
      <c r="J76" s="24" t="n">
        <v>7</v>
      </c>
      <c r="K76" s="27" t="n">
        <v>0.085</v>
      </c>
      <c r="L76" s="28" t="n">
        <f aca="false">MIN(Assumptions!$C$18,K76*Assumptions!$D$15)</f>
        <v>0.0527</v>
      </c>
      <c r="M76" s="28" t="n">
        <f aca="false">MIN(Assumptions!$C$18,K76*Assumptions!$D$16)</f>
        <v>0.1105</v>
      </c>
      <c r="N76" s="28" t="n">
        <f aca="false">MIN(Assumptions!$C$18,K76*Assumptions!$D$17)</f>
        <v>0.0816</v>
      </c>
      <c r="O76" s="28" t="n">
        <f aca="false">IF(I76&gt;=Assumptions!$B$36,Assumptions!$C$36,IF(I76&gt;=Assumptions!$B$37,Assumptions!$C$37,IF(I76&gt;=Assumptions!$B$38,Assumptions!$C$38,Assumptions!$C$39)))</f>
        <v>0.04</v>
      </c>
      <c r="P76" s="28" t="n">
        <f aca="false">IF(H76&gt;=Assumptions!$B$44,Assumptions!$C$44,IF(H76&gt;=Assumptions!$B$45,Assumptions!$C$45,IF(H76&gt;=Assumptions!$B$46,Assumptions!$C$46,Assumptions!$C$47)))</f>
        <v>0</v>
      </c>
      <c r="Q76" s="24" t="n">
        <v>1</v>
      </c>
      <c r="R76" s="28" t="n">
        <f aca="false">Q76*Assumptions!$C$51</f>
        <v>0.02</v>
      </c>
      <c r="S76" s="27" t="n">
        <v>0</v>
      </c>
      <c r="T76" s="27" t="n">
        <v>0</v>
      </c>
      <c r="U76" s="27" t="n">
        <v>0</v>
      </c>
      <c r="V76" s="27" t="n">
        <v>0.006</v>
      </c>
      <c r="W76" s="27" t="n">
        <v>0.005</v>
      </c>
      <c r="X76" s="28" t="n">
        <f aca="false">P76+R76+SUM(S76:W76)</f>
        <v>0.031</v>
      </c>
      <c r="Y76" s="24" t="n">
        <v>0</v>
      </c>
      <c r="Z76" s="29" t="n">
        <f aca="false">LN(H76)</f>
        <v>7.43248380791712</v>
      </c>
      <c r="AA76" s="17" t="n">
        <f aca="false">ROUND(SUMIF(Lines!$B:$B,B76,Lines!$I:$I),2)</f>
        <v>202020</v>
      </c>
      <c r="AB76" s="17" t="n">
        <f aca="false">ROUND(SUMIF(Lines!$B:$B,B76,Lines!$L:$L),2)</f>
        <v>180726.43</v>
      </c>
      <c r="AC76" s="17" t="n">
        <f aca="false">ROUND(SUMIF(Lines!$B:$B,B76,Lines!$T:$T),2)</f>
        <v>175123.91</v>
      </c>
      <c r="AD76" s="17" t="n">
        <f aca="false">ROUND(SUMIF(Lines!$B:$B,B76,Lines!$U:$U),2)</f>
        <v>113320</v>
      </c>
      <c r="AE76" s="17" t="n">
        <f aca="false">ROUND(SUMIF(Lines!$B:$B,B76,Lines!$V:$V),2)</f>
        <v>3614.53</v>
      </c>
      <c r="AF76" s="17" t="n">
        <f aca="false">ROUND(AC76-AD76-AE76,2)</f>
        <v>58189.38</v>
      </c>
      <c r="AG76" s="26" t="n">
        <f aca="false">RANK(AC76,$AC$6:$AC$185)</f>
        <v>80</v>
      </c>
      <c r="AJ76" s="26" t="n">
        <f aca="false">IF(AND(H76&gt;=0.85*Assumptions!$B$44,H76&lt;Assumptions!$B$44),Assumptions!$B$44,IF(AND(H76&gt;=0.85*Assumptions!$B$45,H76&lt;Assumptions!$B$45),Assumptions!$B$45,IF(AND(H76&gt;=0.85*Assumptions!$B$46,H76&lt;Assumptions!$B$46),Assumptions!$B$46,0)))</f>
        <v>0</v>
      </c>
      <c r="AK76" s="26" t="n">
        <f aca="false">IF(AJ76=0,0,AJ76-H76)</f>
        <v>0</v>
      </c>
      <c r="AL76" s="28" t="n">
        <f aca="false">IF(AJ76=Assumptions!$B$44,Assumptions!$C$44,IF(AJ76=Assumptions!$B$45,Assumptions!$C$45,IF(AJ76=Assumptions!$B$46,Assumptions!$C$46,0)))</f>
        <v>0</v>
      </c>
      <c r="AM76" s="17" t="n">
        <f aca="false">IF(AJ76=0,0,AB76*(AL76-P76))</f>
        <v>0</v>
      </c>
      <c r="AN76" s="17" t="n">
        <f aca="false">ROUND(AN68+AM76,2)</f>
        <v>175350.28</v>
      </c>
      <c r="AO76" s="17" t="n">
        <f aca="false">SUMIF(Lines!$B$6:$B$463,$B76,Lines!$M$6:$M$463)</f>
        <v>0</v>
      </c>
      <c r="AP76" s="17" t="n">
        <f aca="false">(AB76/H76)*(MAX(0,MIN(H76,Assumptions!$B$46)-Assumptions!$B$47)*Assumptions!$C$47+MAX(0,MIN(H76,Assumptions!$B$45)-Assumptions!$B$46)*Assumptions!$C$46+MAX(0,MIN(H76,Assumptions!$B$44)-Assumptions!$B$45)*Assumptions!$C$45+MAX(0,H76-Assumptions!$B$44)*Assumptions!$C$44)</f>
        <v>0</v>
      </c>
      <c r="AQ76" s="17" t="n">
        <f aca="false">ROUND(SUMIF(Lines!$B:$B,B76,Lines!$N:$N),2)</f>
        <v>3614.53</v>
      </c>
    </row>
    <row r="77" customFormat="false" ht="15" hidden="false" customHeight="false" outlineLevel="0" collapsed="false">
      <c r="B77" s="14" t="s">
        <v>225</v>
      </c>
      <c r="C77" s="14" t="s">
        <v>194</v>
      </c>
      <c r="D77" s="14" t="s">
        <v>218</v>
      </c>
      <c r="E77" s="24" t="n">
        <v>0</v>
      </c>
      <c r="F77" s="24" t="n">
        <v>1289</v>
      </c>
      <c r="G77" s="24" t="n">
        <v>632</v>
      </c>
      <c r="H77" s="26" t="n">
        <f aca="false">SUM(E77:G77)</f>
        <v>1921</v>
      </c>
      <c r="I77" s="24" t="n">
        <v>264</v>
      </c>
      <c r="J77" s="24" t="n">
        <v>7</v>
      </c>
      <c r="K77" s="27" t="n">
        <v>0.03</v>
      </c>
      <c r="L77" s="28" t="n">
        <f aca="false">MIN(Assumptions!$C$18,K77*Assumptions!$D$15)</f>
        <v>0.0186</v>
      </c>
      <c r="M77" s="28" t="n">
        <f aca="false">MIN(Assumptions!$C$18,K77*Assumptions!$D$16)</f>
        <v>0.039</v>
      </c>
      <c r="N77" s="28" t="n">
        <f aca="false">MIN(Assumptions!$C$18,K77*Assumptions!$D$17)</f>
        <v>0.0288</v>
      </c>
      <c r="O77" s="28" t="n">
        <f aca="false">IF(I77&gt;=Assumptions!$B$36,Assumptions!$C$36,IF(I77&gt;=Assumptions!$B$37,Assumptions!$C$37,IF(I77&gt;=Assumptions!$B$38,Assumptions!$C$38,Assumptions!$C$39)))</f>
        <v>0.04</v>
      </c>
      <c r="P77" s="28" t="n">
        <f aca="false">IF(H77&gt;=Assumptions!$B$44,Assumptions!$C$44,IF(H77&gt;=Assumptions!$B$45,Assumptions!$C$45,IF(H77&gt;=Assumptions!$B$46,Assumptions!$C$46,Assumptions!$C$47)))</f>
        <v>0</v>
      </c>
      <c r="Q77" s="24" t="n">
        <v>1</v>
      </c>
      <c r="R77" s="28" t="n">
        <f aca="false">Q77*Assumptions!$C$51</f>
        <v>0.02</v>
      </c>
      <c r="S77" s="27" t="n">
        <v>0</v>
      </c>
      <c r="T77" s="27" t="n">
        <v>0</v>
      </c>
      <c r="U77" s="27" t="n">
        <v>0</v>
      </c>
      <c r="V77" s="27" t="n">
        <v>0.006</v>
      </c>
      <c r="W77" s="27" t="n">
        <v>0</v>
      </c>
      <c r="X77" s="28" t="n">
        <f aca="false">P77+R77+SUM(S77:W77)</f>
        <v>0.026</v>
      </c>
      <c r="Y77" s="24" t="n">
        <v>0</v>
      </c>
      <c r="Z77" s="29" t="n">
        <f aca="false">LN(H77)</f>
        <v>7.56060116276856</v>
      </c>
      <c r="AA77" s="17" t="n">
        <f aca="false">ROUND(SUMIF(Lines!$B:$B,B77,Lines!$I:$I),2)</f>
        <v>140590</v>
      </c>
      <c r="AB77" s="17" t="n">
        <f aca="false">ROUND(SUMIF(Lines!$B:$B,B77,Lines!$L:$L),2)</f>
        <v>130102.25</v>
      </c>
      <c r="AC77" s="17" t="n">
        <f aca="false">ROUND(SUMIF(Lines!$B:$B,B77,Lines!$T:$T),2)</f>
        <v>126719.58</v>
      </c>
      <c r="AD77" s="17" t="n">
        <f aca="false">ROUND(SUMIF(Lines!$B:$B,B77,Lines!$U:$U),2)</f>
        <v>83060</v>
      </c>
      <c r="AE77" s="17" t="n">
        <f aca="false">ROUND(SUMIF(Lines!$B:$B,B77,Lines!$V:$V),2)</f>
        <v>2602.05</v>
      </c>
      <c r="AF77" s="17" t="n">
        <f aca="false">ROUND(AC77-AD77-AE77,2)</f>
        <v>41057.53</v>
      </c>
      <c r="AG77" s="26" t="n">
        <f aca="false">RANK(AC77,$AC$6:$AC$185)</f>
        <v>99</v>
      </c>
      <c r="AJ77" s="26" t="n">
        <f aca="false">IF(AND(H77&gt;=0.85*Assumptions!$B$44,H77&lt;Assumptions!$B$44),Assumptions!$B$44,IF(AND(H77&gt;=0.85*Assumptions!$B$45,H77&lt;Assumptions!$B$45),Assumptions!$B$45,IF(AND(H77&gt;=0.85*Assumptions!$B$46,H77&lt;Assumptions!$B$46),Assumptions!$B$46,0)))</f>
        <v>0</v>
      </c>
      <c r="AK77" s="26" t="n">
        <f aca="false">IF(AJ77=0,0,AJ77-H77)</f>
        <v>0</v>
      </c>
      <c r="AL77" s="28" t="n">
        <f aca="false">IF(AJ77=Assumptions!$B$44,Assumptions!$C$44,IF(AJ77=Assumptions!$B$45,Assumptions!$C$45,IF(AJ77=Assumptions!$B$46,Assumptions!$C$46,0)))</f>
        <v>0</v>
      </c>
      <c r="AM77" s="17" t="n">
        <f aca="false">IF(AJ77=0,0,AB77*(AL77-P77))</f>
        <v>0</v>
      </c>
      <c r="AN77" s="17" t="n">
        <f aca="false">ROUND(AN69+AM77,2)</f>
        <v>175350.28</v>
      </c>
      <c r="AO77" s="17" t="n">
        <f aca="false">SUMIF(Lines!$B$6:$B$463,$B77,Lines!$M$6:$M$463)</f>
        <v>0</v>
      </c>
      <c r="AP77" s="17" t="n">
        <f aca="false">(AB77/H77)*(MAX(0,MIN(H77,Assumptions!$B$46)-Assumptions!$B$47)*Assumptions!$C$47+MAX(0,MIN(H77,Assumptions!$B$45)-Assumptions!$B$46)*Assumptions!$C$46+MAX(0,MIN(H77,Assumptions!$B$44)-Assumptions!$B$45)*Assumptions!$C$45+MAX(0,H77-Assumptions!$B$44)*Assumptions!$C$44)</f>
        <v>0</v>
      </c>
      <c r="AQ77" s="17" t="n">
        <f aca="false">ROUND(SUMIF(Lines!$B:$B,B77,Lines!$N:$N),2)</f>
        <v>2602.05</v>
      </c>
    </row>
    <row r="78" customFormat="false" ht="15" hidden="false" customHeight="false" outlineLevel="0" collapsed="false">
      <c r="B78" s="14" t="s">
        <v>226</v>
      </c>
      <c r="C78" s="14" t="s">
        <v>194</v>
      </c>
      <c r="D78" s="14" t="s">
        <v>227</v>
      </c>
      <c r="E78" s="24" t="n">
        <v>496</v>
      </c>
      <c r="F78" s="24" t="n">
        <v>1399</v>
      </c>
      <c r="G78" s="24" t="n">
        <v>752</v>
      </c>
      <c r="H78" s="26" t="n">
        <f aca="false">SUM(E78:G78)</f>
        <v>2647</v>
      </c>
      <c r="I78" s="24" t="n">
        <v>137</v>
      </c>
      <c r="J78" s="24" t="n">
        <v>19</v>
      </c>
      <c r="K78" s="27" t="n">
        <v>0.155</v>
      </c>
      <c r="L78" s="28" t="n">
        <f aca="false">MIN(Assumptions!$C$18,K78*Assumptions!$D$15)</f>
        <v>0.0961</v>
      </c>
      <c r="M78" s="28" t="n">
        <f aca="false">MIN(Assumptions!$C$18,K78*Assumptions!$D$16)</f>
        <v>0.2015</v>
      </c>
      <c r="N78" s="28" t="n">
        <f aca="false">MIN(Assumptions!$C$18,K78*Assumptions!$D$17)</f>
        <v>0.1488</v>
      </c>
      <c r="O78" s="28" t="n">
        <f aca="false">IF(I78&gt;=Assumptions!$B$36,Assumptions!$C$36,IF(I78&gt;=Assumptions!$B$37,Assumptions!$C$37,IF(I78&gt;=Assumptions!$B$38,Assumptions!$C$38,Assumptions!$C$39)))</f>
        <v>0.02</v>
      </c>
      <c r="P78" s="28" t="n">
        <f aca="false">IF(H78&gt;=Assumptions!$B$44,Assumptions!$C$44,IF(H78&gt;=Assumptions!$B$45,Assumptions!$C$45,IF(H78&gt;=Assumptions!$B$46,Assumptions!$C$46,Assumptions!$C$47)))</f>
        <v>0</v>
      </c>
      <c r="Q78" s="24" t="n">
        <v>1</v>
      </c>
      <c r="R78" s="28" t="n">
        <f aca="false">Q78*Assumptions!$C$51</f>
        <v>0.02</v>
      </c>
      <c r="S78" s="27" t="n">
        <v>0.015</v>
      </c>
      <c r="T78" s="27" t="n">
        <v>0</v>
      </c>
      <c r="U78" s="27" t="n">
        <v>0</v>
      </c>
      <c r="V78" s="27" t="n">
        <v>0.006</v>
      </c>
      <c r="W78" s="27" t="n">
        <v>0</v>
      </c>
      <c r="X78" s="28" t="n">
        <f aca="false">P78+R78+SUM(S78:W78)</f>
        <v>0.041</v>
      </c>
      <c r="Y78" s="24" t="n">
        <v>0</v>
      </c>
      <c r="Z78" s="29" t="n">
        <f aca="false">LN(H78)</f>
        <v>7.8811822022271</v>
      </c>
      <c r="AA78" s="17" t="n">
        <f aca="false">ROUND(SUMIF(Lines!$B:$B,B78,Lines!$I:$I),2)</f>
        <v>232338</v>
      </c>
      <c r="AB78" s="17" t="n">
        <f aca="false">ROUND(SUMIF(Lines!$B:$B,B78,Lines!$L:$L),2)</f>
        <v>192416.85</v>
      </c>
      <c r="AC78" s="17" t="n">
        <f aca="false">ROUND(SUMIF(Lines!$B:$B,B78,Lines!$T:$T),2)</f>
        <v>184527.76</v>
      </c>
      <c r="AD78" s="17" t="n">
        <f aca="false">ROUND(SUMIF(Lines!$B:$B,B78,Lines!$U:$U),2)</f>
        <v>132668</v>
      </c>
      <c r="AE78" s="17" t="n">
        <f aca="false">ROUND(SUMIF(Lines!$B:$B,B78,Lines!$V:$V),2)</f>
        <v>3848.34</v>
      </c>
      <c r="AF78" s="17" t="n">
        <f aca="false">ROUND(AC78-AD78-AE78,2)</f>
        <v>48011.42</v>
      </c>
      <c r="AG78" s="26" t="n">
        <f aca="false">RANK(AC78,$AC$6:$AC$185)</f>
        <v>77</v>
      </c>
      <c r="AJ78" s="26" t="n">
        <f aca="false">IF(AND(H78&gt;=0.85*Assumptions!$B$44,H78&lt;Assumptions!$B$44),Assumptions!$B$44,IF(AND(H78&gt;=0.85*Assumptions!$B$45,H78&lt;Assumptions!$B$45),Assumptions!$B$45,IF(AND(H78&gt;=0.85*Assumptions!$B$46,H78&lt;Assumptions!$B$46),Assumptions!$B$46,0)))</f>
        <v>3000</v>
      </c>
      <c r="AK78" s="26" t="n">
        <f aca="false">IF(AJ78=0,0,AJ78-H78)</f>
        <v>353</v>
      </c>
      <c r="AL78" s="28" t="n">
        <f aca="false">IF(AJ78=Assumptions!$B$44,Assumptions!$C$44,IF(AJ78=Assumptions!$B$45,Assumptions!$C$45,IF(AJ78=Assumptions!$B$46,Assumptions!$C$46,0)))</f>
        <v>0.02</v>
      </c>
      <c r="AM78" s="17" t="n">
        <f aca="false">IF(AJ78=0,0,AB78*(AL78-P78))</f>
        <v>3848.337</v>
      </c>
      <c r="AN78" s="17" t="n">
        <f aca="false">ROUND(AN70+AM78,2)</f>
        <v>141995.03</v>
      </c>
      <c r="AO78" s="17" t="n">
        <f aca="false">SUMIF(Lines!$B$6:$B$463,$B78,Lines!$M$6:$M$463)</f>
        <v>0</v>
      </c>
      <c r="AP78" s="17" t="n">
        <f aca="false">(AB78/H78)*(MAX(0,MIN(H78,Assumptions!$B$46)-Assumptions!$B$47)*Assumptions!$C$47+MAX(0,MIN(H78,Assumptions!$B$45)-Assumptions!$B$46)*Assumptions!$C$46+MAX(0,MIN(H78,Assumptions!$B$44)-Assumptions!$B$45)*Assumptions!$C$45+MAX(0,H78-Assumptions!$B$44)*Assumptions!$C$44)</f>
        <v>0</v>
      </c>
      <c r="AQ78" s="17" t="n">
        <f aca="false">ROUND(SUMIF(Lines!$B:$B,B78,Lines!$N:$N),2)</f>
        <v>3848.34</v>
      </c>
    </row>
    <row r="79" customFormat="false" ht="15" hidden="false" customHeight="false" outlineLevel="0" collapsed="false">
      <c r="B79" s="14" t="s">
        <v>228</v>
      </c>
      <c r="C79" s="14" t="s">
        <v>194</v>
      </c>
      <c r="D79" s="14" t="s">
        <v>227</v>
      </c>
      <c r="E79" s="24" t="n">
        <v>328</v>
      </c>
      <c r="F79" s="24" t="n">
        <v>1500</v>
      </c>
      <c r="G79" s="24" t="n">
        <v>866</v>
      </c>
      <c r="H79" s="26" t="n">
        <f aca="false">SUM(E79:G79)</f>
        <v>2694</v>
      </c>
      <c r="I79" s="24" t="n">
        <v>160</v>
      </c>
      <c r="J79" s="24" t="n">
        <v>17</v>
      </c>
      <c r="K79" s="27" t="n">
        <v>0.075</v>
      </c>
      <c r="L79" s="28" t="n">
        <f aca="false">MIN(Assumptions!$C$18,K79*Assumptions!$D$15)</f>
        <v>0.0465</v>
      </c>
      <c r="M79" s="28" t="n">
        <f aca="false">MIN(Assumptions!$C$18,K79*Assumptions!$D$16)</f>
        <v>0.0975</v>
      </c>
      <c r="N79" s="28" t="n">
        <f aca="false">MIN(Assumptions!$C$18,K79*Assumptions!$D$17)</f>
        <v>0.072</v>
      </c>
      <c r="O79" s="28" t="n">
        <f aca="false">IF(I79&gt;=Assumptions!$B$36,Assumptions!$C$36,IF(I79&gt;=Assumptions!$B$37,Assumptions!$C$37,IF(I79&gt;=Assumptions!$B$38,Assumptions!$C$38,Assumptions!$C$39)))</f>
        <v>0.02</v>
      </c>
      <c r="P79" s="28" t="n">
        <f aca="false">IF(H79&gt;=Assumptions!$B$44,Assumptions!$C$44,IF(H79&gt;=Assumptions!$B$45,Assumptions!$C$45,IF(H79&gt;=Assumptions!$B$46,Assumptions!$C$46,Assumptions!$C$47)))</f>
        <v>0</v>
      </c>
      <c r="Q79" s="24" t="n">
        <v>1</v>
      </c>
      <c r="R79" s="28" t="n">
        <f aca="false">Q79*Assumptions!$C$51</f>
        <v>0.02</v>
      </c>
      <c r="S79" s="27" t="n">
        <v>0</v>
      </c>
      <c r="T79" s="27" t="n">
        <v>0</v>
      </c>
      <c r="U79" s="27" t="n">
        <v>0</v>
      </c>
      <c r="V79" s="27" t="n">
        <v>0.006</v>
      </c>
      <c r="W79" s="27" t="n">
        <v>0.005</v>
      </c>
      <c r="X79" s="28" t="n">
        <f aca="false">P79+R79+SUM(S79:W79)</f>
        <v>0.031</v>
      </c>
      <c r="Y79" s="24" t="n">
        <v>0</v>
      </c>
      <c r="Z79" s="29" t="n">
        <f aca="false">LN(H79)</f>
        <v>7.89878235697031</v>
      </c>
      <c r="AA79" s="17" t="n">
        <f aca="false">ROUND(SUMIF(Lines!$B:$B,B79,Lines!$I:$I),2)</f>
        <v>224680</v>
      </c>
      <c r="AB79" s="17" t="n">
        <f aca="false">ROUND(SUMIF(Lines!$B:$B,B79,Lines!$L:$L),2)</f>
        <v>202875.81</v>
      </c>
      <c r="AC79" s="17" t="n">
        <f aca="false">ROUND(SUMIF(Lines!$B:$B,B79,Lines!$T:$T),2)</f>
        <v>196586.66</v>
      </c>
      <c r="AD79" s="17" t="n">
        <f aca="false">ROUND(SUMIF(Lines!$B:$B,B79,Lines!$U:$U),2)</f>
        <v>129812</v>
      </c>
      <c r="AE79" s="17" t="n">
        <f aca="false">ROUND(SUMIF(Lines!$B:$B,B79,Lines!$V:$V),2)</f>
        <v>4057.52</v>
      </c>
      <c r="AF79" s="17" t="n">
        <f aca="false">ROUND(AC79-AD79-AE79,2)</f>
        <v>62717.14</v>
      </c>
      <c r="AG79" s="26" t="n">
        <f aca="false">RANK(AC79,$AC$6:$AC$185)</f>
        <v>71</v>
      </c>
      <c r="AJ79" s="26" t="n">
        <f aca="false">IF(AND(H79&gt;=0.85*Assumptions!$B$44,H79&lt;Assumptions!$B$44),Assumptions!$B$44,IF(AND(H79&gt;=0.85*Assumptions!$B$45,H79&lt;Assumptions!$B$45),Assumptions!$B$45,IF(AND(H79&gt;=0.85*Assumptions!$B$46,H79&lt;Assumptions!$B$46),Assumptions!$B$46,0)))</f>
        <v>3000</v>
      </c>
      <c r="AK79" s="26" t="n">
        <f aca="false">IF(AJ79=0,0,AJ79-H79)</f>
        <v>306</v>
      </c>
      <c r="AL79" s="28" t="n">
        <f aca="false">IF(AJ79=Assumptions!$B$44,Assumptions!$C$44,IF(AJ79=Assumptions!$B$45,Assumptions!$C$45,IF(AJ79=Assumptions!$B$46,Assumptions!$C$46,0)))</f>
        <v>0.02</v>
      </c>
      <c r="AM79" s="17" t="n">
        <f aca="false">IF(AJ79=0,0,AB79*(AL79-P79))</f>
        <v>4057.5162</v>
      </c>
      <c r="AN79" s="17" t="n">
        <f aca="false">ROUND(AN71+AM79,2)</f>
        <v>146052.55</v>
      </c>
      <c r="AO79" s="17" t="n">
        <f aca="false">SUMIF(Lines!$B$6:$B$463,$B79,Lines!$M$6:$M$463)</f>
        <v>0</v>
      </c>
      <c r="AP79" s="17" t="n">
        <f aca="false">(AB79/H79)*(MAX(0,MIN(H79,Assumptions!$B$46)-Assumptions!$B$47)*Assumptions!$C$47+MAX(0,MIN(H79,Assumptions!$B$45)-Assumptions!$B$46)*Assumptions!$C$46+MAX(0,MIN(H79,Assumptions!$B$44)-Assumptions!$B$45)*Assumptions!$C$45+MAX(0,H79-Assumptions!$B$44)*Assumptions!$C$44)</f>
        <v>0</v>
      </c>
      <c r="AQ79" s="17" t="n">
        <f aca="false">ROUND(SUMIF(Lines!$B:$B,B79,Lines!$N:$N),2)</f>
        <v>4057.52</v>
      </c>
    </row>
    <row r="80" customFormat="false" ht="15" hidden="false" customHeight="false" outlineLevel="0" collapsed="false">
      <c r="B80" s="14" t="s">
        <v>229</v>
      </c>
      <c r="C80" s="14" t="s">
        <v>194</v>
      </c>
      <c r="D80" s="14" t="s">
        <v>227</v>
      </c>
      <c r="E80" s="24" t="n">
        <v>331</v>
      </c>
      <c r="F80" s="24" t="n">
        <v>2174</v>
      </c>
      <c r="G80" s="24" t="n">
        <v>0</v>
      </c>
      <c r="H80" s="26" t="n">
        <f aca="false">SUM(E80:G80)</f>
        <v>2505</v>
      </c>
      <c r="I80" s="24" t="n">
        <v>217</v>
      </c>
      <c r="J80" s="24" t="n">
        <v>12</v>
      </c>
      <c r="K80" s="27" t="n">
        <v>0.12</v>
      </c>
      <c r="L80" s="28" t="n">
        <f aca="false">MIN(Assumptions!$C$18,K80*Assumptions!$D$15)</f>
        <v>0.0744</v>
      </c>
      <c r="M80" s="28" t="n">
        <f aca="false">MIN(Assumptions!$C$18,K80*Assumptions!$D$16)</f>
        <v>0.156</v>
      </c>
      <c r="N80" s="28" t="n">
        <f aca="false">MIN(Assumptions!$C$18,K80*Assumptions!$D$17)</f>
        <v>0.1152</v>
      </c>
      <c r="O80" s="28" t="n">
        <f aca="false">IF(I80&gt;=Assumptions!$B$36,Assumptions!$C$36,IF(I80&gt;=Assumptions!$B$37,Assumptions!$C$37,IF(I80&gt;=Assumptions!$B$38,Assumptions!$C$38,Assumptions!$C$39)))</f>
        <v>0.04</v>
      </c>
      <c r="P80" s="28" t="n">
        <f aca="false">IF(H80&gt;=Assumptions!$B$44,Assumptions!$C$44,IF(H80&gt;=Assumptions!$B$45,Assumptions!$C$45,IF(H80&gt;=Assumptions!$B$46,Assumptions!$C$46,Assumptions!$C$47)))</f>
        <v>0</v>
      </c>
      <c r="Q80" s="24" t="n">
        <v>0</v>
      </c>
      <c r="R80" s="28" t="n">
        <f aca="false">Q80*Assumptions!$C$51</f>
        <v>0</v>
      </c>
      <c r="S80" s="27" t="n">
        <v>0.015</v>
      </c>
      <c r="T80" s="27" t="n">
        <v>0</v>
      </c>
      <c r="U80" s="27" t="n">
        <v>0</v>
      </c>
      <c r="V80" s="27" t="n">
        <v>0.006</v>
      </c>
      <c r="W80" s="27" t="n">
        <v>0</v>
      </c>
      <c r="X80" s="28" t="n">
        <f aca="false">P80+R80+SUM(S80:W80)</f>
        <v>0.021</v>
      </c>
      <c r="Y80" s="24" t="n">
        <v>0</v>
      </c>
      <c r="Z80" s="29" t="n">
        <f aca="false">LN(H80)</f>
        <v>7.82604401351897</v>
      </c>
      <c r="AA80" s="17" t="n">
        <f aca="false">ROUND(SUMIF(Lines!$B:$B,B80,Lines!$I:$I),2)</f>
        <v>183776</v>
      </c>
      <c r="AB80" s="17" t="n">
        <f aca="false">ROUND(SUMIF(Lines!$B:$B,B80,Lines!$L:$L),2)</f>
        <v>151753.32</v>
      </c>
      <c r="AC80" s="17" t="n">
        <f aca="false">ROUND(SUMIF(Lines!$B:$B,B80,Lines!$T:$T),2)</f>
        <v>148566.5</v>
      </c>
      <c r="AD80" s="17" t="n">
        <f aca="false">ROUND(SUMIF(Lines!$B:$B,B80,Lines!$U:$U),2)</f>
        <v>104082</v>
      </c>
      <c r="AE80" s="17" t="n">
        <f aca="false">ROUND(SUMIF(Lines!$B:$B,B80,Lines!$V:$V),2)</f>
        <v>3035.07</v>
      </c>
      <c r="AF80" s="17" t="n">
        <f aca="false">ROUND(AC80-AD80-AE80,2)</f>
        <v>41449.43</v>
      </c>
      <c r="AG80" s="26" t="n">
        <f aca="false">RANK(AC80,$AC$6:$AC$185)</f>
        <v>89</v>
      </c>
      <c r="AJ80" s="26" t="n">
        <f aca="false">IF(AND(H80&gt;=0.85*Assumptions!$B$44,H80&lt;Assumptions!$B$44),Assumptions!$B$44,IF(AND(H80&gt;=0.85*Assumptions!$B$45,H80&lt;Assumptions!$B$45),Assumptions!$B$45,IF(AND(H80&gt;=0.85*Assumptions!$B$46,H80&lt;Assumptions!$B$46),Assumptions!$B$46,0)))</f>
        <v>0</v>
      </c>
      <c r="AK80" s="26" t="n">
        <f aca="false">IF(AJ80=0,0,AJ80-H80)</f>
        <v>0</v>
      </c>
      <c r="AL80" s="28" t="n">
        <f aca="false">IF(AJ80=Assumptions!$B$44,Assumptions!$C$44,IF(AJ80=Assumptions!$B$45,Assumptions!$C$45,IF(AJ80=Assumptions!$B$46,Assumptions!$C$46,0)))</f>
        <v>0</v>
      </c>
      <c r="AM80" s="17" t="n">
        <f aca="false">IF(AJ80=0,0,AB80*(AL80-P80))</f>
        <v>0</v>
      </c>
      <c r="AN80" s="17" t="n">
        <f aca="false">ROUND(AN72+AM80,2)</f>
        <v>146052.55</v>
      </c>
      <c r="AO80" s="17" t="n">
        <f aca="false">SUMIF(Lines!$B$6:$B$463,$B80,Lines!$M$6:$M$463)</f>
        <v>0</v>
      </c>
      <c r="AP80" s="17" t="n">
        <f aca="false">(AB80/H80)*(MAX(0,MIN(H80,Assumptions!$B$46)-Assumptions!$B$47)*Assumptions!$C$47+MAX(0,MIN(H80,Assumptions!$B$45)-Assumptions!$B$46)*Assumptions!$C$46+MAX(0,MIN(H80,Assumptions!$B$44)-Assumptions!$B$45)*Assumptions!$C$45+MAX(0,H80-Assumptions!$B$44)*Assumptions!$C$44)</f>
        <v>0</v>
      </c>
      <c r="AQ80" s="17" t="n">
        <f aca="false">ROUND(SUMIF(Lines!$B:$B,B80,Lines!$N:$N),2)</f>
        <v>0</v>
      </c>
    </row>
    <row r="81" customFormat="false" ht="15" hidden="false" customHeight="false" outlineLevel="0" collapsed="false">
      <c r="B81" s="14" t="s">
        <v>230</v>
      </c>
      <c r="C81" s="14" t="s">
        <v>194</v>
      </c>
      <c r="D81" s="14" t="s">
        <v>227</v>
      </c>
      <c r="E81" s="24" t="n">
        <v>600</v>
      </c>
      <c r="F81" s="24" t="n">
        <v>2775</v>
      </c>
      <c r="G81" s="24" t="n">
        <v>1323</v>
      </c>
      <c r="H81" s="26" t="n">
        <f aca="false">SUM(E81:G81)</f>
        <v>4698</v>
      </c>
      <c r="I81" s="24" t="n">
        <v>286</v>
      </c>
      <c r="J81" s="24" t="n">
        <v>16</v>
      </c>
      <c r="K81" s="27" t="n">
        <v>0.105</v>
      </c>
      <c r="L81" s="28" t="n">
        <f aca="false">MIN(Assumptions!$C$18,K81*Assumptions!$D$15)</f>
        <v>0.0651</v>
      </c>
      <c r="M81" s="28" t="n">
        <f aca="false">MIN(Assumptions!$C$18,K81*Assumptions!$D$16)</f>
        <v>0.1365</v>
      </c>
      <c r="N81" s="28" t="n">
        <f aca="false">MIN(Assumptions!$C$18,K81*Assumptions!$D$17)</f>
        <v>0.1008</v>
      </c>
      <c r="O81" s="28" t="n">
        <f aca="false">IF(I81&gt;=Assumptions!$B$36,Assumptions!$C$36,IF(I81&gt;=Assumptions!$B$37,Assumptions!$C$37,IF(I81&gt;=Assumptions!$B$38,Assumptions!$C$38,Assumptions!$C$39)))</f>
        <v>0.04</v>
      </c>
      <c r="P81" s="28" t="n">
        <f aca="false">IF(H81&gt;=Assumptions!$B$44,Assumptions!$C$44,IF(H81&gt;=Assumptions!$B$45,Assumptions!$C$45,IF(H81&gt;=Assumptions!$B$46,Assumptions!$C$46,Assumptions!$C$47)))</f>
        <v>0.02</v>
      </c>
      <c r="Q81" s="24" t="n">
        <v>0</v>
      </c>
      <c r="R81" s="28" t="n">
        <f aca="false">Q81*Assumptions!$C$51</f>
        <v>0</v>
      </c>
      <c r="S81" s="27" t="n">
        <v>0.015</v>
      </c>
      <c r="T81" s="27" t="n">
        <v>0</v>
      </c>
      <c r="U81" s="27" t="n">
        <v>0</v>
      </c>
      <c r="V81" s="27" t="n">
        <v>0.006</v>
      </c>
      <c r="W81" s="27" t="n">
        <v>0</v>
      </c>
      <c r="X81" s="28" t="n">
        <f aca="false">P81+R81+SUM(S81:W81)</f>
        <v>0.041</v>
      </c>
      <c r="Y81" s="24" t="n">
        <v>0</v>
      </c>
      <c r="Z81" s="29" t="n">
        <f aca="false">LN(H81)</f>
        <v>8.45489216521886</v>
      </c>
      <c r="AA81" s="17" t="n">
        <f aca="false">ROUND(SUMIF(Lines!$B:$B,B81,Lines!$I:$I),2)</f>
        <v>387858</v>
      </c>
      <c r="AB81" s="17" t="n">
        <f aca="false">ROUND(SUMIF(Lines!$B:$B,B81,Lines!$L:$L),2)</f>
        <v>330275.56</v>
      </c>
      <c r="AC81" s="17" t="n">
        <f aca="false">ROUND(SUMIF(Lines!$B:$B,B81,Lines!$T:$T),2)</f>
        <v>316734.26</v>
      </c>
      <c r="AD81" s="17" t="n">
        <f aca="false">ROUND(SUMIF(Lines!$B:$B,B81,Lines!$U:$U),2)</f>
        <v>223434</v>
      </c>
      <c r="AE81" s="17" t="n">
        <f aca="false">ROUND(SUMIF(Lines!$B:$B,B81,Lines!$V:$V),2)</f>
        <v>6605.51</v>
      </c>
      <c r="AF81" s="17" t="n">
        <f aca="false">ROUND(AC81-AD81-AE81,2)</f>
        <v>86694.75</v>
      </c>
      <c r="AG81" s="26" t="n">
        <f aca="false">RANK(AC81,$AC$6:$AC$185)</f>
        <v>46</v>
      </c>
      <c r="AJ81" s="26" t="n">
        <f aca="false">IF(AND(H81&gt;=0.85*Assumptions!$B$44,H81&lt;Assumptions!$B$44),Assumptions!$B$44,IF(AND(H81&gt;=0.85*Assumptions!$B$45,H81&lt;Assumptions!$B$45),Assumptions!$B$45,IF(AND(H81&gt;=0.85*Assumptions!$B$46,H81&lt;Assumptions!$B$46),Assumptions!$B$46,0)))</f>
        <v>0</v>
      </c>
      <c r="AK81" s="26" t="n">
        <f aca="false">IF(AJ81=0,0,AJ81-H81)</f>
        <v>0</v>
      </c>
      <c r="AL81" s="28" t="n">
        <f aca="false">IF(AJ81=Assumptions!$B$44,Assumptions!$C$44,IF(AJ81=Assumptions!$B$45,Assumptions!$C$45,IF(AJ81=Assumptions!$B$46,Assumptions!$C$46,0)))</f>
        <v>0</v>
      </c>
      <c r="AM81" s="17" t="n">
        <f aca="false">IF(AJ81=0,0,AB81*(AL81-P81))</f>
        <v>0</v>
      </c>
      <c r="AN81" s="17" t="n">
        <f aca="false">ROUND(AN73+AM81,2)</f>
        <v>150196.99</v>
      </c>
      <c r="AO81" s="17" t="n">
        <f aca="false">SUMIF(Lines!$B$6:$B$463,$B81,Lines!$M$6:$M$463)</f>
        <v>6605.51</v>
      </c>
      <c r="AP81" s="17" t="n">
        <f aca="false">(AB81/H81)*(MAX(0,MIN(H81,Assumptions!$B$46)-Assumptions!$B$47)*Assumptions!$C$47+MAX(0,MIN(H81,Assumptions!$B$45)-Assumptions!$B$46)*Assumptions!$C$46+MAX(0,MIN(H81,Assumptions!$B$44)-Assumptions!$B$45)*Assumptions!$C$45+MAX(0,H81-Assumptions!$B$44)*Assumptions!$C$44)</f>
        <v>2387.43252822478</v>
      </c>
      <c r="AQ81" s="17" t="n">
        <f aca="false">ROUND(SUMIF(Lines!$B:$B,B81,Lines!$N:$N),2)</f>
        <v>0</v>
      </c>
    </row>
    <row r="82" customFormat="false" ht="15" hidden="false" customHeight="false" outlineLevel="0" collapsed="false">
      <c r="B82" s="14" t="s">
        <v>231</v>
      </c>
      <c r="C82" s="14" t="s">
        <v>194</v>
      </c>
      <c r="D82" s="14" t="s">
        <v>227</v>
      </c>
      <c r="E82" s="24" t="n">
        <v>1283</v>
      </c>
      <c r="F82" s="24" t="n">
        <v>0</v>
      </c>
      <c r="G82" s="24" t="n">
        <v>2009</v>
      </c>
      <c r="H82" s="26" t="n">
        <f aca="false">SUM(E82:G82)</f>
        <v>3292</v>
      </c>
      <c r="I82" s="24" t="n">
        <v>310</v>
      </c>
      <c r="J82" s="24" t="n">
        <v>11</v>
      </c>
      <c r="K82" s="27" t="n">
        <v>0.09</v>
      </c>
      <c r="L82" s="28" t="n">
        <f aca="false">MIN(Assumptions!$C$18,K82*Assumptions!$D$15)</f>
        <v>0.0558</v>
      </c>
      <c r="M82" s="28" t="n">
        <f aca="false">MIN(Assumptions!$C$18,K82*Assumptions!$D$16)</f>
        <v>0.117</v>
      </c>
      <c r="N82" s="28" t="n">
        <f aca="false">MIN(Assumptions!$C$18,K82*Assumptions!$D$17)</f>
        <v>0.0864</v>
      </c>
      <c r="O82" s="28" t="n">
        <f aca="false">IF(I82&gt;=Assumptions!$B$36,Assumptions!$C$36,IF(I82&gt;=Assumptions!$B$37,Assumptions!$C$37,IF(I82&gt;=Assumptions!$B$38,Assumptions!$C$38,Assumptions!$C$39)))</f>
        <v>0.04</v>
      </c>
      <c r="P82" s="28" t="n">
        <f aca="false">IF(H82&gt;=Assumptions!$B$44,Assumptions!$C$44,IF(H82&gt;=Assumptions!$B$45,Assumptions!$C$45,IF(H82&gt;=Assumptions!$B$46,Assumptions!$C$46,Assumptions!$C$47)))</f>
        <v>0.02</v>
      </c>
      <c r="Q82" s="24" t="n">
        <v>0</v>
      </c>
      <c r="R82" s="28" t="n">
        <f aca="false">Q82*Assumptions!$C$51</f>
        <v>0</v>
      </c>
      <c r="S82" s="27" t="n">
        <v>0</v>
      </c>
      <c r="T82" s="27" t="n">
        <v>0</v>
      </c>
      <c r="U82" s="27" t="n">
        <v>0</v>
      </c>
      <c r="V82" s="27" t="n">
        <v>0.006</v>
      </c>
      <c r="W82" s="27" t="n">
        <v>0.005</v>
      </c>
      <c r="X82" s="28" t="n">
        <f aca="false">P82+R82+SUM(S82:W82)</f>
        <v>0.031</v>
      </c>
      <c r="Y82" s="24" t="n">
        <v>0</v>
      </c>
      <c r="Z82" s="29" t="n">
        <f aca="false">LN(H82)</f>
        <v>8.09925056179696</v>
      </c>
      <c r="AA82" s="17" t="n">
        <f aca="false">ROUND(SUMIF(Lines!$B:$B,B82,Lines!$I:$I),2)</f>
        <v>382748</v>
      </c>
      <c r="AB82" s="17" t="n">
        <f aca="false">ROUND(SUMIF(Lines!$B:$B,B82,Lines!$L:$L),2)</f>
        <v>340179.1</v>
      </c>
      <c r="AC82" s="17" t="n">
        <f aca="false">ROUND(SUMIF(Lines!$B:$B,B82,Lines!$T:$T),2)</f>
        <v>329633.54</v>
      </c>
      <c r="AD82" s="17" t="n">
        <f aca="false">ROUND(SUMIF(Lines!$B:$B,B82,Lines!$U:$U),2)</f>
        <v>216596</v>
      </c>
      <c r="AE82" s="17" t="n">
        <f aca="false">ROUND(SUMIF(Lines!$B:$B,B82,Lines!$V:$V),2)</f>
        <v>6803.58</v>
      </c>
      <c r="AF82" s="17" t="n">
        <f aca="false">ROUND(AC82-AD82-AE82,2)</f>
        <v>106233.96</v>
      </c>
      <c r="AG82" s="26" t="n">
        <f aca="false">RANK(AC82,$AC$6:$AC$185)</f>
        <v>45</v>
      </c>
      <c r="AJ82" s="26" t="n">
        <f aca="false">IF(AND(H82&gt;=0.85*Assumptions!$B$44,H82&lt;Assumptions!$B$44),Assumptions!$B$44,IF(AND(H82&gt;=0.85*Assumptions!$B$45,H82&lt;Assumptions!$B$45),Assumptions!$B$45,IF(AND(H82&gt;=0.85*Assumptions!$B$46,H82&lt;Assumptions!$B$46),Assumptions!$B$46,0)))</f>
        <v>0</v>
      </c>
      <c r="AK82" s="26" t="n">
        <f aca="false">IF(AJ82=0,0,AJ82-H82)</f>
        <v>0</v>
      </c>
      <c r="AL82" s="28" t="n">
        <f aca="false">IF(AJ82=Assumptions!$B$44,Assumptions!$C$44,IF(AJ82=Assumptions!$B$45,Assumptions!$C$45,IF(AJ82=Assumptions!$B$46,Assumptions!$C$46,0)))</f>
        <v>0</v>
      </c>
      <c r="AM82" s="17" t="n">
        <f aca="false">IF(AJ82=0,0,AB82*(AL82-P82))</f>
        <v>0</v>
      </c>
      <c r="AN82" s="17" t="n">
        <f aca="false">ROUND(AN74+AM82,2)</f>
        <v>166704.9</v>
      </c>
      <c r="AO82" s="17" t="n">
        <f aca="false">SUMIF(Lines!$B$6:$B$463,$B82,Lines!$M$6:$M$463)</f>
        <v>6803.58</v>
      </c>
      <c r="AP82" s="17" t="n">
        <f aca="false">(AB82/H82)*(MAX(0,MIN(H82,Assumptions!$B$46)-Assumptions!$B$47)*Assumptions!$C$47+MAX(0,MIN(H82,Assumptions!$B$45)-Assumptions!$B$46)*Assumptions!$C$46+MAX(0,MIN(H82,Assumptions!$B$44)-Assumptions!$B$45)*Assumptions!$C$45+MAX(0,H82-Assumptions!$B$44)*Assumptions!$C$44)</f>
        <v>603.47689671932</v>
      </c>
      <c r="AQ82" s="17" t="n">
        <f aca="false">ROUND(SUMIF(Lines!$B:$B,B82,Lines!$N:$N),2)</f>
        <v>0</v>
      </c>
    </row>
    <row r="83" customFormat="false" ht="15" hidden="false" customHeight="false" outlineLevel="0" collapsed="false">
      <c r="B83" s="14" t="s">
        <v>232</v>
      </c>
      <c r="C83" s="14" t="s">
        <v>194</v>
      </c>
      <c r="D83" s="14" t="s">
        <v>227</v>
      </c>
      <c r="E83" s="24" t="n">
        <v>381</v>
      </c>
      <c r="F83" s="24" t="n">
        <v>0</v>
      </c>
      <c r="G83" s="24" t="n">
        <v>402</v>
      </c>
      <c r="H83" s="26" t="n">
        <f aca="false">SUM(E83:G83)</f>
        <v>783</v>
      </c>
      <c r="I83" s="24" t="n">
        <v>132</v>
      </c>
      <c r="J83" s="24" t="n">
        <v>6</v>
      </c>
      <c r="K83" s="27" t="n">
        <v>0.02</v>
      </c>
      <c r="L83" s="28" t="n">
        <f aca="false">MIN(Assumptions!$C$18,K83*Assumptions!$D$15)</f>
        <v>0.0124</v>
      </c>
      <c r="M83" s="28" t="n">
        <f aca="false">MIN(Assumptions!$C$18,K83*Assumptions!$D$16)</f>
        <v>0.026</v>
      </c>
      <c r="N83" s="28" t="n">
        <f aca="false">MIN(Assumptions!$C$18,K83*Assumptions!$D$17)</f>
        <v>0.0192</v>
      </c>
      <c r="O83" s="28" t="n">
        <f aca="false">IF(I83&gt;=Assumptions!$B$36,Assumptions!$C$36,IF(I83&gt;=Assumptions!$B$37,Assumptions!$C$37,IF(I83&gt;=Assumptions!$B$38,Assumptions!$C$38,Assumptions!$C$39)))</f>
        <v>0.02</v>
      </c>
      <c r="P83" s="28" t="n">
        <f aca="false">IF(H83&gt;=Assumptions!$B$44,Assumptions!$C$44,IF(H83&gt;=Assumptions!$B$45,Assumptions!$C$45,IF(H83&gt;=Assumptions!$B$46,Assumptions!$C$46,Assumptions!$C$47)))</f>
        <v>0</v>
      </c>
      <c r="Q83" s="24" t="n">
        <v>0</v>
      </c>
      <c r="R83" s="28" t="n">
        <f aca="false">Q83*Assumptions!$C$51</f>
        <v>0</v>
      </c>
      <c r="S83" s="27" t="n">
        <v>0</v>
      </c>
      <c r="T83" s="27" t="n">
        <v>0</v>
      </c>
      <c r="U83" s="27" t="n">
        <v>0</v>
      </c>
      <c r="V83" s="27" t="n">
        <v>0.006</v>
      </c>
      <c r="W83" s="27" t="n">
        <v>0</v>
      </c>
      <c r="X83" s="28" t="n">
        <f aca="false">P83+R83+SUM(S83:W83)</f>
        <v>0.006</v>
      </c>
      <c r="Y83" s="24" t="n">
        <v>0</v>
      </c>
      <c r="Z83" s="29" t="n">
        <f aca="false">LN(H83)</f>
        <v>6.6631326959908</v>
      </c>
      <c r="AA83" s="17" t="n">
        <f aca="false">ROUND(SUMIF(Lines!$B:$B,B83,Lines!$I:$I),2)</f>
        <v>94980</v>
      </c>
      <c r="AB83" s="17" t="n">
        <f aca="false">ROUND(SUMIF(Lines!$B:$B,B83,Lines!$L:$L),2)</f>
        <v>91640.22</v>
      </c>
      <c r="AC83" s="17" t="n">
        <f aca="false">ROUND(SUMIF(Lines!$B:$B,B83,Lines!$T:$T),2)</f>
        <v>91090.37</v>
      </c>
      <c r="AD83" s="17" t="n">
        <f aca="false">ROUND(SUMIF(Lines!$B:$B,B83,Lines!$U:$U),2)</f>
        <v>53034</v>
      </c>
      <c r="AE83" s="17" t="n">
        <f aca="false">ROUND(SUMIF(Lines!$B:$B,B83,Lines!$V:$V),2)</f>
        <v>1832.8</v>
      </c>
      <c r="AF83" s="17" t="n">
        <f aca="false">ROUND(AC83-AD83-AE83,2)</f>
        <v>36223.57</v>
      </c>
      <c r="AG83" s="26" t="n">
        <f aca="false">RANK(AC83,$AC$6:$AC$185)</f>
        <v>119</v>
      </c>
      <c r="AJ83" s="26" t="n">
        <f aca="false">IF(AND(H83&gt;=0.85*Assumptions!$B$44,H83&lt;Assumptions!$B$44),Assumptions!$B$44,IF(AND(H83&gt;=0.85*Assumptions!$B$45,H83&lt;Assumptions!$B$45),Assumptions!$B$45,IF(AND(H83&gt;=0.85*Assumptions!$B$46,H83&lt;Assumptions!$B$46),Assumptions!$B$46,0)))</f>
        <v>0</v>
      </c>
      <c r="AK83" s="26" t="n">
        <f aca="false">IF(AJ83=0,0,AJ83-H83)</f>
        <v>0</v>
      </c>
      <c r="AL83" s="28" t="n">
        <f aca="false">IF(AJ83=Assumptions!$B$44,Assumptions!$C$44,IF(AJ83=Assumptions!$B$45,Assumptions!$C$45,IF(AJ83=Assumptions!$B$46,Assumptions!$C$46,0)))</f>
        <v>0</v>
      </c>
      <c r="AM83" s="17" t="n">
        <f aca="false">IF(AJ83=0,0,AB83*(AL83-P83))</f>
        <v>0</v>
      </c>
      <c r="AN83" s="17" t="n">
        <f aca="false">ROUND(AN75+AM83,2)</f>
        <v>171110.19</v>
      </c>
      <c r="AO83" s="17" t="n">
        <f aca="false">SUMIF(Lines!$B$6:$B$463,$B83,Lines!$M$6:$M$463)</f>
        <v>0</v>
      </c>
      <c r="AP83" s="17" t="n">
        <f aca="false">(AB83/H83)*(MAX(0,MIN(H83,Assumptions!$B$46)-Assumptions!$B$47)*Assumptions!$C$47+MAX(0,MIN(H83,Assumptions!$B$45)-Assumptions!$B$46)*Assumptions!$C$46+MAX(0,MIN(H83,Assumptions!$B$44)-Assumptions!$B$45)*Assumptions!$C$45+MAX(0,H83-Assumptions!$B$44)*Assumptions!$C$44)</f>
        <v>0</v>
      </c>
      <c r="AQ83" s="17" t="n">
        <f aca="false">ROUND(SUMIF(Lines!$B:$B,B83,Lines!$N:$N),2)</f>
        <v>0</v>
      </c>
    </row>
    <row r="84" customFormat="false" ht="15" hidden="false" customHeight="false" outlineLevel="0" collapsed="false">
      <c r="B84" s="14" t="s">
        <v>233</v>
      </c>
      <c r="C84" s="14" t="s">
        <v>194</v>
      </c>
      <c r="D84" s="14" t="s">
        <v>227</v>
      </c>
      <c r="E84" s="24" t="n">
        <v>0</v>
      </c>
      <c r="F84" s="24" t="n">
        <v>1045</v>
      </c>
      <c r="G84" s="24" t="n">
        <v>677</v>
      </c>
      <c r="H84" s="26" t="n">
        <f aca="false">SUM(E84:G84)</f>
        <v>1722</v>
      </c>
      <c r="I84" s="24" t="n">
        <v>177</v>
      </c>
      <c r="J84" s="24" t="n">
        <v>10</v>
      </c>
      <c r="K84" s="27" t="n">
        <v>0.07</v>
      </c>
      <c r="L84" s="28" t="n">
        <f aca="false">MIN(Assumptions!$C$18,K84*Assumptions!$D$15)</f>
        <v>0.0434</v>
      </c>
      <c r="M84" s="28" t="n">
        <f aca="false">MIN(Assumptions!$C$18,K84*Assumptions!$D$16)</f>
        <v>0.091</v>
      </c>
      <c r="N84" s="28" t="n">
        <f aca="false">MIN(Assumptions!$C$18,K84*Assumptions!$D$17)</f>
        <v>0.0672</v>
      </c>
      <c r="O84" s="28" t="n">
        <f aca="false">IF(I84&gt;=Assumptions!$B$36,Assumptions!$C$36,IF(I84&gt;=Assumptions!$B$37,Assumptions!$C$37,IF(I84&gt;=Assumptions!$B$38,Assumptions!$C$38,Assumptions!$C$39)))</f>
        <v>0.02</v>
      </c>
      <c r="P84" s="28" t="n">
        <f aca="false">IF(H84&gt;=Assumptions!$B$44,Assumptions!$C$44,IF(H84&gt;=Assumptions!$B$45,Assumptions!$C$45,IF(H84&gt;=Assumptions!$B$46,Assumptions!$C$46,Assumptions!$C$47)))</f>
        <v>0</v>
      </c>
      <c r="Q84" s="24" t="n">
        <v>0</v>
      </c>
      <c r="R84" s="28" t="n">
        <f aca="false">Q84*Assumptions!$C$51</f>
        <v>0</v>
      </c>
      <c r="S84" s="27" t="n">
        <v>0.015</v>
      </c>
      <c r="T84" s="27" t="n">
        <v>0</v>
      </c>
      <c r="U84" s="27" t="n">
        <v>0</v>
      </c>
      <c r="V84" s="27" t="n">
        <v>0.006</v>
      </c>
      <c r="W84" s="27" t="n">
        <v>0</v>
      </c>
      <c r="X84" s="28" t="n">
        <f aca="false">P84+R84+SUM(S84:W84)</f>
        <v>0.021</v>
      </c>
      <c r="Y84" s="24" t="n">
        <v>0</v>
      </c>
      <c r="Z84" s="29" t="n">
        <f aca="false">LN(H84)</f>
        <v>7.45124168498768</v>
      </c>
      <c r="AA84" s="17" t="n">
        <f aca="false">ROUND(SUMIF(Lines!$B:$B,B84,Lines!$I:$I),2)</f>
        <v>129782</v>
      </c>
      <c r="AB84" s="17" t="n">
        <f aca="false">ROUND(SUMIF(Lines!$B:$B,B84,Lines!$L:$L),2)</f>
        <v>116923.01</v>
      </c>
      <c r="AC84" s="17" t="n">
        <f aca="false">ROUND(SUMIF(Lines!$B:$B,B84,Lines!$T:$T),2)</f>
        <v>114467.63</v>
      </c>
      <c r="AD84" s="17" t="n">
        <f aca="false">ROUND(SUMIF(Lines!$B:$B,B84,Lines!$U:$U),2)</f>
        <v>76886</v>
      </c>
      <c r="AE84" s="17" t="n">
        <f aca="false">ROUND(SUMIF(Lines!$B:$B,B84,Lines!$V:$V),2)</f>
        <v>2338.46</v>
      </c>
      <c r="AF84" s="17" t="n">
        <f aca="false">ROUND(AC84-AD84-AE84,2)</f>
        <v>35243.17</v>
      </c>
      <c r="AG84" s="26" t="n">
        <f aca="false">RANK(AC84,$AC$6:$AC$185)</f>
        <v>102</v>
      </c>
      <c r="AJ84" s="26" t="n">
        <f aca="false">IF(AND(H84&gt;=0.85*Assumptions!$B$44,H84&lt;Assumptions!$B$44),Assumptions!$B$44,IF(AND(H84&gt;=0.85*Assumptions!$B$45,H84&lt;Assumptions!$B$45),Assumptions!$B$45,IF(AND(H84&gt;=0.85*Assumptions!$B$46,H84&lt;Assumptions!$B$46),Assumptions!$B$46,0)))</f>
        <v>0</v>
      </c>
      <c r="AK84" s="26" t="n">
        <f aca="false">IF(AJ84=0,0,AJ84-H84)</f>
        <v>0</v>
      </c>
      <c r="AL84" s="28" t="n">
        <f aca="false">IF(AJ84=Assumptions!$B$44,Assumptions!$C$44,IF(AJ84=Assumptions!$B$45,Assumptions!$C$45,IF(AJ84=Assumptions!$B$46,Assumptions!$C$46,0)))</f>
        <v>0</v>
      </c>
      <c r="AM84" s="17" t="n">
        <f aca="false">IF(AJ84=0,0,AB84*(AL84-P84))</f>
        <v>0</v>
      </c>
      <c r="AN84" s="17" t="n">
        <f aca="false">ROUND(AN76+AM84,2)</f>
        <v>175350.28</v>
      </c>
      <c r="AO84" s="17" t="n">
        <f aca="false">SUMIF(Lines!$B$6:$B$463,$B84,Lines!$M$6:$M$463)</f>
        <v>0</v>
      </c>
      <c r="AP84" s="17" t="n">
        <f aca="false">(AB84/H84)*(MAX(0,MIN(H84,Assumptions!$B$46)-Assumptions!$B$47)*Assumptions!$C$47+MAX(0,MIN(H84,Assumptions!$B$45)-Assumptions!$B$46)*Assumptions!$C$46+MAX(0,MIN(H84,Assumptions!$B$44)-Assumptions!$B$45)*Assumptions!$C$45+MAX(0,H84-Assumptions!$B$44)*Assumptions!$C$44)</f>
        <v>0</v>
      </c>
      <c r="AQ84" s="17" t="n">
        <f aca="false">ROUND(SUMIF(Lines!$B:$B,B84,Lines!$N:$N),2)</f>
        <v>0</v>
      </c>
    </row>
    <row r="85" customFormat="false" ht="15" hidden="false" customHeight="false" outlineLevel="0" collapsed="false">
      <c r="B85" s="14" t="s">
        <v>234</v>
      </c>
      <c r="C85" s="14" t="s">
        <v>194</v>
      </c>
      <c r="D85" s="14" t="s">
        <v>235</v>
      </c>
      <c r="E85" s="24" t="n">
        <v>596</v>
      </c>
      <c r="F85" s="24" t="n">
        <v>1781</v>
      </c>
      <c r="G85" s="24" t="n">
        <v>921</v>
      </c>
      <c r="H85" s="26" t="n">
        <f aca="false">SUM(E85:G85)</f>
        <v>3298</v>
      </c>
      <c r="I85" s="24" t="n">
        <v>247</v>
      </c>
      <c r="J85" s="24" t="n">
        <v>13</v>
      </c>
      <c r="K85" s="27" t="n">
        <v>0</v>
      </c>
      <c r="L85" s="28" t="n">
        <f aca="false">MIN(Assumptions!$C$18,K85*Assumptions!$D$15)</f>
        <v>0</v>
      </c>
      <c r="M85" s="28" t="n">
        <f aca="false">MIN(Assumptions!$C$18,K85*Assumptions!$D$16)</f>
        <v>0</v>
      </c>
      <c r="N85" s="28" t="n">
        <f aca="false">MIN(Assumptions!$C$18,K85*Assumptions!$D$17)</f>
        <v>0</v>
      </c>
      <c r="O85" s="28" t="n">
        <f aca="false">IF(I85&gt;=Assumptions!$B$36,Assumptions!$C$36,IF(I85&gt;=Assumptions!$B$37,Assumptions!$C$37,IF(I85&gt;=Assumptions!$B$38,Assumptions!$C$38,Assumptions!$C$39)))</f>
        <v>0.04</v>
      </c>
      <c r="P85" s="28" t="n">
        <f aca="false">IF(H85&gt;=Assumptions!$B$44,Assumptions!$C$44,IF(H85&gt;=Assumptions!$B$45,Assumptions!$C$45,IF(H85&gt;=Assumptions!$B$46,Assumptions!$C$46,Assumptions!$C$47)))</f>
        <v>0.02</v>
      </c>
      <c r="Q85" s="24" t="n">
        <v>0</v>
      </c>
      <c r="R85" s="28" t="n">
        <f aca="false">Q85*Assumptions!$C$51</f>
        <v>0</v>
      </c>
      <c r="S85" s="27" t="n">
        <v>0</v>
      </c>
      <c r="T85" s="27" t="n">
        <v>0</v>
      </c>
      <c r="U85" s="27" t="n">
        <v>0</v>
      </c>
      <c r="V85" s="27" t="n">
        <v>0.006</v>
      </c>
      <c r="W85" s="27" t="n">
        <v>0.005</v>
      </c>
      <c r="X85" s="28" t="n">
        <f aca="false">P85+R85+SUM(S85:W85)</f>
        <v>0.031</v>
      </c>
      <c r="Y85" s="24" t="n">
        <v>0</v>
      </c>
      <c r="Z85" s="29" t="n">
        <f aca="false">LN(H85)</f>
        <v>8.10107150311954</v>
      </c>
      <c r="AA85" s="17" t="n">
        <f aca="false">ROUND(SUMIF(Lines!$B:$B,B85,Lines!$I:$I),2)</f>
        <v>287046</v>
      </c>
      <c r="AB85" s="17" t="n">
        <f aca="false">ROUND(SUMIF(Lines!$B:$B,B85,Lines!$L:$L),2)</f>
        <v>275564.16</v>
      </c>
      <c r="AC85" s="17" t="n">
        <f aca="false">ROUND(SUMIF(Lines!$B:$B,B85,Lines!$T:$T),2)</f>
        <v>267021.66</v>
      </c>
      <c r="AD85" s="17" t="n">
        <f aca="false">ROUND(SUMIF(Lines!$B:$B,B85,Lines!$U:$U),2)</f>
        <v>164022</v>
      </c>
      <c r="AE85" s="17" t="n">
        <f aca="false">ROUND(SUMIF(Lines!$B:$B,B85,Lines!$V:$V),2)</f>
        <v>5511.28</v>
      </c>
      <c r="AF85" s="17" t="n">
        <f aca="false">ROUND(AC85-AD85-AE85,2)</f>
        <v>97488.38</v>
      </c>
      <c r="AG85" s="26" t="n">
        <f aca="false">RANK(AC85,$AC$6:$AC$185)</f>
        <v>51</v>
      </c>
      <c r="AJ85" s="26" t="n">
        <f aca="false">IF(AND(H85&gt;=0.85*Assumptions!$B$44,H85&lt;Assumptions!$B$44),Assumptions!$B$44,IF(AND(H85&gt;=0.85*Assumptions!$B$45,H85&lt;Assumptions!$B$45),Assumptions!$B$45,IF(AND(H85&gt;=0.85*Assumptions!$B$46,H85&lt;Assumptions!$B$46),Assumptions!$B$46,0)))</f>
        <v>0</v>
      </c>
      <c r="AK85" s="26" t="n">
        <f aca="false">IF(AJ85=0,0,AJ85-H85)</f>
        <v>0</v>
      </c>
      <c r="AL85" s="28" t="n">
        <f aca="false">IF(AJ85=Assumptions!$B$44,Assumptions!$C$44,IF(AJ85=Assumptions!$B$45,Assumptions!$C$45,IF(AJ85=Assumptions!$B$46,Assumptions!$C$46,0)))</f>
        <v>0</v>
      </c>
      <c r="AM85" s="17" t="n">
        <f aca="false">IF(AJ85=0,0,AB85*(AL85-P85))</f>
        <v>0</v>
      </c>
      <c r="AN85" s="17" t="n">
        <f aca="false">ROUND(AN78+AM85,2)</f>
        <v>141995.03</v>
      </c>
      <c r="AO85" s="17" t="n">
        <f aca="false">SUMIF(Lines!$B$6:$B$463,$B85,Lines!$M$6:$M$463)</f>
        <v>5511.28</v>
      </c>
      <c r="AP85" s="17" t="n">
        <f aca="false">(AB85/H85)*(MAX(0,MIN(H85,Assumptions!$B$46)-Assumptions!$B$47)*Assumptions!$C$47+MAX(0,MIN(H85,Assumptions!$B$45)-Assumptions!$B$46)*Assumptions!$C$46+MAX(0,MIN(H85,Assumptions!$B$44)-Assumptions!$B$45)*Assumptions!$C$45+MAX(0,H85-Assumptions!$B$44)*Assumptions!$C$44)</f>
        <v>497.987384354154</v>
      </c>
      <c r="AQ85" s="17" t="n">
        <f aca="false">ROUND(SUMIF(Lines!$B:$B,B85,Lines!$N:$N),2)</f>
        <v>0</v>
      </c>
    </row>
    <row r="86" customFormat="false" ht="15" hidden="false" customHeight="false" outlineLevel="0" collapsed="false">
      <c r="B86" s="14" t="s">
        <v>236</v>
      </c>
      <c r="C86" s="14" t="s">
        <v>194</v>
      </c>
      <c r="D86" s="14" t="s">
        <v>235</v>
      </c>
      <c r="E86" s="24" t="n">
        <v>269</v>
      </c>
      <c r="F86" s="24" t="n">
        <v>871</v>
      </c>
      <c r="G86" s="24" t="n">
        <v>634</v>
      </c>
      <c r="H86" s="26" t="n">
        <f aca="false">SUM(E86:G86)</f>
        <v>1774</v>
      </c>
      <c r="I86" s="24" t="n">
        <v>210</v>
      </c>
      <c r="J86" s="24" t="n">
        <v>8</v>
      </c>
      <c r="K86" s="27" t="n">
        <v>0.07</v>
      </c>
      <c r="L86" s="28" t="n">
        <f aca="false">MIN(Assumptions!$C$18,K86*Assumptions!$D$15)</f>
        <v>0.0434</v>
      </c>
      <c r="M86" s="28" t="n">
        <f aca="false">MIN(Assumptions!$C$18,K86*Assumptions!$D$16)</f>
        <v>0.091</v>
      </c>
      <c r="N86" s="28" t="n">
        <f aca="false">MIN(Assumptions!$C$18,K86*Assumptions!$D$17)</f>
        <v>0.0672</v>
      </c>
      <c r="O86" s="28" t="n">
        <f aca="false">IF(I86&gt;=Assumptions!$B$36,Assumptions!$C$36,IF(I86&gt;=Assumptions!$B$37,Assumptions!$C$37,IF(I86&gt;=Assumptions!$B$38,Assumptions!$C$38,Assumptions!$C$39)))</f>
        <v>0.04</v>
      </c>
      <c r="P86" s="28" t="n">
        <f aca="false">IF(H86&gt;=Assumptions!$B$44,Assumptions!$C$44,IF(H86&gt;=Assumptions!$B$45,Assumptions!$C$45,IF(H86&gt;=Assumptions!$B$46,Assumptions!$C$46,Assumptions!$C$47)))</f>
        <v>0</v>
      </c>
      <c r="Q86" s="24" t="n">
        <v>1</v>
      </c>
      <c r="R86" s="28" t="n">
        <f aca="false">Q86*Assumptions!$C$51</f>
        <v>0.02</v>
      </c>
      <c r="S86" s="27" t="n">
        <v>0</v>
      </c>
      <c r="T86" s="27" t="n">
        <v>0</v>
      </c>
      <c r="U86" s="27" t="n">
        <v>0</v>
      </c>
      <c r="V86" s="27" t="n">
        <v>0.006</v>
      </c>
      <c r="W86" s="27" t="n">
        <v>0</v>
      </c>
      <c r="X86" s="28" t="n">
        <f aca="false">P86+R86+SUM(S86:W86)</f>
        <v>0.026</v>
      </c>
      <c r="Y86" s="24" t="n">
        <v>1</v>
      </c>
      <c r="Z86" s="29" t="n">
        <f aca="false">LN(H86)</f>
        <v>7.48099216286953</v>
      </c>
      <c r="AA86" s="17" t="n">
        <f aca="false">ROUND(SUMIF(Lines!$B:$B,B86,Lines!$I:$I),2)</f>
        <v>154678</v>
      </c>
      <c r="AB86" s="17" t="n">
        <f aca="false">ROUND(SUMIF(Lines!$B:$B,B86,Lines!$L:$L),2)</f>
        <v>137758.8</v>
      </c>
      <c r="AC86" s="17" t="n">
        <f aca="false">ROUND(SUMIF(Lines!$B:$B,B86,Lines!$T:$T),2)</f>
        <v>134177.07</v>
      </c>
      <c r="AD86" s="17" t="n">
        <f aca="false">ROUND(SUMIF(Lines!$B:$B,B86,Lines!$U:$U),2)</f>
        <v>89110</v>
      </c>
      <c r="AE86" s="17" t="n">
        <f aca="false">ROUND(SUMIF(Lines!$B:$B,B86,Lines!$V:$V),2)</f>
        <v>2755.17</v>
      </c>
      <c r="AF86" s="17" t="n">
        <f aca="false">ROUND(AC86-AD86-AE86,2)</f>
        <v>42311.9</v>
      </c>
      <c r="AG86" s="26" t="n">
        <f aca="false">RANK(AC86,$AC$6:$AC$185)</f>
        <v>96</v>
      </c>
      <c r="AJ86" s="26" t="n">
        <f aca="false">IF(AND(H86&gt;=0.85*Assumptions!$B$44,H86&lt;Assumptions!$B$44),Assumptions!$B$44,IF(AND(H86&gt;=0.85*Assumptions!$B$45,H86&lt;Assumptions!$B$45),Assumptions!$B$45,IF(AND(H86&gt;=0.85*Assumptions!$B$46,H86&lt;Assumptions!$B$46),Assumptions!$B$46,0)))</f>
        <v>0</v>
      </c>
      <c r="AK86" s="26" t="n">
        <f aca="false">IF(AJ86=0,0,AJ86-H86)</f>
        <v>0</v>
      </c>
      <c r="AL86" s="28" t="n">
        <f aca="false">IF(AJ86=Assumptions!$B$44,Assumptions!$C$44,IF(AJ86=Assumptions!$B$45,Assumptions!$C$45,IF(AJ86=Assumptions!$B$46,Assumptions!$C$46,0)))</f>
        <v>0</v>
      </c>
      <c r="AM86" s="17" t="n">
        <f aca="false">IF(AJ86=0,0,AB86*(AL86-P86))</f>
        <v>0</v>
      </c>
      <c r="AN86" s="17" t="n">
        <f aca="false">ROUND(AN79+AM86,2)</f>
        <v>146052.55</v>
      </c>
      <c r="AO86" s="17" t="n">
        <f aca="false">SUMIF(Lines!$B$6:$B$463,$B86,Lines!$M$6:$M$463)</f>
        <v>0</v>
      </c>
      <c r="AP86" s="17" t="n">
        <f aca="false">(AB86/H86)*(MAX(0,MIN(H86,Assumptions!$B$46)-Assumptions!$B$47)*Assumptions!$C$47+MAX(0,MIN(H86,Assumptions!$B$45)-Assumptions!$B$46)*Assumptions!$C$46+MAX(0,MIN(H86,Assumptions!$B$44)-Assumptions!$B$45)*Assumptions!$C$45+MAX(0,H86-Assumptions!$B$44)*Assumptions!$C$44)</f>
        <v>0</v>
      </c>
      <c r="AQ86" s="17" t="n">
        <f aca="false">ROUND(SUMIF(Lines!$B:$B,B86,Lines!$N:$N),2)</f>
        <v>2755.17</v>
      </c>
    </row>
    <row r="87" customFormat="false" ht="15" hidden="false" customHeight="false" outlineLevel="0" collapsed="false">
      <c r="B87" s="14" t="s">
        <v>237</v>
      </c>
      <c r="C87" s="14" t="s">
        <v>194</v>
      </c>
      <c r="D87" s="14" t="s">
        <v>235</v>
      </c>
      <c r="E87" s="24" t="n">
        <v>567</v>
      </c>
      <c r="F87" s="24" t="n">
        <v>1990</v>
      </c>
      <c r="G87" s="24" t="n">
        <v>837</v>
      </c>
      <c r="H87" s="26" t="n">
        <f aca="false">SUM(E87:G87)</f>
        <v>3394</v>
      </c>
      <c r="I87" s="24" t="n">
        <v>167</v>
      </c>
      <c r="J87" s="24" t="n">
        <v>20</v>
      </c>
      <c r="K87" s="27" t="n">
        <v>0.11</v>
      </c>
      <c r="L87" s="28" t="n">
        <f aca="false">MIN(Assumptions!$C$18,K87*Assumptions!$D$15)</f>
        <v>0.0682</v>
      </c>
      <c r="M87" s="28" t="n">
        <f aca="false">MIN(Assumptions!$C$18,K87*Assumptions!$D$16)</f>
        <v>0.143</v>
      </c>
      <c r="N87" s="28" t="n">
        <f aca="false">MIN(Assumptions!$C$18,K87*Assumptions!$D$17)</f>
        <v>0.1056</v>
      </c>
      <c r="O87" s="28" t="n">
        <f aca="false">IF(I87&gt;=Assumptions!$B$36,Assumptions!$C$36,IF(I87&gt;=Assumptions!$B$37,Assumptions!$C$37,IF(I87&gt;=Assumptions!$B$38,Assumptions!$C$38,Assumptions!$C$39)))</f>
        <v>0.02</v>
      </c>
      <c r="P87" s="28" t="n">
        <f aca="false">IF(H87&gt;=Assumptions!$B$44,Assumptions!$C$44,IF(H87&gt;=Assumptions!$B$45,Assumptions!$C$45,IF(H87&gt;=Assumptions!$B$46,Assumptions!$C$46,Assumptions!$C$47)))</f>
        <v>0.02</v>
      </c>
      <c r="Q87" s="24" t="n">
        <v>0</v>
      </c>
      <c r="R87" s="28" t="n">
        <f aca="false">Q87*Assumptions!$C$51</f>
        <v>0</v>
      </c>
      <c r="S87" s="27" t="n">
        <v>0.015</v>
      </c>
      <c r="T87" s="27" t="n">
        <v>0</v>
      </c>
      <c r="U87" s="27" t="n">
        <v>0</v>
      </c>
      <c r="V87" s="27" t="n">
        <v>0.006</v>
      </c>
      <c r="W87" s="27" t="n">
        <v>0</v>
      </c>
      <c r="X87" s="28" t="n">
        <f aca="false">P87+R87+SUM(S87:W87)</f>
        <v>0.041</v>
      </c>
      <c r="Y87" s="24" t="n">
        <v>0</v>
      </c>
      <c r="Z87" s="29" t="n">
        <f aca="false">LN(H87)</f>
        <v>8.12976444579417</v>
      </c>
      <c r="AA87" s="17" t="n">
        <f aca="false">ROUND(SUMIF(Lines!$B:$B,B87,Lines!$I:$I),2)</f>
        <v>287648</v>
      </c>
      <c r="AB87" s="17" t="n">
        <f aca="false">ROUND(SUMIF(Lines!$B:$B,B87,Lines!$L:$L),2)</f>
        <v>250043.46</v>
      </c>
      <c r="AC87" s="17" t="n">
        <f aca="false">ROUND(SUMIF(Lines!$B:$B,B87,Lines!$T:$T),2)</f>
        <v>239791.67</v>
      </c>
      <c r="AD87" s="17" t="n">
        <f aca="false">ROUND(SUMIF(Lines!$B:$B,B87,Lines!$U:$U),2)</f>
        <v>164412</v>
      </c>
      <c r="AE87" s="17" t="n">
        <f aca="false">ROUND(SUMIF(Lines!$B:$B,B87,Lines!$V:$V),2)</f>
        <v>5000.87</v>
      </c>
      <c r="AF87" s="17" t="n">
        <f aca="false">ROUND(AC87-AD87-AE87,2)</f>
        <v>70378.8</v>
      </c>
      <c r="AG87" s="26" t="n">
        <f aca="false">RANK(AC87,$AC$6:$AC$185)</f>
        <v>59</v>
      </c>
      <c r="AJ87" s="26" t="n">
        <f aca="false">IF(AND(H87&gt;=0.85*Assumptions!$B$44,H87&lt;Assumptions!$B$44),Assumptions!$B$44,IF(AND(H87&gt;=0.85*Assumptions!$B$45,H87&lt;Assumptions!$B$45),Assumptions!$B$45,IF(AND(H87&gt;=0.85*Assumptions!$B$46,H87&lt;Assumptions!$B$46),Assumptions!$B$46,0)))</f>
        <v>0</v>
      </c>
      <c r="AK87" s="26" t="n">
        <f aca="false">IF(AJ87=0,0,AJ87-H87)</f>
        <v>0</v>
      </c>
      <c r="AL87" s="28" t="n">
        <f aca="false">IF(AJ87=Assumptions!$B$44,Assumptions!$C$44,IF(AJ87=Assumptions!$B$45,Assumptions!$C$45,IF(AJ87=Assumptions!$B$46,Assumptions!$C$46,0)))</f>
        <v>0</v>
      </c>
      <c r="AM87" s="17" t="n">
        <f aca="false">IF(AJ87=0,0,AB87*(AL87-P87))</f>
        <v>0</v>
      </c>
      <c r="AN87" s="17" t="n">
        <f aca="false">ROUND(AN80+AM87,2)</f>
        <v>146052.55</v>
      </c>
      <c r="AO87" s="17" t="n">
        <f aca="false">SUMIF(Lines!$B$6:$B$463,$B87,Lines!$M$6:$M$463)</f>
        <v>5000.87</v>
      </c>
      <c r="AP87" s="17" t="n">
        <f aca="false">(AB87/H87)*(MAX(0,MIN(H87,Assumptions!$B$46)-Assumptions!$B$47)*Assumptions!$C$47+MAX(0,MIN(H87,Assumptions!$B$45)-Assumptions!$B$46)*Assumptions!$C$46+MAX(0,MIN(H87,Assumptions!$B$44)-Assumptions!$B$45)*Assumptions!$C$45+MAX(0,H87-Assumptions!$B$44)*Assumptions!$C$44)</f>
        <v>580.536966647024</v>
      </c>
      <c r="AQ87" s="17" t="n">
        <f aca="false">ROUND(SUMIF(Lines!$B:$B,B87,Lines!$N:$N),2)</f>
        <v>0</v>
      </c>
    </row>
    <row r="88" customFormat="false" ht="15" hidden="false" customHeight="false" outlineLevel="0" collapsed="false">
      <c r="B88" s="14" t="s">
        <v>238</v>
      </c>
      <c r="C88" s="14" t="s">
        <v>194</v>
      </c>
      <c r="D88" s="14" t="s">
        <v>235</v>
      </c>
      <c r="E88" s="24" t="n">
        <v>885</v>
      </c>
      <c r="F88" s="24" t="n">
        <v>2047</v>
      </c>
      <c r="G88" s="24" t="n">
        <v>0</v>
      </c>
      <c r="H88" s="26" t="n">
        <f aca="false">SUM(E88:G88)</f>
        <v>2932</v>
      </c>
      <c r="I88" s="24" t="n">
        <v>324</v>
      </c>
      <c r="J88" s="24" t="n">
        <v>9</v>
      </c>
      <c r="K88" s="27" t="n">
        <v>0.03</v>
      </c>
      <c r="L88" s="28" t="n">
        <f aca="false">MIN(Assumptions!$C$18,K88*Assumptions!$D$15)</f>
        <v>0.0186</v>
      </c>
      <c r="M88" s="28" t="n">
        <f aca="false">MIN(Assumptions!$C$18,K88*Assumptions!$D$16)</f>
        <v>0.039</v>
      </c>
      <c r="N88" s="28" t="n">
        <f aca="false">MIN(Assumptions!$C$18,K88*Assumptions!$D$17)</f>
        <v>0.0288</v>
      </c>
      <c r="O88" s="28" t="n">
        <f aca="false">IF(I88&gt;=Assumptions!$B$36,Assumptions!$C$36,IF(I88&gt;=Assumptions!$B$37,Assumptions!$C$37,IF(I88&gt;=Assumptions!$B$38,Assumptions!$C$38,Assumptions!$C$39)))</f>
        <v>0.04</v>
      </c>
      <c r="P88" s="28" t="n">
        <f aca="false">IF(H88&gt;=Assumptions!$B$44,Assumptions!$C$44,IF(H88&gt;=Assumptions!$B$45,Assumptions!$C$45,IF(H88&gt;=Assumptions!$B$46,Assumptions!$C$46,Assumptions!$C$47)))</f>
        <v>0</v>
      </c>
      <c r="Q88" s="24" t="n">
        <v>0</v>
      </c>
      <c r="R88" s="28" t="n">
        <f aca="false">Q88*Assumptions!$C$51</f>
        <v>0</v>
      </c>
      <c r="S88" s="27" t="n">
        <v>0.015</v>
      </c>
      <c r="T88" s="27" t="n">
        <v>0</v>
      </c>
      <c r="U88" s="27" t="n">
        <v>0</v>
      </c>
      <c r="V88" s="27" t="n">
        <v>0.006</v>
      </c>
      <c r="W88" s="27" t="n">
        <v>0</v>
      </c>
      <c r="X88" s="28" t="n">
        <f aca="false">P88+R88+SUM(S88:W88)</f>
        <v>0.021</v>
      </c>
      <c r="Y88" s="24" t="n">
        <v>0</v>
      </c>
      <c r="Z88" s="29" t="n">
        <f aca="false">LN(H88)</f>
        <v>7.98344006300654</v>
      </c>
      <c r="AA88" s="17" t="n">
        <f aca="false">ROUND(SUMIF(Lines!$B:$B,B88,Lines!$I:$I),2)</f>
        <v>257894</v>
      </c>
      <c r="AB88" s="17" t="n">
        <f aca="false">ROUND(SUMIF(Lines!$B:$B,B88,Lines!$L:$L),2)</f>
        <v>240192.36</v>
      </c>
      <c r="AC88" s="17" t="n">
        <f aca="false">ROUND(SUMIF(Lines!$B:$B,B88,Lines!$T:$T),2)</f>
        <v>235148.31</v>
      </c>
      <c r="AD88" s="17" t="n">
        <f aca="false">ROUND(SUMIF(Lines!$B:$B,B88,Lines!$U:$U),2)</f>
        <v>142722</v>
      </c>
      <c r="AE88" s="17" t="n">
        <f aca="false">ROUND(SUMIF(Lines!$B:$B,B88,Lines!$V:$V),2)</f>
        <v>4803.85</v>
      </c>
      <c r="AF88" s="17" t="n">
        <f aca="false">ROUND(AC88-AD88-AE88,2)</f>
        <v>87622.46</v>
      </c>
      <c r="AG88" s="26" t="n">
        <f aca="false">RANK(AC88,$AC$6:$AC$185)</f>
        <v>61</v>
      </c>
      <c r="AJ88" s="26" t="n">
        <f aca="false">IF(AND(H88&gt;=0.85*Assumptions!$B$44,H88&lt;Assumptions!$B$44),Assumptions!$B$44,IF(AND(H88&gt;=0.85*Assumptions!$B$45,H88&lt;Assumptions!$B$45),Assumptions!$B$45,IF(AND(H88&gt;=0.85*Assumptions!$B$46,H88&lt;Assumptions!$B$46),Assumptions!$B$46,0)))</f>
        <v>3000</v>
      </c>
      <c r="AK88" s="26" t="n">
        <f aca="false">IF(AJ88=0,0,AJ88-H88)</f>
        <v>68</v>
      </c>
      <c r="AL88" s="28" t="n">
        <f aca="false">IF(AJ88=Assumptions!$B$44,Assumptions!$C$44,IF(AJ88=Assumptions!$B$45,Assumptions!$C$45,IF(AJ88=Assumptions!$B$46,Assumptions!$C$46,0)))</f>
        <v>0.02</v>
      </c>
      <c r="AM88" s="17" t="n">
        <f aca="false">IF(AJ88=0,0,AB88*(AL88-P88))</f>
        <v>4803.8472</v>
      </c>
      <c r="AN88" s="17" t="n">
        <f aca="false">ROUND(AN81+AM88,2)</f>
        <v>155000.84</v>
      </c>
      <c r="AO88" s="17" t="n">
        <f aca="false">SUMIF(Lines!$B$6:$B$463,$B88,Lines!$M$6:$M$463)</f>
        <v>0</v>
      </c>
      <c r="AP88" s="17" t="n">
        <f aca="false">(AB88/H88)*(MAX(0,MIN(H88,Assumptions!$B$46)-Assumptions!$B$47)*Assumptions!$C$47+MAX(0,MIN(H88,Assumptions!$B$45)-Assumptions!$B$46)*Assumptions!$C$46+MAX(0,MIN(H88,Assumptions!$B$44)-Assumptions!$B$45)*Assumptions!$C$45+MAX(0,H88-Assumptions!$B$44)*Assumptions!$C$44)</f>
        <v>0</v>
      </c>
      <c r="AQ88" s="17" t="n">
        <f aca="false">ROUND(SUMIF(Lines!$B:$B,B88,Lines!$N:$N),2)</f>
        <v>0</v>
      </c>
    </row>
    <row r="89" customFormat="false" ht="15" hidden="false" customHeight="false" outlineLevel="0" collapsed="false">
      <c r="B89" s="14" t="s">
        <v>239</v>
      </c>
      <c r="C89" s="14" t="s">
        <v>194</v>
      </c>
      <c r="D89" s="14" t="s">
        <v>235</v>
      </c>
      <c r="E89" s="24" t="n">
        <v>535</v>
      </c>
      <c r="F89" s="24" t="n">
        <v>1483</v>
      </c>
      <c r="G89" s="24" t="n">
        <v>631</v>
      </c>
      <c r="H89" s="26" t="n">
        <f aca="false">SUM(E89:G89)</f>
        <v>2649</v>
      </c>
      <c r="I89" s="24" t="n">
        <v>116</v>
      </c>
      <c r="J89" s="24" t="n">
        <v>23</v>
      </c>
      <c r="K89" s="27" t="n">
        <v>0.03</v>
      </c>
      <c r="L89" s="28" t="n">
        <f aca="false">MIN(Assumptions!$C$18,K89*Assumptions!$D$15)</f>
        <v>0.0186</v>
      </c>
      <c r="M89" s="28" t="n">
        <f aca="false">MIN(Assumptions!$C$18,K89*Assumptions!$D$16)</f>
        <v>0.039</v>
      </c>
      <c r="N89" s="28" t="n">
        <f aca="false">MIN(Assumptions!$C$18,K89*Assumptions!$D$17)</f>
        <v>0.0288</v>
      </c>
      <c r="O89" s="28" t="n">
        <f aca="false">IF(I89&gt;=Assumptions!$B$36,Assumptions!$C$36,IF(I89&gt;=Assumptions!$B$37,Assumptions!$C$37,IF(I89&gt;=Assumptions!$B$38,Assumptions!$C$38,Assumptions!$C$39)))</f>
        <v>0.02</v>
      </c>
      <c r="P89" s="28" t="n">
        <f aca="false">IF(H89&gt;=Assumptions!$B$44,Assumptions!$C$44,IF(H89&gt;=Assumptions!$B$45,Assumptions!$C$45,IF(H89&gt;=Assumptions!$B$46,Assumptions!$C$46,Assumptions!$C$47)))</f>
        <v>0</v>
      </c>
      <c r="Q89" s="24" t="n">
        <v>1</v>
      </c>
      <c r="R89" s="28" t="n">
        <f aca="false">Q89*Assumptions!$C$51</f>
        <v>0.02</v>
      </c>
      <c r="S89" s="27" t="n">
        <v>0.015</v>
      </c>
      <c r="T89" s="27" t="n">
        <v>0</v>
      </c>
      <c r="U89" s="27" t="n">
        <v>0</v>
      </c>
      <c r="V89" s="27" t="n">
        <v>0.006</v>
      </c>
      <c r="W89" s="27" t="n">
        <v>0.005</v>
      </c>
      <c r="X89" s="28" t="n">
        <f aca="false">P89+R89+SUM(S89:W89)</f>
        <v>0.046</v>
      </c>
      <c r="Y89" s="24" t="n">
        <v>0</v>
      </c>
      <c r="Z89" s="29" t="n">
        <f aca="false">LN(H89)</f>
        <v>7.88193748927207</v>
      </c>
      <c r="AA89" s="17" t="n">
        <f aca="false">ROUND(SUMIF(Lines!$B:$B,B89,Lines!$I:$I),2)</f>
        <v>231702</v>
      </c>
      <c r="AB89" s="17" t="n">
        <f aca="false">ROUND(SUMIF(Lines!$B:$B,B89,Lines!$L:$L),2)</f>
        <v>220264.73</v>
      </c>
      <c r="AC89" s="17" t="n">
        <f aca="false">ROUND(SUMIF(Lines!$B:$B,B89,Lines!$T:$T),2)</f>
        <v>210132.55</v>
      </c>
      <c r="AD89" s="17" t="n">
        <f aca="false">ROUND(SUMIF(Lines!$B:$B,B89,Lines!$U:$U),2)</f>
        <v>131716</v>
      </c>
      <c r="AE89" s="17" t="n">
        <f aca="false">ROUND(SUMIF(Lines!$B:$B,B89,Lines!$V:$V),2)</f>
        <v>4405.29</v>
      </c>
      <c r="AF89" s="17" t="n">
        <f aca="false">ROUND(AC89-AD89-AE89,2)</f>
        <v>74011.26</v>
      </c>
      <c r="AG89" s="26" t="n">
        <f aca="false">RANK(AC89,$AC$6:$AC$185)</f>
        <v>66</v>
      </c>
      <c r="AJ89" s="26" t="n">
        <f aca="false">IF(AND(H89&gt;=0.85*Assumptions!$B$44,H89&lt;Assumptions!$B$44),Assumptions!$B$44,IF(AND(H89&gt;=0.85*Assumptions!$B$45,H89&lt;Assumptions!$B$45),Assumptions!$B$45,IF(AND(H89&gt;=0.85*Assumptions!$B$46,H89&lt;Assumptions!$B$46),Assumptions!$B$46,0)))</f>
        <v>3000</v>
      </c>
      <c r="AK89" s="26" t="n">
        <f aca="false">IF(AJ89=0,0,AJ89-H89)</f>
        <v>351</v>
      </c>
      <c r="AL89" s="28" t="n">
        <f aca="false">IF(AJ89=Assumptions!$B$44,Assumptions!$C$44,IF(AJ89=Assumptions!$B$45,Assumptions!$C$45,IF(AJ89=Assumptions!$B$46,Assumptions!$C$46,0)))</f>
        <v>0.02</v>
      </c>
      <c r="AM89" s="17" t="n">
        <f aca="false">IF(AJ89=0,0,AB89*(AL89-P89))</f>
        <v>4405.2946</v>
      </c>
      <c r="AN89" s="17" t="n">
        <f aca="false">ROUND(AN82+AM89,2)</f>
        <v>171110.19</v>
      </c>
      <c r="AO89" s="17" t="n">
        <f aca="false">SUMIF(Lines!$B$6:$B$463,$B89,Lines!$M$6:$M$463)</f>
        <v>0</v>
      </c>
      <c r="AP89" s="17" t="n">
        <f aca="false">(AB89/H89)*(MAX(0,MIN(H89,Assumptions!$B$46)-Assumptions!$B$47)*Assumptions!$C$47+MAX(0,MIN(H89,Assumptions!$B$45)-Assumptions!$B$46)*Assumptions!$C$46+MAX(0,MIN(H89,Assumptions!$B$44)-Assumptions!$B$45)*Assumptions!$C$45+MAX(0,H89-Assumptions!$B$44)*Assumptions!$C$44)</f>
        <v>0</v>
      </c>
      <c r="AQ89" s="17" t="n">
        <f aca="false">ROUND(SUMIF(Lines!$B:$B,B89,Lines!$N:$N),2)</f>
        <v>4405.29</v>
      </c>
    </row>
    <row r="90" customFormat="false" ht="15" hidden="false" customHeight="false" outlineLevel="0" collapsed="false">
      <c r="B90" s="14" t="s">
        <v>240</v>
      </c>
      <c r="C90" s="14" t="s">
        <v>194</v>
      </c>
      <c r="D90" s="14" t="s">
        <v>235</v>
      </c>
      <c r="E90" s="24" t="n">
        <v>222</v>
      </c>
      <c r="F90" s="24" t="n">
        <v>1210</v>
      </c>
      <c r="G90" s="24" t="n">
        <v>0</v>
      </c>
      <c r="H90" s="26" t="n">
        <f aca="false">SUM(E90:G90)</f>
        <v>1432</v>
      </c>
      <c r="I90" s="24" t="n">
        <v>262</v>
      </c>
      <c r="J90" s="24" t="n">
        <v>5</v>
      </c>
      <c r="K90" s="27" t="n">
        <v>0.1</v>
      </c>
      <c r="L90" s="28" t="n">
        <f aca="false">MIN(Assumptions!$C$18,K90*Assumptions!$D$15)</f>
        <v>0.062</v>
      </c>
      <c r="M90" s="28" t="n">
        <f aca="false">MIN(Assumptions!$C$18,K90*Assumptions!$D$16)</f>
        <v>0.13</v>
      </c>
      <c r="N90" s="28" t="n">
        <f aca="false">MIN(Assumptions!$C$18,K90*Assumptions!$D$17)</f>
        <v>0.096</v>
      </c>
      <c r="O90" s="28" t="n">
        <f aca="false">IF(I90&gt;=Assumptions!$B$36,Assumptions!$C$36,IF(I90&gt;=Assumptions!$B$37,Assumptions!$C$37,IF(I90&gt;=Assumptions!$B$38,Assumptions!$C$38,Assumptions!$C$39)))</f>
        <v>0.04</v>
      </c>
      <c r="P90" s="28" t="n">
        <f aca="false">IF(H90&gt;=Assumptions!$B$44,Assumptions!$C$44,IF(H90&gt;=Assumptions!$B$45,Assumptions!$C$45,IF(H90&gt;=Assumptions!$B$46,Assumptions!$C$46,Assumptions!$C$47)))</f>
        <v>0</v>
      </c>
      <c r="Q90" s="24" t="n">
        <v>1</v>
      </c>
      <c r="R90" s="28" t="n">
        <f aca="false">Q90*Assumptions!$C$51</f>
        <v>0.02</v>
      </c>
      <c r="S90" s="27" t="n">
        <v>0.015</v>
      </c>
      <c r="T90" s="27" t="n">
        <v>0</v>
      </c>
      <c r="U90" s="27" t="n">
        <v>0</v>
      </c>
      <c r="V90" s="27" t="n">
        <v>0.006</v>
      </c>
      <c r="W90" s="27" t="n">
        <v>0.005</v>
      </c>
      <c r="X90" s="28" t="n">
        <f aca="false">P90+R90+SUM(S90:W90)</f>
        <v>0.046</v>
      </c>
      <c r="Y90" s="24" t="n">
        <v>0</v>
      </c>
      <c r="Z90" s="29" t="n">
        <f aca="false">LN(H90)</f>
        <v>7.26682734752059</v>
      </c>
      <c r="AA90" s="17" t="n">
        <f aca="false">ROUND(SUMIF(Lines!$B:$B,B90,Lines!$I:$I),2)</f>
        <v>107876</v>
      </c>
      <c r="AB90" s="17" t="n">
        <f aca="false">ROUND(SUMIF(Lines!$B:$B,B90,Lines!$L:$L),2)</f>
        <v>91771.29</v>
      </c>
      <c r="AC90" s="17" t="n">
        <f aca="false">ROUND(SUMIF(Lines!$B:$B,B90,Lines!$T:$T),2)</f>
        <v>87549.82</v>
      </c>
      <c r="AD90" s="17" t="n">
        <f aca="false">ROUND(SUMIF(Lines!$B:$B,B90,Lines!$U:$U),2)</f>
        <v>60876</v>
      </c>
      <c r="AE90" s="17" t="n">
        <f aca="false">ROUND(SUMIF(Lines!$B:$B,B90,Lines!$V:$V),2)</f>
        <v>1835.42</v>
      </c>
      <c r="AF90" s="17" t="n">
        <f aca="false">ROUND(AC90-AD90-AE90,2)</f>
        <v>24838.4</v>
      </c>
      <c r="AG90" s="26" t="n">
        <f aca="false">RANK(AC90,$AC$6:$AC$185)</f>
        <v>123</v>
      </c>
      <c r="AJ90" s="26" t="n">
        <f aca="false">IF(AND(H90&gt;=0.85*Assumptions!$B$44,H90&lt;Assumptions!$B$44),Assumptions!$B$44,IF(AND(H90&gt;=0.85*Assumptions!$B$45,H90&lt;Assumptions!$B$45),Assumptions!$B$45,IF(AND(H90&gt;=0.85*Assumptions!$B$46,H90&lt;Assumptions!$B$46),Assumptions!$B$46,0)))</f>
        <v>0</v>
      </c>
      <c r="AK90" s="26" t="n">
        <f aca="false">IF(AJ90=0,0,AJ90-H90)</f>
        <v>0</v>
      </c>
      <c r="AL90" s="28" t="n">
        <f aca="false">IF(AJ90=Assumptions!$B$44,Assumptions!$C$44,IF(AJ90=Assumptions!$B$45,Assumptions!$C$45,IF(AJ90=Assumptions!$B$46,Assumptions!$C$46,0)))</f>
        <v>0</v>
      </c>
      <c r="AM90" s="17" t="n">
        <f aca="false">IF(AJ90=0,0,AB90*(AL90-P90))</f>
        <v>0</v>
      </c>
      <c r="AN90" s="17" t="n">
        <f aca="false">ROUND(AN83+AM90,2)</f>
        <v>171110.19</v>
      </c>
      <c r="AO90" s="17" t="n">
        <f aca="false">SUMIF(Lines!$B$6:$B$463,$B90,Lines!$M$6:$M$463)</f>
        <v>0</v>
      </c>
      <c r="AP90" s="17" t="n">
        <f aca="false">(AB90/H90)*(MAX(0,MIN(H90,Assumptions!$B$46)-Assumptions!$B$47)*Assumptions!$C$47+MAX(0,MIN(H90,Assumptions!$B$45)-Assumptions!$B$46)*Assumptions!$C$46+MAX(0,MIN(H90,Assumptions!$B$44)-Assumptions!$B$45)*Assumptions!$C$45+MAX(0,H90-Assumptions!$B$44)*Assumptions!$C$44)</f>
        <v>0</v>
      </c>
      <c r="AQ90" s="17" t="n">
        <f aca="false">ROUND(SUMIF(Lines!$B:$B,B90,Lines!$N:$N),2)</f>
        <v>1835.42</v>
      </c>
    </row>
    <row r="91" customFormat="false" ht="15" hidden="false" customHeight="false" outlineLevel="0" collapsed="false">
      <c r="B91" s="14" t="s">
        <v>241</v>
      </c>
      <c r="C91" s="14" t="s">
        <v>194</v>
      </c>
      <c r="D91" s="14" t="s">
        <v>235</v>
      </c>
      <c r="E91" s="24" t="n">
        <v>0</v>
      </c>
      <c r="F91" s="24" t="n">
        <v>891</v>
      </c>
      <c r="G91" s="24" t="n">
        <v>426</v>
      </c>
      <c r="H91" s="26" t="n">
        <f aca="false">SUM(E91:G91)</f>
        <v>1317</v>
      </c>
      <c r="I91" s="24" t="n">
        <v>193</v>
      </c>
      <c r="J91" s="24" t="n">
        <v>7</v>
      </c>
      <c r="K91" s="27" t="n">
        <v>0.065</v>
      </c>
      <c r="L91" s="28" t="n">
        <f aca="false">MIN(Assumptions!$C$18,K91*Assumptions!$D$15)</f>
        <v>0.0403</v>
      </c>
      <c r="M91" s="28" t="n">
        <f aca="false">MIN(Assumptions!$C$18,K91*Assumptions!$D$16)</f>
        <v>0.0845</v>
      </c>
      <c r="N91" s="28" t="n">
        <f aca="false">MIN(Assumptions!$C$18,K91*Assumptions!$D$17)</f>
        <v>0.0624</v>
      </c>
      <c r="O91" s="28" t="n">
        <f aca="false">IF(I91&gt;=Assumptions!$B$36,Assumptions!$C$36,IF(I91&gt;=Assumptions!$B$37,Assumptions!$C$37,IF(I91&gt;=Assumptions!$B$38,Assumptions!$C$38,Assumptions!$C$39)))</f>
        <v>0.02</v>
      </c>
      <c r="P91" s="28" t="n">
        <f aca="false">IF(H91&gt;=Assumptions!$B$44,Assumptions!$C$44,IF(H91&gt;=Assumptions!$B$45,Assumptions!$C$45,IF(H91&gt;=Assumptions!$B$46,Assumptions!$C$46,Assumptions!$C$47)))</f>
        <v>0</v>
      </c>
      <c r="Q91" s="24" t="n">
        <v>0</v>
      </c>
      <c r="R91" s="28" t="n">
        <f aca="false">Q91*Assumptions!$C$51</f>
        <v>0</v>
      </c>
      <c r="S91" s="27" t="n">
        <v>0</v>
      </c>
      <c r="T91" s="27" t="n">
        <v>0</v>
      </c>
      <c r="U91" s="27" t="n">
        <v>0</v>
      </c>
      <c r="V91" s="27" t="n">
        <v>0.006</v>
      </c>
      <c r="W91" s="27" t="n">
        <v>0</v>
      </c>
      <c r="X91" s="28" t="n">
        <f aca="false">P91+R91+SUM(S91:W91)</f>
        <v>0.006</v>
      </c>
      <c r="Y91" s="24" t="n">
        <v>0</v>
      </c>
      <c r="Z91" s="29" t="n">
        <f aca="false">LN(H91)</f>
        <v>7.18311170174328</v>
      </c>
      <c r="AA91" s="17" t="n">
        <f aca="false">ROUND(SUMIF(Lines!$B:$B,B91,Lines!$I:$I),2)</f>
        <v>96138</v>
      </c>
      <c r="AB91" s="17" t="n">
        <f aca="false">ROUND(SUMIF(Lines!$B:$B,B91,Lines!$L:$L),2)</f>
        <v>86995.38</v>
      </c>
      <c r="AC91" s="17" t="n">
        <f aca="false">ROUND(SUMIF(Lines!$B:$B,B91,Lines!$T:$T),2)</f>
        <v>86473.4</v>
      </c>
      <c r="AD91" s="17" t="n">
        <f aca="false">ROUND(SUMIF(Lines!$B:$B,B91,Lines!$U:$U),2)</f>
        <v>56784</v>
      </c>
      <c r="AE91" s="17" t="n">
        <f aca="false">ROUND(SUMIF(Lines!$B:$B,B91,Lines!$V:$V),2)</f>
        <v>1739.9</v>
      </c>
      <c r="AF91" s="17" t="n">
        <f aca="false">ROUND(AC91-AD91-AE91,2)</f>
        <v>27949.5</v>
      </c>
      <c r="AG91" s="26" t="n">
        <f aca="false">RANK(AC91,$AC$6:$AC$185)</f>
        <v>126</v>
      </c>
      <c r="AJ91" s="26" t="n">
        <f aca="false">IF(AND(H91&gt;=0.85*Assumptions!$B$44,H91&lt;Assumptions!$B$44),Assumptions!$B$44,IF(AND(H91&gt;=0.85*Assumptions!$B$45,H91&lt;Assumptions!$B$45),Assumptions!$B$45,IF(AND(H91&gt;=0.85*Assumptions!$B$46,H91&lt;Assumptions!$B$46),Assumptions!$B$46,0)))</f>
        <v>0</v>
      </c>
      <c r="AK91" s="26" t="n">
        <f aca="false">IF(AJ91=0,0,AJ91-H91)</f>
        <v>0</v>
      </c>
      <c r="AL91" s="28" t="n">
        <f aca="false">IF(AJ91=Assumptions!$B$44,Assumptions!$C$44,IF(AJ91=Assumptions!$B$45,Assumptions!$C$45,IF(AJ91=Assumptions!$B$46,Assumptions!$C$46,0)))</f>
        <v>0</v>
      </c>
      <c r="AM91" s="17" t="n">
        <f aca="false">IF(AJ91=0,0,AB91*(AL91-P91))</f>
        <v>0</v>
      </c>
      <c r="AN91" s="17" t="n">
        <f aca="false">ROUND(AN84+AM91,2)</f>
        <v>175350.28</v>
      </c>
      <c r="AO91" s="17" t="n">
        <f aca="false">SUMIF(Lines!$B$6:$B$463,$B91,Lines!$M$6:$M$463)</f>
        <v>0</v>
      </c>
      <c r="AP91" s="17" t="n">
        <f aca="false">(AB91/H91)*(MAX(0,MIN(H91,Assumptions!$B$46)-Assumptions!$B$47)*Assumptions!$C$47+MAX(0,MIN(H91,Assumptions!$B$45)-Assumptions!$B$46)*Assumptions!$C$46+MAX(0,MIN(H91,Assumptions!$B$44)-Assumptions!$B$45)*Assumptions!$C$45+MAX(0,H91-Assumptions!$B$44)*Assumptions!$C$44)</f>
        <v>0</v>
      </c>
      <c r="AQ91" s="17" t="n">
        <f aca="false">ROUND(SUMIF(Lines!$B:$B,B91,Lines!$N:$N),2)</f>
        <v>0</v>
      </c>
    </row>
    <row r="92" customFormat="false" ht="15" hidden="false" customHeight="false" outlineLevel="0" collapsed="false">
      <c r="B92" s="14" t="s">
        <v>242</v>
      </c>
      <c r="C92" s="14" t="s">
        <v>194</v>
      </c>
      <c r="D92" s="14" t="s">
        <v>243</v>
      </c>
      <c r="E92" s="24" t="n">
        <v>627</v>
      </c>
      <c r="F92" s="24" t="n">
        <v>0</v>
      </c>
      <c r="G92" s="24" t="n">
        <v>651</v>
      </c>
      <c r="H92" s="26" t="n">
        <f aca="false">SUM(E92:G92)</f>
        <v>1278</v>
      </c>
      <c r="I92" s="24" t="n">
        <v>261</v>
      </c>
      <c r="J92" s="24" t="n">
        <v>5</v>
      </c>
      <c r="K92" s="27" t="n">
        <v>0</v>
      </c>
      <c r="L92" s="28" t="n">
        <f aca="false">MIN(Assumptions!$C$18,K92*Assumptions!$D$15)</f>
        <v>0</v>
      </c>
      <c r="M92" s="28" t="n">
        <f aca="false">MIN(Assumptions!$C$18,K92*Assumptions!$D$16)</f>
        <v>0</v>
      </c>
      <c r="N92" s="28" t="n">
        <f aca="false">MIN(Assumptions!$C$18,K92*Assumptions!$D$17)</f>
        <v>0</v>
      </c>
      <c r="O92" s="28" t="n">
        <f aca="false">IF(I92&gt;=Assumptions!$B$36,Assumptions!$C$36,IF(I92&gt;=Assumptions!$B$37,Assumptions!$C$37,IF(I92&gt;=Assumptions!$B$38,Assumptions!$C$38,Assumptions!$C$39)))</f>
        <v>0.04</v>
      </c>
      <c r="P92" s="28" t="n">
        <f aca="false">IF(H92&gt;=Assumptions!$B$44,Assumptions!$C$44,IF(H92&gt;=Assumptions!$B$45,Assumptions!$C$45,IF(H92&gt;=Assumptions!$B$46,Assumptions!$C$46,Assumptions!$C$47)))</f>
        <v>0</v>
      </c>
      <c r="Q92" s="24" t="n">
        <v>1</v>
      </c>
      <c r="R92" s="28" t="n">
        <f aca="false">Q92*Assumptions!$C$51</f>
        <v>0.02</v>
      </c>
      <c r="S92" s="27" t="n">
        <v>0</v>
      </c>
      <c r="T92" s="27" t="n">
        <v>0</v>
      </c>
      <c r="U92" s="27" t="n">
        <v>0</v>
      </c>
      <c r="V92" s="27" t="n">
        <v>0.006</v>
      </c>
      <c r="W92" s="27" t="n">
        <v>0</v>
      </c>
      <c r="X92" s="28" t="n">
        <f aca="false">P92+R92+SUM(S92:W92)</f>
        <v>0.026</v>
      </c>
      <c r="Y92" s="24" t="n">
        <v>0</v>
      </c>
      <c r="Z92" s="29" t="n">
        <f aca="false">LN(H92)</f>
        <v>7.15305163493748</v>
      </c>
      <c r="AA92" s="17" t="n">
        <f aca="false">ROUND(SUMIF(Lines!$B:$B,B92,Lines!$I:$I),2)</f>
        <v>155292</v>
      </c>
      <c r="AB92" s="17" t="n">
        <f aca="false">ROUND(SUMIF(Lines!$B:$B,B92,Lines!$L:$L),2)</f>
        <v>149080.32</v>
      </c>
      <c r="AC92" s="17" t="n">
        <f aca="false">ROUND(SUMIF(Lines!$B:$B,B92,Lines!$T:$T),2)</f>
        <v>145204.24</v>
      </c>
      <c r="AD92" s="17" t="n">
        <f aca="false">ROUND(SUMIF(Lines!$B:$B,B92,Lines!$U:$U),2)</f>
        <v>86664</v>
      </c>
      <c r="AE92" s="17" t="n">
        <f aca="false">ROUND(SUMIF(Lines!$B:$B,B92,Lines!$V:$V),2)</f>
        <v>2981.6</v>
      </c>
      <c r="AF92" s="17" t="n">
        <f aca="false">ROUND(AC92-AD92-AE92,2)</f>
        <v>55558.64</v>
      </c>
      <c r="AG92" s="26" t="n">
        <f aca="false">RANK(AC92,$AC$6:$AC$185)</f>
        <v>91</v>
      </c>
      <c r="AJ92" s="26" t="n">
        <f aca="false">IF(AND(H92&gt;=0.85*Assumptions!$B$44,H92&lt;Assumptions!$B$44),Assumptions!$B$44,IF(AND(H92&gt;=0.85*Assumptions!$B$45,H92&lt;Assumptions!$B$45),Assumptions!$B$45,IF(AND(H92&gt;=0.85*Assumptions!$B$46,H92&lt;Assumptions!$B$46),Assumptions!$B$46,0)))</f>
        <v>0</v>
      </c>
      <c r="AK92" s="26" t="n">
        <f aca="false">IF(AJ92=0,0,AJ92-H92)</f>
        <v>0</v>
      </c>
      <c r="AL92" s="28" t="n">
        <f aca="false">IF(AJ92=Assumptions!$B$44,Assumptions!$C$44,IF(AJ92=Assumptions!$B$45,Assumptions!$C$45,IF(AJ92=Assumptions!$B$46,Assumptions!$C$46,0)))</f>
        <v>0</v>
      </c>
      <c r="AM92" s="17" t="n">
        <f aca="false">IF(AJ92=0,0,AB92*(AL92-P92))</f>
        <v>0</v>
      </c>
      <c r="AN92" s="17" t="n">
        <f aca="false">ROUND(AN85+AM92,2)</f>
        <v>141995.03</v>
      </c>
      <c r="AO92" s="17" t="n">
        <f aca="false">SUMIF(Lines!$B$6:$B$463,$B92,Lines!$M$6:$M$463)</f>
        <v>0</v>
      </c>
      <c r="AP92" s="17" t="n">
        <f aca="false">(AB92/H92)*(MAX(0,MIN(H92,Assumptions!$B$46)-Assumptions!$B$47)*Assumptions!$C$47+MAX(0,MIN(H92,Assumptions!$B$45)-Assumptions!$B$46)*Assumptions!$C$46+MAX(0,MIN(H92,Assumptions!$B$44)-Assumptions!$B$45)*Assumptions!$C$45+MAX(0,H92-Assumptions!$B$44)*Assumptions!$C$44)</f>
        <v>0</v>
      </c>
      <c r="AQ92" s="17" t="n">
        <f aca="false">ROUND(SUMIF(Lines!$B:$B,B92,Lines!$N:$N),2)</f>
        <v>2981.6</v>
      </c>
    </row>
    <row r="93" customFormat="false" ht="15" hidden="false" customHeight="false" outlineLevel="0" collapsed="false">
      <c r="B93" s="14" t="s">
        <v>244</v>
      </c>
      <c r="C93" s="14" t="s">
        <v>194</v>
      </c>
      <c r="D93" s="14" t="s">
        <v>243</v>
      </c>
      <c r="E93" s="24" t="n">
        <v>383</v>
      </c>
      <c r="F93" s="24" t="n">
        <v>987</v>
      </c>
      <c r="G93" s="24" t="n">
        <v>542</v>
      </c>
      <c r="H93" s="26" t="n">
        <f aca="false">SUM(E93:G93)</f>
        <v>1912</v>
      </c>
      <c r="I93" s="24" t="n">
        <v>250</v>
      </c>
      <c r="J93" s="24" t="n">
        <v>8</v>
      </c>
      <c r="K93" s="27" t="n">
        <v>0.145</v>
      </c>
      <c r="L93" s="28" t="n">
        <f aca="false">MIN(Assumptions!$C$18,K93*Assumptions!$D$15)</f>
        <v>0.0899</v>
      </c>
      <c r="M93" s="28" t="n">
        <f aca="false">MIN(Assumptions!$C$18,K93*Assumptions!$D$16)</f>
        <v>0.1885</v>
      </c>
      <c r="N93" s="28" t="n">
        <f aca="false">MIN(Assumptions!$C$18,K93*Assumptions!$D$17)</f>
        <v>0.1392</v>
      </c>
      <c r="O93" s="28" t="n">
        <f aca="false">IF(I93&gt;=Assumptions!$B$36,Assumptions!$C$36,IF(I93&gt;=Assumptions!$B$37,Assumptions!$C$37,IF(I93&gt;=Assumptions!$B$38,Assumptions!$C$38,Assumptions!$C$39)))</f>
        <v>0.04</v>
      </c>
      <c r="P93" s="28" t="n">
        <f aca="false">IF(H93&gt;=Assumptions!$B$44,Assumptions!$C$44,IF(H93&gt;=Assumptions!$B$45,Assumptions!$C$45,IF(H93&gt;=Assumptions!$B$46,Assumptions!$C$46,Assumptions!$C$47)))</f>
        <v>0</v>
      </c>
      <c r="Q93" s="24" t="n">
        <v>0</v>
      </c>
      <c r="R93" s="28" t="n">
        <f aca="false">Q93*Assumptions!$C$51</f>
        <v>0</v>
      </c>
      <c r="S93" s="27" t="n">
        <v>0</v>
      </c>
      <c r="T93" s="27" t="n">
        <v>0</v>
      </c>
      <c r="U93" s="27" t="n">
        <v>0</v>
      </c>
      <c r="V93" s="27" t="n">
        <v>0.006</v>
      </c>
      <c r="W93" s="27" t="n">
        <v>0.005</v>
      </c>
      <c r="X93" s="28" t="n">
        <f aca="false">P93+R93+SUM(S93:W93)</f>
        <v>0.011</v>
      </c>
      <c r="Y93" s="24" t="n">
        <v>0</v>
      </c>
      <c r="Z93" s="29" t="n">
        <f aca="false">LN(H93)</f>
        <v>7.55590509361135</v>
      </c>
      <c r="AA93" s="17" t="n">
        <f aca="false">ROUND(SUMIF(Lines!$B:$B,B93,Lines!$I:$I),2)</f>
        <v>169910</v>
      </c>
      <c r="AB93" s="17" t="n">
        <f aca="false">ROUND(SUMIF(Lines!$B:$B,B93,Lines!$L:$L),2)</f>
        <v>139239.79</v>
      </c>
      <c r="AC93" s="17" t="n">
        <f aca="false">ROUND(SUMIF(Lines!$B:$B,B93,Lines!$T:$T),2)</f>
        <v>137708.15</v>
      </c>
      <c r="AD93" s="17" t="n">
        <f aca="false">ROUND(SUMIF(Lines!$B:$B,B93,Lines!$U:$U),2)</f>
        <v>96842</v>
      </c>
      <c r="AE93" s="17" t="n">
        <f aca="false">ROUND(SUMIF(Lines!$B:$B,B93,Lines!$V:$V),2)</f>
        <v>2784.8</v>
      </c>
      <c r="AF93" s="17" t="n">
        <f aca="false">ROUND(AC93-AD93-AE93,2)</f>
        <v>38081.35</v>
      </c>
      <c r="AG93" s="26" t="n">
        <f aca="false">RANK(AC93,$AC$6:$AC$185)</f>
        <v>94</v>
      </c>
      <c r="AJ93" s="26" t="n">
        <f aca="false">IF(AND(H93&gt;=0.85*Assumptions!$B$44,H93&lt;Assumptions!$B$44),Assumptions!$B$44,IF(AND(H93&gt;=0.85*Assumptions!$B$45,H93&lt;Assumptions!$B$45),Assumptions!$B$45,IF(AND(H93&gt;=0.85*Assumptions!$B$46,H93&lt;Assumptions!$B$46),Assumptions!$B$46,0)))</f>
        <v>0</v>
      </c>
      <c r="AK93" s="26" t="n">
        <f aca="false">IF(AJ93=0,0,AJ93-H93)</f>
        <v>0</v>
      </c>
      <c r="AL93" s="28" t="n">
        <f aca="false">IF(AJ93=Assumptions!$B$44,Assumptions!$C$44,IF(AJ93=Assumptions!$B$45,Assumptions!$C$45,IF(AJ93=Assumptions!$B$46,Assumptions!$C$46,0)))</f>
        <v>0</v>
      </c>
      <c r="AM93" s="17" t="n">
        <f aca="false">IF(AJ93=0,0,AB93*(AL93-P93))</f>
        <v>0</v>
      </c>
      <c r="AN93" s="17" t="n">
        <f aca="false">ROUND(AN86+AM93,2)</f>
        <v>146052.55</v>
      </c>
      <c r="AO93" s="17" t="n">
        <f aca="false">SUMIF(Lines!$B$6:$B$463,$B93,Lines!$M$6:$M$463)</f>
        <v>0</v>
      </c>
      <c r="AP93" s="17" t="n">
        <f aca="false">(AB93/H93)*(MAX(0,MIN(H93,Assumptions!$B$46)-Assumptions!$B$47)*Assumptions!$C$47+MAX(0,MIN(H93,Assumptions!$B$45)-Assumptions!$B$46)*Assumptions!$C$46+MAX(0,MIN(H93,Assumptions!$B$44)-Assumptions!$B$45)*Assumptions!$C$45+MAX(0,H93-Assumptions!$B$44)*Assumptions!$C$44)</f>
        <v>0</v>
      </c>
      <c r="AQ93" s="17" t="n">
        <f aca="false">ROUND(SUMIF(Lines!$B:$B,B93,Lines!$N:$N),2)</f>
        <v>0</v>
      </c>
    </row>
    <row r="94" customFormat="false" ht="15" hidden="false" customHeight="false" outlineLevel="0" collapsed="false">
      <c r="B94" s="14" t="s">
        <v>245</v>
      </c>
      <c r="C94" s="14" t="s">
        <v>194</v>
      </c>
      <c r="D94" s="14" t="s">
        <v>243</v>
      </c>
      <c r="E94" s="24" t="n">
        <v>230</v>
      </c>
      <c r="F94" s="24" t="n">
        <v>652</v>
      </c>
      <c r="G94" s="24" t="n">
        <v>347</v>
      </c>
      <c r="H94" s="26" t="n">
        <f aca="false">SUM(E94:G94)</f>
        <v>1229</v>
      </c>
      <c r="I94" s="24" t="n">
        <v>155</v>
      </c>
      <c r="J94" s="24" t="n">
        <v>8</v>
      </c>
      <c r="K94" s="27" t="n">
        <v>0.04</v>
      </c>
      <c r="L94" s="28" t="n">
        <f aca="false">MIN(Assumptions!$C$18,K94*Assumptions!$D$15)</f>
        <v>0.0248</v>
      </c>
      <c r="M94" s="28" t="n">
        <f aca="false">MIN(Assumptions!$C$18,K94*Assumptions!$D$16)</f>
        <v>0.052</v>
      </c>
      <c r="N94" s="28" t="n">
        <f aca="false">MIN(Assumptions!$C$18,K94*Assumptions!$D$17)</f>
        <v>0.0384</v>
      </c>
      <c r="O94" s="28" t="n">
        <f aca="false">IF(I94&gt;=Assumptions!$B$36,Assumptions!$C$36,IF(I94&gt;=Assumptions!$B$37,Assumptions!$C$37,IF(I94&gt;=Assumptions!$B$38,Assumptions!$C$38,Assumptions!$C$39)))</f>
        <v>0.02</v>
      </c>
      <c r="P94" s="28" t="n">
        <f aca="false">IF(H94&gt;=Assumptions!$B$44,Assumptions!$C$44,IF(H94&gt;=Assumptions!$B$45,Assumptions!$C$45,IF(H94&gt;=Assumptions!$B$46,Assumptions!$C$46,Assumptions!$C$47)))</f>
        <v>0</v>
      </c>
      <c r="Q94" s="24" t="n">
        <v>1</v>
      </c>
      <c r="R94" s="28" t="n">
        <f aca="false">Q94*Assumptions!$C$51</f>
        <v>0.02</v>
      </c>
      <c r="S94" s="27" t="n">
        <v>0.015</v>
      </c>
      <c r="T94" s="27" t="n">
        <v>0</v>
      </c>
      <c r="U94" s="27" t="n">
        <v>0</v>
      </c>
      <c r="V94" s="27" t="n">
        <v>0.006</v>
      </c>
      <c r="W94" s="27" t="n">
        <v>0.005</v>
      </c>
      <c r="X94" s="28" t="n">
        <f aca="false">P94+R94+SUM(S94:W94)</f>
        <v>0.046</v>
      </c>
      <c r="Y94" s="24" t="n">
        <v>0</v>
      </c>
      <c r="Z94" s="29" t="n">
        <f aca="false">LN(H94)</f>
        <v>7.11395610956603</v>
      </c>
      <c r="AA94" s="17" t="n">
        <f aca="false">ROUND(SUMIF(Lines!$B:$B,B94,Lines!$I:$I),2)</f>
        <v>107776</v>
      </c>
      <c r="AB94" s="17" t="n">
        <f aca="false">ROUND(SUMIF(Lines!$B:$B,B94,Lines!$L:$L),2)</f>
        <v>101395.06</v>
      </c>
      <c r="AC94" s="17" t="n">
        <f aca="false">ROUND(SUMIF(Lines!$B:$B,B94,Lines!$T:$T),2)</f>
        <v>96730.88</v>
      </c>
      <c r="AD94" s="17" t="n">
        <f aca="false">ROUND(SUMIF(Lines!$B:$B,B94,Lines!$U:$U),2)</f>
        <v>61538</v>
      </c>
      <c r="AE94" s="17" t="n">
        <f aca="false">ROUND(SUMIF(Lines!$B:$B,B94,Lines!$V:$V),2)</f>
        <v>2027.9</v>
      </c>
      <c r="AF94" s="17" t="n">
        <f aca="false">ROUND(AC94-AD94-AE94,2)</f>
        <v>33164.98</v>
      </c>
      <c r="AG94" s="26" t="n">
        <f aca="false">RANK(AC94,$AC$6:$AC$185)</f>
        <v>115</v>
      </c>
      <c r="AJ94" s="26" t="n">
        <f aca="false">IF(AND(H94&gt;=0.85*Assumptions!$B$44,H94&lt;Assumptions!$B$44),Assumptions!$B$44,IF(AND(H94&gt;=0.85*Assumptions!$B$45,H94&lt;Assumptions!$B$45),Assumptions!$B$45,IF(AND(H94&gt;=0.85*Assumptions!$B$46,H94&lt;Assumptions!$B$46),Assumptions!$B$46,0)))</f>
        <v>0</v>
      </c>
      <c r="AK94" s="26" t="n">
        <f aca="false">IF(AJ94=0,0,AJ94-H94)</f>
        <v>0</v>
      </c>
      <c r="AL94" s="28" t="n">
        <f aca="false">IF(AJ94=Assumptions!$B$44,Assumptions!$C$44,IF(AJ94=Assumptions!$B$45,Assumptions!$C$45,IF(AJ94=Assumptions!$B$46,Assumptions!$C$46,0)))</f>
        <v>0</v>
      </c>
      <c r="AM94" s="17" t="n">
        <f aca="false">IF(AJ94=0,0,AB94*(AL94-P94))</f>
        <v>0</v>
      </c>
      <c r="AN94" s="17" t="n">
        <f aca="false">ROUND(AN87+AM94,2)</f>
        <v>146052.55</v>
      </c>
      <c r="AO94" s="17" t="n">
        <f aca="false">SUMIF(Lines!$B$6:$B$463,$B94,Lines!$M$6:$M$463)</f>
        <v>0</v>
      </c>
      <c r="AP94" s="17" t="n">
        <f aca="false">(AB94/H94)*(MAX(0,MIN(H94,Assumptions!$B$46)-Assumptions!$B$47)*Assumptions!$C$47+MAX(0,MIN(H94,Assumptions!$B$45)-Assumptions!$B$46)*Assumptions!$C$46+MAX(0,MIN(H94,Assumptions!$B$44)-Assumptions!$B$45)*Assumptions!$C$45+MAX(0,H94-Assumptions!$B$44)*Assumptions!$C$44)</f>
        <v>0</v>
      </c>
      <c r="AQ94" s="17" t="n">
        <f aca="false">ROUND(SUMIF(Lines!$B:$B,B94,Lines!$N:$N),2)</f>
        <v>2027.9</v>
      </c>
    </row>
    <row r="95" customFormat="false" ht="15" hidden="false" customHeight="false" outlineLevel="0" collapsed="false">
      <c r="B95" s="14" t="s">
        <v>246</v>
      </c>
      <c r="C95" s="14" t="s">
        <v>194</v>
      </c>
      <c r="D95" s="14" t="s">
        <v>243</v>
      </c>
      <c r="E95" s="24" t="n">
        <v>293</v>
      </c>
      <c r="F95" s="24" t="n">
        <v>850</v>
      </c>
      <c r="G95" s="24" t="n">
        <v>0</v>
      </c>
      <c r="H95" s="26" t="n">
        <f aca="false">SUM(E95:G95)</f>
        <v>1143</v>
      </c>
      <c r="I95" s="24" t="n">
        <v>116</v>
      </c>
      <c r="J95" s="24" t="n">
        <v>10</v>
      </c>
      <c r="K95" s="27" t="n">
        <v>0.07</v>
      </c>
      <c r="L95" s="28" t="n">
        <f aca="false">MIN(Assumptions!$C$18,K95*Assumptions!$D$15)</f>
        <v>0.0434</v>
      </c>
      <c r="M95" s="28" t="n">
        <f aca="false">MIN(Assumptions!$C$18,K95*Assumptions!$D$16)</f>
        <v>0.091</v>
      </c>
      <c r="N95" s="28" t="n">
        <f aca="false">MIN(Assumptions!$C$18,K95*Assumptions!$D$17)</f>
        <v>0.0672</v>
      </c>
      <c r="O95" s="28" t="n">
        <f aca="false">IF(I95&gt;=Assumptions!$B$36,Assumptions!$C$36,IF(I95&gt;=Assumptions!$B$37,Assumptions!$C$37,IF(I95&gt;=Assumptions!$B$38,Assumptions!$C$38,Assumptions!$C$39)))</f>
        <v>0.02</v>
      </c>
      <c r="P95" s="28" t="n">
        <f aca="false">IF(H95&gt;=Assumptions!$B$44,Assumptions!$C$44,IF(H95&gt;=Assumptions!$B$45,Assumptions!$C$45,IF(H95&gt;=Assumptions!$B$46,Assumptions!$C$46,Assumptions!$C$47)))</f>
        <v>0</v>
      </c>
      <c r="Q95" s="24" t="n">
        <v>0</v>
      </c>
      <c r="R95" s="28" t="n">
        <f aca="false">Q95*Assumptions!$C$51</f>
        <v>0</v>
      </c>
      <c r="S95" s="27" t="n">
        <v>0</v>
      </c>
      <c r="T95" s="27" t="n">
        <v>0</v>
      </c>
      <c r="U95" s="27" t="n">
        <v>0</v>
      </c>
      <c r="V95" s="27" t="n">
        <v>0.006</v>
      </c>
      <c r="W95" s="27" t="n">
        <v>0.005</v>
      </c>
      <c r="X95" s="28" t="n">
        <f aca="false">P95+R95+SUM(S95:W95)</f>
        <v>0.011</v>
      </c>
      <c r="Y95" s="24" t="n">
        <v>0</v>
      </c>
      <c r="Z95" s="29" t="n">
        <f aca="false">LN(H95)</f>
        <v>7.04141166379481</v>
      </c>
      <c r="AA95" s="17" t="n">
        <f aca="false">ROUND(SUMIF(Lines!$B:$B,B95,Lines!$I:$I),2)</f>
        <v>96064</v>
      </c>
      <c r="AB95" s="17" t="n">
        <f aca="false">ROUND(SUMIF(Lines!$B:$B,B95,Lines!$L:$L),2)</f>
        <v>87465.02</v>
      </c>
      <c r="AC95" s="17" t="n">
        <f aca="false">ROUND(SUMIF(Lines!$B:$B,B95,Lines!$T:$T),2)</f>
        <v>86502.91</v>
      </c>
      <c r="AD95" s="17" t="n">
        <f aca="false">ROUND(SUMIF(Lines!$B:$B,B95,Lines!$U:$U),2)</f>
        <v>53454</v>
      </c>
      <c r="AE95" s="17" t="n">
        <f aca="false">ROUND(SUMIF(Lines!$B:$B,B95,Lines!$V:$V),2)</f>
        <v>1749.3</v>
      </c>
      <c r="AF95" s="17" t="n">
        <f aca="false">ROUND(AC95-AD95-AE95,2)</f>
        <v>31299.61</v>
      </c>
      <c r="AG95" s="26" t="n">
        <f aca="false">RANK(AC95,$AC$6:$AC$185)</f>
        <v>125</v>
      </c>
      <c r="AJ95" s="26" t="n">
        <f aca="false">IF(AND(H95&gt;=0.85*Assumptions!$B$44,H95&lt;Assumptions!$B$44),Assumptions!$B$44,IF(AND(H95&gt;=0.85*Assumptions!$B$45,H95&lt;Assumptions!$B$45),Assumptions!$B$45,IF(AND(H95&gt;=0.85*Assumptions!$B$46,H95&lt;Assumptions!$B$46),Assumptions!$B$46,0)))</f>
        <v>0</v>
      </c>
      <c r="AK95" s="26" t="n">
        <f aca="false">IF(AJ95=0,0,AJ95-H95)</f>
        <v>0</v>
      </c>
      <c r="AL95" s="28" t="n">
        <f aca="false">IF(AJ95=Assumptions!$B$44,Assumptions!$C$44,IF(AJ95=Assumptions!$B$45,Assumptions!$C$45,IF(AJ95=Assumptions!$B$46,Assumptions!$C$46,0)))</f>
        <v>0</v>
      </c>
      <c r="AM95" s="17" t="n">
        <f aca="false">IF(AJ95=0,0,AB95*(AL95-P95))</f>
        <v>0</v>
      </c>
      <c r="AN95" s="17" t="n">
        <f aca="false">ROUND(AN88+AM95,2)</f>
        <v>155000.84</v>
      </c>
      <c r="AO95" s="17" t="n">
        <f aca="false">SUMIF(Lines!$B$6:$B$463,$B95,Lines!$M$6:$M$463)</f>
        <v>0</v>
      </c>
      <c r="AP95" s="17" t="n">
        <f aca="false">(AB95/H95)*(MAX(0,MIN(H95,Assumptions!$B$46)-Assumptions!$B$47)*Assumptions!$C$47+MAX(0,MIN(H95,Assumptions!$B$45)-Assumptions!$B$46)*Assumptions!$C$46+MAX(0,MIN(H95,Assumptions!$B$44)-Assumptions!$B$45)*Assumptions!$C$45+MAX(0,H95-Assumptions!$B$44)*Assumptions!$C$44)</f>
        <v>0</v>
      </c>
      <c r="AQ95" s="17" t="n">
        <f aca="false">ROUND(SUMIF(Lines!$B:$B,B95,Lines!$N:$N),2)</f>
        <v>0</v>
      </c>
    </row>
    <row r="96" customFormat="false" ht="15" hidden="false" customHeight="false" outlineLevel="0" collapsed="false">
      <c r="B96" s="14" t="s">
        <v>247</v>
      </c>
      <c r="C96" s="14" t="s">
        <v>194</v>
      </c>
      <c r="D96" s="14" t="s">
        <v>243</v>
      </c>
      <c r="E96" s="24" t="n">
        <v>2776</v>
      </c>
      <c r="F96" s="24" t="n">
        <v>6039</v>
      </c>
      <c r="G96" s="24" t="n">
        <v>5582</v>
      </c>
      <c r="H96" s="26" t="n">
        <f aca="false">SUM(E96:G96)</f>
        <v>14397</v>
      </c>
      <c r="I96" s="24" t="n">
        <v>231</v>
      </c>
      <c r="J96" s="24" t="n">
        <v>62</v>
      </c>
      <c r="K96" s="27" t="n">
        <v>0.08</v>
      </c>
      <c r="L96" s="28" t="n">
        <f aca="false">MIN(Assumptions!$C$18,K96*Assumptions!$D$15)</f>
        <v>0.0496</v>
      </c>
      <c r="M96" s="28" t="n">
        <f aca="false">MIN(Assumptions!$C$18,K96*Assumptions!$D$16)</f>
        <v>0.104</v>
      </c>
      <c r="N96" s="28" t="n">
        <f aca="false">MIN(Assumptions!$C$18,K96*Assumptions!$D$17)</f>
        <v>0.0768</v>
      </c>
      <c r="O96" s="28" t="n">
        <f aca="false">IF(I96&gt;=Assumptions!$B$36,Assumptions!$C$36,IF(I96&gt;=Assumptions!$B$37,Assumptions!$C$37,IF(I96&gt;=Assumptions!$B$38,Assumptions!$C$38,Assumptions!$C$39)))</f>
        <v>0.04</v>
      </c>
      <c r="P96" s="28" t="n">
        <f aca="false">IF(H96&gt;=Assumptions!$B$44,Assumptions!$C$44,IF(H96&gt;=Assumptions!$B$45,Assumptions!$C$45,IF(H96&gt;=Assumptions!$B$46,Assumptions!$C$46,Assumptions!$C$47)))</f>
        <v>0.035</v>
      </c>
      <c r="Q96" s="24" t="n">
        <v>0</v>
      </c>
      <c r="R96" s="28" t="n">
        <f aca="false">Q96*Assumptions!$C$51</f>
        <v>0</v>
      </c>
      <c r="S96" s="27" t="n">
        <v>0</v>
      </c>
      <c r="T96" s="27" t="n">
        <v>0</v>
      </c>
      <c r="U96" s="27" t="n">
        <v>0</v>
      </c>
      <c r="V96" s="27" t="n">
        <v>0.006</v>
      </c>
      <c r="W96" s="27" t="n">
        <v>0</v>
      </c>
      <c r="X96" s="28" t="n">
        <f aca="false">P96+R96+SUM(S96:W96)</f>
        <v>0.041</v>
      </c>
      <c r="Y96" s="24" t="n">
        <v>0</v>
      </c>
      <c r="Z96" s="29" t="n">
        <f aca="false">LN(H96)</f>
        <v>9.57477513052636</v>
      </c>
      <c r="AA96" s="17" t="n">
        <f aca="false">ROUND(SUMIF(Lines!$B:$B,B96,Lines!$I:$I),2)</f>
        <v>1321138</v>
      </c>
      <c r="AB96" s="17" t="n">
        <f aca="false">ROUND(SUMIF(Lines!$B:$B,B96,Lines!$L:$L),2)</f>
        <v>1167819.98</v>
      </c>
      <c r="AC96" s="17" t="n">
        <f aca="false">ROUND(SUMIF(Lines!$B:$B,B96,Lines!$T:$T),2)</f>
        <v>1119939.36</v>
      </c>
      <c r="AD96" s="17" t="n">
        <f aca="false">ROUND(SUMIF(Lines!$B:$B,B96,Lines!$U:$U),2)</f>
        <v>757688</v>
      </c>
      <c r="AE96" s="17" t="n">
        <f aca="false">ROUND(SUMIF(Lines!$B:$B,B96,Lines!$V:$V),2)</f>
        <v>23356.4</v>
      </c>
      <c r="AF96" s="17" t="n">
        <f aca="false">ROUND(AC96-AD96-AE96,2)</f>
        <v>338894.96</v>
      </c>
      <c r="AG96" s="26" t="n">
        <f aca="false">RANK(AC96,$AC$6:$AC$185)</f>
        <v>10</v>
      </c>
      <c r="AJ96" s="26" t="n">
        <f aca="false">IF(AND(H96&gt;=0.85*Assumptions!$B$44,H96&lt;Assumptions!$B$44),Assumptions!$B$44,IF(AND(H96&gt;=0.85*Assumptions!$B$45,H96&lt;Assumptions!$B$45),Assumptions!$B$45,IF(AND(H96&gt;=0.85*Assumptions!$B$46,H96&lt;Assumptions!$B$46),Assumptions!$B$46,0)))</f>
        <v>0</v>
      </c>
      <c r="AK96" s="26" t="n">
        <f aca="false">IF(AJ96=0,0,AJ96-H96)</f>
        <v>0</v>
      </c>
      <c r="AL96" s="28" t="n">
        <f aca="false">IF(AJ96=Assumptions!$B$44,Assumptions!$C$44,IF(AJ96=Assumptions!$B$45,Assumptions!$C$45,IF(AJ96=Assumptions!$B$46,Assumptions!$C$46,0)))</f>
        <v>0</v>
      </c>
      <c r="AM96" s="17" t="n">
        <f aca="false">IF(AJ96=0,0,AB96*(AL96-P96))</f>
        <v>0</v>
      </c>
      <c r="AN96" s="17" t="n">
        <f aca="false">ROUND(AN89+AM96,2)</f>
        <v>171110.19</v>
      </c>
      <c r="AO96" s="17" t="n">
        <f aca="false">SUMIF(Lines!$B$6:$B$463,$B96,Lines!$M$6:$M$463)</f>
        <v>40873.7</v>
      </c>
      <c r="AP96" s="17" t="n">
        <f aca="false">(AB96/H96)*(MAX(0,MIN(H96,Assumptions!$B$46)-Assumptions!$B$47)*Assumptions!$C$47+MAX(0,MIN(H96,Assumptions!$B$45)-Assumptions!$B$46)*Assumptions!$C$46+MAX(0,MIN(H96,Assumptions!$B$44)-Assumptions!$B$45)*Assumptions!$C$45+MAX(0,H96-Assumptions!$B$44)*Assumptions!$C$44)</f>
        <v>23839.4424548239</v>
      </c>
      <c r="AQ96" s="17" t="n">
        <f aca="false">ROUND(SUMIF(Lines!$B:$B,B96,Lines!$N:$N),2)</f>
        <v>0</v>
      </c>
    </row>
    <row r="97" customFormat="false" ht="15" hidden="false" customHeight="false" outlineLevel="0" collapsed="false">
      <c r="B97" s="14" t="s">
        <v>248</v>
      </c>
      <c r="C97" s="14" t="s">
        <v>194</v>
      </c>
      <c r="D97" s="14" t="s">
        <v>243</v>
      </c>
      <c r="E97" s="24" t="n">
        <v>345</v>
      </c>
      <c r="F97" s="24" t="n">
        <v>1109</v>
      </c>
      <c r="G97" s="24" t="n">
        <v>652</v>
      </c>
      <c r="H97" s="26" t="n">
        <f aca="false">SUM(E97:G97)</f>
        <v>2106</v>
      </c>
      <c r="I97" s="24" t="n">
        <v>237</v>
      </c>
      <c r="J97" s="24" t="n">
        <v>9</v>
      </c>
      <c r="K97" s="27" t="n">
        <v>0.06</v>
      </c>
      <c r="L97" s="28" t="n">
        <f aca="false">MIN(Assumptions!$C$18,K97*Assumptions!$D$15)</f>
        <v>0.0372</v>
      </c>
      <c r="M97" s="28" t="n">
        <f aca="false">MIN(Assumptions!$C$18,K97*Assumptions!$D$16)</f>
        <v>0.078</v>
      </c>
      <c r="N97" s="28" t="n">
        <f aca="false">MIN(Assumptions!$C$18,K97*Assumptions!$D$17)</f>
        <v>0.0576</v>
      </c>
      <c r="O97" s="28" t="n">
        <f aca="false">IF(I97&gt;=Assumptions!$B$36,Assumptions!$C$36,IF(I97&gt;=Assumptions!$B$37,Assumptions!$C$37,IF(I97&gt;=Assumptions!$B$38,Assumptions!$C$38,Assumptions!$C$39)))</f>
        <v>0.04</v>
      </c>
      <c r="P97" s="28" t="n">
        <f aca="false">IF(H97&gt;=Assumptions!$B$44,Assumptions!$C$44,IF(H97&gt;=Assumptions!$B$45,Assumptions!$C$45,IF(H97&gt;=Assumptions!$B$46,Assumptions!$C$46,Assumptions!$C$47)))</f>
        <v>0</v>
      </c>
      <c r="Q97" s="24" t="n">
        <v>1</v>
      </c>
      <c r="R97" s="28" t="n">
        <f aca="false">Q97*Assumptions!$C$51</f>
        <v>0.02</v>
      </c>
      <c r="S97" s="27" t="n">
        <v>0</v>
      </c>
      <c r="T97" s="27" t="n">
        <v>0</v>
      </c>
      <c r="U97" s="27" t="n">
        <v>0</v>
      </c>
      <c r="V97" s="27" t="n">
        <v>0.006</v>
      </c>
      <c r="W97" s="27" t="n">
        <v>0</v>
      </c>
      <c r="X97" s="28" t="n">
        <f aca="false">P97+R97+SUM(S97:W97)</f>
        <v>0.026</v>
      </c>
      <c r="Y97" s="24" t="n">
        <v>1</v>
      </c>
      <c r="Z97" s="29" t="n">
        <f aca="false">LN(H97)</f>
        <v>7.65254569269392</v>
      </c>
      <c r="AA97" s="17" t="n">
        <f aca="false">ROUND(SUMIF(Lines!$B:$B,B97,Lines!$I:$I),2)</f>
        <v>182410</v>
      </c>
      <c r="AB97" s="17" t="n">
        <f aca="false">ROUND(SUMIF(Lines!$B:$B,B97,Lines!$L:$L),2)</f>
        <v>164245.75</v>
      </c>
      <c r="AC97" s="17" t="n">
        <f aca="false">ROUND(SUMIF(Lines!$B:$B,B97,Lines!$T:$T),2)</f>
        <v>159975.36</v>
      </c>
      <c r="AD97" s="17" t="n">
        <f aca="false">ROUND(SUMIF(Lines!$B:$B,B97,Lines!$U:$U),2)</f>
        <v>104650</v>
      </c>
      <c r="AE97" s="17" t="n">
        <f aca="false">ROUND(SUMIF(Lines!$B:$B,B97,Lines!$V:$V),2)</f>
        <v>3284.91</v>
      </c>
      <c r="AF97" s="17" t="n">
        <f aca="false">ROUND(AC97-AD97-AE97,2)</f>
        <v>52040.45</v>
      </c>
      <c r="AG97" s="26" t="n">
        <f aca="false">RANK(AC97,$AC$6:$AC$185)</f>
        <v>85</v>
      </c>
      <c r="AJ97" s="26" t="n">
        <f aca="false">IF(AND(H97&gt;=0.85*Assumptions!$B$44,H97&lt;Assumptions!$B$44),Assumptions!$B$44,IF(AND(H97&gt;=0.85*Assumptions!$B$45,H97&lt;Assumptions!$B$45),Assumptions!$B$45,IF(AND(H97&gt;=0.85*Assumptions!$B$46,H97&lt;Assumptions!$B$46),Assumptions!$B$46,0)))</f>
        <v>0</v>
      </c>
      <c r="AK97" s="26" t="n">
        <f aca="false">IF(AJ97=0,0,AJ97-H97)</f>
        <v>0</v>
      </c>
      <c r="AL97" s="28" t="n">
        <f aca="false">IF(AJ97=Assumptions!$B$44,Assumptions!$C$44,IF(AJ97=Assumptions!$B$45,Assumptions!$C$45,IF(AJ97=Assumptions!$B$46,Assumptions!$C$46,0)))</f>
        <v>0</v>
      </c>
      <c r="AM97" s="17" t="n">
        <f aca="false">IF(AJ97=0,0,AB97*(AL97-P97))</f>
        <v>0</v>
      </c>
      <c r="AN97" s="17" t="n">
        <f aca="false">ROUND(AN90+AM97,2)</f>
        <v>171110.19</v>
      </c>
      <c r="AO97" s="17" t="n">
        <f aca="false">SUMIF(Lines!$B$6:$B$463,$B97,Lines!$M$6:$M$463)</f>
        <v>0</v>
      </c>
      <c r="AP97" s="17" t="n">
        <f aca="false">(AB97/H97)*(MAX(0,MIN(H97,Assumptions!$B$46)-Assumptions!$B$47)*Assumptions!$C$47+MAX(0,MIN(H97,Assumptions!$B$45)-Assumptions!$B$46)*Assumptions!$C$46+MAX(0,MIN(H97,Assumptions!$B$44)-Assumptions!$B$45)*Assumptions!$C$45+MAX(0,H97-Assumptions!$B$44)*Assumptions!$C$44)</f>
        <v>0</v>
      </c>
      <c r="AQ97" s="17" t="n">
        <f aca="false">ROUND(SUMIF(Lines!$B:$B,B97,Lines!$N:$N),2)</f>
        <v>3284.91</v>
      </c>
    </row>
    <row r="98" customFormat="false" ht="15" hidden="false" customHeight="false" outlineLevel="0" collapsed="false">
      <c r="B98" s="14" t="s">
        <v>249</v>
      </c>
      <c r="C98" s="14" t="s">
        <v>194</v>
      </c>
      <c r="D98" s="14" t="s">
        <v>243</v>
      </c>
      <c r="E98" s="24" t="n">
        <v>589</v>
      </c>
      <c r="F98" s="24" t="n">
        <v>1714</v>
      </c>
      <c r="G98" s="24" t="n">
        <v>1008</v>
      </c>
      <c r="H98" s="26" t="n">
        <f aca="false">SUM(E98:G98)</f>
        <v>3311</v>
      </c>
      <c r="I98" s="24" t="n">
        <v>324</v>
      </c>
      <c r="J98" s="24" t="n">
        <v>10</v>
      </c>
      <c r="K98" s="27" t="n">
        <v>0.05</v>
      </c>
      <c r="L98" s="28" t="n">
        <f aca="false">MIN(Assumptions!$C$18,K98*Assumptions!$D$15)</f>
        <v>0.031</v>
      </c>
      <c r="M98" s="28" t="n">
        <f aca="false">MIN(Assumptions!$C$18,K98*Assumptions!$D$16)</f>
        <v>0.065</v>
      </c>
      <c r="N98" s="28" t="n">
        <f aca="false">MIN(Assumptions!$C$18,K98*Assumptions!$D$17)</f>
        <v>0.048</v>
      </c>
      <c r="O98" s="28" t="n">
        <f aca="false">IF(I98&gt;=Assumptions!$B$36,Assumptions!$C$36,IF(I98&gt;=Assumptions!$B$37,Assumptions!$C$37,IF(I98&gt;=Assumptions!$B$38,Assumptions!$C$38,Assumptions!$C$39)))</f>
        <v>0.04</v>
      </c>
      <c r="P98" s="28" t="n">
        <f aca="false">IF(H98&gt;=Assumptions!$B$44,Assumptions!$C$44,IF(H98&gt;=Assumptions!$B$45,Assumptions!$C$45,IF(H98&gt;=Assumptions!$B$46,Assumptions!$C$46,Assumptions!$C$47)))</f>
        <v>0.02</v>
      </c>
      <c r="Q98" s="24" t="n">
        <v>1</v>
      </c>
      <c r="R98" s="28" t="n">
        <f aca="false">Q98*Assumptions!$C$51</f>
        <v>0.02</v>
      </c>
      <c r="S98" s="27" t="n">
        <v>0.015</v>
      </c>
      <c r="T98" s="27" t="n">
        <v>0</v>
      </c>
      <c r="U98" s="27" t="n">
        <v>0</v>
      </c>
      <c r="V98" s="27" t="n">
        <v>0.006</v>
      </c>
      <c r="W98" s="27" t="n">
        <v>0</v>
      </c>
      <c r="X98" s="28" t="n">
        <f aca="false">P98+R98+SUM(S98:W98)</f>
        <v>0.061</v>
      </c>
      <c r="Y98" s="24" t="n">
        <v>0</v>
      </c>
      <c r="Z98" s="29" t="n">
        <f aca="false">LN(H98)</f>
        <v>8.10500553754725</v>
      </c>
      <c r="AA98" s="17" t="n">
        <f aca="false">ROUND(SUMIF(Lines!$B:$B,B98,Lines!$I:$I),2)</f>
        <v>290208</v>
      </c>
      <c r="AB98" s="17" t="n">
        <f aca="false">ROUND(SUMIF(Lines!$B:$B,B98,Lines!$L:$L),2)</f>
        <v>264345.07</v>
      </c>
      <c r="AC98" s="17" t="n">
        <f aca="false">ROUND(SUMIF(Lines!$B:$B,B98,Lines!$T:$T),2)</f>
        <v>248220</v>
      </c>
      <c r="AD98" s="17" t="n">
        <f aca="false">ROUND(SUMIF(Lines!$B:$B,B98,Lines!$U:$U),2)</f>
        <v>166110</v>
      </c>
      <c r="AE98" s="17" t="n">
        <f aca="false">ROUND(SUMIF(Lines!$B:$B,B98,Lines!$V:$V),2)</f>
        <v>5286.91</v>
      </c>
      <c r="AF98" s="17" t="n">
        <f aca="false">ROUND(AC98-AD98-AE98,2)</f>
        <v>76823.09</v>
      </c>
      <c r="AG98" s="26" t="n">
        <f aca="false">RANK(AC98,$AC$6:$AC$185)</f>
        <v>57</v>
      </c>
      <c r="AJ98" s="26" t="n">
        <f aca="false">IF(AND(H98&gt;=0.85*Assumptions!$B$44,H98&lt;Assumptions!$B$44),Assumptions!$B$44,IF(AND(H98&gt;=0.85*Assumptions!$B$45,H98&lt;Assumptions!$B$45),Assumptions!$B$45,IF(AND(H98&gt;=0.85*Assumptions!$B$46,H98&lt;Assumptions!$B$46),Assumptions!$B$46,0)))</f>
        <v>0</v>
      </c>
      <c r="AK98" s="26" t="n">
        <f aca="false">IF(AJ98=0,0,AJ98-H98)</f>
        <v>0</v>
      </c>
      <c r="AL98" s="28" t="n">
        <f aca="false">IF(AJ98=Assumptions!$B$44,Assumptions!$C$44,IF(AJ98=Assumptions!$B$45,Assumptions!$C$45,IF(AJ98=Assumptions!$B$46,Assumptions!$C$46,0)))</f>
        <v>0</v>
      </c>
      <c r="AM98" s="17" t="n">
        <f aca="false">IF(AJ98=0,0,AB98*(AL98-P98))</f>
        <v>0</v>
      </c>
      <c r="AN98" s="17" t="n">
        <f aca="false">ROUND(AN91+AM98,2)</f>
        <v>175350.28</v>
      </c>
      <c r="AO98" s="17" t="n">
        <f aca="false">SUMIF(Lines!$B$6:$B$463,$B98,Lines!$M$6:$M$463)</f>
        <v>5286.91</v>
      </c>
      <c r="AP98" s="17" t="n">
        <f aca="false">(AB98/H98)*(MAX(0,MIN(H98,Assumptions!$B$46)-Assumptions!$B$47)*Assumptions!$C$47+MAX(0,MIN(H98,Assumptions!$B$45)-Assumptions!$B$46)*Assumptions!$C$46+MAX(0,MIN(H98,Assumptions!$B$44)-Assumptions!$B$45)*Assumptions!$C$45+MAX(0,H98-Assumptions!$B$44)*Assumptions!$C$44)</f>
        <v>496.595087707641</v>
      </c>
      <c r="AQ98" s="17" t="n">
        <f aca="false">ROUND(SUMIF(Lines!$B:$B,B98,Lines!$N:$N),2)</f>
        <v>5286.91</v>
      </c>
    </row>
    <row r="99" customFormat="false" ht="15" hidden="false" customHeight="false" outlineLevel="0" collapsed="false">
      <c r="B99" s="14" t="s">
        <v>250</v>
      </c>
      <c r="C99" s="14" t="s">
        <v>194</v>
      </c>
      <c r="D99" s="14" t="s">
        <v>251</v>
      </c>
      <c r="E99" s="24" t="n">
        <v>276</v>
      </c>
      <c r="F99" s="24" t="n">
        <v>665</v>
      </c>
      <c r="G99" s="24" t="n">
        <v>394</v>
      </c>
      <c r="H99" s="26" t="n">
        <f aca="false">SUM(E99:G99)</f>
        <v>1335</v>
      </c>
      <c r="I99" s="24" t="n">
        <v>180</v>
      </c>
      <c r="J99" s="24" t="n">
        <v>7</v>
      </c>
      <c r="K99" s="27" t="n">
        <v>0.085</v>
      </c>
      <c r="L99" s="28" t="n">
        <f aca="false">MIN(Assumptions!$C$18,K99*Assumptions!$D$15)</f>
        <v>0.0527</v>
      </c>
      <c r="M99" s="28" t="n">
        <f aca="false">MIN(Assumptions!$C$18,K99*Assumptions!$D$16)</f>
        <v>0.1105</v>
      </c>
      <c r="N99" s="28" t="n">
        <f aca="false">MIN(Assumptions!$C$18,K99*Assumptions!$D$17)</f>
        <v>0.0816</v>
      </c>
      <c r="O99" s="28" t="n">
        <f aca="false">IF(I99&gt;=Assumptions!$B$36,Assumptions!$C$36,IF(I99&gt;=Assumptions!$B$37,Assumptions!$C$37,IF(I99&gt;=Assumptions!$B$38,Assumptions!$C$38,Assumptions!$C$39)))</f>
        <v>0.02</v>
      </c>
      <c r="P99" s="28" t="n">
        <f aca="false">IF(H99&gt;=Assumptions!$B$44,Assumptions!$C$44,IF(H99&gt;=Assumptions!$B$45,Assumptions!$C$45,IF(H99&gt;=Assumptions!$B$46,Assumptions!$C$46,Assumptions!$C$47)))</f>
        <v>0</v>
      </c>
      <c r="Q99" s="24" t="n">
        <v>1</v>
      </c>
      <c r="R99" s="28" t="n">
        <f aca="false">Q99*Assumptions!$C$51</f>
        <v>0.02</v>
      </c>
      <c r="S99" s="27" t="n">
        <v>0.015</v>
      </c>
      <c r="T99" s="27" t="n">
        <v>0</v>
      </c>
      <c r="U99" s="27" t="n">
        <v>0</v>
      </c>
      <c r="V99" s="27" t="n">
        <v>0.006</v>
      </c>
      <c r="W99" s="27" t="n">
        <v>0</v>
      </c>
      <c r="X99" s="28" t="n">
        <f aca="false">P99+R99+SUM(S99:W99)</f>
        <v>0.041</v>
      </c>
      <c r="Y99" s="24" t="n">
        <v>0</v>
      </c>
      <c r="Z99" s="29" t="n">
        <f aca="false">LN(H99)</f>
        <v>7.19668657083435</v>
      </c>
      <c r="AA99" s="17" t="n">
        <f aca="false">ROUND(SUMIF(Lines!$B:$B,B99,Lines!$I:$I),2)</f>
        <v>119902</v>
      </c>
      <c r="AB99" s="17" t="n">
        <f aca="false">ROUND(SUMIF(Lines!$B:$B,B99,Lines!$L:$L),2)</f>
        <v>107708.91</v>
      </c>
      <c r="AC99" s="17" t="n">
        <f aca="false">ROUND(SUMIF(Lines!$B:$B,B99,Lines!$T:$T),2)</f>
        <v>103292.83</v>
      </c>
      <c r="AD99" s="17" t="n">
        <f aca="false">ROUND(SUMIF(Lines!$B:$B,B99,Lines!$U:$U),2)</f>
        <v>68320</v>
      </c>
      <c r="AE99" s="17" t="n">
        <f aca="false">ROUND(SUMIF(Lines!$B:$B,B99,Lines!$V:$V),2)</f>
        <v>2154.18</v>
      </c>
      <c r="AF99" s="17" t="n">
        <f aca="false">ROUND(AC99-AD99-AE99,2)</f>
        <v>32818.65</v>
      </c>
      <c r="AG99" s="26" t="n">
        <f aca="false">RANK(AC99,$AC$6:$AC$185)</f>
        <v>111</v>
      </c>
      <c r="AJ99" s="26" t="n">
        <f aca="false">IF(AND(H99&gt;=0.85*Assumptions!$B$44,H99&lt;Assumptions!$B$44),Assumptions!$B$44,IF(AND(H99&gt;=0.85*Assumptions!$B$45,H99&lt;Assumptions!$B$45),Assumptions!$B$45,IF(AND(H99&gt;=0.85*Assumptions!$B$46,H99&lt;Assumptions!$B$46),Assumptions!$B$46,0)))</f>
        <v>0</v>
      </c>
      <c r="AK99" s="26" t="n">
        <f aca="false">IF(AJ99=0,0,AJ99-H99)</f>
        <v>0</v>
      </c>
      <c r="AL99" s="28" t="n">
        <f aca="false">IF(AJ99=Assumptions!$B$44,Assumptions!$C$44,IF(AJ99=Assumptions!$B$45,Assumptions!$C$45,IF(AJ99=Assumptions!$B$46,Assumptions!$C$46,0)))</f>
        <v>0</v>
      </c>
      <c r="AM99" s="17" t="n">
        <f aca="false">IF(AJ99=0,0,AB99*(AL99-P99))</f>
        <v>0</v>
      </c>
      <c r="AN99" s="17" t="n">
        <f aca="false">ROUND(AN92+AM99,2)</f>
        <v>141995.03</v>
      </c>
      <c r="AO99" s="17" t="n">
        <f aca="false">SUMIF(Lines!$B$6:$B$463,$B99,Lines!$M$6:$M$463)</f>
        <v>0</v>
      </c>
      <c r="AP99" s="17" t="n">
        <f aca="false">(AB99/H99)*(MAX(0,MIN(H99,Assumptions!$B$46)-Assumptions!$B$47)*Assumptions!$C$47+MAX(0,MIN(H99,Assumptions!$B$45)-Assumptions!$B$46)*Assumptions!$C$46+MAX(0,MIN(H99,Assumptions!$B$44)-Assumptions!$B$45)*Assumptions!$C$45+MAX(0,H99-Assumptions!$B$44)*Assumptions!$C$44)</f>
        <v>0</v>
      </c>
      <c r="AQ99" s="17" t="n">
        <f aca="false">ROUND(SUMIF(Lines!$B:$B,B99,Lines!$N:$N),2)</f>
        <v>2154.18</v>
      </c>
    </row>
    <row r="100" customFormat="false" ht="15" hidden="false" customHeight="false" outlineLevel="0" collapsed="false">
      <c r="B100" s="14" t="s">
        <v>252</v>
      </c>
      <c r="C100" s="14" t="s">
        <v>194</v>
      </c>
      <c r="D100" s="14" t="s">
        <v>251</v>
      </c>
      <c r="E100" s="24" t="n">
        <v>177</v>
      </c>
      <c r="F100" s="24" t="n">
        <v>787</v>
      </c>
      <c r="G100" s="24" t="n">
        <v>367</v>
      </c>
      <c r="H100" s="26" t="n">
        <f aca="false">SUM(E100:G100)</f>
        <v>1331</v>
      </c>
      <c r="I100" s="24" t="n">
        <v>131</v>
      </c>
      <c r="J100" s="24" t="n">
        <v>10</v>
      </c>
      <c r="K100" s="27" t="n">
        <v>0.105</v>
      </c>
      <c r="L100" s="28" t="n">
        <f aca="false">MIN(Assumptions!$C$18,K100*Assumptions!$D$15)</f>
        <v>0.0651</v>
      </c>
      <c r="M100" s="28" t="n">
        <f aca="false">MIN(Assumptions!$C$18,K100*Assumptions!$D$16)</f>
        <v>0.1365</v>
      </c>
      <c r="N100" s="28" t="n">
        <f aca="false">MIN(Assumptions!$C$18,K100*Assumptions!$D$17)</f>
        <v>0.1008</v>
      </c>
      <c r="O100" s="28" t="n">
        <f aca="false">IF(I100&gt;=Assumptions!$B$36,Assumptions!$C$36,IF(I100&gt;=Assumptions!$B$37,Assumptions!$C$37,IF(I100&gt;=Assumptions!$B$38,Assumptions!$C$38,Assumptions!$C$39)))</f>
        <v>0.02</v>
      </c>
      <c r="P100" s="28" t="n">
        <f aca="false">IF(H100&gt;=Assumptions!$B$44,Assumptions!$C$44,IF(H100&gt;=Assumptions!$B$45,Assumptions!$C$45,IF(H100&gt;=Assumptions!$B$46,Assumptions!$C$46,Assumptions!$C$47)))</f>
        <v>0</v>
      </c>
      <c r="Q100" s="24" t="n">
        <v>0</v>
      </c>
      <c r="R100" s="28" t="n">
        <f aca="false">Q100*Assumptions!$C$51</f>
        <v>0</v>
      </c>
      <c r="S100" s="27" t="n">
        <v>0</v>
      </c>
      <c r="T100" s="27" t="n">
        <v>0</v>
      </c>
      <c r="U100" s="27" t="n">
        <v>0</v>
      </c>
      <c r="V100" s="27" t="n">
        <v>0.006</v>
      </c>
      <c r="W100" s="27" t="n">
        <v>0.005</v>
      </c>
      <c r="X100" s="28" t="n">
        <f aca="false">P100+R100+SUM(S100:W100)</f>
        <v>0.011</v>
      </c>
      <c r="Y100" s="24" t="n">
        <v>0</v>
      </c>
      <c r="Z100" s="29" t="n">
        <f aca="false">LN(H100)</f>
        <v>7.19368581839511</v>
      </c>
      <c r="AA100" s="17" t="n">
        <f aca="false">ROUND(SUMIF(Lines!$B:$B,B100,Lines!$I:$I),2)</f>
        <v>110222</v>
      </c>
      <c r="AB100" s="17" t="n">
        <f aca="false">ROUND(SUMIF(Lines!$B:$B,B100,Lines!$L:$L),2)</f>
        <v>96100.43</v>
      </c>
      <c r="AC100" s="17" t="n">
        <f aca="false">ROUND(SUMIF(Lines!$B:$B,B100,Lines!$T:$T),2)</f>
        <v>95043.32</v>
      </c>
      <c r="AD100" s="17" t="n">
        <f aca="false">ROUND(SUMIF(Lines!$B:$B,B100,Lines!$U:$U),2)</f>
        <v>63424</v>
      </c>
      <c r="AE100" s="17" t="n">
        <f aca="false">ROUND(SUMIF(Lines!$B:$B,B100,Lines!$V:$V),2)</f>
        <v>1922</v>
      </c>
      <c r="AF100" s="17" t="n">
        <f aca="false">ROUND(AC100-AD100-AE100,2)</f>
        <v>29697.32</v>
      </c>
      <c r="AG100" s="26" t="n">
        <f aca="false">RANK(AC100,$AC$6:$AC$185)</f>
        <v>117</v>
      </c>
      <c r="AJ100" s="26" t="n">
        <f aca="false">IF(AND(H100&gt;=0.85*Assumptions!$B$44,H100&lt;Assumptions!$B$44),Assumptions!$B$44,IF(AND(H100&gt;=0.85*Assumptions!$B$45,H100&lt;Assumptions!$B$45),Assumptions!$B$45,IF(AND(H100&gt;=0.85*Assumptions!$B$46,H100&lt;Assumptions!$B$46),Assumptions!$B$46,0)))</f>
        <v>0</v>
      </c>
      <c r="AK100" s="26" t="n">
        <f aca="false">IF(AJ100=0,0,AJ100-H100)</f>
        <v>0</v>
      </c>
      <c r="AL100" s="28" t="n">
        <f aca="false">IF(AJ100=Assumptions!$B$44,Assumptions!$C$44,IF(AJ100=Assumptions!$B$45,Assumptions!$C$45,IF(AJ100=Assumptions!$B$46,Assumptions!$C$46,0)))</f>
        <v>0</v>
      </c>
      <c r="AM100" s="17" t="n">
        <f aca="false">IF(AJ100=0,0,AB100*(AL100-P100))</f>
        <v>0</v>
      </c>
      <c r="AN100" s="17" t="n">
        <f aca="false">ROUND(AN93+AM100,2)</f>
        <v>146052.55</v>
      </c>
      <c r="AO100" s="17" t="n">
        <f aca="false">SUMIF(Lines!$B$6:$B$463,$B100,Lines!$M$6:$M$463)</f>
        <v>0</v>
      </c>
      <c r="AP100" s="17" t="n">
        <f aca="false">(AB100/H100)*(MAX(0,MIN(H100,Assumptions!$B$46)-Assumptions!$B$47)*Assumptions!$C$47+MAX(0,MIN(H100,Assumptions!$B$45)-Assumptions!$B$46)*Assumptions!$C$46+MAX(0,MIN(H100,Assumptions!$B$44)-Assumptions!$B$45)*Assumptions!$C$45+MAX(0,H100-Assumptions!$B$44)*Assumptions!$C$44)</f>
        <v>0</v>
      </c>
      <c r="AQ100" s="17" t="n">
        <f aca="false">ROUND(SUMIF(Lines!$B:$B,B100,Lines!$N:$N),2)</f>
        <v>0</v>
      </c>
    </row>
    <row r="101" customFormat="false" ht="15" hidden="false" customHeight="false" outlineLevel="0" collapsed="false">
      <c r="B101" s="14" t="s">
        <v>253</v>
      </c>
      <c r="C101" s="14" t="s">
        <v>194</v>
      </c>
      <c r="D101" s="14" t="s">
        <v>251</v>
      </c>
      <c r="E101" s="24" t="n">
        <v>273</v>
      </c>
      <c r="F101" s="24" t="n">
        <v>1865</v>
      </c>
      <c r="G101" s="24" t="n">
        <v>1113</v>
      </c>
      <c r="H101" s="26" t="n">
        <f aca="false">SUM(E101:G101)</f>
        <v>3251</v>
      </c>
      <c r="I101" s="24" t="n">
        <v>257</v>
      </c>
      <c r="J101" s="24" t="n">
        <v>13</v>
      </c>
      <c r="K101" s="27" t="n">
        <v>0.16</v>
      </c>
      <c r="L101" s="28" t="n">
        <f aca="false">MIN(Assumptions!$C$18,K101*Assumptions!$D$15)</f>
        <v>0.0992</v>
      </c>
      <c r="M101" s="28" t="n">
        <f aca="false">MIN(Assumptions!$C$18,K101*Assumptions!$D$16)</f>
        <v>0.208</v>
      </c>
      <c r="N101" s="28" t="n">
        <f aca="false">MIN(Assumptions!$C$18,K101*Assumptions!$D$17)</f>
        <v>0.1536</v>
      </c>
      <c r="O101" s="28" t="n">
        <f aca="false">IF(I101&gt;=Assumptions!$B$36,Assumptions!$C$36,IF(I101&gt;=Assumptions!$B$37,Assumptions!$C$37,IF(I101&gt;=Assumptions!$B$38,Assumptions!$C$38,Assumptions!$C$39)))</f>
        <v>0.04</v>
      </c>
      <c r="P101" s="28" t="n">
        <f aca="false">IF(H101&gt;=Assumptions!$B$44,Assumptions!$C$44,IF(H101&gt;=Assumptions!$B$45,Assumptions!$C$45,IF(H101&gt;=Assumptions!$B$46,Assumptions!$C$46,Assumptions!$C$47)))</f>
        <v>0.02</v>
      </c>
      <c r="Q101" s="24" t="n">
        <v>0</v>
      </c>
      <c r="R101" s="28" t="n">
        <f aca="false">Q101*Assumptions!$C$51</f>
        <v>0</v>
      </c>
      <c r="S101" s="27" t="n">
        <v>0</v>
      </c>
      <c r="T101" s="27" t="n">
        <v>0</v>
      </c>
      <c r="U101" s="27" t="n">
        <v>0</v>
      </c>
      <c r="V101" s="27" t="n">
        <v>0.006</v>
      </c>
      <c r="W101" s="27" t="n">
        <v>0.005</v>
      </c>
      <c r="X101" s="28" t="n">
        <f aca="false">P101+R101+SUM(S101:W101)</f>
        <v>0.031</v>
      </c>
      <c r="Y101" s="24" t="n">
        <v>0</v>
      </c>
      <c r="Z101" s="29" t="n">
        <f aca="false">LN(H101)</f>
        <v>8.08671792030391</v>
      </c>
      <c r="AA101" s="17" t="n">
        <f aca="false">ROUND(SUMIF(Lines!$B:$B,B101,Lines!$I:$I),2)</f>
        <v>262882</v>
      </c>
      <c r="AB101" s="17" t="n">
        <f aca="false">ROUND(SUMIF(Lines!$B:$B,B101,Lines!$L:$L),2)</f>
        <v>207895.75</v>
      </c>
      <c r="AC101" s="17" t="n">
        <f aca="false">ROUND(SUMIF(Lines!$B:$B,B101,Lines!$T:$T),2)</f>
        <v>201450.98</v>
      </c>
      <c r="AD101" s="17" t="n">
        <f aca="false">ROUND(SUMIF(Lines!$B:$B,B101,Lines!$U:$U),2)</f>
        <v>152988</v>
      </c>
      <c r="AE101" s="17" t="n">
        <f aca="false">ROUND(SUMIF(Lines!$B:$B,B101,Lines!$V:$V),2)</f>
        <v>4157.92</v>
      </c>
      <c r="AF101" s="17" t="n">
        <f aca="false">ROUND(AC101-AD101-AE101,2)</f>
        <v>44305.06</v>
      </c>
      <c r="AG101" s="26" t="n">
        <f aca="false">RANK(AC101,$AC$6:$AC$185)</f>
        <v>69</v>
      </c>
      <c r="AJ101" s="26" t="n">
        <f aca="false">IF(AND(H101&gt;=0.85*Assumptions!$B$44,H101&lt;Assumptions!$B$44),Assumptions!$B$44,IF(AND(H101&gt;=0.85*Assumptions!$B$45,H101&lt;Assumptions!$B$45),Assumptions!$B$45,IF(AND(H101&gt;=0.85*Assumptions!$B$46,H101&lt;Assumptions!$B$46),Assumptions!$B$46,0)))</f>
        <v>0</v>
      </c>
      <c r="AK101" s="26" t="n">
        <f aca="false">IF(AJ101=0,0,AJ101-H101)</f>
        <v>0</v>
      </c>
      <c r="AL101" s="28" t="n">
        <f aca="false">IF(AJ101=Assumptions!$B$44,Assumptions!$C$44,IF(AJ101=Assumptions!$B$45,Assumptions!$C$45,IF(AJ101=Assumptions!$B$46,Assumptions!$C$46,0)))</f>
        <v>0</v>
      </c>
      <c r="AM101" s="17" t="n">
        <f aca="false">IF(AJ101=0,0,AB101*(AL101-P101))</f>
        <v>0</v>
      </c>
      <c r="AN101" s="17" t="n">
        <f aca="false">ROUND(AN94+AM101,2)</f>
        <v>146052.55</v>
      </c>
      <c r="AO101" s="17" t="n">
        <f aca="false">SUMIF(Lines!$B$6:$B$463,$B101,Lines!$M$6:$M$463)</f>
        <v>4157.92</v>
      </c>
      <c r="AP101" s="17" t="n">
        <f aca="false">(AB101/H101)*(MAX(0,MIN(H101,Assumptions!$B$46)-Assumptions!$B$47)*Assumptions!$C$47+MAX(0,MIN(H101,Assumptions!$B$45)-Assumptions!$B$46)*Assumptions!$C$46+MAX(0,MIN(H101,Assumptions!$B$44)-Assumptions!$B$45)*Assumptions!$C$45+MAX(0,H101-Assumptions!$B$44)*Assumptions!$C$44)</f>
        <v>321.020198400492</v>
      </c>
      <c r="AQ101" s="17" t="n">
        <f aca="false">ROUND(SUMIF(Lines!$B:$B,B101,Lines!$N:$N),2)</f>
        <v>0</v>
      </c>
    </row>
    <row r="102" customFormat="false" ht="15" hidden="false" customHeight="false" outlineLevel="0" collapsed="false">
      <c r="B102" s="14" t="s">
        <v>254</v>
      </c>
      <c r="C102" s="14" t="s">
        <v>194</v>
      </c>
      <c r="D102" s="14" t="s">
        <v>251</v>
      </c>
      <c r="E102" s="24" t="n">
        <v>557</v>
      </c>
      <c r="F102" s="24" t="n">
        <v>0</v>
      </c>
      <c r="G102" s="24" t="n">
        <v>829</v>
      </c>
      <c r="H102" s="26" t="n">
        <f aca="false">SUM(E102:G102)</f>
        <v>1386</v>
      </c>
      <c r="I102" s="24" t="n">
        <v>132</v>
      </c>
      <c r="J102" s="24" t="n">
        <v>10</v>
      </c>
      <c r="K102" s="27" t="n">
        <v>0.05</v>
      </c>
      <c r="L102" s="28" t="n">
        <f aca="false">MIN(Assumptions!$C$18,K102*Assumptions!$D$15)</f>
        <v>0.031</v>
      </c>
      <c r="M102" s="28" t="n">
        <f aca="false">MIN(Assumptions!$C$18,K102*Assumptions!$D$16)</f>
        <v>0.065</v>
      </c>
      <c r="N102" s="28" t="n">
        <f aca="false">MIN(Assumptions!$C$18,K102*Assumptions!$D$17)</f>
        <v>0.048</v>
      </c>
      <c r="O102" s="28" t="n">
        <f aca="false">IF(I102&gt;=Assumptions!$B$36,Assumptions!$C$36,IF(I102&gt;=Assumptions!$B$37,Assumptions!$C$37,IF(I102&gt;=Assumptions!$B$38,Assumptions!$C$38,Assumptions!$C$39)))</f>
        <v>0.02</v>
      </c>
      <c r="P102" s="28" t="n">
        <f aca="false">IF(H102&gt;=Assumptions!$B$44,Assumptions!$C$44,IF(H102&gt;=Assumptions!$B$45,Assumptions!$C$45,IF(H102&gt;=Assumptions!$B$46,Assumptions!$C$46,Assumptions!$C$47)))</f>
        <v>0</v>
      </c>
      <c r="Q102" s="24" t="n">
        <v>1</v>
      </c>
      <c r="R102" s="28" t="n">
        <f aca="false">Q102*Assumptions!$C$51</f>
        <v>0.02</v>
      </c>
      <c r="S102" s="27" t="n">
        <v>0.015</v>
      </c>
      <c r="T102" s="27" t="n">
        <v>0</v>
      </c>
      <c r="U102" s="27" t="n">
        <v>0</v>
      </c>
      <c r="V102" s="27" t="n">
        <v>0.006</v>
      </c>
      <c r="W102" s="27" t="n">
        <v>0</v>
      </c>
      <c r="X102" s="28" t="n">
        <f aca="false">P102+R102+SUM(S102:W102)</f>
        <v>0.041</v>
      </c>
      <c r="Y102" s="24" t="n">
        <v>0</v>
      </c>
      <c r="Z102" s="29" t="n">
        <f aca="false">LN(H102)</f>
        <v>7.23417717974985</v>
      </c>
      <c r="AA102" s="17" t="n">
        <f aca="false">ROUND(SUMIF(Lines!$B:$B,B102,Lines!$I:$I),2)</f>
        <v>162020</v>
      </c>
      <c r="AB102" s="17" t="n">
        <f aca="false">ROUND(SUMIF(Lines!$B:$B,B102,Lines!$L:$L),2)</f>
        <v>152404.05</v>
      </c>
      <c r="AC102" s="17" t="n">
        <f aca="false">ROUND(SUMIF(Lines!$B:$B,B102,Lines!$T:$T),2)</f>
        <v>146155.48</v>
      </c>
      <c r="AD102" s="17" t="n">
        <f aca="false">ROUND(SUMIF(Lines!$B:$B,B102,Lines!$U:$U),2)</f>
        <v>91528</v>
      </c>
      <c r="AE102" s="17" t="n">
        <f aca="false">ROUND(SUMIF(Lines!$B:$B,B102,Lines!$V:$V),2)</f>
        <v>3048.09</v>
      </c>
      <c r="AF102" s="17" t="n">
        <f aca="false">ROUND(AC102-AD102-AE102,2)</f>
        <v>51579.39</v>
      </c>
      <c r="AG102" s="26" t="n">
        <f aca="false">RANK(AC102,$AC$6:$AC$185)</f>
        <v>90</v>
      </c>
      <c r="AJ102" s="26" t="n">
        <f aca="false">IF(AND(H102&gt;=0.85*Assumptions!$B$44,H102&lt;Assumptions!$B$44),Assumptions!$B$44,IF(AND(H102&gt;=0.85*Assumptions!$B$45,H102&lt;Assumptions!$B$45),Assumptions!$B$45,IF(AND(H102&gt;=0.85*Assumptions!$B$46,H102&lt;Assumptions!$B$46),Assumptions!$B$46,0)))</f>
        <v>0</v>
      </c>
      <c r="AK102" s="26" t="n">
        <f aca="false">IF(AJ102=0,0,AJ102-H102)</f>
        <v>0</v>
      </c>
      <c r="AL102" s="28" t="n">
        <f aca="false">IF(AJ102=Assumptions!$B$44,Assumptions!$C$44,IF(AJ102=Assumptions!$B$45,Assumptions!$C$45,IF(AJ102=Assumptions!$B$46,Assumptions!$C$46,0)))</f>
        <v>0</v>
      </c>
      <c r="AM102" s="17" t="n">
        <f aca="false">IF(AJ102=0,0,AB102*(AL102-P102))</f>
        <v>0</v>
      </c>
      <c r="AN102" s="17" t="n">
        <f aca="false">ROUND(AN95+AM102,2)</f>
        <v>155000.84</v>
      </c>
      <c r="AO102" s="17" t="n">
        <f aca="false">SUMIF(Lines!$B$6:$B$463,$B102,Lines!$M$6:$M$463)</f>
        <v>0</v>
      </c>
      <c r="AP102" s="17" t="n">
        <f aca="false">(AB102/H102)*(MAX(0,MIN(H102,Assumptions!$B$46)-Assumptions!$B$47)*Assumptions!$C$47+MAX(0,MIN(H102,Assumptions!$B$45)-Assumptions!$B$46)*Assumptions!$C$46+MAX(0,MIN(H102,Assumptions!$B$44)-Assumptions!$B$45)*Assumptions!$C$45+MAX(0,H102-Assumptions!$B$44)*Assumptions!$C$44)</f>
        <v>0</v>
      </c>
      <c r="AQ102" s="17" t="n">
        <f aca="false">ROUND(SUMIF(Lines!$B:$B,B102,Lines!$N:$N),2)</f>
        <v>3048.09</v>
      </c>
    </row>
    <row r="103" customFormat="false" ht="15" hidden="false" customHeight="false" outlineLevel="0" collapsed="false">
      <c r="B103" s="14" t="s">
        <v>255</v>
      </c>
      <c r="C103" s="14" t="s">
        <v>194</v>
      </c>
      <c r="D103" s="14" t="s">
        <v>251</v>
      </c>
      <c r="E103" s="24" t="n">
        <v>371</v>
      </c>
      <c r="F103" s="24" t="n">
        <v>1188</v>
      </c>
      <c r="G103" s="24" t="n">
        <v>525</v>
      </c>
      <c r="H103" s="26" t="n">
        <f aca="false">SUM(E103:G103)</f>
        <v>2084</v>
      </c>
      <c r="I103" s="24" t="n">
        <v>233</v>
      </c>
      <c r="J103" s="24" t="n">
        <v>9</v>
      </c>
      <c r="K103" s="27" t="n">
        <v>0</v>
      </c>
      <c r="L103" s="28" t="n">
        <f aca="false">MIN(Assumptions!$C$18,K103*Assumptions!$D$15)</f>
        <v>0</v>
      </c>
      <c r="M103" s="28" t="n">
        <f aca="false">MIN(Assumptions!$C$18,K103*Assumptions!$D$16)</f>
        <v>0</v>
      </c>
      <c r="N103" s="28" t="n">
        <f aca="false">MIN(Assumptions!$C$18,K103*Assumptions!$D$17)</f>
        <v>0</v>
      </c>
      <c r="O103" s="28" t="n">
        <f aca="false">IF(I103&gt;=Assumptions!$B$36,Assumptions!$C$36,IF(I103&gt;=Assumptions!$B$37,Assumptions!$C$37,IF(I103&gt;=Assumptions!$B$38,Assumptions!$C$38,Assumptions!$C$39)))</f>
        <v>0.04</v>
      </c>
      <c r="P103" s="28" t="n">
        <f aca="false">IF(H103&gt;=Assumptions!$B$44,Assumptions!$C$44,IF(H103&gt;=Assumptions!$B$45,Assumptions!$C$45,IF(H103&gt;=Assumptions!$B$46,Assumptions!$C$46,Assumptions!$C$47)))</f>
        <v>0</v>
      </c>
      <c r="Q103" s="24" t="n">
        <v>0</v>
      </c>
      <c r="R103" s="28" t="n">
        <f aca="false">Q103*Assumptions!$C$51</f>
        <v>0</v>
      </c>
      <c r="S103" s="27" t="n">
        <v>0</v>
      </c>
      <c r="T103" s="27" t="n">
        <v>0</v>
      </c>
      <c r="U103" s="27" t="n">
        <v>0</v>
      </c>
      <c r="V103" s="27" t="n">
        <v>0.006</v>
      </c>
      <c r="W103" s="27" t="n">
        <v>0.005</v>
      </c>
      <c r="X103" s="28" t="n">
        <f aca="false">P103+R103+SUM(S103:W103)</f>
        <v>0.011</v>
      </c>
      <c r="Y103" s="24" t="n">
        <v>0</v>
      </c>
      <c r="Z103" s="29" t="n">
        <f aca="false">LN(H103)</f>
        <v>7.64204440287326</v>
      </c>
      <c r="AA103" s="17" t="n">
        <f aca="false">ROUND(SUMIF(Lines!$B:$B,B103,Lines!$I:$I),2)</f>
        <v>178964</v>
      </c>
      <c r="AB103" s="17" t="n">
        <f aca="false">ROUND(SUMIF(Lines!$B:$B,B103,Lines!$L:$L),2)</f>
        <v>171805.44</v>
      </c>
      <c r="AC103" s="17" t="n">
        <f aca="false">ROUND(SUMIF(Lines!$B:$B,B103,Lines!$T:$T),2)</f>
        <v>169915.58</v>
      </c>
      <c r="AD103" s="17" t="n">
        <f aca="false">ROUND(SUMIF(Lines!$B:$B,B103,Lines!$U:$U),2)</f>
        <v>102156</v>
      </c>
      <c r="AE103" s="17" t="n">
        <f aca="false">ROUND(SUMIF(Lines!$B:$B,B103,Lines!$V:$V),2)</f>
        <v>3436.11</v>
      </c>
      <c r="AF103" s="17" t="n">
        <f aca="false">ROUND(AC103-AD103-AE103,2)</f>
        <v>64323.47</v>
      </c>
      <c r="AG103" s="26" t="n">
        <f aca="false">RANK(AC103,$AC$6:$AC$185)</f>
        <v>83</v>
      </c>
      <c r="AJ103" s="26" t="n">
        <f aca="false">IF(AND(H103&gt;=0.85*Assumptions!$B$44,H103&lt;Assumptions!$B$44),Assumptions!$B$44,IF(AND(H103&gt;=0.85*Assumptions!$B$45,H103&lt;Assumptions!$B$45),Assumptions!$B$45,IF(AND(H103&gt;=0.85*Assumptions!$B$46,H103&lt;Assumptions!$B$46),Assumptions!$B$46,0)))</f>
        <v>0</v>
      </c>
      <c r="AK103" s="26" t="n">
        <f aca="false">IF(AJ103=0,0,AJ103-H103)</f>
        <v>0</v>
      </c>
      <c r="AL103" s="28" t="n">
        <f aca="false">IF(AJ103=Assumptions!$B$44,Assumptions!$C$44,IF(AJ103=Assumptions!$B$45,Assumptions!$C$45,IF(AJ103=Assumptions!$B$46,Assumptions!$C$46,0)))</f>
        <v>0</v>
      </c>
      <c r="AM103" s="17" t="n">
        <f aca="false">IF(AJ103=0,0,AB103*(AL103-P103))</f>
        <v>0</v>
      </c>
      <c r="AN103" s="17" t="n">
        <f aca="false">ROUND(AN96+AM103,2)</f>
        <v>171110.19</v>
      </c>
      <c r="AO103" s="17" t="n">
        <f aca="false">SUMIF(Lines!$B$6:$B$463,$B103,Lines!$M$6:$M$463)</f>
        <v>0</v>
      </c>
      <c r="AP103" s="17" t="n">
        <f aca="false">(AB103/H103)*(MAX(0,MIN(H103,Assumptions!$B$46)-Assumptions!$B$47)*Assumptions!$C$47+MAX(0,MIN(H103,Assumptions!$B$45)-Assumptions!$B$46)*Assumptions!$C$46+MAX(0,MIN(H103,Assumptions!$B$44)-Assumptions!$B$45)*Assumptions!$C$45+MAX(0,H103-Assumptions!$B$44)*Assumptions!$C$44)</f>
        <v>0</v>
      </c>
      <c r="AQ103" s="17" t="n">
        <f aca="false">ROUND(SUMIF(Lines!$B:$B,B103,Lines!$N:$N),2)</f>
        <v>0</v>
      </c>
    </row>
    <row r="104" customFormat="false" ht="15" hidden="false" customHeight="false" outlineLevel="0" collapsed="false">
      <c r="B104" s="14" t="s">
        <v>256</v>
      </c>
      <c r="C104" s="14" t="s">
        <v>194</v>
      </c>
      <c r="D104" s="14" t="s">
        <v>251</v>
      </c>
      <c r="E104" s="24" t="n">
        <v>352</v>
      </c>
      <c r="F104" s="24" t="n">
        <v>1014</v>
      </c>
      <c r="G104" s="24" t="n">
        <v>630</v>
      </c>
      <c r="H104" s="26" t="n">
        <f aca="false">SUM(E104:G104)</f>
        <v>1996</v>
      </c>
      <c r="I104" s="24" t="n">
        <v>224</v>
      </c>
      <c r="J104" s="24" t="n">
        <v>9</v>
      </c>
      <c r="K104" s="27" t="n">
        <v>0.105</v>
      </c>
      <c r="L104" s="28" t="n">
        <f aca="false">MIN(Assumptions!$C$18,K104*Assumptions!$D$15)</f>
        <v>0.0651</v>
      </c>
      <c r="M104" s="28" t="n">
        <f aca="false">MIN(Assumptions!$C$18,K104*Assumptions!$D$16)</f>
        <v>0.1365</v>
      </c>
      <c r="N104" s="28" t="n">
        <f aca="false">MIN(Assumptions!$C$18,K104*Assumptions!$D$17)</f>
        <v>0.1008</v>
      </c>
      <c r="O104" s="28" t="n">
        <f aca="false">IF(I104&gt;=Assumptions!$B$36,Assumptions!$C$36,IF(I104&gt;=Assumptions!$B$37,Assumptions!$C$37,IF(I104&gt;=Assumptions!$B$38,Assumptions!$C$38,Assumptions!$C$39)))</f>
        <v>0.04</v>
      </c>
      <c r="P104" s="28" t="n">
        <f aca="false">IF(H104&gt;=Assumptions!$B$44,Assumptions!$C$44,IF(H104&gt;=Assumptions!$B$45,Assumptions!$C$45,IF(H104&gt;=Assumptions!$B$46,Assumptions!$C$46,Assumptions!$C$47)))</f>
        <v>0</v>
      </c>
      <c r="Q104" s="24" t="n">
        <v>0</v>
      </c>
      <c r="R104" s="28" t="n">
        <f aca="false">Q104*Assumptions!$C$51</f>
        <v>0</v>
      </c>
      <c r="S104" s="27" t="n">
        <v>0</v>
      </c>
      <c r="T104" s="27" t="n">
        <v>0</v>
      </c>
      <c r="U104" s="27" t="n">
        <v>0</v>
      </c>
      <c r="V104" s="27" t="n">
        <v>0.006</v>
      </c>
      <c r="W104" s="27" t="n">
        <v>0.005</v>
      </c>
      <c r="X104" s="28" t="n">
        <f aca="false">P104+R104+SUM(S104:W104)</f>
        <v>0.011</v>
      </c>
      <c r="Y104" s="24" t="n">
        <v>0</v>
      </c>
      <c r="Z104" s="29" t="n">
        <f aca="false">LN(H104)</f>
        <v>7.59890045687141</v>
      </c>
      <c r="AA104" s="17" t="n">
        <f aca="false">ROUND(SUMIF(Lines!$B:$B,B104,Lines!$I:$I),2)</f>
        <v>175444</v>
      </c>
      <c r="AB104" s="17" t="n">
        <f aca="false">ROUND(SUMIF(Lines!$B:$B,B104,Lines!$L:$L),2)</f>
        <v>150356.93</v>
      </c>
      <c r="AC104" s="17" t="n">
        <f aca="false">ROUND(SUMIF(Lines!$B:$B,B104,Lines!$T:$T),2)</f>
        <v>148703.01</v>
      </c>
      <c r="AD104" s="17" t="n">
        <f aca="false">ROUND(SUMIF(Lines!$B:$B,B104,Lines!$U:$U),2)</f>
        <v>100500</v>
      </c>
      <c r="AE104" s="17" t="n">
        <f aca="false">ROUND(SUMIF(Lines!$B:$B,B104,Lines!$V:$V),2)</f>
        <v>3007.14</v>
      </c>
      <c r="AF104" s="17" t="n">
        <f aca="false">ROUND(AC104-AD104-AE104,2)</f>
        <v>45195.87</v>
      </c>
      <c r="AG104" s="26" t="n">
        <f aca="false">RANK(AC104,$AC$6:$AC$185)</f>
        <v>88</v>
      </c>
      <c r="AJ104" s="26" t="n">
        <f aca="false">IF(AND(H104&gt;=0.85*Assumptions!$B$44,H104&lt;Assumptions!$B$44),Assumptions!$B$44,IF(AND(H104&gt;=0.85*Assumptions!$B$45,H104&lt;Assumptions!$B$45),Assumptions!$B$45,IF(AND(H104&gt;=0.85*Assumptions!$B$46,H104&lt;Assumptions!$B$46),Assumptions!$B$46,0)))</f>
        <v>0</v>
      </c>
      <c r="AK104" s="26" t="n">
        <f aca="false">IF(AJ104=0,0,AJ104-H104)</f>
        <v>0</v>
      </c>
      <c r="AL104" s="28" t="n">
        <f aca="false">IF(AJ104=Assumptions!$B$44,Assumptions!$C$44,IF(AJ104=Assumptions!$B$45,Assumptions!$C$45,IF(AJ104=Assumptions!$B$46,Assumptions!$C$46,0)))</f>
        <v>0</v>
      </c>
      <c r="AM104" s="17" t="n">
        <f aca="false">IF(AJ104=0,0,AB104*(AL104-P104))</f>
        <v>0</v>
      </c>
      <c r="AN104" s="17" t="n">
        <f aca="false">ROUND(AN97+AM104,2)</f>
        <v>171110.19</v>
      </c>
      <c r="AO104" s="17" t="n">
        <f aca="false">SUMIF(Lines!$B$6:$B$463,$B104,Lines!$M$6:$M$463)</f>
        <v>0</v>
      </c>
      <c r="AP104" s="17" t="n">
        <f aca="false">(AB104/H104)*(MAX(0,MIN(H104,Assumptions!$B$46)-Assumptions!$B$47)*Assumptions!$C$47+MAX(0,MIN(H104,Assumptions!$B$45)-Assumptions!$B$46)*Assumptions!$C$46+MAX(0,MIN(H104,Assumptions!$B$44)-Assumptions!$B$45)*Assumptions!$C$45+MAX(0,H104-Assumptions!$B$44)*Assumptions!$C$44)</f>
        <v>0</v>
      </c>
      <c r="AQ104" s="17" t="n">
        <f aca="false">ROUND(SUMIF(Lines!$B:$B,B104,Lines!$N:$N),2)</f>
        <v>0</v>
      </c>
    </row>
    <row r="105" customFormat="false" ht="15" hidden="false" customHeight="false" outlineLevel="0" collapsed="false">
      <c r="B105" s="14" t="s">
        <v>257</v>
      </c>
      <c r="C105" s="14" t="s">
        <v>194</v>
      </c>
      <c r="D105" s="14" t="s">
        <v>251</v>
      </c>
      <c r="E105" s="24" t="n">
        <v>873</v>
      </c>
      <c r="F105" s="24" t="n">
        <v>2535</v>
      </c>
      <c r="G105" s="24" t="n">
        <v>1197</v>
      </c>
      <c r="H105" s="26" t="n">
        <f aca="false">SUM(E105:G105)</f>
        <v>4605</v>
      </c>
      <c r="I105" s="24" t="n">
        <v>259</v>
      </c>
      <c r="J105" s="24" t="n">
        <v>18</v>
      </c>
      <c r="K105" s="27" t="n">
        <v>0.035</v>
      </c>
      <c r="L105" s="28" t="n">
        <f aca="false">MIN(Assumptions!$C$18,K105*Assumptions!$D$15)</f>
        <v>0.0217</v>
      </c>
      <c r="M105" s="28" t="n">
        <f aca="false">MIN(Assumptions!$C$18,K105*Assumptions!$D$16)</f>
        <v>0.0455</v>
      </c>
      <c r="N105" s="28" t="n">
        <f aca="false">MIN(Assumptions!$C$18,K105*Assumptions!$D$17)</f>
        <v>0.0336</v>
      </c>
      <c r="O105" s="28" t="n">
        <f aca="false">IF(I105&gt;=Assumptions!$B$36,Assumptions!$C$36,IF(I105&gt;=Assumptions!$B$37,Assumptions!$C$37,IF(I105&gt;=Assumptions!$B$38,Assumptions!$C$38,Assumptions!$C$39)))</f>
        <v>0.04</v>
      </c>
      <c r="P105" s="28" t="n">
        <f aca="false">IF(H105&gt;=Assumptions!$B$44,Assumptions!$C$44,IF(H105&gt;=Assumptions!$B$45,Assumptions!$C$45,IF(H105&gt;=Assumptions!$B$46,Assumptions!$C$46,Assumptions!$C$47)))</f>
        <v>0.02</v>
      </c>
      <c r="Q105" s="24" t="n">
        <v>1</v>
      </c>
      <c r="R105" s="28" t="n">
        <f aca="false">Q105*Assumptions!$C$51</f>
        <v>0.02</v>
      </c>
      <c r="S105" s="27" t="n">
        <v>0</v>
      </c>
      <c r="T105" s="27" t="n">
        <v>0</v>
      </c>
      <c r="U105" s="27" t="n">
        <v>0</v>
      </c>
      <c r="V105" s="27" t="n">
        <v>0.006</v>
      </c>
      <c r="W105" s="27" t="n">
        <v>0.005</v>
      </c>
      <c r="X105" s="28" t="n">
        <f aca="false">P105+R105+SUM(S105:W105)</f>
        <v>0.051</v>
      </c>
      <c r="Y105" s="24" t="n">
        <v>0</v>
      </c>
      <c r="Z105" s="29" t="n">
        <f aca="false">LN(H105)</f>
        <v>8.43489794868941</v>
      </c>
      <c r="AA105" s="17" t="n">
        <f aca="false">ROUND(SUMIF(Lines!$B:$B,B105,Lines!$I:$I),2)</f>
        <v>401286</v>
      </c>
      <c r="AB105" s="17" t="n">
        <f aca="false">ROUND(SUMIF(Lines!$B:$B,B105,Lines!$L:$L),2)</f>
        <v>371418.55</v>
      </c>
      <c r="AC105" s="17" t="n">
        <f aca="false">ROUND(SUMIF(Lines!$B:$B,B105,Lines!$T:$T),2)</f>
        <v>352476.21</v>
      </c>
      <c r="AD105" s="17" t="n">
        <f aca="false">ROUND(SUMIF(Lines!$B:$B,B105,Lines!$U:$U),2)</f>
        <v>228780</v>
      </c>
      <c r="AE105" s="17" t="n">
        <f aca="false">ROUND(SUMIF(Lines!$B:$B,B105,Lines!$V:$V),2)</f>
        <v>7428.37</v>
      </c>
      <c r="AF105" s="17" t="n">
        <f aca="false">ROUND(AC105-AD105-AE105,2)</f>
        <v>116267.84</v>
      </c>
      <c r="AG105" s="26" t="n">
        <f aca="false">RANK(AC105,$AC$6:$AC$185)</f>
        <v>40</v>
      </c>
      <c r="AJ105" s="26" t="n">
        <f aca="false">IF(AND(H105&gt;=0.85*Assumptions!$B$44,H105&lt;Assumptions!$B$44),Assumptions!$B$44,IF(AND(H105&gt;=0.85*Assumptions!$B$45,H105&lt;Assumptions!$B$45),Assumptions!$B$45,IF(AND(H105&gt;=0.85*Assumptions!$B$46,H105&lt;Assumptions!$B$46),Assumptions!$B$46,0)))</f>
        <v>0</v>
      </c>
      <c r="AK105" s="26" t="n">
        <f aca="false">IF(AJ105=0,0,AJ105-H105)</f>
        <v>0</v>
      </c>
      <c r="AL105" s="28" t="n">
        <f aca="false">IF(AJ105=Assumptions!$B$44,Assumptions!$C$44,IF(AJ105=Assumptions!$B$45,Assumptions!$C$45,IF(AJ105=Assumptions!$B$46,Assumptions!$C$46,0)))</f>
        <v>0</v>
      </c>
      <c r="AM105" s="17" t="n">
        <f aca="false">IF(AJ105=0,0,AB105*(AL105-P105))</f>
        <v>0</v>
      </c>
      <c r="AN105" s="17" t="n">
        <f aca="false">ROUND(AN98+AM105,2)</f>
        <v>175350.28</v>
      </c>
      <c r="AO105" s="17" t="n">
        <f aca="false">SUMIF(Lines!$B$6:$B$463,$B105,Lines!$M$6:$M$463)</f>
        <v>7428.37</v>
      </c>
      <c r="AP105" s="17" t="n">
        <f aca="false">(AB105/H105)*(MAX(0,MIN(H105,Assumptions!$B$46)-Assumptions!$B$47)*Assumptions!$C$47+MAX(0,MIN(H105,Assumptions!$B$45)-Assumptions!$B$46)*Assumptions!$C$46+MAX(0,MIN(H105,Assumptions!$B$44)-Assumptions!$B$45)*Assumptions!$C$45+MAX(0,H105-Assumptions!$B$44)*Assumptions!$C$44)</f>
        <v>2589.04135830619</v>
      </c>
      <c r="AQ105" s="17" t="n">
        <f aca="false">ROUND(SUMIF(Lines!$B:$B,B105,Lines!$N:$N),2)</f>
        <v>7428.37</v>
      </c>
    </row>
    <row r="106" customFormat="false" ht="15" hidden="false" customHeight="false" outlineLevel="0" collapsed="false">
      <c r="B106" s="14" t="s">
        <v>258</v>
      </c>
      <c r="C106" s="14" t="s">
        <v>259</v>
      </c>
      <c r="D106" s="14" t="s">
        <v>218</v>
      </c>
      <c r="E106" s="24" t="n">
        <v>285</v>
      </c>
      <c r="F106" s="24" t="n">
        <v>0</v>
      </c>
      <c r="G106" s="24" t="n">
        <v>0</v>
      </c>
      <c r="H106" s="26" t="n">
        <f aca="false">SUM(E106:G106)</f>
        <v>285</v>
      </c>
      <c r="I106" s="24" t="n">
        <v>39</v>
      </c>
      <c r="J106" s="24" t="n">
        <v>7</v>
      </c>
      <c r="K106" s="27" t="n">
        <v>0.01</v>
      </c>
      <c r="L106" s="28" t="n">
        <f aca="false">MIN(Assumptions!$C$18,K106*Assumptions!$D$15)</f>
        <v>0.0062</v>
      </c>
      <c r="M106" s="28" t="n">
        <f aca="false">MIN(Assumptions!$C$18,K106*Assumptions!$D$16)</f>
        <v>0.013</v>
      </c>
      <c r="N106" s="28" t="n">
        <f aca="false">MIN(Assumptions!$C$18,K106*Assumptions!$D$17)</f>
        <v>0.0096</v>
      </c>
      <c r="O106" s="28" t="n">
        <f aca="false">IF(I106&gt;=Assumptions!$B$36,Assumptions!$C$36,IF(I106&gt;=Assumptions!$B$37,Assumptions!$C$37,IF(I106&gt;=Assumptions!$B$38,Assumptions!$C$38,Assumptions!$C$39)))</f>
        <v>0</v>
      </c>
      <c r="P106" s="28" t="n">
        <f aca="false">IF(H106&gt;=Assumptions!$B$44,Assumptions!$C$44,IF(H106&gt;=Assumptions!$B$45,Assumptions!$C$45,IF(H106&gt;=Assumptions!$B$46,Assumptions!$C$46,Assumptions!$C$47)))</f>
        <v>0</v>
      </c>
      <c r="Q106" s="24" t="n">
        <v>0</v>
      </c>
      <c r="R106" s="28" t="n">
        <f aca="false">Q106*Assumptions!$C$51</f>
        <v>0</v>
      </c>
      <c r="S106" s="27" t="n">
        <v>0</v>
      </c>
      <c r="T106" s="27" t="n">
        <v>0</v>
      </c>
      <c r="U106" s="27" t="n">
        <v>0</v>
      </c>
      <c r="V106" s="27" t="n">
        <v>0.01</v>
      </c>
      <c r="W106" s="27" t="n">
        <v>0</v>
      </c>
      <c r="X106" s="28" t="n">
        <f aca="false">P106+R106+SUM(S106:W106)</f>
        <v>0.01</v>
      </c>
      <c r="Y106" s="24" t="n">
        <v>0</v>
      </c>
      <c r="Z106" s="29" t="n">
        <f aca="false">LN(H106)</f>
        <v>5.65248918026865</v>
      </c>
      <c r="AA106" s="17" t="n">
        <f aca="false">ROUND(SUMIF(Lines!$B:$B,B106,Lines!$I:$I),2)</f>
        <v>42180</v>
      </c>
      <c r="AB106" s="17" t="n">
        <f aca="false">ROUND(SUMIF(Lines!$B:$B,B106,Lines!$L:$L),2)</f>
        <v>41918.48</v>
      </c>
      <c r="AC106" s="17" t="n">
        <f aca="false">ROUND(SUMIF(Lines!$B:$B,B106,Lines!$T:$T),2)</f>
        <v>41499.3</v>
      </c>
      <c r="AD106" s="17" t="n">
        <f aca="false">ROUND(SUMIF(Lines!$B:$B,B106,Lines!$U:$U),2)</f>
        <v>22230</v>
      </c>
      <c r="AE106" s="17" t="n">
        <f aca="false">ROUND(SUMIF(Lines!$B:$B,B106,Lines!$V:$V),2)</f>
        <v>838.37</v>
      </c>
      <c r="AF106" s="17" t="n">
        <f aca="false">ROUND(AC106-AD106-AE106,2)</f>
        <v>18430.93</v>
      </c>
      <c r="AG106" s="26" t="n">
        <f aca="false">RANK(AC106,$AC$6:$AC$185)</f>
        <v>160</v>
      </c>
      <c r="AJ106" s="26" t="n">
        <f aca="false">IF(AND(H106&gt;=0.85*Assumptions!$B$44,H106&lt;Assumptions!$B$44),Assumptions!$B$44,IF(AND(H106&gt;=0.85*Assumptions!$B$45,H106&lt;Assumptions!$B$45),Assumptions!$B$45,IF(AND(H106&gt;=0.85*Assumptions!$B$46,H106&lt;Assumptions!$B$46),Assumptions!$B$46,0)))</f>
        <v>0</v>
      </c>
      <c r="AK106" s="26" t="n">
        <f aca="false">IF(AJ106=0,0,AJ106-H106)</f>
        <v>0</v>
      </c>
      <c r="AL106" s="28" t="n">
        <f aca="false">IF(AJ106=Assumptions!$B$44,Assumptions!$C$44,IF(AJ106=Assumptions!$B$45,Assumptions!$C$45,IF(AJ106=Assumptions!$B$46,Assumptions!$C$46,0)))</f>
        <v>0</v>
      </c>
      <c r="AM106" s="17" t="n">
        <f aca="false">IF(AJ106=0,0,AB106*(AL106-P106))</f>
        <v>0</v>
      </c>
      <c r="AN106" s="17" t="n">
        <f aca="false">ROUND(AN77+AM106,2)</f>
        <v>175350.28</v>
      </c>
      <c r="AO106" s="17" t="n">
        <f aca="false">SUMIF(Lines!$B$6:$B$463,$B106,Lines!$M$6:$M$463)</f>
        <v>0</v>
      </c>
      <c r="AP106" s="17" t="n">
        <f aca="false">(AB106/H106)*(MAX(0,MIN(H106,Assumptions!$B$46)-Assumptions!$B$47)*Assumptions!$C$47+MAX(0,MIN(H106,Assumptions!$B$45)-Assumptions!$B$46)*Assumptions!$C$46+MAX(0,MIN(H106,Assumptions!$B$44)-Assumptions!$B$45)*Assumptions!$C$45+MAX(0,H106-Assumptions!$B$44)*Assumptions!$C$44)</f>
        <v>0</v>
      </c>
      <c r="AQ106" s="17" t="n">
        <f aca="false">ROUND(SUMIF(Lines!$B:$B,B106,Lines!$N:$N),2)</f>
        <v>0</v>
      </c>
    </row>
    <row r="107" customFormat="false" ht="15" hidden="false" customHeight="false" outlineLevel="0" collapsed="false">
      <c r="B107" s="14" t="s">
        <v>260</v>
      </c>
      <c r="C107" s="14" t="s">
        <v>259</v>
      </c>
      <c r="D107" s="14" t="s">
        <v>218</v>
      </c>
      <c r="E107" s="24" t="n">
        <v>96</v>
      </c>
      <c r="F107" s="24" t="n">
        <v>410</v>
      </c>
      <c r="G107" s="24" t="n">
        <v>0</v>
      </c>
      <c r="H107" s="26" t="n">
        <f aca="false">SUM(E107:G107)</f>
        <v>506</v>
      </c>
      <c r="I107" s="24" t="n">
        <v>45</v>
      </c>
      <c r="J107" s="24" t="n">
        <v>11</v>
      </c>
      <c r="K107" s="27" t="n">
        <v>0.02</v>
      </c>
      <c r="L107" s="28" t="n">
        <f aca="false">MIN(Assumptions!$C$18,K107*Assumptions!$D$15)</f>
        <v>0.0124</v>
      </c>
      <c r="M107" s="28" t="n">
        <f aca="false">MIN(Assumptions!$C$18,K107*Assumptions!$D$16)</f>
        <v>0.026</v>
      </c>
      <c r="N107" s="28" t="n">
        <f aca="false">MIN(Assumptions!$C$18,K107*Assumptions!$D$17)</f>
        <v>0.0192</v>
      </c>
      <c r="O107" s="28" t="n">
        <f aca="false">IF(I107&gt;=Assumptions!$B$36,Assumptions!$C$36,IF(I107&gt;=Assumptions!$B$37,Assumptions!$C$37,IF(I107&gt;=Assumptions!$B$38,Assumptions!$C$38,Assumptions!$C$39)))</f>
        <v>0</v>
      </c>
      <c r="P107" s="28" t="n">
        <f aca="false">IF(H107&gt;=Assumptions!$B$44,Assumptions!$C$44,IF(H107&gt;=Assumptions!$B$45,Assumptions!$C$45,IF(H107&gt;=Assumptions!$B$46,Assumptions!$C$46,Assumptions!$C$47)))</f>
        <v>0</v>
      </c>
      <c r="Q107" s="24" t="n">
        <v>0</v>
      </c>
      <c r="R107" s="28" t="n">
        <f aca="false">Q107*Assumptions!$C$51</f>
        <v>0</v>
      </c>
      <c r="S107" s="27" t="n">
        <v>0</v>
      </c>
      <c r="T107" s="27" t="n">
        <v>0</v>
      </c>
      <c r="U107" s="27" t="n">
        <v>0</v>
      </c>
      <c r="V107" s="27" t="n">
        <v>0.01</v>
      </c>
      <c r="W107" s="27" t="n">
        <v>0</v>
      </c>
      <c r="X107" s="28" t="n">
        <f aca="false">P107+R107+SUM(S107:W107)</f>
        <v>0.01</v>
      </c>
      <c r="Y107" s="24" t="n">
        <v>0</v>
      </c>
      <c r="Z107" s="29" t="n">
        <f aca="false">LN(H107)</f>
        <v>6.22653666928747</v>
      </c>
      <c r="AA107" s="17" t="n">
        <f aca="false">ROUND(SUMIF(Lines!$B:$B,B107,Lines!$I:$I),2)</f>
        <v>39628</v>
      </c>
      <c r="AB107" s="17" t="n">
        <f aca="false">ROUND(SUMIF(Lines!$B:$B,B107,Lines!$L:$L),2)</f>
        <v>38790.9</v>
      </c>
      <c r="AC107" s="17" t="n">
        <f aca="false">ROUND(SUMIF(Lines!$B:$B,B107,Lines!$T:$T),2)</f>
        <v>38402.99</v>
      </c>
      <c r="AD107" s="17" t="n">
        <f aca="false">ROUND(SUMIF(Lines!$B:$B,B107,Lines!$U:$U),2)</f>
        <v>22248</v>
      </c>
      <c r="AE107" s="17" t="n">
        <f aca="false">ROUND(SUMIF(Lines!$B:$B,B107,Lines!$V:$V),2)</f>
        <v>775.82</v>
      </c>
      <c r="AF107" s="17" t="n">
        <f aca="false">ROUND(AC107-AD107-AE107,2)</f>
        <v>15379.17</v>
      </c>
      <c r="AG107" s="26" t="n">
        <f aca="false">RANK(AC107,$AC$6:$AC$185)</f>
        <v>162</v>
      </c>
      <c r="AJ107" s="26" t="n">
        <f aca="false">IF(AND(H107&gt;=0.85*Assumptions!$B$44,H107&lt;Assumptions!$B$44),Assumptions!$B$44,IF(AND(H107&gt;=0.85*Assumptions!$B$45,H107&lt;Assumptions!$B$45),Assumptions!$B$45,IF(AND(H107&gt;=0.85*Assumptions!$B$46,H107&lt;Assumptions!$B$46),Assumptions!$B$46,0)))</f>
        <v>0</v>
      </c>
      <c r="AK107" s="26" t="n">
        <f aca="false">IF(AJ107=0,0,AJ107-H107)</f>
        <v>0</v>
      </c>
      <c r="AL107" s="28" t="n">
        <f aca="false">IF(AJ107=Assumptions!$B$44,Assumptions!$C$44,IF(AJ107=Assumptions!$B$45,Assumptions!$C$45,IF(AJ107=Assumptions!$B$46,Assumptions!$C$46,0)))</f>
        <v>0</v>
      </c>
      <c r="AM107" s="17" t="n">
        <f aca="false">IF(AJ107=0,0,AB107*(AL107-P107))</f>
        <v>0</v>
      </c>
      <c r="AN107" s="17" t="n">
        <f aca="false">ROUND(AN170+AM107,2)</f>
        <v>175350.28</v>
      </c>
      <c r="AO107" s="17" t="n">
        <f aca="false">SUMIF(Lines!$B$6:$B$463,$B107,Lines!$M$6:$M$463)</f>
        <v>0</v>
      </c>
      <c r="AP107" s="17" t="n">
        <f aca="false">(AB107/H107)*(MAX(0,MIN(H107,Assumptions!$B$46)-Assumptions!$B$47)*Assumptions!$C$47+MAX(0,MIN(H107,Assumptions!$B$45)-Assumptions!$B$46)*Assumptions!$C$46+MAX(0,MIN(H107,Assumptions!$B$44)-Assumptions!$B$45)*Assumptions!$C$45+MAX(0,H107-Assumptions!$B$44)*Assumptions!$C$44)</f>
        <v>0</v>
      </c>
      <c r="AQ107" s="17" t="n">
        <f aca="false">ROUND(SUMIF(Lines!$B:$B,B107,Lines!$N:$N),2)</f>
        <v>0</v>
      </c>
    </row>
    <row r="108" customFormat="false" ht="15" hidden="false" customHeight="false" outlineLevel="0" collapsed="false">
      <c r="B108" s="14" t="s">
        <v>261</v>
      </c>
      <c r="C108" s="14" t="s">
        <v>259</v>
      </c>
      <c r="D108" s="14" t="s">
        <v>218</v>
      </c>
      <c r="E108" s="24" t="n">
        <v>190</v>
      </c>
      <c r="F108" s="24" t="n">
        <v>0</v>
      </c>
      <c r="G108" s="24" t="n">
        <v>229</v>
      </c>
      <c r="H108" s="26" t="n">
        <f aca="false">SUM(E108:G108)</f>
        <v>419</v>
      </c>
      <c r="I108" s="24" t="n">
        <v>42</v>
      </c>
      <c r="J108" s="24" t="n">
        <v>10</v>
      </c>
      <c r="K108" s="27" t="n">
        <v>0</v>
      </c>
      <c r="L108" s="28" t="n">
        <f aca="false">MIN(Assumptions!$C$18,K108*Assumptions!$D$15)</f>
        <v>0</v>
      </c>
      <c r="M108" s="28" t="n">
        <f aca="false">MIN(Assumptions!$C$18,K108*Assumptions!$D$16)</f>
        <v>0</v>
      </c>
      <c r="N108" s="28" t="n">
        <f aca="false">MIN(Assumptions!$C$18,K108*Assumptions!$D$17)</f>
        <v>0</v>
      </c>
      <c r="O108" s="28" t="n">
        <f aca="false">IF(I108&gt;=Assumptions!$B$36,Assumptions!$C$36,IF(I108&gt;=Assumptions!$B$37,Assumptions!$C$37,IF(I108&gt;=Assumptions!$B$38,Assumptions!$C$38,Assumptions!$C$39)))</f>
        <v>0</v>
      </c>
      <c r="P108" s="28" t="n">
        <f aca="false">IF(H108&gt;=Assumptions!$B$44,Assumptions!$C$44,IF(H108&gt;=Assumptions!$B$45,Assumptions!$C$45,IF(H108&gt;=Assumptions!$B$46,Assumptions!$C$46,Assumptions!$C$47)))</f>
        <v>0</v>
      </c>
      <c r="Q108" s="24" t="n">
        <v>0</v>
      </c>
      <c r="R108" s="28" t="n">
        <f aca="false">Q108*Assumptions!$C$51</f>
        <v>0</v>
      </c>
      <c r="S108" s="27" t="n">
        <v>0</v>
      </c>
      <c r="T108" s="27" t="n">
        <v>0</v>
      </c>
      <c r="U108" s="27" t="n">
        <v>0</v>
      </c>
      <c r="V108" s="27" t="n">
        <v>0.01</v>
      </c>
      <c r="W108" s="27" t="n">
        <v>0</v>
      </c>
      <c r="X108" s="28" t="n">
        <f aca="false">P108+R108+SUM(S108:W108)</f>
        <v>0.01</v>
      </c>
      <c r="Y108" s="24" t="n">
        <v>0</v>
      </c>
      <c r="Z108" s="29" t="n">
        <f aca="false">LN(H108)</f>
        <v>6.03787091992214</v>
      </c>
      <c r="AA108" s="17" t="n">
        <f aca="false">ROUND(SUMIF(Lines!$B:$B,B108,Lines!$I:$I),2)</f>
        <v>50104</v>
      </c>
      <c r="AB108" s="17" t="n">
        <f aca="false">ROUND(SUMIF(Lines!$B:$B,B108,Lines!$L:$L),2)</f>
        <v>50104</v>
      </c>
      <c r="AC108" s="17" t="n">
        <f aca="false">ROUND(SUMIF(Lines!$B:$B,B108,Lines!$T:$T),2)</f>
        <v>49602.96</v>
      </c>
      <c r="AD108" s="17" t="n">
        <f aca="false">ROUND(SUMIF(Lines!$B:$B,B108,Lines!$U:$U),2)</f>
        <v>28102</v>
      </c>
      <c r="AE108" s="17" t="n">
        <f aca="false">ROUND(SUMIF(Lines!$B:$B,B108,Lines!$V:$V),2)</f>
        <v>1002.08</v>
      </c>
      <c r="AF108" s="17" t="n">
        <f aca="false">ROUND(AC108-AD108-AE108,2)</f>
        <v>20498.88</v>
      </c>
      <c r="AG108" s="26" t="n">
        <f aca="false">RANK(AC108,$AC$6:$AC$185)</f>
        <v>153</v>
      </c>
      <c r="AJ108" s="26" t="n">
        <f aca="false">IF(AND(H108&gt;=0.85*Assumptions!$B$44,H108&lt;Assumptions!$B$44),Assumptions!$B$44,IF(AND(H108&gt;=0.85*Assumptions!$B$45,H108&lt;Assumptions!$B$45),Assumptions!$B$45,IF(AND(H108&gt;=0.85*Assumptions!$B$46,H108&lt;Assumptions!$B$46),Assumptions!$B$46,0)))</f>
        <v>0</v>
      </c>
      <c r="AK108" s="26" t="n">
        <f aca="false">IF(AJ108=0,0,AJ108-H108)</f>
        <v>0</v>
      </c>
      <c r="AL108" s="28" t="n">
        <f aca="false">IF(AJ108=Assumptions!$B$44,Assumptions!$C$44,IF(AJ108=Assumptions!$B$45,Assumptions!$C$45,IF(AJ108=Assumptions!$B$46,Assumptions!$C$46,0)))</f>
        <v>0</v>
      </c>
      <c r="AM108" s="17" t="n">
        <f aca="false">IF(AJ108=0,0,AB108*(AL108-P108))</f>
        <v>0</v>
      </c>
      <c r="AN108" s="17" t="n">
        <f aca="false">ROUND(AN171+AM108,2)</f>
        <v>175350.28</v>
      </c>
      <c r="AO108" s="17" t="n">
        <f aca="false">SUMIF(Lines!$B$6:$B$463,$B108,Lines!$M$6:$M$463)</f>
        <v>0</v>
      </c>
      <c r="AP108" s="17" t="n">
        <f aca="false">(AB108/H108)*(MAX(0,MIN(H108,Assumptions!$B$46)-Assumptions!$B$47)*Assumptions!$C$47+MAX(0,MIN(H108,Assumptions!$B$45)-Assumptions!$B$46)*Assumptions!$C$46+MAX(0,MIN(H108,Assumptions!$B$44)-Assumptions!$B$45)*Assumptions!$C$45+MAX(0,H108-Assumptions!$B$44)*Assumptions!$C$44)</f>
        <v>0</v>
      </c>
      <c r="AQ108" s="17" t="n">
        <f aca="false">ROUND(SUMIF(Lines!$B:$B,B108,Lines!$N:$N),2)</f>
        <v>0</v>
      </c>
    </row>
    <row r="109" customFormat="false" ht="15" hidden="false" customHeight="false" outlineLevel="0" collapsed="false">
      <c r="B109" s="14" t="s">
        <v>262</v>
      </c>
      <c r="C109" s="14" t="s">
        <v>259</v>
      </c>
      <c r="D109" s="14" t="s">
        <v>218</v>
      </c>
      <c r="E109" s="24" t="n">
        <v>99</v>
      </c>
      <c r="F109" s="24" t="n">
        <v>0</v>
      </c>
      <c r="G109" s="24" t="n">
        <v>0</v>
      </c>
      <c r="H109" s="26" t="n">
        <f aca="false">SUM(E109:G109)</f>
        <v>99</v>
      </c>
      <c r="I109" s="24" t="n">
        <v>64</v>
      </c>
      <c r="J109" s="24" t="n">
        <v>2</v>
      </c>
      <c r="K109" s="27" t="n">
        <v>0</v>
      </c>
      <c r="L109" s="28" t="n">
        <f aca="false">MIN(Assumptions!$C$18,K109*Assumptions!$D$15)</f>
        <v>0</v>
      </c>
      <c r="M109" s="28" t="n">
        <f aca="false">MIN(Assumptions!$C$18,K109*Assumptions!$D$16)</f>
        <v>0</v>
      </c>
      <c r="N109" s="28" t="n">
        <f aca="false">MIN(Assumptions!$C$18,K109*Assumptions!$D$17)</f>
        <v>0</v>
      </c>
      <c r="O109" s="28" t="n">
        <f aca="false">IF(I109&gt;=Assumptions!$B$36,Assumptions!$C$36,IF(I109&gt;=Assumptions!$B$37,Assumptions!$C$37,IF(I109&gt;=Assumptions!$B$38,Assumptions!$C$38,Assumptions!$C$39)))</f>
        <v>0.02</v>
      </c>
      <c r="P109" s="28" t="n">
        <f aca="false">IF(H109&gt;=Assumptions!$B$44,Assumptions!$C$44,IF(H109&gt;=Assumptions!$B$45,Assumptions!$C$45,IF(H109&gt;=Assumptions!$B$46,Assumptions!$C$46,Assumptions!$C$47)))</f>
        <v>0</v>
      </c>
      <c r="Q109" s="24" t="n">
        <v>0</v>
      </c>
      <c r="R109" s="28" t="n">
        <f aca="false">Q109*Assumptions!$C$51</f>
        <v>0</v>
      </c>
      <c r="S109" s="27" t="n">
        <v>0</v>
      </c>
      <c r="T109" s="27" t="n">
        <v>0</v>
      </c>
      <c r="U109" s="27" t="n">
        <v>0</v>
      </c>
      <c r="V109" s="27" t="n">
        <v>0.01</v>
      </c>
      <c r="W109" s="27" t="n">
        <v>0</v>
      </c>
      <c r="X109" s="28" t="n">
        <f aca="false">P109+R109+SUM(S109:W109)</f>
        <v>0.01</v>
      </c>
      <c r="Y109" s="24" t="n">
        <v>0</v>
      </c>
      <c r="Z109" s="29" t="n">
        <f aca="false">LN(H109)</f>
        <v>4.59511985013459</v>
      </c>
      <c r="AA109" s="17" t="n">
        <f aca="false">ROUND(SUMIF(Lines!$B:$B,B109,Lines!$I:$I),2)</f>
        <v>14652</v>
      </c>
      <c r="AB109" s="17" t="n">
        <f aca="false">ROUND(SUMIF(Lines!$B:$B,B109,Lines!$L:$L),2)</f>
        <v>14358.96</v>
      </c>
      <c r="AC109" s="17" t="n">
        <f aca="false">ROUND(SUMIF(Lines!$B:$B,B109,Lines!$T:$T),2)</f>
        <v>14215.37</v>
      </c>
      <c r="AD109" s="17" t="n">
        <f aca="false">ROUND(SUMIF(Lines!$B:$B,B109,Lines!$U:$U),2)</f>
        <v>7722</v>
      </c>
      <c r="AE109" s="17" t="n">
        <f aca="false">ROUND(SUMIF(Lines!$B:$B,B109,Lines!$V:$V),2)</f>
        <v>287.18</v>
      </c>
      <c r="AF109" s="17" t="n">
        <f aca="false">ROUND(AC109-AD109-AE109,2)</f>
        <v>6206.19</v>
      </c>
      <c r="AG109" s="26" t="n">
        <f aca="false">RANK(AC109,$AC$6:$AC$185)</f>
        <v>175</v>
      </c>
      <c r="AJ109" s="26" t="n">
        <f aca="false">IF(AND(H109&gt;=0.85*Assumptions!$B$44,H109&lt;Assumptions!$B$44),Assumptions!$B$44,IF(AND(H109&gt;=0.85*Assumptions!$B$45,H109&lt;Assumptions!$B$45),Assumptions!$B$45,IF(AND(H109&gt;=0.85*Assumptions!$B$46,H109&lt;Assumptions!$B$46),Assumptions!$B$46,0)))</f>
        <v>0</v>
      </c>
      <c r="AK109" s="26" t="n">
        <f aca="false">IF(AJ109=0,0,AJ109-H109)</f>
        <v>0</v>
      </c>
      <c r="AL109" s="28" t="n">
        <f aca="false">IF(AJ109=Assumptions!$B$44,Assumptions!$C$44,IF(AJ109=Assumptions!$B$45,Assumptions!$C$45,IF(AJ109=Assumptions!$B$46,Assumptions!$C$46,0)))</f>
        <v>0</v>
      </c>
      <c r="AM109" s="17" t="n">
        <f aca="false">IF(AJ109=0,0,AB109*(AL109-P109))</f>
        <v>0</v>
      </c>
      <c r="AN109" s="17" t="n">
        <f aca="false">ROUND(AN172+AM109,2)</f>
        <v>175350.28</v>
      </c>
      <c r="AO109" s="17" t="n">
        <f aca="false">SUMIF(Lines!$B$6:$B$463,$B109,Lines!$M$6:$M$463)</f>
        <v>0</v>
      </c>
      <c r="AP109" s="17" t="n">
        <f aca="false">(AB109/H109)*(MAX(0,MIN(H109,Assumptions!$B$46)-Assumptions!$B$47)*Assumptions!$C$47+MAX(0,MIN(H109,Assumptions!$B$45)-Assumptions!$B$46)*Assumptions!$C$46+MAX(0,MIN(H109,Assumptions!$B$44)-Assumptions!$B$45)*Assumptions!$C$45+MAX(0,H109-Assumptions!$B$44)*Assumptions!$C$44)</f>
        <v>0</v>
      </c>
      <c r="AQ109" s="17" t="n">
        <f aca="false">ROUND(SUMIF(Lines!$B:$B,B109,Lines!$N:$N),2)</f>
        <v>0</v>
      </c>
    </row>
    <row r="110" customFormat="false" ht="15" hidden="false" customHeight="false" outlineLevel="0" collapsed="false">
      <c r="B110" s="14" t="s">
        <v>263</v>
      </c>
      <c r="C110" s="14" t="s">
        <v>259</v>
      </c>
      <c r="D110" s="14" t="s">
        <v>218</v>
      </c>
      <c r="E110" s="24" t="n">
        <v>143</v>
      </c>
      <c r="F110" s="24" t="n">
        <v>0</v>
      </c>
      <c r="G110" s="24" t="n">
        <v>243</v>
      </c>
      <c r="H110" s="26" t="n">
        <f aca="false">SUM(E110:G110)</f>
        <v>386</v>
      </c>
      <c r="I110" s="24" t="n">
        <v>57</v>
      </c>
      <c r="J110" s="24" t="n">
        <v>7</v>
      </c>
      <c r="K110" s="27" t="n">
        <v>0.065</v>
      </c>
      <c r="L110" s="28" t="n">
        <f aca="false">MIN(Assumptions!$C$18,K110*Assumptions!$D$15)</f>
        <v>0.0403</v>
      </c>
      <c r="M110" s="28" t="n">
        <f aca="false">MIN(Assumptions!$C$18,K110*Assumptions!$D$16)</f>
        <v>0.0845</v>
      </c>
      <c r="N110" s="28" t="n">
        <f aca="false">MIN(Assumptions!$C$18,K110*Assumptions!$D$17)</f>
        <v>0.0624</v>
      </c>
      <c r="O110" s="28" t="n">
        <f aca="false">IF(I110&gt;=Assumptions!$B$36,Assumptions!$C$36,IF(I110&gt;=Assumptions!$B$37,Assumptions!$C$37,IF(I110&gt;=Assumptions!$B$38,Assumptions!$C$38,Assumptions!$C$39)))</f>
        <v>0.02</v>
      </c>
      <c r="P110" s="28" t="n">
        <f aca="false">IF(H110&gt;=Assumptions!$B$44,Assumptions!$C$44,IF(H110&gt;=Assumptions!$B$45,Assumptions!$C$45,IF(H110&gt;=Assumptions!$B$46,Assumptions!$C$46,Assumptions!$C$47)))</f>
        <v>0</v>
      </c>
      <c r="Q110" s="24" t="n">
        <v>0</v>
      </c>
      <c r="R110" s="28" t="n">
        <f aca="false">Q110*Assumptions!$C$51</f>
        <v>0</v>
      </c>
      <c r="S110" s="27" t="n">
        <v>0</v>
      </c>
      <c r="T110" s="27" t="n">
        <v>0</v>
      </c>
      <c r="U110" s="27" t="n">
        <v>0</v>
      </c>
      <c r="V110" s="27" t="n">
        <v>0.01</v>
      </c>
      <c r="W110" s="27" t="n">
        <v>0</v>
      </c>
      <c r="X110" s="28" t="n">
        <f aca="false">P110+R110+SUM(S110:W110)</f>
        <v>0.01</v>
      </c>
      <c r="Y110" s="24" t="n">
        <v>0</v>
      </c>
      <c r="Z110" s="29" t="n">
        <f aca="false">LN(H110)</f>
        <v>5.95583736946483</v>
      </c>
      <c r="AA110" s="17" t="n">
        <f aca="false">ROUND(SUMIF(Lines!$B:$B,B110,Lines!$I:$I),2)</f>
        <v>44492</v>
      </c>
      <c r="AB110" s="17" t="n">
        <f aca="false">ROUND(SUMIF(Lines!$B:$B,B110,Lines!$L:$L),2)</f>
        <v>41293.58</v>
      </c>
      <c r="AC110" s="17" t="n">
        <f aca="false">ROUND(SUMIF(Lines!$B:$B,B110,Lines!$T:$T),2)</f>
        <v>40880.64</v>
      </c>
      <c r="AD110" s="17" t="n">
        <f aca="false">ROUND(SUMIF(Lines!$B:$B,B110,Lines!$U:$U),2)</f>
        <v>25248</v>
      </c>
      <c r="AE110" s="17" t="n">
        <f aca="false">ROUND(SUMIF(Lines!$B:$B,B110,Lines!$V:$V),2)</f>
        <v>825.88</v>
      </c>
      <c r="AF110" s="17" t="n">
        <f aca="false">ROUND(AC110-AD110-AE110,2)</f>
        <v>14806.76</v>
      </c>
      <c r="AG110" s="26" t="n">
        <f aca="false">RANK(AC110,$AC$6:$AC$185)</f>
        <v>161</v>
      </c>
      <c r="AJ110" s="26" t="n">
        <f aca="false">IF(AND(H110&gt;=0.85*Assumptions!$B$44,H110&lt;Assumptions!$B$44),Assumptions!$B$44,IF(AND(H110&gt;=0.85*Assumptions!$B$45,H110&lt;Assumptions!$B$45),Assumptions!$B$45,IF(AND(H110&gt;=0.85*Assumptions!$B$46,H110&lt;Assumptions!$B$46),Assumptions!$B$46,0)))</f>
        <v>0</v>
      </c>
      <c r="AK110" s="26" t="n">
        <f aca="false">IF(AJ110=0,0,AJ110-H110)</f>
        <v>0</v>
      </c>
      <c r="AL110" s="28" t="n">
        <f aca="false">IF(AJ110=Assumptions!$B$44,Assumptions!$C$44,IF(AJ110=Assumptions!$B$45,Assumptions!$C$45,IF(AJ110=Assumptions!$B$46,Assumptions!$C$46,0)))</f>
        <v>0</v>
      </c>
      <c r="AM110" s="17" t="n">
        <f aca="false">IF(AJ110=0,0,AB110*(AL110-P110))</f>
        <v>0</v>
      </c>
      <c r="AN110" s="17" t="n">
        <f aca="false">ROUND(AN173+AM110,2)</f>
        <v>175350.28</v>
      </c>
      <c r="AO110" s="17" t="n">
        <f aca="false">SUMIF(Lines!$B$6:$B$463,$B110,Lines!$M$6:$M$463)</f>
        <v>0</v>
      </c>
      <c r="AP110" s="17" t="n">
        <f aca="false">(AB110/H110)*(MAX(0,MIN(H110,Assumptions!$B$46)-Assumptions!$B$47)*Assumptions!$C$47+MAX(0,MIN(H110,Assumptions!$B$45)-Assumptions!$B$46)*Assumptions!$C$46+MAX(0,MIN(H110,Assumptions!$B$44)-Assumptions!$B$45)*Assumptions!$C$45+MAX(0,H110-Assumptions!$B$44)*Assumptions!$C$44)</f>
        <v>0</v>
      </c>
      <c r="AQ110" s="17" t="n">
        <f aca="false">ROUND(SUMIF(Lines!$B:$B,B110,Lines!$N:$N),2)</f>
        <v>0</v>
      </c>
    </row>
    <row r="111" customFormat="false" ht="15" hidden="false" customHeight="false" outlineLevel="0" collapsed="false">
      <c r="B111" s="14" t="s">
        <v>264</v>
      </c>
      <c r="C111" s="14" t="s">
        <v>259</v>
      </c>
      <c r="D111" s="14" t="s">
        <v>218</v>
      </c>
      <c r="E111" s="24" t="n">
        <v>151</v>
      </c>
      <c r="F111" s="24" t="n">
        <v>0</v>
      </c>
      <c r="G111" s="24" t="n">
        <v>353</v>
      </c>
      <c r="H111" s="26" t="n">
        <f aca="false">SUM(E111:G111)</f>
        <v>504</v>
      </c>
      <c r="I111" s="24" t="n">
        <v>75</v>
      </c>
      <c r="J111" s="24" t="n">
        <v>7</v>
      </c>
      <c r="K111" s="27" t="n">
        <v>0.065</v>
      </c>
      <c r="L111" s="28" t="n">
        <f aca="false">MIN(Assumptions!$C$18,K111*Assumptions!$D$15)</f>
        <v>0.0403</v>
      </c>
      <c r="M111" s="28" t="n">
        <f aca="false">MIN(Assumptions!$C$18,K111*Assumptions!$D$16)</f>
        <v>0.0845</v>
      </c>
      <c r="N111" s="28" t="n">
        <f aca="false">MIN(Assumptions!$C$18,K111*Assumptions!$D$17)</f>
        <v>0.0624</v>
      </c>
      <c r="O111" s="28" t="n">
        <f aca="false">IF(I111&gt;=Assumptions!$B$36,Assumptions!$C$36,IF(I111&gt;=Assumptions!$B$37,Assumptions!$C$37,IF(I111&gt;=Assumptions!$B$38,Assumptions!$C$38,Assumptions!$C$39)))</f>
        <v>0.02</v>
      </c>
      <c r="P111" s="28" t="n">
        <f aca="false">IF(H111&gt;=Assumptions!$B$44,Assumptions!$C$44,IF(H111&gt;=Assumptions!$B$45,Assumptions!$C$45,IF(H111&gt;=Assumptions!$B$46,Assumptions!$C$46,Assumptions!$C$47)))</f>
        <v>0</v>
      </c>
      <c r="Q111" s="24" t="n">
        <v>0</v>
      </c>
      <c r="R111" s="28" t="n">
        <f aca="false">Q111*Assumptions!$C$51</f>
        <v>0</v>
      </c>
      <c r="S111" s="27" t="n">
        <v>0</v>
      </c>
      <c r="T111" s="27" t="n">
        <v>0</v>
      </c>
      <c r="U111" s="27" t="n">
        <v>0</v>
      </c>
      <c r="V111" s="27" t="n">
        <v>0.01</v>
      </c>
      <c r="W111" s="27" t="n">
        <v>0</v>
      </c>
      <c r="X111" s="28" t="n">
        <f aca="false">P111+R111+SUM(S111:W111)</f>
        <v>0.01</v>
      </c>
      <c r="Y111" s="24" t="n">
        <v>0</v>
      </c>
      <c r="Z111" s="29" t="n">
        <f aca="false">LN(H111)</f>
        <v>6.22257626807137</v>
      </c>
      <c r="AA111" s="17" t="n">
        <f aca="false">ROUND(SUMIF(Lines!$B:$B,B111,Lines!$I:$I),2)</f>
        <v>56236</v>
      </c>
      <c r="AB111" s="17" t="n">
        <f aca="false">ROUND(SUMIF(Lines!$B:$B,B111,Lines!$L:$L),2)</f>
        <v>52096.05</v>
      </c>
      <c r="AC111" s="17" t="n">
        <f aca="false">ROUND(SUMIF(Lines!$B:$B,B111,Lines!$T:$T),2)</f>
        <v>51575.09</v>
      </c>
      <c r="AD111" s="17" t="n">
        <f aca="false">ROUND(SUMIF(Lines!$B:$B,B111,Lines!$U:$U),2)</f>
        <v>32252</v>
      </c>
      <c r="AE111" s="17" t="n">
        <f aca="false">ROUND(SUMIF(Lines!$B:$B,B111,Lines!$V:$V),2)</f>
        <v>1041.92</v>
      </c>
      <c r="AF111" s="17" t="n">
        <f aca="false">ROUND(AC111-AD111-AE111,2)</f>
        <v>18281.17</v>
      </c>
      <c r="AG111" s="26" t="n">
        <f aca="false">RANK(AC111,$AC$6:$AC$185)</f>
        <v>151</v>
      </c>
      <c r="AJ111" s="26" t="n">
        <f aca="false">IF(AND(H111&gt;=0.85*Assumptions!$B$44,H111&lt;Assumptions!$B$44),Assumptions!$B$44,IF(AND(H111&gt;=0.85*Assumptions!$B$45,H111&lt;Assumptions!$B$45),Assumptions!$B$45,IF(AND(H111&gt;=0.85*Assumptions!$B$46,H111&lt;Assumptions!$B$46),Assumptions!$B$46,0)))</f>
        <v>0</v>
      </c>
      <c r="AK111" s="26" t="n">
        <f aca="false">IF(AJ111=0,0,AJ111-H111)</f>
        <v>0</v>
      </c>
      <c r="AL111" s="28" t="n">
        <f aca="false">IF(AJ111=Assumptions!$B$44,Assumptions!$C$44,IF(AJ111=Assumptions!$B$45,Assumptions!$C$45,IF(AJ111=Assumptions!$B$46,Assumptions!$C$46,0)))</f>
        <v>0</v>
      </c>
      <c r="AM111" s="17" t="n">
        <f aca="false">IF(AJ111=0,0,AB111*(AL111-P111))</f>
        <v>0</v>
      </c>
      <c r="AN111" s="17" t="n">
        <f aca="false">ROUND(AN174+AM111,2)</f>
        <v>175350.28</v>
      </c>
      <c r="AO111" s="17" t="n">
        <f aca="false">SUMIF(Lines!$B$6:$B$463,$B111,Lines!$M$6:$M$463)</f>
        <v>0</v>
      </c>
      <c r="AP111" s="17" t="n">
        <f aca="false">(AB111/H111)*(MAX(0,MIN(H111,Assumptions!$B$46)-Assumptions!$B$47)*Assumptions!$C$47+MAX(0,MIN(H111,Assumptions!$B$45)-Assumptions!$B$46)*Assumptions!$C$46+MAX(0,MIN(H111,Assumptions!$B$44)-Assumptions!$B$45)*Assumptions!$C$45+MAX(0,H111-Assumptions!$B$44)*Assumptions!$C$44)</f>
        <v>0</v>
      </c>
      <c r="AQ111" s="17" t="n">
        <f aca="false">ROUND(SUMIF(Lines!$B:$B,B111,Lines!$N:$N),2)</f>
        <v>0</v>
      </c>
    </row>
    <row r="112" customFormat="false" ht="15" hidden="false" customHeight="false" outlineLevel="0" collapsed="false">
      <c r="B112" s="14" t="s">
        <v>265</v>
      </c>
      <c r="C112" s="14" t="s">
        <v>259</v>
      </c>
      <c r="D112" s="14" t="s">
        <v>218</v>
      </c>
      <c r="E112" s="24" t="n">
        <v>69</v>
      </c>
      <c r="F112" s="24" t="n">
        <v>244</v>
      </c>
      <c r="G112" s="24" t="n">
        <v>77</v>
      </c>
      <c r="H112" s="26" t="n">
        <f aca="false">SUM(E112:G112)</f>
        <v>390</v>
      </c>
      <c r="I112" s="24" t="n">
        <v>49</v>
      </c>
      <c r="J112" s="24" t="n">
        <v>8</v>
      </c>
      <c r="K112" s="27" t="n">
        <v>0</v>
      </c>
      <c r="L112" s="28" t="n">
        <f aca="false">MIN(Assumptions!$C$18,K112*Assumptions!$D$15)</f>
        <v>0</v>
      </c>
      <c r="M112" s="28" t="n">
        <f aca="false">MIN(Assumptions!$C$18,K112*Assumptions!$D$16)</f>
        <v>0</v>
      </c>
      <c r="N112" s="28" t="n">
        <f aca="false">MIN(Assumptions!$C$18,K112*Assumptions!$D$17)</f>
        <v>0</v>
      </c>
      <c r="O112" s="28" t="n">
        <f aca="false">IF(I112&gt;=Assumptions!$B$36,Assumptions!$C$36,IF(I112&gt;=Assumptions!$B$37,Assumptions!$C$37,IF(I112&gt;=Assumptions!$B$38,Assumptions!$C$38,Assumptions!$C$39)))</f>
        <v>0</v>
      </c>
      <c r="P112" s="28" t="n">
        <f aca="false">IF(H112&gt;=Assumptions!$B$44,Assumptions!$C$44,IF(H112&gt;=Assumptions!$B$45,Assumptions!$C$45,IF(H112&gt;=Assumptions!$B$46,Assumptions!$C$46,Assumptions!$C$47)))</f>
        <v>0</v>
      </c>
      <c r="Q112" s="24" t="n">
        <v>0</v>
      </c>
      <c r="R112" s="28" t="n">
        <f aca="false">Q112*Assumptions!$C$51</f>
        <v>0</v>
      </c>
      <c r="S112" s="27" t="n">
        <v>0</v>
      </c>
      <c r="T112" s="27" t="n">
        <v>0</v>
      </c>
      <c r="U112" s="27" t="n">
        <v>0</v>
      </c>
      <c r="V112" s="27" t="n">
        <v>0.01</v>
      </c>
      <c r="W112" s="27" t="n">
        <v>0</v>
      </c>
      <c r="X112" s="28" t="n">
        <f aca="false">P112+R112+SUM(S112:W112)</f>
        <v>0.01</v>
      </c>
      <c r="Y112" s="24" t="n">
        <v>0</v>
      </c>
      <c r="Z112" s="29" t="n">
        <f aca="false">LN(H112)</f>
        <v>5.96614673912369</v>
      </c>
      <c r="AA112" s="17" t="n">
        <f aca="false">ROUND(SUMIF(Lines!$B:$B,B112,Lines!$I:$I),2)</f>
        <v>32732</v>
      </c>
      <c r="AB112" s="17" t="n">
        <f aca="false">ROUND(SUMIF(Lines!$B:$B,B112,Lines!$L:$L),2)</f>
        <v>32732</v>
      </c>
      <c r="AC112" s="17" t="n">
        <f aca="false">ROUND(SUMIF(Lines!$B:$B,B112,Lines!$T:$T),2)</f>
        <v>32404.68</v>
      </c>
      <c r="AD112" s="17" t="n">
        <f aca="false">ROUND(SUMIF(Lines!$B:$B,B112,Lines!$U:$U),2)</f>
        <v>18632</v>
      </c>
      <c r="AE112" s="17" t="n">
        <f aca="false">ROUND(SUMIF(Lines!$B:$B,B112,Lines!$V:$V),2)</f>
        <v>654.64</v>
      </c>
      <c r="AF112" s="17" t="n">
        <f aca="false">ROUND(AC112-AD112-AE112,2)</f>
        <v>13118.04</v>
      </c>
      <c r="AG112" s="26" t="n">
        <f aca="false">RANK(AC112,$AC$6:$AC$185)</f>
        <v>164</v>
      </c>
      <c r="AJ112" s="26" t="n">
        <f aca="false">IF(AND(H112&gt;=0.85*Assumptions!$B$44,H112&lt;Assumptions!$B$44),Assumptions!$B$44,IF(AND(H112&gt;=0.85*Assumptions!$B$45,H112&lt;Assumptions!$B$45),Assumptions!$B$45,IF(AND(H112&gt;=0.85*Assumptions!$B$46,H112&lt;Assumptions!$B$46),Assumptions!$B$46,0)))</f>
        <v>0</v>
      </c>
      <c r="AK112" s="26" t="n">
        <f aca="false">IF(AJ112=0,0,AJ112-H112)</f>
        <v>0</v>
      </c>
      <c r="AL112" s="28" t="n">
        <f aca="false">IF(AJ112=Assumptions!$B$44,Assumptions!$C$44,IF(AJ112=Assumptions!$B$45,Assumptions!$C$45,IF(AJ112=Assumptions!$B$46,Assumptions!$C$46,0)))</f>
        <v>0</v>
      </c>
      <c r="AM112" s="17" t="n">
        <f aca="false">IF(AJ112=0,0,AB112*(AL112-P112))</f>
        <v>0</v>
      </c>
      <c r="AN112" s="17" t="n">
        <f aca="false">ROUND(AN175+AM112,2)</f>
        <v>175350.28</v>
      </c>
      <c r="AO112" s="17" t="n">
        <f aca="false">SUMIF(Lines!$B$6:$B$463,$B112,Lines!$M$6:$M$463)</f>
        <v>0</v>
      </c>
      <c r="AP112" s="17" t="n">
        <f aca="false">(AB112/H112)*(MAX(0,MIN(H112,Assumptions!$B$46)-Assumptions!$B$47)*Assumptions!$C$47+MAX(0,MIN(H112,Assumptions!$B$45)-Assumptions!$B$46)*Assumptions!$C$46+MAX(0,MIN(H112,Assumptions!$B$44)-Assumptions!$B$45)*Assumptions!$C$45+MAX(0,H112-Assumptions!$B$44)*Assumptions!$C$44)</f>
        <v>0</v>
      </c>
      <c r="AQ112" s="17" t="n">
        <f aca="false">ROUND(SUMIF(Lines!$B:$B,B112,Lines!$N:$N),2)</f>
        <v>0</v>
      </c>
    </row>
    <row r="113" customFormat="false" ht="15" hidden="false" customHeight="false" outlineLevel="0" collapsed="false">
      <c r="B113" s="14" t="s">
        <v>266</v>
      </c>
      <c r="C113" s="14" t="s">
        <v>259</v>
      </c>
      <c r="D113" s="14" t="s">
        <v>218</v>
      </c>
      <c r="E113" s="24" t="n">
        <v>197</v>
      </c>
      <c r="F113" s="24" t="n">
        <v>0</v>
      </c>
      <c r="G113" s="24" t="n">
        <v>422</v>
      </c>
      <c r="H113" s="26" t="n">
        <f aca="false">SUM(E113:G113)</f>
        <v>619</v>
      </c>
      <c r="I113" s="24" t="n">
        <v>70</v>
      </c>
      <c r="J113" s="24" t="n">
        <v>9</v>
      </c>
      <c r="K113" s="27" t="n">
        <v>0.05</v>
      </c>
      <c r="L113" s="28" t="n">
        <f aca="false">MIN(Assumptions!$C$18,K113*Assumptions!$D$15)</f>
        <v>0.031</v>
      </c>
      <c r="M113" s="28" t="n">
        <f aca="false">MIN(Assumptions!$C$18,K113*Assumptions!$D$16)</f>
        <v>0.065</v>
      </c>
      <c r="N113" s="28" t="n">
        <f aca="false">MIN(Assumptions!$C$18,K113*Assumptions!$D$17)</f>
        <v>0.048</v>
      </c>
      <c r="O113" s="28" t="n">
        <f aca="false">IF(I113&gt;=Assumptions!$B$36,Assumptions!$C$36,IF(I113&gt;=Assumptions!$B$37,Assumptions!$C$37,IF(I113&gt;=Assumptions!$B$38,Assumptions!$C$38,Assumptions!$C$39)))</f>
        <v>0.02</v>
      </c>
      <c r="P113" s="28" t="n">
        <f aca="false">IF(H113&gt;=Assumptions!$B$44,Assumptions!$C$44,IF(H113&gt;=Assumptions!$B$45,Assumptions!$C$45,IF(H113&gt;=Assumptions!$B$46,Assumptions!$C$46,Assumptions!$C$47)))</f>
        <v>0</v>
      </c>
      <c r="Q113" s="24" t="n">
        <v>0</v>
      </c>
      <c r="R113" s="28" t="n">
        <f aca="false">Q113*Assumptions!$C$51</f>
        <v>0</v>
      </c>
      <c r="S113" s="27" t="n">
        <v>0</v>
      </c>
      <c r="T113" s="27" t="n">
        <v>0</v>
      </c>
      <c r="U113" s="27" t="n">
        <v>0</v>
      </c>
      <c r="V113" s="27" t="n">
        <v>0.01</v>
      </c>
      <c r="W113" s="27" t="n">
        <v>0</v>
      </c>
      <c r="X113" s="28" t="n">
        <f aca="false">P113+R113+SUM(S113:W113)</f>
        <v>0.01</v>
      </c>
      <c r="Y113" s="24" t="n">
        <v>0</v>
      </c>
      <c r="Z113" s="29" t="n">
        <f aca="false">LN(H113)</f>
        <v>6.4281052726846</v>
      </c>
      <c r="AA113" s="17" t="n">
        <f aca="false">ROUND(SUMIF(Lines!$B:$B,B113,Lines!$I:$I),2)</f>
        <v>69668</v>
      </c>
      <c r="AB113" s="17" t="n">
        <f aca="false">ROUND(SUMIF(Lines!$B:$B,B113,Lines!$L:$L),2)</f>
        <v>65426.22</v>
      </c>
      <c r="AC113" s="17" t="n">
        <f aca="false">ROUND(SUMIF(Lines!$B:$B,B113,Lines!$T:$T),2)</f>
        <v>64771.96</v>
      </c>
      <c r="AD113" s="17" t="n">
        <f aca="false">ROUND(SUMIF(Lines!$B:$B,B113,Lines!$U:$U),2)</f>
        <v>39842</v>
      </c>
      <c r="AE113" s="17" t="n">
        <f aca="false">ROUND(SUMIF(Lines!$B:$B,B113,Lines!$V:$V),2)</f>
        <v>1308.52</v>
      </c>
      <c r="AF113" s="17" t="n">
        <f aca="false">ROUND(AC113-AD113-AE113,2)</f>
        <v>23621.44</v>
      </c>
      <c r="AG113" s="26" t="n">
        <f aca="false">RANK(AC113,$AC$6:$AC$185)</f>
        <v>138</v>
      </c>
      <c r="AJ113" s="26" t="n">
        <f aca="false">IF(AND(H113&gt;=0.85*Assumptions!$B$44,H113&lt;Assumptions!$B$44),Assumptions!$B$44,IF(AND(H113&gt;=0.85*Assumptions!$B$45,H113&lt;Assumptions!$B$45),Assumptions!$B$45,IF(AND(H113&gt;=0.85*Assumptions!$B$46,H113&lt;Assumptions!$B$46),Assumptions!$B$46,0)))</f>
        <v>0</v>
      </c>
      <c r="AK113" s="26" t="n">
        <f aca="false">IF(AJ113=0,0,AJ113-H113)</f>
        <v>0</v>
      </c>
      <c r="AL113" s="28" t="n">
        <f aca="false">IF(AJ113=Assumptions!$B$44,Assumptions!$C$44,IF(AJ113=Assumptions!$B$45,Assumptions!$C$45,IF(AJ113=Assumptions!$B$46,Assumptions!$C$46,0)))</f>
        <v>0</v>
      </c>
      <c r="AM113" s="17" t="n">
        <f aca="false">IF(AJ113=0,0,AB113*(AL113-P113))</f>
        <v>0</v>
      </c>
      <c r="AN113" s="17" t="n">
        <f aca="false">ROUND(AN176+AM113,2)</f>
        <v>175350.28</v>
      </c>
      <c r="AO113" s="17" t="n">
        <f aca="false">SUMIF(Lines!$B$6:$B$463,$B113,Lines!$M$6:$M$463)</f>
        <v>0</v>
      </c>
      <c r="AP113" s="17" t="n">
        <f aca="false">(AB113/H113)*(MAX(0,MIN(H113,Assumptions!$B$46)-Assumptions!$B$47)*Assumptions!$C$47+MAX(0,MIN(H113,Assumptions!$B$45)-Assumptions!$B$46)*Assumptions!$C$46+MAX(0,MIN(H113,Assumptions!$B$44)-Assumptions!$B$45)*Assumptions!$C$45+MAX(0,H113-Assumptions!$B$44)*Assumptions!$C$44)</f>
        <v>0</v>
      </c>
      <c r="AQ113" s="17" t="n">
        <f aca="false">ROUND(SUMIF(Lines!$B:$B,B113,Lines!$N:$N),2)</f>
        <v>0</v>
      </c>
    </row>
    <row r="114" customFormat="false" ht="15" hidden="false" customHeight="false" outlineLevel="0" collapsed="false">
      <c r="B114" s="14" t="s">
        <v>267</v>
      </c>
      <c r="C114" s="14" t="s">
        <v>259</v>
      </c>
      <c r="D114" s="14" t="s">
        <v>218</v>
      </c>
      <c r="E114" s="24" t="n">
        <v>261</v>
      </c>
      <c r="F114" s="24" t="n">
        <v>643</v>
      </c>
      <c r="G114" s="24" t="n">
        <v>251</v>
      </c>
      <c r="H114" s="26" t="n">
        <f aca="false">SUM(E114:G114)</f>
        <v>1155</v>
      </c>
      <c r="I114" s="24" t="n">
        <v>60</v>
      </c>
      <c r="J114" s="24" t="n">
        <v>19</v>
      </c>
      <c r="K114" s="27" t="n">
        <v>0.09</v>
      </c>
      <c r="L114" s="28" t="n">
        <f aca="false">MIN(Assumptions!$C$18,K114*Assumptions!$D$15)</f>
        <v>0.0558</v>
      </c>
      <c r="M114" s="28" t="n">
        <f aca="false">MIN(Assumptions!$C$18,K114*Assumptions!$D$16)</f>
        <v>0.117</v>
      </c>
      <c r="N114" s="28" t="n">
        <f aca="false">MIN(Assumptions!$C$18,K114*Assumptions!$D$17)</f>
        <v>0.0864</v>
      </c>
      <c r="O114" s="28" t="n">
        <f aca="false">IF(I114&gt;=Assumptions!$B$36,Assumptions!$C$36,IF(I114&gt;=Assumptions!$B$37,Assumptions!$C$37,IF(I114&gt;=Assumptions!$B$38,Assumptions!$C$38,Assumptions!$C$39)))</f>
        <v>0.02</v>
      </c>
      <c r="P114" s="28" t="n">
        <f aca="false">IF(H114&gt;=Assumptions!$B$44,Assumptions!$C$44,IF(H114&gt;=Assumptions!$B$45,Assumptions!$C$45,IF(H114&gt;=Assumptions!$B$46,Assumptions!$C$46,Assumptions!$C$47)))</f>
        <v>0</v>
      </c>
      <c r="Q114" s="24" t="n">
        <v>0</v>
      </c>
      <c r="R114" s="28" t="n">
        <f aca="false">Q114*Assumptions!$C$51</f>
        <v>0</v>
      </c>
      <c r="S114" s="27" t="n">
        <v>0</v>
      </c>
      <c r="T114" s="27" t="n">
        <v>0</v>
      </c>
      <c r="U114" s="27" t="n">
        <v>0</v>
      </c>
      <c r="V114" s="27" t="n">
        <v>0.01</v>
      </c>
      <c r="W114" s="27" t="n">
        <v>0</v>
      </c>
      <c r="X114" s="28" t="n">
        <f aca="false">P114+R114+SUM(S114:W114)</f>
        <v>0.01</v>
      </c>
      <c r="Y114" s="24" t="n">
        <v>0</v>
      </c>
      <c r="Z114" s="29" t="n">
        <f aca="false">LN(H114)</f>
        <v>7.05185562295589</v>
      </c>
      <c r="AA114" s="17" t="n">
        <f aca="false">ROUND(SUMIF(Lines!$B:$B,B114,Lines!$I:$I),2)</f>
        <v>102590</v>
      </c>
      <c r="AB114" s="17" t="n">
        <f aca="false">ROUND(SUMIF(Lines!$B:$B,B114,Lines!$L:$L),2)</f>
        <v>91636.55</v>
      </c>
      <c r="AC114" s="17" t="n">
        <f aca="false">ROUND(SUMIF(Lines!$B:$B,B114,Lines!$T:$T),2)</f>
        <v>90720.19</v>
      </c>
      <c r="AD114" s="17" t="n">
        <f aca="false">ROUND(SUMIF(Lines!$B:$B,B114,Lines!$U:$U),2)</f>
        <v>58064</v>
      </c>
      <c r="AE114" s="17" t="n">
        <f aca="false">ROUND(SUMIF(Lines!$B:$B,B114,Lines!$V:$V),2)</f>
        <v>1832.73</v>
      </c>
      <c r="AF114" s="17" t="n">
        <f aca="false">ROUND(AC114-AD114-AE114,2)</f>
        <v>30823.46</v>
      </c>
      <c r="AG114" s="26" t="n">
        <f aca="false">RANK(AC114,$AC$6:$AC$185)</f>
        <v>120</v>
      </c>
      <c r="AJ114" s="26" t="n">
        <f aca="false">IF(AND(H114&gt;=0.85*Assumptions!$B$44,H114&lt;Assumptions!$B$44),Assumptions!$B$44,IF(AND(H114&gt;=0.85*Assumptions!$B$45,H114&lt;Assumptions!$B$45),Assumptions!$B$45,IF(AND(H114&gt;=0.85*Assumptions!$B$46,H114&lt;Assumptions!$B$46),Assumptions!$B$46,0)))</f>
        <v>0</v>
      </c>
      <c r="AK114" s="26" t="n">
        <f aca="false">IF(AJ114=0,0,AJ114-H114)</f>
        <v>0</v>
      </c>
      <c r="AL114" s="28" t="n">
        <f aca="false">IF(AJ114=Assumptions!$B$44,Assumptions!$C$44,IF(AJ114=Assumptions!$B$45,Assumptions!$C$45,IF(AJ114=Assumptions!$B$46,Assumptions!$C$46,0)))</f>
        <v>0</v>
      </c>
      <c r="AM114" s="17" t="n">
        <f aca="false">IF(AJ114=0,0,AB114*(AL114-P114))</f>
        <v>0</v>
      </c>
      <c r="AN114" s="17" t="n">
        <f aca="false">ROUND(AN177+AM114,2)</f>
        <v>175350.28</v>
      </c>
      <c r="AO114" s="17" t="n">
        <f aca="false">SUMIF(Lines!$B$6:$B$463,$B114,Lines!$M$6:$M$463)</f>
        <v>0</v>
      </c>
      <c r="AP114" s="17" t="n">
        <f aca="false">(AB114/H114)*(MAX(0,MIN(H114,Assumptions!$B$46)-Assumptions!$B$47)*Assumptions!$C$47+MAX(0,MIN(H114,Assumptions!$B$45)-Assumptions!$B$46)*Assumptions!$C$46+MAX(0,MIN(H114,Assumptions!$B$44)-Assumptions!$B$45)*Assumptions!$C$45+MAX(0,H114-Assumptions!$B$44)*Assumptions!$C$44)</f>
        <v>0</v>
      </c>
      <c r="AQ114" s="17" t="n">
        <f aca="false">ROUND(SUMIF(Lines!$B:$B,B114,Lines!$N:$N),2)</f>
        <v>0</v>
      </c>
    </row>
    <row r="115" customFormat="false" ht="15" hidden="false" customHeight="false" outlineLevel="0" collapsed="false">
      <c r="B115" s="14" t="s">
        <v>268</v>
      </c>
      <c r="C115" s="14" t="s">
        <v>259</v>
      </c>
      <c r="D115" s="14" t="s">
        <v>218</v>
      </c>
      <c r="E115" s="24" t="n">
        <v>0</v>
      </c>
      <c r="F115" s="24" t="n">
        <v>651</v>
      </c>
      <c r="G115" s="24" t="n">
        <v>278</v>
      </c>
      <c r="H115" s="26" t="n">
        <f aca="false">SUM(E115:G115)</f>
        <v>929</v>
      </c>
      <c r="I115" s="24" t="n">
        <v>28</v>
      </c>
      <c r="J115" s="24" t="n">
        <v>33</v>
      </c>
      <c r="K115" s="27" t="n">
        <v>0.025</v>
      </c>
      <c r="L115" s="28" t="n">
        <f aca="false">MIN(Assumptions!$C$18,K115*Assumptions!$D$15)</f>
        <v>0.0155</v>
      </c>
      <c r="M115" s="28" t="n">
        <f aca="false">MIN(Assumptions!$C$18,K115*Assumptions!$D$16)</f>
        <v>0.0325</v>
      </c>
      <c r="N115" s="28" t="n">
        <f aca="false">MIN(Assumptions!$C$18,K115*Assumptions!$D$17)</f>
        <v>0.024</v>
      </c>
      <c r="O115" s="28" t="n">
        <f aca="false">IF(I115&gt;=Assumptions!$B$36,Assumptions!$C$36,IF(I115&gt;=Assumptions!$B$37,Assumptions!$C$37,IF(I115&gt;=Assumptions!$B$38,Assumptions!$C$38,Assumptions!$C$39)))</f>
        <v>0</v>
      </c>
      <c r="P115" s="28" t="n">
        <f aca="false">IF(H115&gt;=Assumptions!$B$44,Assumptions!$C$44,IF(H115&gt;=Assumptions!$B$45,Assumptions!$C$45,IF(H115&gt;=Assumptions!$B$46,Assumptions!$C$46,Assumptions!$C$47)))</f>
        <v>0</v>
      </c>
      <c r="Q115" s="24" t="n">
        <v>0</v>
      </c>
      <c r="R115" s="28" t="n">
        <f aca="false">Q115*Assumptions!$C$51</f>
        <v>0</v>
      </c>
      <c r="S115" s="27" t="n">
        <v>0</v>
      </c>
      <c r="T115" s="27" t="n">
        <v>0</v>
      </c>
      <c r="U115" s="27" t="n">
        <v>0</v>
      </c>
      <c r="V115" s="27" t="n">
        <v>0.01</v>
      </c>
      <c r="W115" s="27" t="n">
        <v>0</v>
      </c>
      <c r="X115" s="28" t="n">
        <f aca="false">P115+R115+SUM(S115:W115)</f>
        <v>0.01</v>
      </c>
      <c r="Y115" s="24" t="n">
        <v>0</v>
      </c>
      <c r="Z115" s="29" t="n">
        <f aca="false">LN(H115)</f>
        <v>6.83410873881384</v>
      </c>
      <c r="AA115" s="17" t="n">
        <f aca="false">ROUND(SUMIF(Lines!$B:$B,B115,Lines!$I:$I),2)</f>
        <v>67050</v>
      </c>
      <c r="AB115" s="17" t="n">
        <f aca="false">ROUND(SUMIF(Lines!$B:$B,B115,Lines!$L:$L),2)</f>
        <v>65097.72</v>
      </c>
      <c r="AC115" s="17" t="n">
        <f aca="false">ROUND(SUMIF(Lines!$B:$B,B115,Lines!$T:$T),2)</f>
        <v>64446.75</v>
      </c>
      <c r="AD115" s="17" t="n">
        <f aca="false">ROUND(SUMIF(Lines!$B:$B,B115,Lines!$U:$U),2)</f>
        <v>39560</v>
      </c>
      <c r="AE115" s="17" t="n">
        <f aca="false">ROUND(SUMIF(Lines!$B:$B,B115,Lines!$V:$V),2)</f>
        <v>1301.95</v>
      </c>
      <c r="AF115" s="17" t="n">
        <f aca="false">ROUND(AC115-AD115-AE115,2)</f>
        <v>23584.8</v>
      </c>
      <c r="AG115" s="26" t="n">
        <f aca="false">RANK(AC115,$AC$6:$AC$185)</f>
        <v>139</v>
      </c>
      <c r="AJ115" s="26" t="n">
        <f aca="false">IF(AND(H115&gt;=0.85*Assumptions!$B$44,H115&lt;Assumptions!$B$44),Assumptions!$B$44,IF(AND(H115&gt;=0.85*Assumptions!$B$45,H115&lt;Assumptions!$B$45),Assumptions!$B$45,IF(AND(H115&gt;=0.85*Assumptions!$B$46,H115&lt;Assumptions!$B$46),Assumptions!$B$46,0)))</f>
        <v>0</v>
      </c>
      <c r="AK115" s="26" t="n">
        <f aca="false">IF(AJ115=0,0,AJ115-H115)</f>
        <v>0</v>
      </c>
      <c r="AL115" s="28" t="n">
        <f aca="false">IF(AJ115=Assumptions!$B$44,Assumptions!$C$44,IF(AJ115=Assumptions!$B$45,Assumptions!$C$45,IF(AJ115=Assumptions!$B$46,Assumptions!$C$46,0)))</f>
        <v>0</v>
      </c>
      <c r="AM115" s="17" t="n">
        <f aca="false">IF(AJ115=0,0,AB115*(AL115-P115))</f>
        <v>0</v>
      </c>
      <c r="AN115" s="17" t="n">
        <f aca="false">ROUND(AN178+AM115,2)</f>
        <v>175350.28</v>
      </c>
      <c r="AO115" s="17" t="n">
        <f aca="false">SUMIF(Lines!$B$6:$B$463,$B115,Lines!$M$6:$M$463)</f>
        <v>0</v>
      </c>
      <c r="AP115" s="17" t="n">
        <f aca="false">(AB115/H115)*(MAX(0,MIN(H115,Assumptions!$B$46)-Assumptions!$B$47)*Assumptions!$C$47+MAX(0,MIN(H115,Assumptions!$B$45)-Assumptions!$B$46)*Assumptions!$C$46+MAX(0,MIN(H115,Assumptions!$B$44)-Assumptions!$B$45)*Assumptions!$C$45+MAX(0,H115-Assumptions!$B$44)*Assumptions!$C$44)</f>
        <v>0</v>
      </c>
      <c r="AQ115" s="17" t="n">
        <f aca="false">ROUND(SUMIF(Lines!$B:$B,B115,Lines!$N:$N),2)</f>
        <v>0</v>
      </c>
    </row>
    <row r="116" customFormat="false" ht="15" hidden="false" customHeight="false" outlineLevel="0" collapsed="false">
      <c r="B116" s="14" t="s">
        <v>269</v>
      </c>
      <c r="C116" s="14" t="s">
        <v>259</v>
      </c>
      <c r="D116" s="14" t="s">
        <v>218</v>
      </c>
      <c r="E116" s="24" t="n">
        <v>100</v>
      </c>
      <c r="F116" s="24" t="n">
        <v>481</v>
      </c>
      <c r="G116" s="24" t="n">
        <v>164</v>
      </c>
      <c r="H116" s="26" t="n">
        <f aca="false">SUM(E116:G116)</f>
        <v>745</v>
      </c>
      <c r="I116" s="24" t="n">
        <v>58</v>
      </c>
      <c r="J116" s="24" t="n">
        <v>13</v>
      </c>
      <c r="K116" s="27" t="n">
        <v>0.015</v>
      </c>
      <c r="L116" s="28" t="n">
        <f aca="false">MIN(Assumptions!$C$18,K116*Assumptions!$D$15)</f>
        <v>0.0093</v>
      </c>
      <c r="M116" s="28" t="n">
        <f aca="false">MIN(Assumptions!$C$18,K116*Assumptions!$D$16)</f>
        <v>0.0195</v>
      </c>
      <c r="N116" s="28" t="n">
        <f aca="false">MIN(Assumptions!$C$18,K116*Assumptions!$D$17)</f>
        <v>0.0144</v>
      </c>
      <c r="O116" s="28" t="n">
        <f aca="false">IF(I116&gt;=Assumptions!$B$36,Assumptions!$C$36,IF(I116&gt;=Assumptions!$B$37,Assumptions!$C$37,IF(I116&gt;=Assumptions!$B$38,Assumptions!$C$38,Assumptions!$C$39)))</f>
        <v>0.02</v>
      </c>
      <c r="P116" s="28" t="n">
        <f aca="false">IF(H116&gt;=Assumptions!$B$44,Assumptions!$C$44,IF(H116&gt;=Assumptions!$B$45,Assumptions!$C$45,IF(H116&gt;=Assumptions!$B$46,Assumptions!$C$46,Assumptions!$C$47)))</f>
        <v>0</v>
      </c>
      <c r="Q116" s="24" t="n">
        <v>0</v>
      </c>
      <c r="R116" s="28" t="n">
        <f aca="false">Q116*Assumptions!$C$51</f>
        <v>0</v>
      </c>
      <c r="S116" s="27" t="n">
        <v>0</v>
      </c>
      <c r="T116" s="27" t="n">
        <v>0</v>
      </c>
      <c r="U116" s="27" t="n">
        <v>0</v>
      </c>
      <c r="V116" s="27" t="n">
        <v>0.01</v>
      </c>
      <c r="W116" s="27" t="n">
        <v>0</v>
      </c>
      <c r="X116" s="28" t="n">
        <f aca="false">P116+R116+SUM(S116:W116)</f>
        <v>0.01</v>
      </c>
      <c r="Y116" s="24" t="n">
        <v>0</v>
      </c>
      <c r="Z116" s="29" t="n">
        <f aca="false">LN(H116)</f>
        <v>6.61338421837956</v>
      </c>
      <c r="AA116" s="17" t="n">
        <f aca="false">ROUND(SUMIF(Lines!$B:$B,B116,Lines!$I:$I),2)</f>
        <v>60366</v>
      </c>
      <c r="AB116" s="17" t="n">
        <f aca="false">ROUND(SUMIF(Lines!$B:$B,B116,Lines!$L:$L),2)</f>
        <v>58212.8</v>
      </c>
      <c r="AC116" s="17" t="n">
        <f aca="false">ROUND(SUMIF(Lines!$B:$B,B116,Lines!$T:$T),2)</f>
        <v>57630.68</v>
      </c>
      <c r="AD116" s="17" t="n">
        <f aca="false">ROUND(SUMIF(Lines!$B:$B,B116,Lines!$U:$U),2)</f>
        <v>34628</v>
      </c>
      <c r="AE116" s="17" t="n">
        <f aca="false">ROUND(SUMIF(Lines!$B:$B,B116,Lines!$V:$V),2)</f>
        <v>1164.26</v>
      </c>
      <c r="AF116" s="17" t="n">
        <f aca="false">ROUND(AC116-AD116-AE116,2)</f>
        <v>21838.42</v>
      </c>
      <c r="AG116" s="26" t="n">
        <f aca="false">RANK(AC116,$AC$6:$AC$185)</f>
        <v>144</v>
      </c>
      <c r="AJ116" s="26" t="n">
        <f aca="false">IF(AND(H116&gt;=0.85*Assumptions!$B$44,H116&lt;Assumptions!$B$44),Assumptions!$B$44,IF(AND(H116&gt;=0.85*Assumptions!$B$45,H116&lt;Assumptions!$B$45),Assumptions!$B$45,IF(AND(H116&gt;=0.85*Assumptions!$B$46,H116&lt;Assumptions!$B$46),Assumptions!$B$46,0)))</f>
        <v>0</v>
      </c>
      <c r="AK116" s="26" t="n">
        <f aca="false">IF(AJ116=0,0,AJ116-H116)</f>
        <v>0</v>
      </c>
      <c r="AL116" s="28" t="n">
        <f aca="false">IF(AJ116=Assumptions!$B$44,Assumptions!$C$44,IF(AJ116=Assumptions!$B$45,Assumptions!$C$45,IF(AJ116=Assumptions!$B$46,Assumptions!$C$46,0)))</f>
        <v>0</v>
      </c>
      <c r="AM116" s="17" t="n">
        <f aca="false">IF(AJ116=0,0,AB116*(AL116-P116))</f>
        <v>0</v>
      </c>
      <c r="AN116" s="17" t="n">
        <f aca="false">ROUND(AN179+AM116,2)</f>
        <v>175350.28</v>
      </c>
      <c r="AO116" s="17" t="n">
        <f aca="false">SUMIF(Lines!$B$6:$B$463,$B116,Lines!$M$6:$M$463)</f>
        <v>0</v>
      </c>
      <c r="AP116" s="17" t="n">
        <f aca="false">(AB116/H116)*(MAX(0,MIN(H116,Assumptions!$B$46)-Assumptions!$B$47)*Assumptions!$C$47+MAX(0,MIN(H116,Assumptions!$B$45)-Assumptions!$B$46)*Assumptions!$C$46+MAX(0,MIN(H116,Assumptions!$B$44)-Assumptions!$B$45)*Assumptions!$C$45+MAX(0,H116-Assumptions!$B$44)*Assumptions!$C$44)</f>
        <v>0</v>
      </c>
      <c r="AQ116" s="17" t="n">
        <f aca="false">ROUND(SUMIF(Lines!$B:$B,B116,Lines!$N:$N),2)</f>
        <v>0</v>
      </c>
    </row>
    <row r="117" customFormat="false" ht="15" hidden="false" customHeight="false" outlineLevel="0" collapsed="false">
      <c r="B117" s="14" t="s">
        <v>270</v>
      </c>
      <c r="C117" s="14" t="s">
        <v>259</v>
      </c>
      <c r="D117" s="14" t="s">
        <v>218</v>
      </c>
      <c r="E117" s="24" t="n">
        <v>0</v>
      </c>
      <c r="F117" s="24" t="n">
        <v>401</v>
      </c>
      <c r="G117" s="24" t="n">
        <v>215</v>
      </c>
      <c r="H117" s="26" t="n">
        <f aca="false">SUM(E117:G117)</f>
        <v>616</v>
      </c>
      <c r="I117" s="24" t="n">
        <v>35</v>
      </c>
      <c r="J117" s="24" t="n">
        <v>18</v>
      </c>
      <c r="K117" s="27" t="n">
        <v>0</v>
      </c>
      <c r="L117" s="28" t="n">
        <f aca="false">MIN(Assumptions!$C$18,K117*Assumptions!$D$15)</f>
        <v>0</v>
      </c>
      <c r="M117" s="28" t="n">
        <f aca="false">MIN(Assumptions!$C$18,K117*Assumptions!$D$16)</f>
        <v>0</v>
      </c>
      <c r="N117" s="28" t="n">
        <f aca="false">MIN(Assumptions!$C$18,K117*Assumptions!$D$17)</f>
        <v>0</v>
      </c>
      <c r="O117" s="28" t="n">
        <f aca="false">IF(I117&gt;=Assumptions!$B$36,Assumptions!$C$36,IF(I117&gt;=Assumptions!$B$37,Assumptions!$C$37,IF(I117&gt;=Assumptions!$B$38,Assumptions!$C$38,Assumptions!$C$39)))</f>
        <v>0</v>
      </c>
      <c r="P117" s="28" t="n">
        <f aca="false">IF(H117&gt;=Assumptions!$B$44,Assumptions!$C$44,IF(H117&gt;=Assumptions!$B$45,Assumptions!$C$45,IF(H117&gt;=Assumptions!$B$46,Assumptions!$C$46,Assumptions!$C$47)))</f>
        <v>0</v>
      </c>
      <c r="Q117" s="24" t="n">
        <v>0</v>
      </c>
      <c r="R117" s="28" t="n">
        <f aca="false">Q117*Assumptions!$C$51</f>
        <v>0</v>
      </c>
      <c r="S117" s="27" t="n">
        <v>0</v>
      </c>
      <c r="T117" s="27" t="n">
        <v>0</v>
      </c>
      <c r="U117" s="27" t="n">
        <v>0</v>
      </c>
      <c r="V117" s="27" t="n">
        <v>0.01</v>
      </c>
      <c r="W117" s="27" t="n">
        <v>0</v>
      </c>
      <c r="X117" s="28" t="n">
        <f aca="false">P117+R117+SUM(S117:W117)</f>
        <v>0.01</v>
      </c>
      <c r="Y117" s="24" t="n">
        <v>0</v>
      </c>
      <c r="Z117" s="29" t="n">
        <f aca="false">LN(H117)</f>
        <v>6.42324696353352</v>
      </c>
      <c r="AA117" s="17" t="n">
        <f aca="false">ROUND(SUMIF(Lines!$B:$B,B117,Lines!$I:$I),2)</f>
        <v>45502</v>
      </c>
      <c r="AB117" s="17" t="n">
        <f aca="false">ROUND(SUMIF(Lines!$B:$B,B117,Lines!$L:$L),2)</f>
        <v>45502</v>
      </c>
      <c r="AC117" s="17" t="n">
        <f aca="false">ROUND(SUMIF(Lines!$B:$B,B117,Lines!$T:$T),2)</f>
        <v>45046.98</v>
      </c>
      <c r="AD117" s="17" t="n">
        <f aca="false">ROUND(SUMIF(Lines!$B:$B,B117,Lines!$U:$U),2)</f>
        <v>26906</v>
      </c>
      <c r="AE117" s="17" t="n">
        <f aca="false">ROUND(SUMIF(Lines!$B:$B,B117,Lines!$V:$V),2)</f>
        <v>910.04</v>
      </c>
      <c r="AF117" s="17" t="n">
        <f aca="false">ROUND(AC117-AD117-AE117,2)</f>
        <v>17230.94</v>
      </c>
      <c r="AG117" s="26" t="n">
        <f aca="false">RANK(AC117,$AC$6:$AC$185)</f>
        <v>156</v>
      </c>
      <c r="AJ117" s="26" t="n">
        <f aca="false">IF(AND(H117&gt;=0.85*Assumptions!$B$44,H117&lt;Assumptions!$B$44),Assumptions!$B$44,IF(AND(H117&gt;=0.85*Assumptions!$B$45,H117&lt;Assumptions!$B$45),Assumptions!$B$45,IF(AND(H117&gt;=0.85*Assumptions!$B$46,H117&lt;Assumptions!$B$46),Assumptions!$B$46,0)))</f>
        <v>0</v>
      </c>
      <c r="AK117" s="26" t="n">
        <f aca="false">IF(AJ117=0,0,AJ117-H117)</f>
        <v>0</v>
      </c>
      <c r="AL117" s="28" t="n">
        <f aca="false">IF(AJ117=Assumptions!$B$44,Assumptions!$C$44,IF(AJ117=Assumptions!$B$45,Assumptions!$C$45,IF(AJ117=Assumptions!$B$46,Assumptions!$C$46,0)))</f>
        <v>0</v>
      </c>
      <c r="AM117" s="17" t="n">
        <f aca="false">IF(AJ117=0,0,AB117*(AL117-P117))</f>
        <v>0</v>
      </c>
      <c r="AN117" s="17" t="n">
        <f aca="false">ROUND(AN180+AM117,2)</f>
        <v>175350.28</v>
      </c>
      <c r="AO117" s="17" t="n">
        <f aca="false">SUMIF(Lines!$B$6:$B$463,$B117,Lines!$M$6:$M$463)</f>
        <v>0</v>
      </c>
      <c r="AP117" s="17" t="n">
        <f aca="false">(AB117/H117)*(MAX(0,MIN(H117,Assumptions!$B$46)-Assumptions!$B$47)*Assumptions!$C$47+MAX(0,MIN(H117,Assumptions!$B$45)-Assumptions!$B$46)*Assumptions!$C$46+MAX(0,MIN(H117,Assumptions!$B$44)-Assumptions!$B$45)*Assumptions!$C$45+MAX(0,H117-Assumptions!$B$44)*Assumptions!$C$44)</f>
        <v>0</v>
      </c>
      <c r="AQ117" s="17" t="n">
        <f aca="false">ROUND(SUMIF(Lines!$B:$B,B117,Lines!$N:$N),2)</f>
        <v>0</v>
      </c>
    </row>
    <row r="118" customFormat="false" ht="15" hidden="false" customHeight="false" outlineLevel="0" collapsed="false">
      <c r="B118" s="14" t="s">
        <v>271</v>
      </c>
      <c r="C118" s="14" t="s">
        <v>259</v>
      </c>
      <c r="D118" s="14" t="s">
        <v>218</v>
      </c>
      <c r="E118" s="24" t="n">
        <v>285</v>
      </c>
      <c r="F118" s="24" t="n">
        <v>0</v>
      </c>
      <c r="G118" s="24" t="n">
        <v>446</v>
      </c>
      <c r="H118" s="26" t="n">
        <f aca="false">SUM(E118:G118)</f>
        <v>731</v>
      </c>
      <c r="I118" s="24" t="n">
        <v>60</v>
      </c>
      <c r="J118" s="24" t="n">
        <v>12</v>
      </c>
      <c r="K118" s="27" t="n">
        <v>0.005</v>
      </c>
      <c r="L118" s="28" t="n">
        <f aca="false">MIN(Assumptions!$C$18,K118*Assumptions!$D$15)</f>
        <v>0.0031</v>
      </c>
      <c r="M118" s="28" t="n">
        <f aca="false">MIN(Assumptions!$C$18,K118*Assumptions!$D$16)</f>
        <v>0.0065</v>
      </c>
      <c r="N118" s="28" t="n">
        <f aca="false">MIN(Assumptions!$C$18,K118*Assumptions!$D$17)</f>
        <v>0.0048</v>
      </c>
      <c r="O118" s="28" t="n">
        <f aca="false">IF(I118&gt;=Assumptions!$B$36,Assumptions!$C$36,IF(I118&gt;=Assumptions!$B$37,Assumptions!$C$37,IF(I118&gt;=Assumptions!$B$38,Assumptions!$C$38,Assumptions!$C$39)))</f>
        <v>0.02</v>
      </c>
      <c r="P118" s="28" t="n">
        <f aca="false">IF(H118&gt;=Assumptions!$B$44,Assumptions!$C$44,IF(H118&gt;=Assumptions!$B$45,Assumptions!$C$45,IF(H118&gt;=Assumptions!$B$46,Assumptions!$C$46,Assumptions!$C$47)))</f>
        <v>0</v>
      </c>
      <c r="Q118" s="24" t="n">
        <v>0</v>
      </c>
      <c r="R118" s="28" t="n">
        <f aca="false">Q118*Assumptions!$C$51</f>
        <v>0</v>
      </c>
      <c r="S118" s="27" t="n">
        <v>0</v>
      </c>
      <c r="T118" s="27" t="n">
        <v>0</v>
      </c>
      <c r="U118" s="27" t="n">
        <v>0</v>
      </c>
      <c r="V118" s="27" t="n">
        <v>0.01</v>
      </c>
      <c r="W118" s="27" t="n">
        <v>0</v>
      </c>
      <c r="X118" s="28" t="n">
        <f aca="false">P118+R118+SUM(S118:W118)</f>
        <v>0.01</v>
      </c>
      <c r="Y118" s="24" t="n">
        <v>0</v>
      </c>
      <c r="Z118" s="29" t="n">
        <f aca="false">LN(H118)</f>
        <v>6.59441345974978</v>
      </c>
      <c r="AA118" s="17" t="n">
        <f aca="false">ROUND(SUMIF(Lines!$B:$B,B118,Lines!$I:$I),2)</f>
        <v>84996</v>
      </c>
      <c r="AB118" s="17" t="n">
        <f aca="false">ROUND(SUMIF(Lines!$B:$B,B118,Lines!$L:$L),2)</f>
        <v>82959.8</v>
      </c>
      <c r="AC118" s="17" t="n">
        <f aca="false">ROUND(SUMIF(Lines!$B:$B,B118,Lines!$T:$T),2)</f>
        <v>82130.2</v>
      </c>
      <c r="AD118" s="17" t="n">
        <f aca="false">ROUND(SUMIF(Lines!$B:$B,B118,Lines!$U:$U),2)</f>
        <v>48098</v>
      </c>
      <c r="AE118" s="17" t="n">
        <f aca="false">ROUND(SUMIF(Lines!$B:$B,B118,Lines!$V:$V),2)</f>
        <v>1659.19</v>
      </c>
      <c r="AF118" s="17" t="n">
        <f aca="false">ROUND(AC118-AD118-AE118,2)</f>
        <v>32373.01</v>
      </c>
      <c r="AG118" s="26" t="n">
        <f aca="false">RANK(AC118,$AC$6:$AC$185)</f>
        <v>129</v>
      </c>
      <c r="AJ118" s="26" t="n">
        <f aca="false">IF(AND(H118&gt;=0.85*Assumptions!$B$44,H118&lt;Assumptions!$B$44),Assumptions!$B$44,IF(AND(H118&gt;=0.85*Assumptions!$B$45,H118&lt;Assumptions!$B$45),Assumptions!$B$45,IF(AND(H118&gt;=0.85*Assumptions!$B$46,H118&lt;Assumptions!$B$46),Assumptions!$B$46,0)))</f>
        <v>0</v>
      </c>
      <c r="AK118" s="26" t="n">
        <f aca="false">IF(AJ118=0,0,AJ118-H118)</f>
        <v>0</v>
      </c>
      <c r="AL118" s="28" t="n">
        <f aca="false">IF(AJ118=Assumptions!$B$44,Assumptions!$C$44,IF(AJ118=Assumptions!$B$45,Assumptions!$C$45,IF(AJ118=Assumptions!$B$46,Assumptions!$C$46,0)))</f>
        <v>0</v>
      </c>
      <c r="AM118" s="17" t="n">
        <f aca="false">IF(AJ118=0,0,AB118*(AL118-P118))</f>
        <v>0</v>
      </c>
      <c r="AN118" s="17" t="n">
        <f aca="false">ROUND(AN181+AM118,2)</f>
        <v>175350.28</v>
      </c>
      <c r="AO118" s="17" t="n">
        <f aca="false">SUMIF(Lines!$B$6:$B$463,$B118,Lines!$M$6:$M$463)</f>
        <v>0</v>
      </c>
      <c r="AP118" s="17" t="n">
        <f aca="false">(AB118/H118)*(MAX(0,MIN(H118,Assumptions!$B$46)-Assumptions!$B$47)*Assumptions!$C$47+MAX(0,MIN(H118,Assumptions!$B$45)-Assumptions!$B$46)*Assumptions!$C$46+MAX(0,MIN(H118,Assumptions!$B$44)-Assumptions!$B$45)*Assumptions!$C$45+MAX(0,H118-Assumptions!$B$44)*Assumptions!$C$44)</f>
        <v>0</v>
      </c>
      <c r="AQ118" s="17" t="n">
        <f aca="false">ROUND(SUMIF(Lines!$B:$B,B118,Lines!$N:$N),2)</f>
        <v>0</v>
      </c>
    </row>
    <row r="119" customFormat="false" ht="15" hidden="false" customHeight="false" outlineLevel="0" collapsed="false">
      <c r="B119" s="14" t="s">
        <v>272</v>
      </c>
      <c r="C119" s="14" t="s">
        <v>259</v>
      </c>
      <c r="D119" s="14" t="s">
        <v>218</v>
      </c>
      <c r="E119" s="24" t="n">
        <v>0</v>
      </c>
      <c r="F119" s="24" t="n">
        <v>2123</v>
      </c>
      <c r="G119" s="24" t="n">
        <v>838</v>
      </c>
      <c r="H119" s="26" t="n">
        <f aca="false">SUM(E119:G119)</f>
        <v>2961</v>
      </c>
      <c r="I119" s="24" t="n">
        <v>60</v>
      </c>
      <c r="J119" s="24" t="n">
        <v>49</v>
      </c>
      <c r="K119" s="27" t="n">
        <v>0.05</v>
      </c>
      <c r="L119" s="28" t="n">
        <f aca="false">MIN(Assumptions!$C$18,K119*Assumptions!$D$15)</f>
        <v>0.031</v>
      </c>
      <c r="M119" s="28" t="n">
        <f aca="false">MIN(Assumptions!$C$18,K119*Assumptions!$D$16)</f>
        <v>0.065</v>
      </c>
      <c r="N119" s="28" t="n">
        <f aca="false">MIN(Assumptions!$C$18,K119*Assumptions!$D$17)</f>
        <v>0.048</v>
      </c>
      <c r="O119" s="28" t="n">
        <f aca="false">IF(I119&gt;=Assumptions!$B$36,Assumptions!$C$36,IF(I119&gt;=Assumptions!$B$37,Assumptions!$C$37,IF(I119&gt;=Assumptions!$B$38,Assumptions!$C$38,Assumptions!$C$39)))</f>
        <v>0.02</v>
      </c>
      <c r="P119" s="28" t="n">
        <f aca="false">IF(H119&gt;=Assumptions!$B$44,Assumptions!$C$44,IF(H119&gt;=Assumptions!$B$45,Assumptions!$C$45,IF(H119&gt;=Assumptions!$B$46,Assumptions!$C$46,Assumptions!$C$47)))</f>
        <v>0</v>
      </c>
      <c r="Q119" s="24" t="n">
        <v>0</v>
      </c>
      <c r="R119" s="28" t="n">
        <f aca="false">Q119*Assumptions!$C$51</f>
        <v>0</v>
      </c>
      <c r="S119" s="27" t="n">
        <v>0</v>
      </c>
      <c r="T119" s="27" t="n">
        <v>0</v>
      </c>
      <c r="U119" s="27" t="n">
        <v>0</v>
      </c>
      <c r="V119" s="27" t="n">
        <v>0.01</v>
      </c>
      <c r="W119" s="27" t="n">
        <v>0</v>
      </c>
      <c r="X119" s="28" t="n">
        <f aca="false">P119+R119+SUM(S119:W119)</f>
        <v>0.01</v>
      </c>
      <c r="Y119" s="24" t="n">
        <v>0</v>
      </c>
      <c r="Z119" s="29" t="n">
        <f aca="false">LN(H119)</f>
        <v>7.99328232810159</v>
      </c>
      <c r="AA119" s="17" t="n">
        <f aca="false">ROUND(SUMIF(Lines!$B:$B,B119,Lines!$I:$I),2)</f>
        <v>212074</v>
      </c>
      <c r="AB119" s="17" t="n">
        <f aca="false">ROUND(SUMIF(Lines!$B:$B,B119,Lines!$L:$L),2)</f>
        <v>195415.33</v>
      </c>
      <c r="AC119" s="17" t="n">
        <f aca="false">ROUND(SUMIF(Lines!$B:$B,B119,Lines!$T:$T),2)</f>
        <v>193461.17</v>
      </c>
      <c r="AD119" s="17" t="n">
        <f aca="false">ROUND(SUMIF(Lines!$B:$B,B119,Lines!$U:$U),2)</f>
        <v>125032</v>
      </c>
      <c r="AE119" s="17" t="n">
        <f aca="false">ROUND(SUMIF(Lines!$B:$B,B119,Lines!$V:$V),2)</f>
        <v>3908.31</v>
      </c>
      <c r="AF119" s="17" t="n">
        <f aca="false">ROUND(AC119-AD119-AE119,2)</f>
        <v>64520.86</v>
      </c>
      <c r="AG119" s="26" t="n">
        <f aca="false">RANK(AC119,$AC$6:$AC$185)</f>
        <v>75</v>
      </c>
      <c r="AJ119" s="26" t="n">
        <f aca="false">IF(AND(H119&gt;=0.85*Assumptions!$B$44,H119&lt;Assumptions!$B$44),Assumptions!$B$44,IF(AND(H119&gt;=0.85*Assumptions!$B$45,H119&lt;Assumptions!$B$45),Assumptions!$B$45,IF(AND(H119&gt;=0.85*Assumptions!$B$46,H119&lt;Assumptions!$B$46),Assumptions!$B$46,0)))</f>
        <v>3000</v>
      </c>
      <c r="AK119" s="26" t="n">
        <f aca="false">IF(AJ119=0,0,AJ119-H119)</f>
        <v>39</v>
      </c>
      <c r="AL119" s="28" t="n">
        <f aca="false">IF(AJ119=Assumptions!$B$44,Assumptions!$C$44,IF(AJ119=Assumptions!$B$45,Assumptions!$C$45,IF(AJ119=Assumptions!$B$46,Assumptions!$C$46,0)))</f>
        <v>0.02</v>
      </c>
      <c r="AM119" s="17" t="n">
        <f aca="false">IF(AJ119=0,0,AB119*(AL119-P119))</f>
        <v>3908.3066</v>
      </c>
      <c r="AN119" s="17" t="n">
        <f aca="false">ROUND(AN182+AM119,2)</f>
        <v>179258.59</v>
      </c>
      <c r="AO119" s="17" t="n">
        <f aca="false">SUMIF(Lines!$B$6:$B$463,$B119,Lines!$M$6:$M$463)</f>
        <v>0</v>
      </c>
      <c r="AP119" s="17" t="n">
        <f aca="false">(AB119/H119)*(MAX(0,MIN(H119,Assumptions!$B$46)-Assumptions!$B$47)*Assumptions!$C$47+MAX(0,MIN(H119,Assumptions!$B$45)-Assumptions!$B$46)*Assumptions!$C$46+MAX(0,MIN(H119,Assumptions!$B$44)-Assumptions!$B$45)*Assumptions!$C$45+MAX(0,H119-Assumptions!$B$44)*Assumptions!$C$44)</f>
        <v>0</v>
      </c>
      <c r="AQ119" s="17" t="n">
        <f aca="false">ROUND(SUMIF(Lines!$B:$B,B119,Lines!$N:$N),2)</f>
        <v>0</v>
      </c>
    </row>
    <row r="120" customFormat="false" ht="15" hidden="false" customHeight="false" outlineLevel="0" collapsed="false">
      <c r="B120" s="14" t="s">
        <v>273</v>
      </c>
      <c r="C120" s="14" t="s">
        <v>259</v>
      </c>
      <c r="D120" s="14" t="s">
        <v>218</v>
      </c>
      <c r="E120" s="24" t="n">
        <v>0</v>
      </c>
      <c r="F120" s="24" t="n">
        <v>742</v>
      </c>
      <c r="G120" s="24" t="n">
        <v>260</v>
      </c>
      <c r="H120" s="26" t="n">
        <f aca="false">SUM(E120:G120)</f>
        <v>1002</v>
      </c>
      <c r="I120" s="24" t="n">
        <v>41</v>
      </c>
      <c r="J120" s="24" t="n">
        <v>24</v>
      </c>
      <c r="K120" s="27" t="n">
        <v>0.01</v>
      </c>
      <c r="L120" s="28" t="n">
        <f aca="false">MIN(Assumptions!$C$18,K120*Assumptions!$D$15)</f>
        <v>0.0062</v>
      </c>
      <c r="M120" s="28" t="n">
        <f aca="false">MIN(Assumptions!$C$18,K120*Assumptions!$D$16)</f>
        <v>0.013</v>
      </c>
      <c r="N120" s="28" t="n">
        <f aca="false">MIN(Assumptions!$C$18,K120*Assumptions!$D$17)</f>
        <v>0.0096</v>
      </c>
      <c r="O120" s="28" t="n">
        <f aca="false">IF(I120&gt;=Assumptions!$B$36,Assumptions!$C$36,IF(I120&gt;=Assumptions!$B$37,Assumptions!$C$37,IF(I120&gt;=Assumptions!$B$38,Assumptions!$C$38,Assumptions!$C$39)))</f>
        <v>0</v>
      </c>
      <c r="P120" s="28" t="n">
        <f aca="false">IF(H120&gt;=Assumptions!$B$44,Assumptions!$C$44,IF(H120&gt;=Assumptions!$B$45,Assumptions!$C$45,IF(H120&gt;=Assumptions!$B$46,Assumptions!$C$46,Assumptions!$C$47)))</f>
        <v>0</v>
      </c>
      <c r="Q120" s="24" t="n">
        <v>0</v>
      </c>
      <c r="R120" s="28" t="n">
        <f aca="false">Q120*Assumptions!$C$51</f>
        <v>0</v>
      </c>
      <c r="S120" s="27" t="n">
        <v>0</v>
      </c>
      <c r="T120" s="27" t="n">
        <v>0</v>
      </c>
      <c r="U120" s="27" t="n">
        <v>0</v>
      </c>
      <c r="V120" s="27" t="n">
        <v>0.01</v>
      </c>
      <c r="W120" s="27" t="n">
        <v>0</v>
      </c>
      <c r="X120" s="28" t="n">
        <f aca="false">P120+R120+SUM(S120:W120)</f>
        <v>0.01</v>
      </c>
      <c r="Y120" s="24" t="n">
        <v>0</v>
      </c>
      <c r="Z120" s="29" t="n">
        <f aca="false">LN(H120)</f>
        <v>6.90975328164481</v>
      </c>
      <c r="AA120" s="17" t="n">
        <f aca="false">ROUND(SUMIF(Lines!$B:$B,B120,Lines!$I:$I),2)</f>
        <v>70964</v>
      </c>
      <c r="AB120" s="17" t="n">
        <f aca="false">ROUND(SUMIF(Lines!$B:$B,B120,Lines!$L:$L),2)</f>
        <v>70126.33</v>
      </c>
      <c r="AC120" s="17" t="n">
        <f aca="false">ROUND(SUMIF(Lines!$B:$B,B120,Lines!$T:$T),2)</f>
        <v>69425.07</v>
      </c>
      <c r="AD120" s="17" t="n">
        <f aca="false">ROUND(SUMIF(Lines!$B:$B,B120,Lines!$U:$U),2)</f>
        <v>41792</v>
      </c>
      <c r="AE120" s="17" t="n">
        <f aca="false">ROUND(SUMIF(Lines!$B:$B,B120,Lines!$V:$V),2)</f>
        <v>1402.53</v>
      </c>
      <c r="AF120" s="17" t="n">
        <f aca="false">ROUND(AC120-AD120-AE120,2)</f>
        <v>26230.54</v>
      </c>
      <c r="AG120" s="26" t="n">
        <f aca="false">RANK(AC120,$AC$6:$AC$185)</f>
        <v>133</v>
      </c>
      <c r="AJ120" s="26" t="n">
        <f aca="false">IF(AND(H120&gt;=0.85*Assumptions!$B$44,H120&lt;Assumptions!$B$44),Assumptions!$B$44,IF(AND(H120&gt;=0.85*Assumptions!$B$45,H120&lt;Assumptions!$B$45),Assumptions!$B$45,IF(AND(H120&gt;=0.85*Assumptions!$B$46,H120&lt;Assumptions!$B$46),Assumptions!$B$46,0)))</f>
        <v>0</v>
      </c>
      <c r="AK120" s="26" t="n">
        <f aca="false">IF(AJ120=0,0,AJ120-H120)</f>
        <v>0</v>
      </c>
      <c r="AL120" s="28" t="n">
        <f aca="false">IF(AJ120=Assumptions!$B$44,Assumptions!$C$44,IF(AJ120=Assumptions!$B$45,Assumptions!$C$45,IF(AJ120=Assumptions!$B$46,Assumptions!$C$46,0)))</f>
        <v>0</v>
      </c>
      <c r="AM120" s="17" t="n">
        <f aca="false">IF(AJ120=0,0,AB120*(AL120-P120))</f>
        <v>0</v>
      </c>
      <c r="AN120" s="17" t="n">
        <f aca="false">ROUND(AN183+AM120,2)</f>
        <v>187091.56</v>
      </c>
      <c r="AO120" s="17" t="n">
        <f aca="false">SUMIF(Lines!$B$6:$B$463,$B120,Lines!$M$6:$M$463)</f>
        <v>0</v>
      </c>
      <c r="AP120" s="17" t="n">
        <f aca="false">(AB120/H120)*(MAX(0,MIN(H120,Assumptions!$B$46)-Assumptions!$B$47)*Assumptions!$C$47+MAX(0,MIN(H120,Assumptions!$B$45)-Assumptions!$B$46)*Assumptions!$C$46+MAX(0,MIN(H120,Assumptions!$B$44)-Assumptions!$B$45)*Assumptions!$C$45+MAX(0,H120-Assumptions!$B$44)*Assumptions!$C$44)</f>
        <v>0</v>
      </c>
      <c r="AQ120" s="17" t="n">
        <f aca="false">ROUND(SUMIF(Lines!$B:$B,B120,Lines!$N:$N),2)</f>
        <v>0</v>
      </c>
    </row>
    <row r="121" customFormat="false" ht="15" hidden="false" customHeight="false" outlineLevel="0" collapsed="false">
      <c r="B121" s="14" t="s">
        <v>274</v>
      </c>
      <c r="C121" s="14" t="s">
        <v>259</v>
      </c>
      <c r="D121" s="14" t="s">
        <v>218</v>
      </c>
      <c r="E121" s="24" t="n">
        <v>21</v>
      </c>
      <c r="F121" s="24" t="n">
        <v>233</v>
      </c>
      <c r="G121" s="24" t="n">
        <v>75</v>
      </c>
      <c r="H121" s="26" t="n">
        <f aca="false">SUM(E121:G121)</f>
        <v>329</v>
      </c>
      <c r="I121" s="24" t="n">
        <v>35</v>
      </c>
      <c r="J121" s="24" t="n">
        <v>9</v>
      </c>
      <c r="K121" s="27" t="n">
        <v>0.01</v>
      </c>
      <c r="L121" s="28" t="n">
        <f aca="false">MIN(Assumptions!$C$18,K121*Assumptions!$D$15)</f>
        <v>0.0062</v>
      </c>
      <c r="M121" s="28" t="n">
        <f aca="false">MIN(Assumptions!$C$18,K121*Assumptions!$D$16)</f>
        <v>0.013</v>
      </c>
      <c r="N121" s="28" t="n">
        <f aca="false">MIN(Assumptions!$C$18,K121*Assumptions!$D$17)</f>
        <v>0.0096</v>
      </c>
      <c r="O121" s="28" t="n">
        <f aca="false">IF(I121&gt;=Assumptions!$B$36,Assumptions!$C$36,IF(I121&gt;=Assumptions!$B$37,Assumptions!$C$37,IF(I121&gt;=Assumptions!$B$38,Assumptions!$C$38,Assumptions!$C$39)))</f>
        <v>0</v>
      </c>
      <c r="P121" s="28" t="n">
        <f aca="false">IF(H121&gt;=Assumptions!$B$44,Assumptions!$C$44,IF(H121&gt;=Assumptions!$B$45,Assumptions!$C$45,IF(H121&gt;=Assumptions!$B$46,Assumptions!$C$46,Assumptions!$C$47)))</f>
        <v>0</v>
      </c>
      <c r="Q121" s="24" t="n">
        <v>0</v>
      </c>
      <c r="R121" s="28" t="n">
        <f aca="false">Q121*Assumptions!$C$51</f>
        <v>0</v>
      </c>
      <c r="S121" s="27" t="n">
        <v>0</v>
      </c>
      <c r="T121" s="27" t="n">
        <v>0</v>
      </c>
      <c r="U121" s="27" t="n">
        <v>0</v>
      </c>
      <c r="V121" s="27" t="n">
        <v>0.01</v>
      </c>
      <c r="W121" s="27" t="n">
        <v>0</v>
      </c>
      <c r="X121" s="28" t="n">
        <f aca="false">P121+R121+SUM(S121:W121)</f>
        <v>0.01</v>
      </c>
      <c r="Y121" s="24" t="n">
        <v>0</v>
      </c>
      <c r="Z121" s="29" t="n">
        <f aca="false">LN(H121)</f>
        <v>5.79605775076537</v>
      </c>
      <c r="AA121" s="17" t="n">
        <f aca="false">ROUND(SUMIF(Lines!$B:$B,B121,Lines!$I:$I),2)</f>
        <v>24754</v>
      </c>
      <c r="AB121" s="17" t="n">
        <f aca="false">ROUND(SUMIF(Lines!$B:$B,B121,Lines!$L:$L),2)</f>
        <v>24477.81</v>
      </c>
      <c r="AC121" s="17" t="n">
        <f aca="false">ROUND(SUMIF(Lines!$B:$B,B121,Lines!$T:$T),2)</f>
        <v>24233.03</v>
      </c>
      <c r="AD121" s="17" t="n">
        <f aca="false">ROUND(SUMIF(Lines!$B:$B,B121,Lines!$U:$U),2)</f>
        <v>14376</v>
      </c>
      <c r="AE121" s="17" t="n">
        <f aca="false">ROUND(SUMIF(Lines!$B:$B,B121,Lines!$V:$V),2)</f>
        <v>489.55</v>
      </c>
      <c r="AF121" s="17" t="n">
        <f aca="false">ROUND(AC121-AD121-AE121,2)</f>
        <v>9367.48</v>
      </c>
      <c r="AG121" s="26" t="n">
        <f aca="false">RANK(AC121,$AC$6:$AC$185)</f>
        <v>169</v>
      </c>
      <c r="AJ121" s="26" t="n">
        <f aca="false">IF(AND(H121&gt;=0.85*Assumptions!$B$44,H121&lt;Assumptions!$B$44),Assumptions!$B$44,IF(AND(H121&gt;=0.85*Assumptions!$B$45,H121&lt;Assumptions!$B$45),Assumptions!$B$45,IF(AND(H121&gt;=0.85*Assumptions!$B$46,H121&lt;Assumptions!$B$46),Assumptions!$B$46,0)))</f>
        <v>0</v>
      </c>
      <c r="AK121" s="26" t="n">
        <f aca="false">IF(AJ121=0,0,AJ121-H121)</f>
        <v>0</v>
      </c>
      <c r="AL121" s="28" t="n">
        <f aca="false">IF(AJ121=Assumptions!$B$44,Assumptions!$C$44,IF(AJ121=Assumptions!$B$45,Assumptions!$C$45,IF(AJ121=Assumptions!$B$46,Assumptions!$C$46,0)))</f>
        <v>0</v>
      </c>
      <c r="AM121" s="17" t="n">
        <f aca="false">IF(AJ121=0,0,AB121*(AL121-P121))</f>
        <v>0</v>
      </c>
      <c r="AN121" s="17" t="n">
        <f aca="false">ROUND(AN184+AM121,2)</f>
        <v>187091.56</v>
      </c>
      <c r="AO121" s="17" t="n">
        <f aca="false">SUMIF(Lines!$B$6:$B$463,$B121,Lines!$M$6:$M$463)</f>
        <v>0</v>
      </c>
      <c r="AP121" s="17" t="n">
        <f aca="false">(AB121/H121)*(MAX(0,MIN(H121,Assumptions!$B$46)-Assumptions!$B$47)*Assumptions!$C$47+MAX(0,MIN(H121,Assumptions!$B$45)-Assumptions!$B$46)*Assumptions!$C$46+MAX(0,MIN(H121,Assumptions!$B$44)-Assumptions!$B$45)*Assumptions!$C$45+MAX(0,H121-Assumptions!$B$44)*Assumptions!$C$44)</f>
        <v>0</v>
      </c>
      <c r="AQ121" s="17" t="n">
        <f aca="false">ROUND(SUMIF(Lines!$B:$B,B121,Lines!$N:$N),2)</f>
        <v>0</v>
      </c>
    </row>
    <row r="122" customFormat="false" ht="15" hidden="false" customHeight="false" outlineLevel="0" collapsed="false">
      <c r="B122" s="14" t="s">
        <v>275</v>
      </c>
      <c r="C122" s="14" t="s">
        <v>259</v>
      </c>
      <c r="D122" s="14" t="s">
        <v>227</v>
      </c>
      <c r="E122" s="24" t="n">
        <v>685</v>
      </c>
      <c r="F122" s="24" t="n">
        <v>1711</v>
      </c>
      <c r="G122" s="24" t="n">
        <v>636</v>
      </c>
      <c r="H122" s="26" t="n">
        <f aca="false">SUM(E122:G122)</f>
        <v>3032</v>
      </c>
      <c r="I122" s="24" t="n">
        <v>56</v>
      </c>
      <c r="J122" s="24" t="n">
        <v>54</v>
      </c>
      <c r="K122" s="27" t="n">
        <v>0.025</v>
      </c>
      <c r="L122" s="28" t="n">
        <f aca="false">MIN(Assumptions!$C$18,K122*Assumptions!$D$15)</f>
        <v>0.0155</v>
      </c>
      <c r="M122" s="28" t="n">
        <f aca="false">MIN(Assumptions!$C$18,K122*Assumptions!$D$16)</f>
        <v>0.0325</v>
      </c>
      <c r="N122" s="28" t="n">
        <f aca="false">MIN(Assumptions!$C$18,K122*Assumptions!$D$17)</f>
        <v>0.024</v>
      </c>
      <c r="O122" s="28" t="n">
        <f aca="false">IF(I122&gt;=Assumptions!$B$36,Assumptions!$C$36,IF(I122&gt;=Assumptions!$B$37,Assumptions!$C$37,IF(I122&gt;=Assumptions!$B$38,Assumptions!$C$38,Assumptions!$C$39)))</f>
        <v>0.02</v>
      </c>
      <c r="P122" s="28" t="n">
        <f aca="false">IF(H122&gt;=Assumptions!$B$44,Assumptions!$C$44,IF(H122&gt;=Assumptions!$B$45,Assumptions!$C$45,IF(H122&gt;=Assumptions!$B$46,Assumptions!$C$46,Assumptions!$C$47)))</f>
        <v>0.02</v>
      </c>
      <c r="Q122" s="24" t="n">
        <v>0</v>
      </c>
      <c r="R122" s="28" t="n">
        <f aca="false">Q122*Assumptions!$C$51</f>
        <v>0</v>
      </c>
      <c r="S122" s="27" t="n">
        <v>0</v>
      </c>
      <c r="T122" s="27" t="n">
        <v>0</v>
      </c>
      <c r="U122" s="27" t="n">
        <v>0</v>
      </c>
      <c r="V122" s="27" t="n">
        <v>0.01</v>
      </c>
      <c r="W122" s="27" t="n">
        <v>0</v>
      </c>
      <c r="X122" s="28" t="n">
        <f aca="false">P122+R122+SUM(S122:W122)</f>
        <v>0.03</v>
      </c>
      <c r="Y122" s="24" t="n">
        <v>0</v>
      </c>
      <c r="Z122" s="29" t="n">
        <f aca="false">LN(H122)</f>
        <v>8.01697774676226</v>
      </c>
      <c r="AA122" s="17" t="n">
        <f aca="false">ROUND(SUMIF(Lines!$B:$B,B122,Lines!$I:$I),2)</f>
        <v>268518</v>
      </c>
      <c r="AB122" s="17" t="n">
        <f aca="false">ROUND(SUMIF(Lines!$B:$B,B122,Lines!$L:$L),2)</f>
        <v>256663.24</v>
      </c>
      <c r="AC122" s="17" t="n">
        <f aca="false">ROUND(SUMIF(Lines!$B:$B,B122,Lines!$T:$T),2)</f>
        <v>248963.34</v>
      </c>
      <c r="AD122" s="17" t="n">
        <f aca="false">ROUND(SUMIF(Lines!$B:$B,B122,Lines!$U:$U),2)</f>
        <v>151914</v>
      </c>
      <c r="AE122" s="17" t="n">
        <f aca="false">ROUND(SUMIF(Lines!$B:$B,B122,Lines!$V:$V),2)</f>
        <v>5133.26</v>
      </c>
      <c r="AF122" s="17" t="n">
        <f aca="false">ROUND(AC122-AD122-AE122,2)</f>
        <v>91916.08</v>
      </c>
      <c r="AG122" s="26" t="n">
        <f aca="false">RANK(AC122,$AC$6:$AC$185)</f>
        <v>55</v>
      </c>
      <c r="AJ122" s="26" t="n">
        <f aca="false">IF(AND(H122&gt;=0.85*Assumptions!$B$44,H122&lt;Assumptions!$B$44),Assumptions!$B$44,IF(AND(H122&gt;=0.85*Assumptions!$B$45,H122&lt;Assumptions!$B$45),Assumptions!$B$45,IF(AND(H122&gt;=0.85*Assumptions!$B$46,H122&lt;Assumptions!$B$46),Assumptions!$B$46,0)))</f>
        <v>0</v>
      </c>
      <c r="AK122" s="26" t="n">
        <f aca="false">IF(AJ122=0,0,AJ122-H122)</f>
        <v>0</v>
      </c>
      <c r="AL122" s="28" t="n">
        <f aca="false">IF(AJ122=Assumptions!$B$44,Assumptions!$C$44,IF(AJ122=Assumptions!$B$45,Assumptions!$C$45,IF(AJ122=Assumptions!$B$46,Assumptions!$C$46,0)))</f>
        <v>0</v>
      </c>
      <c r="AM122" s="17" t="n">
        <f aca="false">IF(AJ122=0,0,AB122*(AL122-P122))</f>
        <v>0</v>
      </c>
      <c r="AN122" s="17" t="n">
        <f aca="false">ROUND(AN106+AM122,2)</f>
        <v>175350.28</v>
      </c>
      <c r="AO122" s="17" t="n">
        <f aca="false">SUMIF(Lines!$B$6:$B$463,$B122,Lines!$M$6:$M$463)</f>
        <v>5133.26</v>
      </c>
      <c r="AP122" s="17" t="n">
        <f aca="false">(AB122/H122)*(MAX(0,MIN(H122,Assumptions!$B$46)-Assumptions!$B$47)*Assumptions!$C$47+MAX(0,MIN(H122,Assumptions!$B$45)-Assumptions!$B$46)*Assumptions!$C$46+MAX(0,MIN(H122,Assumptions!$B$44)-Assumptions!$B$45)*Assumptions!$C$45+MAX(0,H122-Assumptions!$B$44)*Assumptions!$C$44)</f>
        <v>54.1769372031662</v>
      </c>
      <c r="AQ122" s="17" t="n">
        <f aca="false">ROUND(SUMIF(Lines!$B:$B,B122,Lines!$N:$N),2)</f>
        <v>0</v>
      </c>
    </row>
    <row r="123" customFormat="false" ht="15" hidden="false" customHeight="false" outlineLevel="0" collapsed="false">
      <c r="B123" s="14" t="s">
        <v>276</v>
      </c>
      <c r="C123" s="14" t="s">
        <v>259</v>
      </c>
      <c r="D123" s="14" t="s">
        <v>227</v>
      </c>
      <c r="E123" s="24" t="n">
        <v>627</v>
      </c>
      <c r="F123" s="24" t="n">
        <v>1372</v>
      </c>
      <c r="G123" s="24" t="n">
        <v>346</v>
      </c>
      <c r="H123" s="26" t="n">
        <f aca="false">SUM(E123:G123)</f>
        <v>2345</v>
      </c>
      <c r="I123" s="24" t="n">
        <v>79</v>
      </c>
      <c r="J123" s="24" t="n">
        <v>30</v>
      </c>
      <c r="K123" s="27" t="n">
        <v>0.05</v>
      </c>
      <c r="L123" s="28" t="n">
        <f aca="false">MIN(Assumptions!$C$18,K123*Assumptions!$D$15)</f>
        <v>0.031</v>
      </c>
      <c r="M123" s="28" t="n">
        <f aca="false">MIN(Assumptions!$C$18,K123*Assumptions!$D$16)</f>
        <v>0.065</v>
      </c>
      <c r="N123" s="28" t="n">
        <f aca="false">MIN(Assumptions!$C$18,K123*Assumptions!$D$17)</f>
        <v>0.048</v>
      </c>
      <c r="O123" s="28" t="n">
        <f aca="false">IF(I123&gt;=Assumptions!$B$36,Assumptions!$C$36,IF(I123&gt;=Assumptions!$B$37,Assumptions!$C$37,IF(I123&gt;=Assumptions!$B$38,Assumptions!$C$38,Assumptions!$C$39)))</f>
        <v>0.02</v>
      </c>
      <c r="P123" s="28" t="n">
        <f aca="false">IF(H123&gt;=Assumptions!$B$44,Assumptions!$C$44,IF(H123&gt;=Assumptions!$B$45,Assumptions!$C$45,IF(H123&gt;=Assumptions!$B$46,Assumptions!$C$46,Assumptions!$C$47)))</f>
        <v>0</v>
      </c>
      <c r="Q123" s="24" t="n">
        <v>0</v>
      </c>
      <c r="R123" s="28" t="n">
        <f aca="false">Q123*Assumptions!$C$51</f>
        <v>0</v>
      </c>
      <c r="S123" s="27" t="n">
        <v>0</v>
      </c>
      <c r="T123" s="27" t="n">
        <v>0</v>
      </c>
      <c r="U123" s="27" t="n">
        <v>0</v>
      </c>
      <c r="V123" s="27" t="n">
        <v>0.01</v>
      </c>
      <c r="W123" s="27" t="n">
        <v>0</v>
      </c>
      <c r="X123" s="28" t="n">
        <f aca="false">P123+R123+SUM(S123:W123)</f>
        <v>0.01</v>
      </c>
      <c r="Y123" s="24" t="n">
        <v>0</v>
      </c>
      <c r="Z123" s="29" t="n">
        <f aca="false">LN(H123)</f>
        <v>7.76004068088038</v>
      </c>
      <c r="AA123" s="17" t="n">
        <f aca="false">ROUND(SUMIF(Lines!$B:$B,B123,Lines!$I:$I),2)</f>
        <v>211076</v>
      </c>
      <c r="AB123" s="17" t="n">
        <f aca="false">ROUND(SUMIF(Lines!$B:$B,B123,Lines!$L:$L),2)</f>
        <v>196854.27</v>
      </c>
      <c r="AC123" s="17" t="n">
        <f aca="false">ROUND(SUMIF(Lines!$B:$B,B123,Lines!$T:$T),2)</f>
        <v>194885.73</v>
      </c>
      <c r="AD123" s="17" t="n">
        <f aca="false">ROUND(SUMIF(Lines!$B:$B,B123,Lines!$U:$U),2)</f>
        <v>118366</v>
      </c>
      <c r="AE123" s="17" t="n">
        <f aca="false">ROUND(SUMIF(Lines!$B:$B,B123,Lines!$V:$V),2)</f>
        <v>3937.09</v>
      </c>
      <c r="AF123" s="17" t="n">
        <f aca="false">ROUND(AC123-AD123-AE123,2)</f>
        <v>72582.64</v>
      </c>
      <c r="AG123" s="26" t="n">
        <f aca="false">RANK(AC123,$AC$6:$AC$185)</f>
        <v>73</v>
      </c>
      <c r="AJ123" s="26" t="n">
        <f aca="false">IF(AND(H123&gt;=0.85*Assumptions!$B$44,H123&lt;Assumptions!$B$44),Assumptions!$B$44,IF(AND(H123&gt;=0.85*Assumptions!$B$45,H123&lt;Assumptions!$B$45),Assumptions!$B$45,IF(AND(H123&gt;=0.85*Assumptions!$B$46,H123&lt;Assumptions!$B$46),Assumptions!$B$46,0)))</f>
        <v>0</v>
      </c>
      <c r="AK123" s="26" t="n">
        <f aca="false">IF(AJ123=0,0,AJ123-H123)</f>
        <v>0</v>
      </c>
      <c r="AL123" s="28" t="n">
        <f aca="false">IF(AJ123=Assumptions!$B$44,Assumptions!$C$44,IF(AJ123=Assumptions!$B$45,Assumptions!$C$45,IF(AJ123=Assumptions!$B$46,Assumptions!$C$46,0)))</f>
        <v>0</v>
      </c>
      <c r="AM123" s="17" t="n">
        <f aca="false">IF(AJ123=0,0,AB123*(AL123-P123))</f>
        <v>0</v>
      </c>
      <c r="AN123" s="17" t="n">
        <f aca="false">ROUND(AN107+AM123,2)</f>
        <v>175350.28</v>
      </c>
      <c r="AO123" s="17" t="n">
        <f aca="false">SUMIF(Lines!$B$6:$B$463,$B123,Lines!$M$6:$M$463)</f>
        <v>0</v>
      </c>
      <c r="AP123" s="17" t="n">
        <f aca="false">(AB123/H123)*(MAX(0,MIN(H123,Assumptions!$B$46)-Assumptions!$B$47)*Assumptions!$C$47+MAX(0,MIN(H123,Assumptions!$B$45)-Assumptions!$B$46)*Assumptions!$C$46+MAX(0,MIN(H123,Assumptions!$B$44)-Assumptions!$B$45)*Assumptions!$C$45+MAX(0,H123-Assumptions!$B$44)*Assumptions!$C$44)</f>
        <v>0</v>
      </c>
      <c r="AQ123" s="17" t="n">
        <f aca="false">ROUND(SUMIF(Lines!$B:$B,B123,Lines!$N:$N),2)</f>
        <v>0</v>
      </c>
    </row>
    <row r="124" customFormat="false" ht="15" hidden="false" customHeight="false" outlineLevel="0" collapsed="false">
      <c r="B124" s="14" t="s">
        <v>277</v>
      </c>
      <c r="C124" s="14" t="s">
        <v>259</v>
      </c>
      <c r="D124" s="14" t="s">
        <v>227</v>
      </c>
      <c r="E124" s="24" t="n">
        <v>145</v>
      </c>
      <c r="F124" s="24" t="n">
        <v>573</v>
      </c>
      <c r="G124" s="24" t="n">
        <v>0</v>
      </c>
      <c r="H124" s="26" t="n">
        <f aca="false">SUM(E124:G124)</f>
        <v>718</v>
      </c>
      <c r="I124" s="24" t="n">
        <v>44</v>
      </c>
      <c r="J124" s="24" t="n">
        <v>16</v>
      </c>
      <c r="K124" s="27" t="n">
        <v>0</v>
      </c>
      <c r="L124" s="28" t="n">
        <f aca="false">MIN(Assumptions!$C$18,K124*Assumptions!$D$15)</f>
        <v>0</v>
      </c>
      <c r="M124" s="28" t="n">
        <f aca="false">MIN(Assumptions!$C$18,K124*Assumptions!$D$16)</f>
        <v>0</v>
      </c>
      <c r="N124" s="28" t="n">
        <f aca="false">MIN(Assumptions!$C$18,K124*Assumptions!$D$17)</f>
        <v>0</v>
      </c>
      <c r="O124" s="28" t="n">
        <f aca="false">IF(I124&gt;=Assumptions!$B$36,Assumptions!$C$36,IF(I124&gt;=Assumptions!$B$37,Assumptions!$C$37,IF(I124&gt;=Assumptions!$B$38,Assumptions!$C$38,Assumptions!$C$39)))</f>
        <v>0</v>
      </c>
      <c r="P124" s="28" t="n">
        <f aca="false">IF(H124&gt;=Assumptions!$B$44,Assumptions!$C$44,IF(H124&gt;=Assumptions!$B$45,Assumptions!$C$45,IF(H124&gt;=Assumptions!$B$46,Assumptions!$C$46,Assumptions!$C$47)))</f>
        <v>0</v>
      </c>
      <c r="Q124" s="24" t="n">
        <v>0</v>
      </c>
      <c r="R124" s="28" t="n">
        <f aca="false">Q124*Assumptions!$C$51</f>
        <v>0</v>
      </c>
      <c r="S124" s="27" t="n">
        <v>0</v>
      </c>
      <c r="T124" s="27" t="n">
        <v>0</v>
      </c>
      <c r="U124" s="27" t="n">
        <v>0</v>
      </c>
      <c r="V124" s="27" t="n">
        <v>0.01</v>
      </c>
      <c r="W124" s="27" t="n">
        <v>0</v>
      </c>
      <c r="X124" s="28" t="n">
        <f aca="false">P124+R124+SUM(S124:W124)</f>
        <v>0.01</v>
      </c>
      <c r="Y124" s="24" t="n">
        <v>0</v>
      </c>
      <c r="Z124" s="29" t="n">
        <f aca="false">LN(H124)</f>
        <v>6.57646956904822</v>
      </c>
      <c r="AA124" s="17" t="n">
        <f aca="false">ROUND(SUMIF(Lines!$B:$B,B124,Lines!$I:$I),2)</f>
        <v>56986</v>
      </c>
      <c r="AB124" s="17" t="n">
        <f aca="false">ROUND(SUMIF(Lines!$B:$B,B124,Lines!$L:$L),2)</f>
        <v>56986</v>
      </c>
      <c r="AC124" s="17" t="n">
        <f aca="false">ROUND(SUMIF(Lines!$B:$B,B124,Lines!$T:$T),2)</f>
        <v>56416.14</v>
      </c>
      <c r="AD124" s="17" t="n">
        <f aca="false">ROUND(SUMIF(Lines!$B:$B,B124,Lines!$U:$U),2)</f>
        <v>31938</v>
      </c>
      <c r="AE124" s="17" t="n">
        <f aca="false">ROUND(SUMIF(Lines!$B:$B,B124,Lines!$V:$V),2)</f>
        <v>1139.72</v>
      </c>
      <c r="AF124" s="17" t="n">
        <f aca="false">ROUND(AC124-AD124-AE124,2)</f>
        <v>23338.42</v>
      </c>
      <c r="AG124" s="26" t="n">
        <f aca="false">RANK(AC124,$AC$6:$AC$185)</f>
        <v>145</v>
      </c>
      <c r="AJ124" s="26" t="n">
        <f aca="false">IF(AND(H124&gt;=0.85*Assumptions!$B$44,H124&lt;Assumptions!$B$44),Assumptions!$B$44,IF(AND(H124&gt;=0.85*Assumptions!$B$45,H124&lt;Assumptions!$B$45),Assumptions!$B$45,IF(AND(H124&gt;=0.85*Assumptions!$B$46,H124&lt;Assumptions!$B$46),Assumptions!$B$46,0)))</f>
        <v>0</v>
      </c>
      <c r="AK124" s="26" t="n">
        <f aca="false">IF(AJ124=0,0,AJ124-H124)</f>
        <v>0</v>
      </c>
      <c r="AL124" s="28" t="n">
        <f aca="false">IF(AJ124=Assumptions!$B$44,Assumptions!$C$44,IF(AJ124=Assumptions!$B$45,Assumptions!$C$45,IF(AJ124=Assumptions!$B$46,Assumptions!$C$46,0)))</f>
        <v>0</v>
      </c>
      <c r="AM124" s="17" t="n">
        <f aca="false">IF(AJ124=0,0,AB124*(AL124-P124))</f>
        <v>0</v>
      </c>
      <c r="AN124" s="17" t="n">
        <f aca="false">ROUND(AN108+AM124,2)</f>
        <v>175350.28</v>
      </c>
      <c r="AO124" s="17" t="n">
        <f aca="false">SUMIF(Lines!$B$6:$B$463,$B124,Lines!$M$6:$M$463)</f>
        <v>0</v>
      </c>
      <c r="AP124" s="17" t="n">
        <f aca="false">(AB124/H124)*(MAX(0,MIN(H124,Assumptions!$B$46)-Assumptions!$B$47)*Assumptions!$C$47+MAX(0,MIN(H124,Assumptions!$B$45)-Assumptions!$B$46)*Assumptions!$C$46+MAX(0,MIN(H124,Assumptions!$B$44)-Assumptions!$B$45)*Assumptions!$C$45+MAX(0,H124-Assumptions!$B$44)*Assumptions!$C$44)</f>
        <v>0</v>
      </c>
      <c r="AQ124" s="17" t="n">
        <f aca="false">ROUND(SUMIF(Lines!$B:$B,B124,Lines!$N:$N),2)</f>
        <v>0</v>
      </c>
    </row>
    <row r="125" customFormat="false" ht="15" hidden="false" customHeight="false" outlineLevel="0" collapsed="false">
      <c r="B125" s="14" t="s">
        <v>278</v>
      </c>
      <c r="C125" s="14" t="s">
        <v>259</v>
      </c>
      <c r="D125" s="14" t="s">
        <v>227</v>
      </c>
      <c r="E125" s="24" t="n">
        <v>514</v>
      </c>
      <c r="F125" s="24" t="n">
        <v>2274</v>
      </c>
      <c r="G125" s="24" t="n">
        <v>808</v>
      </c>
      <c r="H125" s="26" t="n">
        <f aca="false">SUM(E125:G125)</f>
        <v>3596</v>
      </c>
      <c r="I125" s="24" t="n">
        <v>46</v>
      </c>
      <c r="J125" s="24" t="n">
        <v>78</v>
      </c>
      <c r="K125" s="27" t="n">
        <v>0.055</v>
      </c>
      <c r="L125" s="28" t="n">
        <f aca="false">MIN(Assumptions!$C$18,K125*Assumptions!$D$15)</f>
        <v>0.0341</v>
      </c>
      <c r="M125" s="28" t="n">
        <f aca="false">MIN(Assumptions!$C$18,K125*Assumptions!$D$16)</f>
        <v>0.0715</v>
      </c>
      <c r="N125" s="28" t="n">
        <f aca="false">MIN(Assumptions!$C$18,K125*Assumptions!$D$17)</f>
        <v>0.0528</v>
      </c>
      <c r="O125" s="28" t="n">
        <f aca="false">IF(I125&gt;=Assumptions!$B$36,Assumptions!$C$36,IF(I125&gt;=Assumptions!$B$37,Assumptions!$C$37,IF(I125&gt;=Assumptions!$B$38,Assumptions!$C$38,Assumptions!$C$39)))</f>
        <v>0</v>
      </c>
      <c r="P125" s="28" t="n">
        <f aca="false">IF(H125&gt;=Assumptions!$B$44,Assumptions!$C$44,IF(H125&gt;=Assumptions!$B$45,Assumptions!$C$45,IF(H125&gt;=Assumptions!$B$46,Assumptions!$C$46,Assumptions!$C$47)))</f>
        <v>0.02</v>
      </c>
      <c r="Q125" s="24" t="n">
        <v>0</v>
      </c>
      <c r="R125" s="28" t="n">
        <f aca="false">Q125*Assumptions!$C$51</f>
        <v>0</v>
      </c>
      <c r="S125" s="27" t="n">
        <v>0</v>
      </c>
      <c r="T125" s="27" t="n">
        <v>0</v>
      </c>
      <c r="U125" s="27" t="n">
        <v>0</v>
      </c>
      <c r="V125" s="27" t="n">
        <v>0.01</v>
      </c>
      <c r="W125" s="27" t="n">
        <v>0</v>
      </c>
      <c r="X125" s="28" t="n">
        <f aca="false">P125+R125+SUM(S125:W125)</f>
        <v>0.03</v>
      </c>
      <c r="Y125" s="24" t="n">
        <v>0</v>
      </c>
      <c r="Z125" s="29" t="n">
        <f aca="false">LN(H125)</f>
        <v>8.18757739559151</v>
      </c>
      <c r="AA125" s="17" t="n">
        <f aca="false">ROUND(SUMIF(Lines!$B:$B,B125,Lines!$I:$I),2)</f>
        <v>294628</v>
      </c>
      <c r="AB125" s="17" t="n">
        <f aca="false">ROUND(SUMIF(Lines!$B:$B,B125,Lines!$L:$L),2)</f>
        <v>277857.71</v>
      </c>
      <c r="AC125" s="17" t="n">
        <f aca="false">ROUND(SUMIF(Lines!$B:$B,B125,Lines!$T:$T),2)</f>
        <v>269521.98</v>
      </c>
      <c r="AD125" s="17" t="n">
        <f aca="false">ROUND(SUMIF(Lines!$B:$B,B125,Lines!$U:$U),2)</f>
        <v>168820</v>
      </c>
      <c r="AE125" s="17" t="n">
        <f aca="false">ROUND(SUMIF(Lines!$B:$B,B125,Lines!$V:$V),2)</f>
        <v>5557.16</v>
      </c>
      <c r="AF125" s="17" t="n">
        <f aca="false">ROUND(AC125-AD125-AE125,2)</f>
        <v>95144.82</v>
      </c>
      <c r="AG125" s="26" t="n">
        <f aca="false">RANK(AC125,$AC$6:$AC$185)</f>
        <v>50</v>
      </c>
      <c r="AJ125" s="26" t="n">
        <f aca="false">IF(AND(H125&gt;=0.85*Assumptions!$B$44,H125&lt;Assumptions!$B$44),Assumptions!$B$44,IF(AND(H125&gt;=0.85*Assumptions!$B$45,H125&lt;Assumptions!$B$45),Assumptions!$B$45,IF(AND(H125&gt;=0.85*Assumptions!$B$46,H125&lt;Assumptions!$B$46),Assumptions!$B$46,0)))</f>
        <v>0</v>
      </c>
      <c r="AK125" s="26" t="n">
        <f aca="false">IF(AJ125=0,0,AJ125-H125)</f>
        <v>0</v>
      </c>
      <c r="AL125" s="28" t="n">
        <f aca="false">IF(AJ125=Assumptions!$B$44,Assumptions!$C$44,IF(AJ125=Assumptions!$B$45,Assumptions!$C$45,IF(AJ125=Assumptions!$B$46,Assumptions!$C$46,0)))</f>
        <v>0</v>
      </c>
      <c r="AM125" s="17" t="n">
        <f aca="false">IF(AJ125=0,0,AB125*(AL125-P125))</f>
        <v>0</v>
      </c>
      <c r="AN125" s="17" t="n">
        <f aca="false">ROUND(AN109+AM125,2)</f>
        <v>175350.28</v>
      </c>
      <c r="AO125" s="17" t="n">
        <f aca="false">SUMIF(Lines!$B$6:$B$463,$B125,Lines!$M$6:$M$463)</f>
        <v>5557.16</v>
      </c>
      <c r="AP125" s="17" t="n">
        <f aca="false">(AB125/H125)*(MAX(0,MIN(H125,Assumptions!$B$46)-Assumptions!$B$47)*Assumptions!$C$47+MAX(0,MIN(H125,Assumptions!$B$45)-Assumptions!$B$46)*Assumptions!$C$46+MAX(0,MIN(H125,Assumptions!$B$44)-Assumptions!$B$45)*Assumptions!$C$45+MAX(0,H125-Assumptions!$B$44)*Assumptions!$C$44)</f>
        <v>921.041129922136</v>
      </c>
      <c r="AQ125" s="17" t="n">
        <f aca="false">ROUND(SUMIF(Lines!$B:$B,B125,Lines!$N:$N),2)</f>
        <v>0</v>
      </c>
    </row>
    <row r="126" customFormat="false" ht="15" hidden="false" customHeight="false" outlineLevel="0" collapsed="false">
      <c r="B126" s="14" t="s">
        <v>279</v>
      </c>
      <c r="C126" s="14" t="s">
        <v>259</v>
      </c>
      <c r="D126" s="14" t="s">
        <v>227</v>
      </c>
      <c r="E126" s="24" t="n">
        <v>269</v>
      </c>
      <c r="F126" s="24" t="n">
        <v>952</v>
      </c>
      <c r="G126" s="24" t="n">
        <v>0</v>
      </c>
      <c r="H126" s="26" t="n">
        <f aca="false">SUM(E126:G126)</f>
        <v>1221</v>
      </c>
      <c r="I126" s="24" t="n">
        <v>55</v>
      </c>
      <c r="J126" s="24" t="n">
        <v>22</v>
      </c>
      <c r="K126" s="27" t="n">
        <v>0.095</v>
      </c>
      <c r="L126" s="28" t="n">
        <f aca="false">MIN(Assumptions!$C$18,K126*Assumptions!$D$15)</f>
        <v>0.0589</v>
      </c>
      <c r="M126" s="28" t="n">
        <f aca="false">MIN(Assumptions!$C$18,K126*Assumptions!$D$16)</f>
        <v>0.1235</v>
      </c>
      <c r="N126" s="28" t="n">
        <f aca="false">MIN(Assumptions!$C$18,K126*Assumptions!$D$17)</f>
        <v>0.0912</v>
      </c>
      <c r="O126" s="28" t="n">
        <f aca="false">IF(I126&gt;=Assumptions!$B$36,Assumptions!$C$36,IF(I126&gt;=Assumptions!$B$37,Assumptions!$C$37,IF(I126&gt;=Assumptions!$B$38,Assumptions!$C$38,Assumptions!$C$39)))</f>
        <v>0.02</v>
      </c>
      <c r="P126" s="28" t="n">
        <f aca="false">IF(H126&gt;=Assumptions!$B$44,Assumptions!$C$44,IF(H126&gt;=Assumptions!$B$45,Assumptions!$C$45,IF(H126&gt;=Assumptions!$B$46,Assumptions!$C$46,Assumptions!$C$47)))</f>
        <v>0</v>
      </c>
      <c r="Q126" s="24" t="n">
        <v>0</v>
      </c>
      <c r="R126" s="28" t="n">
        <f aca="false">Q126*Assumptions!$C$51</f>
        <v>0</v>
      </c>
      <c r="S126" s="27" t="n">
        <v>0</v>
      </c>
      <c r="T126" s="27" t="n">
        <v>0</v>
      </c>
      <c r="U126" s="27" t="n">
        <v>0</v>
      </c>
      <c r="V126" s="27" t="n">
        <v>0.01</v>
      </c>
      <c r="W126" s="27" t="n">
        <v>0</v>
      </c>
      <c r="X126" s="28" t="n">
        <f aca="false">P126+R126+SUM(S126:W126)</f>
        <v>0.01</v>
      </c>
      <c r="Y126" s="24" t="n">
        <v>0</v>
      </c>
      <c r="Z126" s="29" t="n">
        <f aca="false">LN(H126)</f>
        <v>7.10742547411071</v>
      </c>
      <c r="AA126" s="17" t="n">
        <f aca="false">ROUND(SUMIF(Lines!$B:$B,B126,Lines!$I:$I),2)</f>
        <v>98836</v>
      </c>
      <c r="AB126" s="17" t="n">
        <f aca="false">ROUND(SUMIF(Lines!$B:$B,B126,Lines!$L:$L),2)</f>
        <v>87224.89</v>
      </c>
      <c r="AC126" s="17" t="n">
        <f aca="false">ROUND(SUMIF(Lines!$B:$B,B126,Lines!$T:$T),2)</f>
        <v>86352.64</v>
      </c>
      <c r="AD126" s="17" t="n">
        <f aca="false">ROUND(SUMIF(Lines!$B:$B,B126,Lines!$U:$U),2)</f>
        <v>55254</v>
      </c>
      <c r="AE126" s="17" t="n">
        <f aca="false">ROUND(SUMIF(Lines!$B:$B,B126,Lines!$V:$V),2)</f>
        <v>1744.5</v>
      </c>
      <c r="AF126" s="17" t="n">
        <f aca="false">ROUND(AC126-AD126-AE126,2)</f>
        <v>29354.14</v>
      </c>
      <c r="AG126" s="26" t="n">
        <f aca="false">RANK(AC126,$AC$6:$AC$185)</f>
        <v>127</v>
      </c>
      <c r="AJ126" s="26" t="n">
        <f aca="false">IF(AND(H126&gt;=0.85*Assumptions!$B$44,H126&lt;Assumptions!$B$44),Assumptions!$B$44,IF(AND(H126&gt;=0.85*Assumptions!$B$45,H126&lt;Assumptions!$B$45),Assumptions!$B$45,IF(AND(H126&gt;=0.85*Assumptions!$B$46,H126&lt;Assumptions!$B$46),Assumptions!$B$46,0)))</f>
        <v>0</v>
      </c>
      <c r="AK126" s="26" t="n">
        <f aca="false">IF(AJ126=0,0,AJ126-H126)</f>
        <v>0</v>
      </c>
      <c r="AL126" s="28" t="n">
        <f aca="false">IF(AJ126=Assumptions!$B$44,Assumptions!$C$44,IF(AJ126=Assumptions!$B$45,Assumptions!$C$45,IF(AJ126=Assumptions!$B$46,Assumptions!$C$46,0)))</f>
        <v>0</v>
      </c>
      <c r="AM126" s="17" t="n">
        <f aca="false">IF(AJ126=0,0,AB126*(AL126-P126))</f>
        <v>0</v>
      </c>
      <c r="AN126" s="17" t="n">
        <f aca="false">ROUND(AN110+AM126,2)</f>
        <v>175350.28</v>
      </c>
      <c r="AO126" s="17" t="n">
        <f aca="false">SUMIF(Lines!$B$6:$B$463,$B126,Lines!$M$6:$M$463)</f>
        <v>0</v>
      </c>
      <c r="AP126" s="17" t="n">
        <f aca="false">(AB126/H126)*(MAX(0,MIN(H126,Assumptions!$B$46)-Assumptions!$B$47)*Assumptions!$C$47+MAX(0,MIN(H126,Assumptions!$B$45)-Assumptions!$B$46)*Assumptions!$C$46+MAX(0,MIN(H126,Assumptions!$B$44)-Assumptions!$B$45)*Assumptions!$C$45+MAX(0,H126-Assumptions!$B$44)*Assumptions!$C$44)</f>
        <v>0</v>
      </c>
      <c r="AQ126" s="17" t="n">
        <f aca="false">ROUND(SUMIF(Lines!$B:$B,B126,Lines!$N:$N),2)</f>
        <v>0</v>
      </c>
    </row>
    <row r="127" customFormat="false" ht="15" hidden="false" customHeight="false" outlineLevel="0" collapsed="false">
      <c r="B127" s="14" t="s">
        <v>280</v>
      </c>
      <c r="C127" s="14" t="s">
        <v>259</v>
      </c>
      <c r="D127" s="14" t="s">
        <v>227</v>
      </c>
      <c r="E127" s="24" t="n">
        <v>52</v>
      </c>
      <c r="F127" s="24" t="n">
        <v>722</v>
      </c>
      <c r="G127" s="24" t="n">
        <v>135</v>
      </c>
      <c r="H127" s="26" t="n">
        <f aca="false">SUM(E127:G127)</f>
        <v>909</v>
      </c>
      <c r="I127" s="24" t="n">
        <v>64</v>
      </c>
      <c r="J127" s="24" t="n">
        <v>14</v>
      </c>
      <c r="K127" s="27" t="n">
        <v>0.025</v>
      </c>
      <c r="L127" s="28" t="n">
        <f aca="false">MIN(Assumptions!$C$18,K127*Assumptions!$D$15)</f>
        <v>0.0155</v>
      </c>
      <c r="M127" s="28" t="n">
        <f aca="false">MIN(Assumptions!$C$18,K127*Assumptions!$D$16)</f>
        <v>0.0325</v>
      </c>
      <c r="N127" s="28" t="n">
        <f aca="false">MIN(Assumptions!$C$18,K127*Assumptions!$D$17)</f>
        <v>0.024</v>
      </c>
      <c r="O127" s="28" t="n">
        <f aca="false">IF(I127&gt;=Assumptions!$B$36,Assumptions!$C$36,IF(I127&gt;=Assumptions!$B$37,Assumptions!$C$37,IF(I127&gt;=Assumptions!$B$38,Assumptions!$C$38,Assumptions!$C$39)))</f>
        <v>0.02</v>
      </c>
      <c r="P127" s="28" t="n">
        <f aca="false">IF(H127&gt;=Assumptions!$B$44,Assumptions!$C$44,IF(H127&gt;=Assumptions!$B$45,Assumptions!$C$45,IF(H127&gt;=Assumptions!$B$46,Assumptions!$C$46,Assumptions!$C$47)))</f>
        <v>0</v>
      </c>
      <c r="Q127" s="24" t="n">
        <v>0</v>
      </c>
      <c r="R127" s="28" t="n">
        <f aca="false">Q127*Assumptions!$C$51</f>
        <v>0</v>
      </c>
      <c r="S127" s="27" t="n">
        <v>0</v>
      </c>
      <c r="T127" s="27" t="n">
        <v>0</v>
      </c>
      <c r="U127" s="27" t="n">
        <v>0</v>
      </c>
      <c r="V127" s="27" t="n">
        <v>0.01</v>
      </c>
      <c r="W127" s="27" t="n">
        <v>0</v>
      </c>
      <c r="X127" s="28" t="n">
        <f aca="false">P127+R127+SUM(S127:W127)</f>
        <v>0.01</v>
      </c>
      <c r="Y127" s="24" t="n">
        <v>0</v>
      </c>
      <c r="Z127" s="29" t="n">
        <f aca="false">LN(H127)</f>
        <v>6.81234509417748</v>
      </c>
      <c r="AA127" s="17" t="n">
        <f aca="false">ROUND(SUMIF(Lines!$B:$B,B127,Lines!$I:$I),2)</f>
        <v>65420</v>
      </c>
      <c r="AB127" s="17" t="n">
        <f aca="false">ROUND(SUMIF(Lines!$B:$B,B127,Lines!$L:$L),2)</f>
        <v>62226.44</v>
      </c>
      <c r="AC127" s="17" t="n">
        <f aca="false">ROUND(SUMIF(Lines!$B:$B,B127,Lines!$T:$T),2)</f>
        <v>61604.17</v>
      </c>
      <c r="AD127" s="17" t="n">
        <f aca="false">ROUND(SUMIF(Lines!$B:$B,B127,Lines!$U:$U),2)</f>
        <v>37878</v>
      </c>
      <c r="AE127" s="17" t="n">
        <f aca="false">ROUND(SUMIF(Lines!$B:$B,B127,Lines!$V:$V),2)</f>
        <v>1244.54</v>
      </c>
      <c r="AF127" s="17" t="n">
        <f aca="false">ROUND(AC127-AD127-AE127,2)</f>
        <v>22481.63</v>
      </c>
      <c r="AG127" s="26" t="n">
        <f aca="false">RANK(AC127,$AC$6:$AC$185)</f>
        <v>140</v>
      </c>
      <c r="AJ127" s="26" t="n">
        <f aca="false">IF(AND(H127&gt;=0.85*Assumptions!$B$44,H127&lt;Assumptions!$B$44),Assumptions!$B$44,IF(AND(H127&gt;=0.85*Assumptions!$B$45,H127&lt;Assumptions!$B$45),Assumptions!$B$45,IF(AND(H127&gt;=0.85*Assumptions!$B$46,H127&lt;Assumptions!$B$46),Assumptions!$B$46,0)))</f>
        <v>0</v>
      </c>
      <c r="AK127" s="26" t="n">
        <f aca="false">IF(AJ127=0,0,AJ127-H127)</f>
        <v>0</v>
      </c>
      <c r="AL127" s="28" t="n">
        <f aca="false">IF(AJ127=Assumptions!$B$44,Assumptions!$C$44,IF(AJ127=Assumptions!$B$45,Assumptions!$C$45,IF(AJ127=Assumptions!$B$46,Assumptions!$C$46,0)))</f>
        <v>0</v>
      </c>
      <c r="AM127" s="17" t="n">
        <f aca="false">IF(AJ127=0,0,AB127*(AL127-P127))</f>
        <v>0</v>
      </c>
      <c r="AN127" s="17" t="n">
        <f aca="false">ROUND(AN111+AM127,2)</f>
        <v>175350.28</v>
      </c>
      <c r="AO127" s="17" t="n">
        <f aca="false">SUMIF(Lines!$B$6:$B$463,$B127,Lines!$M$6:$M$463)</f>
        <v>0</v>
      </c>
      <c r="AP127" s="17" t="n">
        <f aca="false">(AB127/H127)*(MAX(0,MIN(H127,Assumptions!$B$46)-Assumptions!$B$47)*Assumptions!$C$47+MAX(0,MIN(H127,Assumptions!$B$45)-Assumptions!$B$46)*Assumptions!$C$46+MAX(0,MIN(H127,Assumptions!$B$44)-Assumptions!$B$45)*Assumptions!$C$45+MAX(0,H127-Assumptions!$B$44)*Assumptions!$C$44)</f>
        <v>0</v>
      </c>
      <c r="AQ127" s="17" t="n">
        <f aca="false">ROUND(SUMIF(Lines!$B:$B,B127,Lines!$N:$N),2)</f>
        <v>0</v>
      </c>
    </row>
    <row r="128" customFormat="false" ht="15" hidden="false" customHeight="false" outlineLevel="0" collapsed="false">
      <c r="B128" s="14" t="s">
        <v>281</v>
      </c>
      <c r="C128" s="14" t="s">
        <v>259</v>
      </c>
      <c r="D128" s="14" t="s">
        <v>227</v>
      </c>
      <c r="E128" s="24" t="n">
        <v>0</v>
      </c>
      <c r="F128" s="24" t="n">
        <v>1545</v>
      </c>
      <c r="G128" s="24" t="n">
        <v>731</v>
      </c>
      <c r="H128" s="26" t="n">
        <f aca="false">SUM(E128:G128)</f>
        <v>2276</v>
      </c>
      <c r="I128" s="24" t="n">
        <v>55</v>
      </c>
      <c r="J128" s="24" t="n">
        <v>41</v>
      </c>
      <c r="K128" s="27" t="n">
        <v>0.045</v>
      </c>
      <c r="L128" s="28" t="n">
        <f aca="false">MIN(Assumptions!$C$18,K128*Assumptions!$D$15)</f>
        <v>0.0279</v>
      </c>
      <c r="M128" s="28" t="n">
        <f aca="false">MIN(Assumptions!$C$18,K128*Assumptions!$D$16)</f>
        <v>0.0585</v>
      </c>
      <c r="N128" s="28" t="n">
        <f aca="false">MIN(Assumptions!$C$18,K128*Assumptions!$D$17)</f>
        <v>0.0432</v>
      </c>
      <c r="O128" s="28" t="n">
        <f aca="false">IF(I128&gt;=Assumptions!$B$36,Assumptions!$C$36,IF(I128&gt;=Assumptions!$B$37,Assumptions!$C$37,IF(I128&gt;=Assumptions!$B$38,Assumptions!$C$38,Assumptions!$C$39)))</f>
        <v>0.02</v>
      </c>
      <c r="P128" s="28" t="n">
        <f aca="false">IF(H128&gt;=Assumptions!$B$44,Assumptions!$C$44,IF(H128&gt;=Assumptions!$B$45,Assumptions!$C$45,IF(H128&gt;=Assumptions!$B$46,Assumptions!$C$46,Assumptions!$C$47)))</f>
        <v>0</v>
      </c>
      <c r="Q128" s="24" t="n">
        <v>0</v>
      </c>
      <c r="R128" s="28" t="n">
        <f aca="false">Q128*Assumptions!$C$51</f>
        <v>0</v>
      </c>
      <c r="S128" s="27" t="n">
        <v>0</v>
      </c>
      <c r="T128" s="27" t="n">
        <v>0</v>
      </c>
      <c r="U128" s="27" t="n">
        <v>0</v>
      </c>
      <c r="V128" s="27" t="n">
        <v>0.01</v>
      </c>
      <c r="W128" s="27" t="n">
        <v>0</v>
      </c>
      <c r="X128" s="28" t="n">
        <f aca="false">P128+R128+SUM(S128:W128)</f>
        <v>0.01</v>
      </c>
      <c r="Y128" s="24" t="n">
        <v>0</v>
      </c>
      <c r="Z128" s="29" t="n">
        <f aca="false">LN(H128)</f>
        <v>7.73017479524622</v>
      </c>
      <c r="AA128" s="17" t="n">
        <f aca="false">ROUND(SUMIF(Lines!$B:$B,B128,Lines!$I:$I),2)</f>
        <v>165966</v>
      </c>
      <c r="AB128" s="17" t="n">
        <f aca="false">ROUND(SUMIF(Lines!$B:$B,B128,Lines!$L:$L),2)</f>
        <v>154011.36</v>
      </c>
      <c r="AC128" s="17" t="n">
        <f aca="false">ROUND(SUMIF(Lines!$B:$B,B128,Lines!$T:$T),2)</f>
        <v>152471.25</v>
      </c>
      <c r="AD128" s="17" t="n">
        <f aca="false">ROUND(SUMIF(Lines!$B:$B,B128,Lines!$U:$U),2)</f>
        <v>98018</v>
      </c>
      <c r="AE128" s="17" t="n">
        <f aca="false">ROUND(SUMIF(Lines!$B:$B,B128,Lines!$V:$V),2)</f>
        <v>3080.23</v>
      </c>
      <c r="AF128" s="17" t="n">
        <f aca="false">ROUND(AC128-AD128-AE128,2)</f>
        <v>51373.02</v>
      </c>
      <c r="AG128" s="26" t="n">
        <f aca="false">RANK(AC128,$AC$6:$AC$185)</f>
        <v>86</v>
      </c>
      <c r="AJ128" s="26" t="n">
        <f aca="false">IF(AND(H128&gt;=0.85*Assumptions!$B$44,H128&lt;Assumptions!$B$44),Assumptions!$B$44,IF(AND(H128&gt;=0.85*Assumptions!$B$45,H128&lt;Assumptions!$B$45),Assumptions!$B$45,IF(AND(H128&gt;=0.85*Assumptions!$B$46,H128&lt;Assumptions!$B$46),Assumptions!$B$46,0)))</f>
        <v>0</v>
      </c>
      <c r="AK128" s="26" t="n">
        <f aca="false">IF(AJ128=0,0,AJ128-H128)</f>
        <v>0</v>
      </c>
      <c r="AL128" s="28" t="n">
        <f aca="false">IF(AJ128=Assumptions!$B$44,Assumptions!$C$44,IF(AJ128=Assumptions!$B$45,Assumptions!$C$45,IF(AJ128=Assumptions!$B$46,Assumptions!$C$46,0)))</f>
        <v>0</v>
      </c>
      <c r="AM128" s="17" t="n">
        <f aca="false">IF(AJ128=0,0,AB128*(AL128-P128))</f>
        <v>0</v>
      </c>
      <c r="AN128" s="17" t="n">
        <f aca="false">ROUND(AN112+AM128,2)</f>
        <v>175350.28</v>
      </c>
      <c r="AO128" s="17" t="n">
        <f aca="false">SUMIF(Lines!$B$6:$B$463,$B128,Lines!$M$6:$M$463)</f>
        <v>0</v>
      </c>
      <c r="AP128" s="17" t="n">
        <f aca="false">(AB128/H128)*(MAX(0,MIN(H128,Assumptions!$B$46)-Assumptions!$B$47)*Assumptions!$C$47+MAX(0,MIN(H128,Assumptions!$B$45)-Assumptions!$B$46)*Assumptions!$C$46+MAX(0,MIN(H128,Assumptions!$B$44)-Assumptions!$B$45)*Assumptions!$C$45+MAX(0,H128-Assumptions!$B$44)*Assumptions!$C$44)</f>
        <v>0</v>
      </c>
      <c r="AQ128" s="17" t="n">
        <f aca="false">ROUND(SUMIF(Lines!$B:$B,B128,Lines!$N:$N),2)</f>
        <v>0</v>
      </c>
    </row>
    <row r="129" customFormat="false" ht="15" hidden="false" customHeight="false" outlineLevel="0" collapsed="false">
      <c r="B129" s="14" t="s">
        <v>282</v>
      </c>
      <c r="C129" s="14" t="s">
        <v>259</v>
      </c>
      <c r="D129" s="14" t="s">
        <v>227</v>
      </c>
      <c r="E129" s="24" t="n">
        <v>13</v>
      </c>
      <c r="F129" s="24" t="n">
        <v>0</v>
      </c>
      <c r="G129" s="24" t="n">
        <v>161</v>
      </c>
      <c r="H129" s="26" t="n">
        <f aca="false">SUM(E129:G129)</f>
        <v>174</v>
      </c>
      <c r="I129" s="24" t="n">
        <v>50</v>
      </c>
      <c r="J129" s="24" t="n">
        <v>3</v>
      </c>
      <c r="K129" s="27" t="n">
        <v>0.03</v>
      </c>
      <c r="L129" s="28" t="n">
        <f aca="false">MIN(Assumptions!$C$18,K129*Assumptions!$D$15)</f>
        <v>0.0186</v>
      </c>
      <c r="M129" s="28" t="n">
        <f aca="false">MIN(Assumptions!$C$18,K129*Assumptions!$D$16)</f>
        <v>0.039</v>
      </c>
      <c r="N129" s="28" t="n">
        <f aca="false">MIN(Assumptions!$C$18,K129*Assumptions!$D$17)</f>
        <v>0.0288</v>
      </c>
      <c r="O129" s="28" t="n">
        <f aca="false">IF(I129&gt;=Assumptions!$B$36,Assumptions!$C$36,IF(I129&gt;=Assumptions!$B$37,Assumptions!$C$37,IF(I129&gt;=Assumptions!$B$38,Assumptions!$C$38,Assumptions!$C$39)))</f>
        <v>0.02</v>
      </c>
      <c r="P129" s="28" t="n">
        <f aca="false">IF(H129&gt;=Assumptions!$B$44,Assumptions!$C$44,IF(H129&gt;=Assumptions!$B$45,Assumptions!$C$45,IF(H129&gt;=Assumptions!$B$46,Assumptions!$C$46,Assumptions!$C$47)))</f>
        <v>0</v>
      </c>
      <c r="Q129" s="24" t="n">
        <v>0</v>
      </c>
      <c r="R129" s="28" t="n">
        <f aca="false">Q129*Assumptions!$C$51</f>
        <v>0</v>
      </c>
      <c r="S129" s="27" t="n">
        <v>0</v>
      </c>
      <c r="T129" s="27" t="n">
        <v>0</v>
      </c>
      <c r="U129" s="27" t="n">
        <v>0</v>
      </c>
      <c r="V129" s="27" t="n">
        <v>0.01</v>
      </c>
      <c r="W129" s="27" t="n">
        <v>0</v>
      </c>
      <c r="X129" s="28" t="n">
        <f aca="false">P129+R129+SUM(S129:W129)</f>
        <v>0.01</v>
      </c>
      <c r="Y129" s="24" t="n">
        <v>0</v>
      </c>
      <c r="Z129" s="29" t="n">
        <f aca="false">LN(H129)</f>
        <v>5.15905529921453</v>
      </c>
      <c r="AA129" s="17" t="n">
        <f aca="false">ROUND(SUMIF(Lines!$B:$B,B129,Lines!$I:$I),2)</f>
        <v>17380</v>
      </c>
      <c r="AB129" s="17" t="n">
        <f aca="false">ROUND(SUMIF(Lines!$B:$B,B129,Lines!$L:$L),2)</f>
        <v>16551.48</v>
      </c>
      <c r="AC129" s="17" t="n">
        <f aca="false">ROUND(SUMIF(Lines!$B:$B,B129,Lines!$T:$T),2)</f>
        <v>16385.96</v>
      </c>
      <c r="AD129" s="17" t="n">
        <f aca="false">ROUND(SUMIF(Lines!$B:$B,B129,Lines!$U:$U),2)</f>
        <v>10352</v>
      </c>
      <c r="AE129" s="17" t="n">
        <f aca="false">ROUND(SUMIF(Lines!$B:$B,B129,Lines!$V:$V),2)</f>
        <v>331.03</v>
      </c>
      <c r="AF129" s="17" t="n">
        <f aca="false">ROUND(AC129-AD129-AE129,2)</f>
        <v>5702.93</v>
      </c>
      <c r="AG129" s="26" t="n">
        <f aca="false">RANK(AC129,$AC$6:$AC$185)</f>
        <v>172</v>
      </c>
      <c r="AJ129" s="26" t="n">
        <f aca="false">IF(AND(H129&gt;=0.85*Assumptions!$B$44,H129&lt;Assumptions!$B$44),Assumptions!$B$44,IF(AND(H129&gt;=0.85*Assumptions!$B$45,H129&lt;Assumptions!$B$45),Assumptions!$B$45,IF(AND(H129&gt;=0.85*Assumptions!$B$46,H129&lt;Assumptions!$B$46),Assumptions!$B$46,0)))</f>
        <v>0</v>
      </c>
      <c r="AK129" s="26" t="n">
        <f aca="false">IF(AJ129=0,0,AJ129-H129)</f>
        <v>0</v>
      </c>
      <c r="AL129" s="28" t="n">
        <f aca="false">IF(AJ129=Assumptions!$B$44,Assumptions!$C$44,IF(AJ129=Assumptions!$B$45,Assumptions!$C$45,IF(AJ129=Assumptions!$B$46,Assumptions!$C$46,0)))</f>
        <v>0</v>
      </c>
      <c r="AM129" s="17" t="n">
        <f aca="false">IF(AJ129=0,0,AB129*(AL129-P129))</f>
        <v>0</v>
      </c>
      <c r="AN129" s="17" t="n">
        <f aca="false">ROUND(AN113+AM129,2)</f>
        <v>175350.28</v>
      </c>
      <c r="AO129" s="17" t="n">
        <f aca="false">SUMIF(Lines!$B$6:$B$463,$B129,Lines!$M$6:$M$463)</f>
        <v>0</v>
      </c>
      <c r="AP129" s="17" t="n">
        <f aca="false">(AB129/H129)*(MAX(0,MIN(H129,Assumptions!$B$46)-Assumptions!$B$47)*Assumptions!$C$47+MAX(0,MIN(H129,Assumptions!$B$45)-Assumptions!$B$46)*Assumptions!$C$46+MAX(0,MIN(H129,Assumptions!$B$44)-Assumptions!$B$45)*Assumptions!$C$45+MAX(0,H129-Assumptions!$B$44)*Assumptions!$C$44)</f>
        <v>0</v>
      </c>
      <c r="AQ129" s="17" t="n">
        <f aca="false">ROUND(SUMIF(Lines!$B:$B,B129,Lines!$N:$N),2)</f>
        <v>0</v>
      </c>
    </row>
    <row r="130" customFormat="false" ht="15" hidden="false" customHeight="false" outlineLevel="0" collapsed="false">
      <c r="B130" s="14" t="s">
        <v>283</v>
      </c>
      <c r="C130" s="14" t="s">
        <v>259</v>
      </c>
      <c r="D130" s="14" t="s">
        <v>227</v>
      </c>
      <c r="E130" s="24" t="n">
        <v>262</v>
      </c>
      <c r="F130" s="24" t="n">
        <v>862</v>
      </c>
      <c r="G130" s="24" t="n">
        <v>219</v>
      </c>
      <c r="H130" s="26" t="n">
        <f aca="false">SUM(E130:G130)</f>
        <v>1343</v>
      </c>
      <c r="I130" s="24" t="n">
        <v>57</v>
      </c>
      <c r="J130" s="24" t="n">
        <v>24</v>
      </c>
      <c r="K130" s="27" t="n">
        <v>0.03</v>
      </c>
      <c r="L130" s="28" t="n">
        <f aca="false">MIN(Assumptions!$C$18,K130*Assumptions!$D$15)</f>
        <v>0.0186</v>
      </c>
      <c r="M130" s="28" t="n">
        <f aca="false">MIN(Assumptions!$C$18,K130*Assumptions!$D$16)</f>
        <v>0.039</v>
      </c>
      <c r="N130" s="28" t="n">
        <f aca="false">MIN(Assumptions!$C$18,K130*Assumptions!$D$17)</f>
        <v>0.0288</v>
      </c>
      <c r="O130" s="28" t="n">
        <f aca="false">IF(I130&gt;=Assumptions!$B$36,Assumptions!$C$36,IF(I130&gt;=Assumptions!$B$37,Assumptions!$C$37,IF(I130&gt;=Assumptions!$B$38,Assumptions!$C$38,Assumptions!$C$39)))</f>
        <v>0.02</v>
      </c>
      <c r="P130" s="28" t="n">
        <f aca="false">IF(H130&gt;=Assumptions!$B$44,Assumptions!$C$44,IF(H130&gt;=Assumptions!$B$45,Assumptions!$C$45,IF(H130&gt;=Assumptions!$B$46,Assumptions!$C$46,Assumptions!$C$47)))</f>
        <v>0</v>
      </c>
      <c r="Q130" s="24" t="n">
        <v>0</v>
      </c>
      <c r="R130" s="28" t="n">
        <f aca="false">Q130*Assumptions!$C$51</f>
        <v>0</v>
      </c>
      <c r="S130" s="27" t="n">
        <v>0</v>
      </c>
      <c r="T130" s="27" t="n">
        <v>0</v>
      </c>
      <c r="U130" s="27" t="n">
        <v>0</v>
      </c>
      <c r="V130" s="27" t="n">
        <v>0.01</v>
      </c>
      <c r="W130" s="27" t="n">
        <v>0</v>
      </c>
      <c r="X130" s="28" t="n">
        <f aca="false">P130+R130+SUM(S130:W130)</f>
        <v>0.01</v>
      </c>
      <c r="Y130" s="24" t="n">
        <v>0</v>
      </c>
      <c r="Z130" s="29" t="n">
        <f aca="false">LN(H130)</f>
        <v>7.20266119652324</v>
      </c>
      <c r="AA130" s="17" t="n">
        <f aca="false">ROUND(SUMIF(Lines!$B:$B,B130,Lines!$I:$I),2)</f>
        <v>113244</v>
      </c>
      <c r="AB130" s="17" t="n">
        <f aca="false">ROUND(SUMIF(Lines!$B:$B,B130,Lines!$L:$L),2)</f>
        <v>107568.08</v>
      </c>
      <c r="AC130" s="17" t="n">
        <f aca="false">ROUND(SUMIF(Lines!$B:$B,B130,Lines!$T:$T),2)</f>
        <v>106492.4</v>
      </c>
      <c r="AD130" s="17" t="n">
        <f aca="false">ROUND(SUMIF(Lines!$B:$B,B130,Lines!$U:$U),2)</f>
        <v>64170</v>
      </c>
      <c r="AE130" s="17" t="n">
        <f aca="false">ROUND(SUMIF(Lines!$B:$B,B130,Lines!$V:$V),2)</f>
        <v>2151.37</v>
      </c>
      <c r="AF130" s="17" t="n">
        <f aca="false">ROUND(AC130-AD130-AE130,2)</f>
        <v>40171.03</v>
      </c>
      <c r="AG130" s="26" t="n">
        <f aca="false">RANK(AC130,$AC$6:$AC$185)</f>
        <v>106</v>
      </c>
      <c r="AJ130" s="26" t="n">
        <f aca="false">IF(AND(H130&gt;=0.85*Assumptions!$B$44,H130&lt;Assumptions!$B$44),Assumptions!$B$44,IF(AND(H130&gt;=0.85*Assumptions!$B$45,H130&lt;Assumptions!$B$45),Assumptions!$B$45,IF(AND(H130&gt;=0.85*Assumptions!$B$46,H130&lt;Assumptions!$B$46),Assumptions!$B$46,0)))</f>
        <v>0</v>
      </c>
      <c r="AK130" s="26" t="n">
        <f aca="false">IF(AJ130=0,0,AJ130-H130)</f>
        <v>0</v>
      </c>
      <c r="AL130" s="28" t="n">
        <f aca="false">IF(AJ130=Assumptions!$B$44,Assumptions!$C$44,IF(AJ130=Assumptions!$B$45,Assumptions!$C$45,IF(AJ130=Assumptions!$B$46,Assumptions!$C$46,0)))</f>
        <v>0</v>
      </c>
      <c r="AM130" s="17" t="n">
        <f aca="false">IF(AJ130=0,0,AB130*(AL130-P130))</f>
        <v>0</v>
      </c>
      <c r="AN130" s="17" t="n">
        <f aca="false">ROUND(AN114+AM130,2)</f>
        <v>175350.28</v>
      </c>
      <c r="AO130" s="17" t="n">
        <f aca="false">SUMIF(Lines!$B$6:$B$463,$B130,Lines!$M$6:$M$463)</f>
        <v>0</v>
      </c>
      <c r="AP130" s="17" t="n">
        <f aca="false">(AB130/H130)*(MAX(0,MIN(H130,Assumptions!$B$46)-Assumptions!$B$47)*Assumptions!$C$47+MAX(0,MIN(H130,Assumptions!$B$45)-Assumptions!$B$46)*Assumptions!$C$46+MAX(0,MIN(H130,Assumptions!$B$44)-Assumptions!$B$45)*Assumptions!$C$45+MAX(0,H130-Assumptions!$B$44)*Assumptions!$C$44)</f>
        <v>0</v>
      </c>
      <c r="AQ130" s="17" t="n">
        <f aca="false">ROUND(SUMIF(Lines!$B:$B,B130,Lines!$N:$N),2)</f>
        <v>0</v>
      </c>
    </row>
    <row r="131" customFormat="false" ht="15" hidden="false" customHeight="false" outlineLevel="0" collapsed="false">
      <c r="B131" s="14" t="s">
        <v>284</v>
      </c>
      <c r="C131" s="14" t="s">
        <v>259</v>
      </c>
      <c r="D131" s="14" t="s">
        <v>227</v>
      </c>
      <c r="E131" s="24" t="n">
        <v>174</v>
      </c>
      <c r="F131" s="24" t="n">
        <v>1317</v>
      </c>
      <c r="G131" s="24" t="n">
        <v>0</v>
      </c>
      <c r="H131" s="26" t="n">
        <f aca="false">SUM(E131:G131)</f>
        <v>1491</v>
      </c>
      <c r="I131" s="24" t="n">
        <v>44</v>
      </c>
      <c r="J131" s="24" t="n">
        <v>34</v>
      </c>
      <c r="K131" s="27" t="n">
        <v>0.02</v>
      </c>
      <c r="L131" s="28" t="n">
        <f aca="false">MIN(Assumptions!$C$18,K131*Assumptions!$D$15)</f>
        <v>0.0124</v>
      </c>
      <c r="M131" s="28" t="n">
        <f aca="false">MIN(Assumptions!$C$18,K131*Assumptions!$D$16)</f>
        <v>0.026</v>
      </c>
      <c r="N131" s="28" t="n">
        <f aca="false">MIN(Assumptions!$C$18,K131*Assumptions!$D$17)</f>
        <v>0.0192</v>
      </c>
      <c r="O131" s="28" t="n">
        <f aca="false">IF(I131&gt;=Assumptions!$B$36,Assumptions!$C$36,IF(I131&gt;=Assumptions!$B$37,Assumptions!$C$37,IF(I131&gt;=Assumptions!$B$38,Assumptions!$C$38,Assumptions!$C$39)))</f>
        <v>0</v>
      </c>
      <c r="P131" s="28" t="n">
        <f aca="false">IF(H131&gt;=Assumptions!$B$44,Assumptions!$C$44,IF(H131&gt;=Assumptions!$B$45,Assumptions!$C$45,IF(H131&gt;=Assumptions!$B$46,Assumptions!$C$46,Assumptions!$C$47)))</f>
        <v>0</v>
      </c>
      <c r="Q131" s="24" t="n">
        <v>0</v>
      </c>
      <c r="R131" s="28" t="n">
        <f aca="false">Q131*Assumptions!$C$51</f>
        <v>0</v>
      </c>
      <c r="S131" s="27" t="n">
        <v>0</v>
      </c>
      <c r="T131" s="27" t="n">
        <v>0</v>
      </c>
      <c r="U131" s="27" t="n">
        <v>0</v>
      </c>
      <c r="V131" s="27" t="n">
        <v>0.01</v>
      </c>
      <c r="W131" s="27" t="n">
        <v>0</v>
      </c>
      <c r="X131" s="28" t="n">
        <f aca="false">P131+R131+SUM(S131:W131)</f>
        <v>0.01</v>
      </c>
      <c r="Y131" s="24" t="n">
        <v>0</v>
      </c>
      <c r="Z131" s="29" t="n">
        <f aca="false">LN(H131)</f>
        <v>7.30720231476474</v>
      </c>
      <c r="AA131" s="17" t="n">
        <f aca="false">ROUND(SUMIF(Lines!$B:$B,B131,Lines!$I:$I),2)</f>
        <v>107406</v>
      </c>
      <c r="AB131" s="17" t="n">
        <f aca="false">ROUND(SUMIF(Lines!$B:$B,B131,Lines!$L:$L),2)</f>
        <v>104963.68</v>
      </c>
      <c r="AC131" s="17" t="n">
        <f aca="false">ROUND(SUMIF(Lines!$B:$B,B131,Lines!$T:$T),2)</f>
        <v>103914.04</v>
      </c>
      <c r="AD131" s="17" t="n">
        <f aca="false">ROUND(SUMIF(Lines!$B:$B,B131,Lines!$U:$U),2)</f>
        <v>60984</v>
      </c>
      <c r="AE131" s="17" t="n">
        <f aca="false">ROUND(SUMIF(Lines!$B:$B,B131,Lines!$V:$V),2)</f>
        <v>2099.27</v>
      </c>
      <c r="AF131" s="17" t="n">
        <f aca="false">ROUND(AC131-AD131-AE131,2)</f>
        <v>40830.77</v>
      </c>
      <c r="AG131" s="26" t="n">
        <f aca="false">RANK(AC131,$AC$6:$AC$185)</f>
        <v>110</v>
      </c>
      <c r="AJ131" s="26" t="n">
        <f aca="false">IF(AND(H131&gt;=0.85*Assumptions!$B$44,H131&lt;Assumptions!$B$44),Assumptions!$B$44,IF(AND(H131&gt;=0.85*Assumptions!$B$45,H131&lt;Assumptions!$B$45),Assumptions!$B$45,IF(AND(H131&gt;=0.85*Assumptions!$B$46,H131&lt;Assumptions!$B$46),Assumptions!$B$46,0)))</f>
        <v>0</v>
      </c>
      <c r="AK131" s="26" t="n">
        <f aca="false">IF(AJ131=0,0,AJ131-H131)</f>
        <v>0</v>
      </c>
      <c r="AL131" s="28" t="n">
        <f aca="false">IF(AJ131=Assumptions!$B$44,Assumptions!$C$44,IF(AJ131=Assumptions!$B$45,Assumptions!$C$45,IF(AJ131=Assumptions!$B$46,Assumptions!$C$46,0)))</f>
        <v>0</v>
      </c>
      <c r="AM131" s="17" t="n">
        <f aca="false">IF(AJ131=0,0,AB131*(AL131-P131))</f>
        <v>0</v>
      </c>
      <c r="AN131" s="17" t="n">
        <f aca="false">ROUND(AN115+AM131,2)</f>
        <v>175350.28</v>
      </c>
      <c r="AO131" s="17" t="n">
        <f aca="false">SUMIF(Lines!$B$6:$B$463,$B131,Lines!$M$6:$M$463)</f>
        <v>0</v>
      </c>
      <c r="AP131" s="17" t="n">
        <f aca="false">(AB131/H131)*(MAX(0,MIN(H131,Assumptions!$B$46)-Assumptions!$B$47)*Assumptions!$C$47+MAX(0,MIN(H131,Assumptions!$B$45)-Assumptions!$B$46)*Assumptions!$C$46+MAX(0,MIN(H131,Assumptions!$B$44)-Assumptions!$B$45)*Assumptions!$C$45+MAX(0,H131-Assumptions!$B$44)*Assumptions!$C$44)</f>
        <v>0</v>
      </c>
      <c r="AQ131" s="17" t="n">
        <f aca="false">ROUND(SUMIF(Lines!$B:$B,B131,Lines!$N:$N),2)</f>
        <v>0</v>
      </c>
    </row>
    <row r="132" customFormat="false" ht="15" hidden="false" customHeight="false" outlineLevel="0" collapsed="false">
      <c r="B132" s="14" t="s">
        <v>285</v>
      </c>
      <c r="C132" s="14" t="s">
        <v>259</v>
      </c>
      <c r="D132" s="14" t="s">
        <v>227</v>
      </c>
      <c r="E132" s="24" t="n">
        <v>139</v>
      </c>
      <c r="F132" s="24" t="n">
        <v>0</v>
      </c>
      <c r="G132" s="24" t="n">
        <v>302</v>
      </c>
      <c r="H132" s="26" t="n">
        <f aca="false">SUM(E132:G132)</f>
        <v>441</v>
      </c>
      <c r="I132" s="24" t="n">
        <v>67</v>
      </c>
      <c r="J132" s="24" t="n">
        <v>7</v>
      </c>
      <c r="K132" s="27" t="n">
        <v>0</v>
      </c>
      <c r="L132" s="28" t="n">
        <f aca="false">MIN(Assumptions!$C$18,K132*Assumptions!$D$15)</f>
        <v>0</v>
      </c>
      <c r="M132" s="28" t="n">
        <f aca="false">MIN(Assumptions!$C$18,K132*Assumptions!$D$16)</f>
        <v>0</v>
      </c>
      <c r="N132" s="28" t="n">
        <f aca="false">MIN(Assumptions!$C$18,K132*Assumptions!$D$17)</f>
        <v>0</v>
      </c>
      <c r="O132" s="28" t="n">
        <f aca="false">IF(I132&gt;=Assumptions!$B$36,Assumptions!$C$36,IF(I132&gt;=Assumptions!$B$37,Assumptions!$C$37,IF(I132&gt;=Assumptions!$B$38,Assumptions!$C$38,Assumptions!$C$39)))</f>
        <v>0.02</v>
      </c>
      <c r="P132" s="28" t="n">
        <f aca="false">IF(H132&gt;=Assumptions!$B$44,Assumptions!$C$44,IF(H132&gt;=Assumptions!$B$45,Assumptions!$C$45,IF(H132&gt;=Assumptions!$B$46,Assumptions!$C$46,Assumptions!$C$47)))</f>
        <v>0</v>
      </c>
      <c r="Q132" s="24" t="n">
        <v>0</v>
      </c>
      <c r="R132" s="28" t="n">
        <f aca="false">Q132*Assumptions!$C$51</f>
        <v>0</v>
      </c>
      <c r="S132" s="27" t="n">
        <v>0</v>
      </c>
      <c r="T132" s="27" t="n">
        <v>0</v>
      </c>
      <c r="U132" s="27" t="n">
        <v>0</v>
      </c>
      <c r="V132" s="27" t="n">
        <v>0.01</v>
      </c>
      <c r="W132" s="27" t="n">
        <v>0</v>
      </c>
      <c r="X132" s="28" t="n">
        <f aca="false">P132+R132+SUM(S132:W132)</f>
        <v>0.01</v>
      </c>
      <c r="Y132" s="24" t="n">
        <v>0</v>
      </c>
      <c r="Z132" s="29" t="n">
        <f aca="false">LN(H132)</f>
        <v>6.08904487544685</v>
      </c>
      <c r="AA132" s="17" t="n">
        <f aca="false">ROUND(SUMIF(Lines!$B:$B,B132,Lines!$I:$I),2)</f>
        <v>49564</v>
      </c>
      <c r="AB132" s="17" t="n">
        <f aca="false">ROUND(SUMIF(Lines!$B:$B,B132,Lines!$L:$L),2)</f>
        <v>48572.72</v>
      </c>
      <c r="AC132" s="17" t="n">
        <f aca="false">ROUND(SUMIF(Lines!$B:$B,B132,Lines!$T:$T),2)</f>
        <v>48086.99</v>
      </c>
      <c r="AD132" s="17" t="n">
        <f aca="false">ROUND(SUMIF(Lines!$B:$B,B132,Lines!$U:$U),2)</f>
        <v>28358</v>
      </c>
      <c r="AE132" s="17" t="n">
        <f aca="false">ROUND(SUMIF(Lines!$B:$B,B132,Lines!$V:$V),2)</f>
        <v>971.45</v>
      </c>
      <c r="AF132" s="17" t="n">
        <f aca="false">ROUND(AC132-AD132-AE132,2)</f>
        <v>18757.54</v>
      </c>
      <c r="AG132" s="26" t="n">
        <f aca="false">RANK(AC132,$AC$6:$AC$185)</f>
        <v>155</v>
      </c>
      <c r="AJ132" s="26" t="n">
        <f aca="false">IF(AND(H132&gt;=0.85*Assumptions!$B$44,H132&lt;Assumptions!$B$44),Assumptions!$B$44,IF(AND(H132&gt;=0.85*Assumptions!$B$45,H132&lt;Assumptions!$B$45),Assumptions!$B$45,IF(AND(H132&gt;=0.85*Assumptions!$B$46,H132&lt;Assumptions!$B$46),Assumptions!$B$46,0)))</f>
        <v>0</v>
      </c>
      <c r="AK132" s="26" t="n">
        <f aca="false">IF(AJ132=0,0,AJ132-H132)</f>
        <v>0</v>
      </c>
      <c r="AL132" s="28" t="n">
        <f aca="false">IF(AJ132=Assumptions!$B$44,Assumptions!$C$44,IF(AJ132=Assumptions!$B$45,Assumptions!$C$45,IF(AJ132=Assumptions!$B$46,Assumptions!$C$46,0)))</f>
        <v>0</v>
      </c>
      <c r="AM132" s="17" t="n">
        <f aca="false">IF(AJ132=0,0,AB132*(AL132-P132))</f>
        <v>0</v>
      </c>
      <c r="AN132" s="17" t="n">
        <f aca="false">ROUND(AN116+AM132,2)</f>
        <v>175350.28</v>
      </c>
      <c r="AO132" s="17" t="n">
        <f aca="false">SUMIF(Lines!$B$6:$B$463,$B132,Lines!$M$6:$M$463)</f>
        <v>0</v>
      </c>
      <c r="AP132" s="17" t="n">
        <f aca="false">(AB132/H132)*(MAX(0,MIN(H132,Assumptions!$B$46)-Assumptions!$B$47)*Assumptions!$C$47+MAX(0,MIN(H132,Assumptions!$B$45)-Assumptions!$B$46)*Assumptions!$C$46+MAX(0,MIN(H132,Assumptions!$B$44)-Assumptions!$B$45)*Assumptions!$C$45+MAX(0,H132-Assumptions!$B$44)*Assumptions!$C$44)</f>
        <v>0</v>
      </c>
      <c r="AQ132" s="17" t="n">
        <f aca="false">ROUND(SUMIF(Lines!$B:$B,B132,Lines!$N:$N),2)</f>
        <v>0</v>
      </c>
    </row>
    <row r="133" customFormat="false" ht="15" hidden="false" customHeight="false" outlineLevel="0" collapsed="false">
      <c r="B133" s="14" t="s">
        <v>286</v>
      </c>
      <c r="C133" s="14" t="s">
        <v>259</v>
      </c>
      <c r="D133" s="14" t="s">
        <v>227</v>
      </c>
      <c r="E133" s="24" t="n">
        <v>80</v>
      </c>
      <c r="F133" s="24" t="n">
        <v>538</v>
      </c>
      <c r="G133" s="24" t="n">
        <v>0</v>
      </c>
      <c r="H133" s="26" t="n">
        <f aca="false">SUM(E133:G133)</f>
        <v>618</v>
      </c>
      <c r="I133" s="24" t="n">
        <v>47</v>
      </c>
      <c r="J133" s="24" t="n">
        <v>13</v>
      </c>
      <c r="K133" s="27" t="n">
        <v>0</v>
      </c>
      <c r="L133" s="28" t="n">
        <f aca="false">MIN(Assumptions!$C$18,K133*Assumptions!$D$15)</f>
        <v>0</v>
      </c>
      <c r="M133" s="28" t="n">
        <f aca="false">MIN(Assumptions!$C$18,K133*Assumptions!$D$16)</f>
        <v>0</v>
      </c>
      <c r="N133" s="28" t="n">
        <f aca="false">MIN(Assumptions!$C$18,K133*Assumptions!$D$17)</f>
        <v>0</v>
      </c>
      <c r="O133" s="28" t="n">
        <f aca="false">IF(I133&gt;=Assumptions!$B$36,Assumptions!$C$36,IF(I133&gt;=Assumptions!$B$37,Assumptions!$C$37,IF(I133&gt;=Assumptions!$B$38,Assumptions!$C$38,Assumptions!$C$39)))</f>
        <v>0</v>
      </c>
      <c r="P133" s="28" t="n">
        <f aca="false">IF(H133&gt;=Assumptions!$B$44,Assumptions!$C$44,IF(H133&gt;=Assumptions!$B$45,Assumptions!$C$45,IF(H133&gt;=Assumptions!$B$46,Assumptions!$C$46,Assumptions!$C$47)))</f>
        <v>0</v>
      </c>
      <c r="Q133" s="24" t="n">
        <v>0</v>
      </c>
      <c r="R133" s="28" t="n">
        <f aca="false">Q133*Assumptions!$C$51</f>
        <v>0</v>
      </c>
      <c r="S133" s="27" t="n">
        <v>0</v>
      </c>
      <c r="T133" s="27" t="n">
        <v>0</v>
      </c>
      <c r="U133" s="27" t="n">
        <v>0</v>
      </c>
      <c r="V133" s="27" t="n">
        <v>0.01</v>
      </c>
      <c r="W133" s="27" t="n">
        <v>0</v>
      </c>
      <c r="X133" s="28" t="n">
        <f aca="false">P133+R133+SUM(S133:W133)</f>
        <v>0.01</v>
      </c>
      <c r="Y133" s="24" t="n">
        <v>0</v>
      </c>
      <c r="Z133" s="29" t="n">
        <f aca="false">LN(H133)</f>
        <v>6.42648845745769</v>
      </c>
      <c r="AA133" s="17" t="n">
        <f aca="false">ROUND(SUMIF(Lines!$B:$B,B133,Lines!$I:$I),2)</f>
        <v>45196</v>
      </c>
      <c r="AB133" s="17" t="n">
        <f aca="false">ROUND(SUMIF(Lines!$B:$B,B133,Lines!$L:$L),2)</f>
        <v>45196</v>
      </c>
      <c r="AC133" s="17" t="n">
        <f aca="false">ROUND(SUMIF(Lines!$B:$B,B133,Lines!$T:$T),2)</f>
        <v>44744.04</v>
      </c>
      <c r="AD133" s="17" t="n">
        <f aca="false">ROUND(SUMIF(Lines!$B:$B,B133,Lines!$U:$U),2)</f>
        <v>25608</v>
      </c>
      <c r="AE133" s="17" t="n">
        <f aca="false">ROUND(SUMIF(Lines!$B:$B,B133,Lines!$V:$V),2)</f>
        <v>903.92</v>
      </c>
      <c r="AF133" s="17" t="n">
        <f aca="false">ROUND(AC133-AD133-AE133,2)</f>
        <v>18232.12</v>
      </c>
      <c r="AG133" s="26" t="n">
        <f aca="false">RANK(AC133,$AC$6:$AC$185)</f>
        <v>157</v>
      </c>
      <c r="AJ133" s="26" t="n">
        <f aca="false">IF(AND(H133&gt;=0.85*Assumptions!$B$44,H133&lt;Assumptions!$B$44),Assumptions!$B$44,IF(AND(H133&gt;=0.85*Assumptions!$B$45,H133&lt;Assumptions!$B$45),Assumptions!$B$45,IF(AND(H133&gt;=0.85*Assumptions!$B$46,H133&lt;Assumptions!$B$46),Assumptions!$B$46,0)))</f>
        <v>0</v>
      </c>
      <c r="AK133" s="26" t="n">
        <f aca="false">IF(AJ133=0,0,AJ133-H133)</f>
        <v>0</v>
      </c>
      <c r="AL133" s="28" t="n">
        <f aca="false">IF(AJ133=Assumptions!$B$44,Assumptions!$C$44,IF(AJ133=Assumptions!$B$45,Assumptions!$C$45,IF(AJ133=Assumptions!$B$46,Assumptions!$C$46,0)))</f>
        <v>0</v>
      </c>
      <c r="AM133" s="17" t="n">
        <f aca="false">IF(AJ133=0,0,AB133*(AL133-P133))</f>
        <v>0</v>
      </c>
      <c r="AN133" s="17" t="n">
        <f aca="false">ROUND(AN117+AM133,2)</f>
        <v>175350.28</v>
      </c>
      <c r="AO133" s="17" t="n">
        <f aca="false">SUMIF(Lines!$B$6:$B$463,$B133,Lines!$M$6:$M$463)</f>
        <v>0</v>
      </c>
      <c r="AP133" s="17" t="n">
        <f aca="false">(AB133/H133)*(MAX(0,MIN(H133,Assumptions!$B$46)-Assumptions!$B$47)*Assumptions!$C$47+MAX(0,MIN(H133,Assumptions!$B$45)-Assumptions!$B$46)*Assumptions!$C$46+MAX(0,MIN(H133,Assumptions!$B$44)-Assumptions!$B$45)*Assumptions!$C$45+MAX(0,H133-Assumptions!$B$44)*Assumptions!$C$44)</f>
        <v>0</v>
      </c>
      <c r="AQ133" s="17" t="n">
        <f aca="false">ROUND(SUMIF(Lines!$B:$B,B133,Lines!$N:$N),2)</f>
        <v>0</v>
      </c>
    </row>
    <row r="134" customFormat="false" ht="15" hidden="false" customHeight="false" outlineLevel="0" collapsed="false">
      <c r="B134" s="14" t="s">
        <v>287</v>
      </c>
      <c r="C134" s="14" t="s">
        <v>259</v>
      </c>
      <c r="D134" s="14" t="s">
        <v>227</v>
      </c>
      <c r="E134" s="24" t="n">
        <v>53</v>
      </c>
      <c r="F134" s="24" t="n">
        <v>0</v>
      </c>
      <c r="G134" s="24" t="n">
        <v>196</v>
      </c>
      <c r="H134" s="26" t="n">
        <f aca="false">SUM(E134:G134)</f>
        <v>249</v>
      </c>
      <c r="I134" s="24" t="n">
        <v>70</v>
      </c>
      <c r="J134" s="24" t="n">
        <v>4</v>
      </c>
      <c r="K134" s="27" t="n">
        <v>0</v>
      </c>
      <c r="L134" s="28" t="n">
        <f aca="false">MIN(Assumptions!$C$18,K134*Assumptions!$D$15)</f>
        <v>0</v>
      </c>
      <c r="M134" s="28" t="n">
        <f aca="false">MIN(Assumptions!$C$18,K134*Assumptions!$D$16)</f>
        <v>0</v>
      </c>
      <c r="N134" s="28" t="n">
        <f aca="false">MIN(Assumptions!$C$18,K134*Assumptions!$D$17)</f>
        <v>0</v>
      </c>
      <c r="O134" s="28" t="n">
        <f aca="false">IF(I134&gt;=Assumptions!$B$36,Assumptions!$C$36,IF(I134&gt;=Assumptions!$B$37,Assumptions!$C$37,IF(I134&gt;=Assumptions!$B$38,Assumptions!$C$38,Assumptions!$C$39)))</f>
        <v>0.02</v>
      </c>
      <c r="P134" s="28" t="n">
        <f aca="false">IF(H134&gt;=Assumptions!$B$44,Assumptions!$C$44,IF(H134&gt;=Assumptions!$B$45,Assumptions!$C$45,IF(H134&gt;=Assumptions!$B$46,Assumptions!$C$46,Assumptions!$C$47)))</f>
        <v>0</v>
      </c>
      <c r="Q134" s="24" t="n">
        <v>0</v>
      </c>
      <c r="R134" s="28" t="n">
        <f aca="false">Q134*Assumptions!$C$51</f>
        <v>0</v>
      </c>
      <c r="S134" s="27" t="n">
        <v>0</v>
      </c>
      <c r="T134" s="27" t="n">
        <v>0</v>
      </c>
      <c r="U134" s="27" t="n">
        <v>0</v>
      </c>
      <c r="V134" s="27" t="n">
        <v>0.01</v>
      </c>
      <c r="W134" s="27" t="n">
        <v>0</v>
      </c>
      <c r="X134" s="28" t="n">
        <f aca="false">P134+R134+SUM(S134:W134)</f>
        <v>0.01</v>
      </c>
      <c r="Y134" s="24" t="n">
        <v>0</v>
      </c>
      <c r="Z134" s="29" t="n">
        <f aca="false">LN(H134)</f>
        <v>5.51745289646471</v>
      </c>
      <c r="AA134" s="17" t="n">
        <f aca="false">ROUND(SUMIF(Lines!$B:$B,B134,Lines!$I:$I),2)</f>
        <v>26660</v>
      </c>
      <c r="AB134" s="17" t="n">
        <f aca="false">ROUND(SUMIF(Lines!$B:$B,B134,Lines!$L:$L),2)</f>
        <v>26126.8</v>
      </c>
      <c r="AC134" s="17" t="n">
        <f aca="false">ROUND(SUMIF(Lines!$B:$B,B134,Lines!$T:$T),2)</f>
        <v>25865.53</v>
      </c>
      <c r="AD134" s="17" t="n">
        <f aca="false">ROUND(SUMIF(Lines!$B:$B,B134,Lines!$U:$U),2)</f>
        <v>15502</v>
      </c>
      <c r="AE134" s="17" t="n">
        <f aca="false">ROUND(SUMIF(Lines!$B:$B,B134,Lines!$V:$V),2)</f>
        <v>522.53</v>
      </c>
      <c r="AF134" s="17" t="n">
        <f aca="false">ROUND(AC134-AD134-AE134,2)</f>
        <v>9841</v>
      </c>
      <c r="AG134" s="26" t="n">
        <f aca="false">RANK(AC134,$AC$6:$AC$185)</f>
        <v>167</v>
      </c>
      <c r="AJ134" s="26" t="n">
        <f aca="false">IF(AND(H134&gt;=0.85*Assumptions!$B$44,H134&lt;Assumptions!$B$44),Assumptions!$B$44,IF(AND(H134&gt;=0.85*Assumptions!$B$45,H134&lt;Assumptions!$B$45),Assumptions!$B$45,IF(AND(H134&gt;=0.85*Assumptions!$B$46,H134&lt;Assumptions!$B$46),Assumptions!$B$46,0)))</f>
        <v>0</v>
      </c>
      <c r="AK134" s="26" t="n">
        <f aca="false">IF(AJ134=0,0,AJ134-H134)</f>
        <v>0</v>
      </c>
      <c r="AL134" s="28" t="n">
        <f aca="false">IF(AJ134=Assumptions!$B$44,Assumptions!$C$44,IF(AJ134=Assumptions!$B$45,Assumptions!$C$45,IF(AJ134=Assumptions!$B$46,Assumptions!$C$46,0)))</f>
        <v>0</v>
      </c>
      <c r="AM134" s="17" t="n">
        <f aca="false">IF(AJ134=0,0,AB134*(AL134-P134))</f>
        <v>0</v>
      </c>
      <c r="AN134" s="17" t="n">
        <f aca="false">ROUND(AN118+AM134,2)</f>
        <v>175350.28</v>
      </c>
      <c r="AO134" s="17" t="n">
        <f aca="false">SUMIF(Lines!$B$6:$B$463,$B134,Lines!$M$6:$M$463)</f>
        <v>0</v>
      </c>
      <c r="AP134" s="17" t="n">
        <f aca="false">(AB134/H134)*(MAX(0,MIN(H134,Assumptions!$B$46)-Assumptions!$B$47)*Assumptions!$C$47+MAX(0,MIN(H134,Assumptions!$B$45)-Assumptions!$B$46)*Assumptions!$C$46+MAX(0,MIN(H134,Assumptions!$B$44)-Assumptions!$B$45)*Assumptions!$C$45+MAX(0,H134-Assumptions!$B$44)*Assumptions!$C$44)</f>
        <v>0</v>
      </c>
      <c r="AQ134" s="17" t="n">
        <f aca="false">ROUND(SUMIF(Lines!$B:$B,B134,Lines!$N:$N),2)</f>
        <v>0</v>
      </c>
    </row>
    <row r="135" customFormat="false" ht="15" hidden="false" customHeight="false" outlineLevel="0" collapsed="false">
      <c r="B135" s="14" t="s">
        <v>288</v>
      </c>
      <c r="C135" s="14" t="s">
        <v>259</v>
      </c>
      <c r="D135" s="14" t="s">
        <v>227</v>
      </c>
      <c r="E135" s="24" t="n">
        <v>0</v>
      </c>
      <c r="F135" s="24" t="n">
        <v>2393</v>
      </c>
      <c r="G135" s="24" t="n">
        <v>640</v>
      </c>
      <c r="H135" s="26" t="n">
        <f aca="false">SUM(E135:G135)</f>
        <v>3033</v>
      </c>
      <c r="I135" s="24" t="n">
        <v>69</v>
      </c>
      <c r="J135" s="24" t="n">
        <v>44</v>
      </c>
      <c r="K135" s="27" t="n">
        <v>0.015</v>
      </c>
      <c r="L135" s="28" t="n">
        <f aca="false">MIN(Assumptions!$C$18,K135*Assumptions!$D$15)</f>
        <v>0.0093</v>
      </c>
      <c r="M135" s="28" t="n">
        <f aca="false">MIN(Assumptions!$C$18,K135*Assumptions!$D$16)</f>
        <v>0.0195</v>
      </c>
      <c r="N135" s="28" t="n">
        <f aca="false">MIN(Assumptions!$C$18,K135*Assumptions!$D$17)</f>
        <v>0.0144</v>
      </c>
      <c r="O135" s="28" t="n">
        <f aca="false">IF(I135&gt;=Assumptions!$B$36,Assumptions!$C$36,IF(I135&gt;=Assumptions!$B$37,Assumptions!$C$37,IF(I135&gt;=Assumptions!$B$38,Assumptions!$C$38,Assumptions!$C$39)))</f>
        <v>0.02</v>
      </c>
      <c r="P135" s="28" t="n">
        <f aca="false">IF(H135&gt;=Assumptions!$B$44,Assumptions!$C$44,IF(H135&gt;=Assumptions!$B$45,Assumptions!$C$45,IF(H135&gt;=Assumptions!$B$46,Assumptions!$C$46,Assumptions!$C$47)))</f>
        <v>0.02</v>
      </c>
      <c r="Q135" s="24" t="n">
        <v>0</v>
      </c>
      <c r="R135" s="28" t="n">
        <f aca="false">Q135*Assumptions!$C$51</f>
        <v>0</v>
      </c>
      <c r="S135" s="27" t="n">
        <v>0</v>
      </c>
      <c r="T135" s="27" t="n">
        <v>0</v>
      </c>
      <c r="U135" s="27" t="n">
        <v>0</v>
      </c>
      <c r="V135" s="27" t="n">
        <v>0.01</v>
      </c>
      <c r="W135" s="27" t="n">
        <v>0</v>
      </c>
      <c r="X135" s="28" t="n">
        <f aca="false">P135+R135+SUM(S135:W135)</f>
        <v>0.03</v>
      </c>
      <c r="Y135" s="24" t="n">
        <v>0</v>
      </c>
      <c r="Z135" s="29" t="n">
        <f aca="false">LN(H135)</f>
        <v>8.01730750768858</v>
      </c>
      <c r="AA135" s="17" t="n">
        <f aca="false">ROUND(SUMIF(Lines!$B:$B,B135,Lines!$I:$I),2)</f>
        <v>209806</v>
      </c>
      <c r="AB135" s="17" t="n">
        <f aca="false">ROUND(SUMIF(Lines!$B:$B,B135,Lines!$L:$L),2)</f>
        <v>201832</v>
      </c>
      <c r="AC135" s="17" t="n">
        <f aca="false">ROUND(SUMIF(Lines!$B:$B,B135,Lines!$T:$T),2)</f>
        <v>195777.04</v>
      </c>
      <c r="AD135" s="17" t="n">
        <f aca="false">ROUND(SUMIF(Lines!$B:$B,B135,Lines!$U:$U),2)</f>
        <v>123268</v>
      </c>
      <c r="AE135" s="17" t="n">
        <f aca="false">ROUND(SUMIF(Lines!$B:$B,B135,Lines!$V:$V),2)</f>
        <v>4036.64</v>
      </c>
      <c r="AF135" s="17" t="n">
        <f aca="false">ROUND(AC135-AD135-AE135,2)</f>
        <v>68472.4</v>
      </c>
      <c r="AG135" s="26" t="n">
        <f aca="false">RANK(AC135,$AC$6:$AC$185)</f>
        <v>72</v>
      </c>
      <c r="AJ135" s="26" t="n">
        <f aca="false">IF(AND(H135&gt;=0.85*Assumptions!$B$44,H135&lt;Assumptions!$B$44),Assumptions!$B$44,IF(AND(H135&gt;=0.85*Assumptions!$B$45,H135&lt;Assumptions!$B$45),Assumptions!$B$45,IF(AND(H135&gt;=0.85*Assumptions!$B$46,H135&lt;Assumptions!$B$46),Assumptions!$B$46,0)))</f>
        <v>0</v>
      </c>
      <c r="AK135" s="26" t="n">
        <f aca="false">IF(AJ135=0,0,AJ135-H135)</f>
        <v>0</v>
      </c>
      <c r="AL135" s="28" t="n">
        <f aca="false">IF(AJ135=Assumptions!$B$44,Assumptions!$C$44,IF(AJ135=Assumptions!$B$45,Assumptions!$C$45,IF(AJ135=Assumptions!$B$46,Assumptions!$C$46,0)))</f>
        <v>0</v>
      </c>
      <c r="AM135" s="17" t="n">
        <f aca="false">IF(AJ135=0,0,AB135*(AL135-P135))</f>
        <v>0</v>
      </c>
      <c r="AN135" s="17" t="n">
        <f aca="false">ROUND(AN119+AM135,2)</f>
        <v>179258.59</v>
      </c>
      <c r="AO135" s="17" t="n">
        <f aca="false">SUMIF(Lines!$B$6:$B$463,$B135,Lines!$M$6:$M$463)</f>
        <v>4036.64</v>
      </c>
      <c r="AP135" s="17" t="n">
        <f aca="false">(AB135/H135)*(MAX(0,MIN(H135,Assumptions!$B$46)-Assumptions!$B$47)*Assumptions!$C$47+MAX(0,MIN(H135,Assumptions!$B$45)-Assumptions!$B$46)*Assumptions!$C$46+MAX(0,MIN(H135,Assumptions!$B$44)-Assumptions!$B$45)*Assumptions!$C$45+MAX(0,H135-Assumptions!$B$44)*Assumptions!$C$44)</f>
        <v>43.9199208704253</v>
      </c>
      <c r="AQ135" s="17" t="n">
        <f aca="false">ROUND(SUMIF(Lines!$B:$B,B135,Lines!$N:$N),2)</f>
        <v>0</v>
      </c>
    </row>
    <row r="136" customFormat="false" ht="15" hidden="false" customHeight="false" outlineLevel="0" collapsed="false">
      <c r="B136" s="14" t="s">
        <v>289</v>
      </c>
      <c r="C136" s="14" t="s">
        <v>259</v>
      </c>
      <c r="D136" s="14" t="s">
        <v>227</v>
      </c>
      <c r="E136" s="24" t="n">
        <v>420</v>
      </c>
      <c r="F136" s="24" t="n">
        <v>0</v>
      </c>
      <c r="G136" s="24" t="n">
        <v>485</v>
      </c>
      <c r="H136" s="26" t="n">
        <f aca="false">SUM(E136:G136)</f>
        <v>905</v>
      </c>
      <c r="I136" s="24" t="n">
        <v>77</v>
      </c>
      <c r="J136" s="24" t="n">
        <v>12</v>
      </c>
      <c r="K136" s="27" t="n">
        <v>0.005</v>
      </c>
      <c r="L136" s="28" t="n">
        <f aca="false">MIN(Assumptions!$C$18,K136*Assumptions!$D$15)</f>
        <v>0.0031</v>
      </c>
      <c r="M136" s="28" t="n">
        <f aca="false">MIN(Assumptions!$C$18,K136*Assumptions!$D$16)</f>
        <v>0.0065</v>
      </c>
      <c r="N136" s="28" t="n">
        <f aca="false">MIN(Assumptions!$C$18,K136*Assumptions!$D$17)</f>
        <v>0.0048</v>
      </c>
      <c r="O136" s="28" t="n">
        <f aca="false">IF(I136&gt;=Assumptions!$B$36,Assumptions!$C$36,IF(I136&gt;=Assumptions!$B$37,Assumptions!$C$37,IF(I136&gt;=Assumptions!$B$38,Assumptions!$C$38,Assumptions!$C$39)))</f>
        <v>0.02</v>
      </c>
      <c r="P136" s="28" t="n">
        <f aca="false">IF(H136&gt;=Assumptions!$B$44,Assumptions!$C$44,IF(H136&gt;=Assumptions!$B$45,Assumptions!$C$45,IF(H136&gt;=Assumptions!$B$46,Assumptions!$C$46,Assumptions!$C$47)))</f>
        <v>0</v>
      </c>
      <c r="Q136" s="24" t="n">
        <v>0</v>
      </c>
      <c r="R136" s="28" t="n">
        <f aca="false">Q136*Assumptions!$C$51</f>
        <v>0</v>
      </c>
      <c r="S136" s="27" t="n">
        <v>0</v>
      </c>
      <c r="T136" s="27" t="n">
        <v>0</v>
      </c>
      <c r="U136" s="27" t="n">
        <v>0</v>
      </c>
      <c r="V136" s="27" t="n">
        <v>0.01</v>
      </c>
      <c r="W136" s="27" t="n">
        <v>0</v>
      </c>
      <c r="X136" s="28" t="n">
        <f aca="false">P136+R136+SUM(S136:W136)</f>
        <v>0.01</v>
      </c>
      <c r="Y136" s="24" t="n">
        <v>0</v>
      </c>
      <c r="Z136" s="29" t="n">
        <f aca="false">LN(H136)</f>
        <v>6.80793494369993</v>
      </c>
      <c r="AA136" s="17" t="n">
        <f aca="false">ROUND(SUMIF(Lines!$B:$B,B136,Lines!$I:$I),2)</f>
        <v>108720</v>
      </c>
      <c r="AB136" s="17" t="n">
        <f aca="false">ROUND(SUMIF(Lines!$B:$B,B136,Lines!$L:$L),2)</f>
        <v>106129.41</v>
      </c>
      <c r="AC136" s="17" t="n">
        <f aca="false">ROUND(SUMIF(Lines!$B:$B,B136,Lines!$T:$T),2)</f>
        <v>105068.12</v>
      </c>
      <c r="AD136" s="17" t="n">
        <f aca="false">ROUND(SUMIF(Lines!$B:$B,B136,Lines!$U:$U),2)</f>
        <v>60890</v>
      </c>
      <c r="AE136" s="17" t="n">
        <f aca="false">ROUND(SUMIF(Lines!$B:$B,B136,Lines!$V:$V),2)</f>
        <v>2122.59</v>
      </c>
      <c r="AF136" s="17" t="n">
        <f aca="false">ROUND(AC136-AD136-AE136,2)</f>
        <v>42055.53</v>
      </c>
      <c r="AG136" s="26" t="n">
        <f aca="false">RANK(AC136,$AC$6:$AC$185)</f>
        <v>109</v>
      </c>
      <c r="AJ136" s="26" t="n">
        <f aca="false">IF(AND(H136&gt;=0.85*Assumptions!$B$44,H136&lt;Assumptions!$B$44),Assumptions!$B$44,IF(AND(H136&gt;=0.85*Assumptions!$B$45,H136&lt;Assumptions!$B$45),Assumptions!$B$45,IF(AND(H136&gt;=0.85*Assumptions!$B$46,H136&lt;Assumptions!$B$46),Assumptions!$B$46,0)))</f>
        <v>0</v>
      </c>
      <c r="AK136" s="26" t="n">
        <f aca="false">IF(AJ136=0,0,AJ136-H136)</f>
        <v>0</v>
      </c>
      <c r="AL136" s="28" t="n">
        <f aca="false">IF(AJ136=Assumptions!$B$44,Assumptions!$C$44,IF(AJ136=Assumptions!$B$45,Assumptions!$C$45,IF(AJ136=Assumptions!$B$46,Assumptions!$C$46,0)))</f>
        <v>0</v>
      </c>
      <c r="AM136" s="17" t="n">
        <f aca="false">IF(AJ136=0,0,AB136*(AL136-P136))</f>
        <v>0</v>
      </c>
      <c r="AN136" s="17" t="n">
        <f aca="false">ROUND(AN120+AM136,2)</f>
        <v>187091.56</v>
      </c>
      <c r="AO136" s="17" t="n">
        <f aca="false">SUMIF(Lines!$B$6:$B$463,$B136,Lines!$M$6:$M$463)</f>
        <v>0</v>
      </c>
      <c r="AP136" s="17" t="n">
        <f aca="false">(AB136/H136)*(MAX(0,MIN(H136,Assumptions!$B$46)-Assumptions!$B$47)*Assumptions!$C$47+MAX(0,MIN(H136,Assumptions!$B$45)-Assumptions!$B$46)*Assumptions!$C$46+MAX(0,MIN(H136,Assumptions!$B$44)-Assumptions!$B$45)*Assumptions!$C$45+MAX(0,H136-Assumptions!$B$44)*Assumptions!$C$44)</f>
        <v>0</v>
      </c>
      <c r="AQ136" s="17" t="n">
        <f aca="false">ROUND(SUMIF(Lines!$B:$B,B136,Lines!$N:$N),2)</f>
        <v>0</v>
      </c>
    </row>
    <row r="137" customFormat="false" ht="15" hidden="false" customHeight="false" outlineLevel="0" collapsed="false">
      <c r="B137" s="14" t="s">
        <v>290</v>
      </c>
      <c r="C137" s="14" t="s">
        <v>259</v>
      </c>
      <c r="D137" s="14" t="s">
        <v>227</v>
      </c>
      <c r="E137" s="24" t="n">
        <v>145</v>
      </c>
      <c r="F137" s="24" t="n">
        <v>756</v>
      </c>
      <c r="G137" s="24" t="n">
        <v>207</v>
      </c>
      <c r="H137" s="26" t="n">
        <f aca="false">SUM(E137:G137)</f>
        <v>1108</v>
      </c>
      <c r="I137" s="24" t="n">
        <v>66</v>
      </c>
      <c r="J137" s="24" t="n">
        <v>17</v>
      </c>
      <c r="K137" s="27" t="n">
        <v>0.045</v>
      </c>
      <c r="L137" s="28" t="n">
        <f aca="false">MIN(Assumptions!$C$18,K137*Assumptions!$D$15)</f>
        <v>0.0279</v>
      </c>
      <c r="M137" s="28" t="n">
        <f aca="false">MIN(Assumptions!$C$18,K137*Assumptions!$D$16)</f>
        <v>0.0585</v>
      </c>
      <c r="N137" s="28" t="n">
        <f aca="false">MIN(Assumptions!$C$18,K137*Assumptions!$D$17)</f>
        <v>0.0432</v>
      </c>
      <c r="O137" s="28" t="n">
        <f aca="false">IF(I137&gt;=Assumptions!$B$36,Assumptions!$C$36,IF(I137&gt;=Assumptions!$B$37,Assumptions!$C$37,IF(I137&gt;=Assumptions!$B$38,Assumptions!$C$38,Assumptions!$C$39)))</f>
        <v>0.02</v>
      </c>
      <c r="P137" s="28" t="n">
        <f aca="false">IF(H137&gt;=Assumptions!$B$44,Assumptions!$C$44,IF(H137&gt;=Assumptions!$B$45,Assumptions!$C$45,IF(H137&gt;=Assumptions!$B$46,Assumptions!$C$46,Assumptions!$C$47)))</f>
        <v>0</v>
      </c>
      <c r="Q137" s="24" t="n">
        <v>0</v>
      </c>
      <c r="R137" s="28" t="n">
        <f aca="false">Q137*Assumptions!$C$51</f>
        <v>0</v>
      </c>
      <c r="S137" s="27" t="n">
        <v>0</v>
      </c>
      <c r="T137" s="27" t="n">
        <v>0</v>
      </c>
      <c r="U137" s="27" t="n">
        <v>0</v>
      </c>
      <c r="V137" s="27" t="n">
        <v>0.01</v>
      </c>
      <c r="W137" s="27" t="n">
        <v>0</v>
      </c>
      <c r="X137" s="28" t="n">
        <f aca="false">P137+R137+SUM(S137:W137)</f>
        <v>0.01</v>
      </c>
      <c r="Y137" s="24" t="n">
        <v>0</v>
      </c>
      <c r="Z137" s="29" t="n">
        <f aca="false">LN(H137)</f>
        <v>7.01031186730723</v>
      </c>
      <c r="AA137" s="17" t="n">
        <f aca="false">ROUND(SUMIF(Lines!$B:$B,B137,Lines!$I:$I),2)</f>
        <v>88204</v>
      </c>
      <c r="AB137" s="17" t="n">
        <f aca="false">ROUND(SUMIF(Lines!$B:$B,B137,Lines!$L:$L),2)</f>
        <v>82240.71</v>
      </c>
      <c r="AC137" s="17" t="n">
        <f aca="false">ROUND(SUMIF(Lines!$B:$B,B137,Lines!$T:$T),2)</f>
        <v>81418.3</v>
      </c>
      <c r="AD137" s="17" t="n">
        <f aca="false">ROUND(SUMIF(Lines!$B:$B,B137,Lines!$U:$U),2)</f>
        <v>50532</v>
      </c>
      <c r="AE137" s="17" t="n">
        <f aca="false">ROUND(SUMIF(Lines!$B:$B,B137,Lines!$V:$V),2)</f>
        <v>1644.81</v>
      </c>
      <c r="AF137" s="17" t="n">
        <f aca="false">ROUND(AC137-AD137-AE137,2)</f>
        <v>29241.49</v>
      </c>
      <c r="AG137" s="26" t="n">
        <f aca="false">RANK(AC137,$AC$6:$AC$185)</f>
        <v>130</v>
      </c>
      <c r="AJ137" s="26" t="n">
        <f aca="false">IF(AND(H137&gt;=0.85*Assumptions!$B$44,H137&lt;Assumptions!$B$44),Assumptions!$B$44,IF(AND(H137&gt;=0.85*Assumptions!$B$45,H137&lt;Assumptions!$B$45),Assumptions!$B$45,IF(AND(H137&gt;=0.85*Assumptions!$B$46,H137&lt;Assumptions!$B$46),Assumptions!$B$46,0)))</f>
        <v>0</v>
      </c>
      <c r="AK137" s="26" t="n">
        <f aca="false">IF(AJ137=0,0,AJ137-H137)</f>
        <v>0</v>
      </c>
      <c r="AL137" s="28" t="n">
        <f aca="false">IF(AJ137=Assumptions!$B$44,Assumptions!$C$44,IF(AJ137=Assumptions!$B$45,Assumptions!$C$45,IF(AJ137=Assumptions!$B$46,Assumptions!$C$46,0)))</f>
        <v>0</v>
      </c>
      <c r="AM137" s="17" t="n">
        <f aca="false">IF(AJ137=0,0,AB137*(AL137-P137))</f>
        <v>0</v>
      </c>
      <c r="AN137" s="17" t="n">
        <f aca="false">ROUND(AN121+AM137,2)</f>
        <v>187091.56</v>
      </c>
      <c r="AO137" s="17" t="n">
        <f aca="false">SUMIF(Lines!$B$6:$B$463,$B137,Lines!$M$6:$M$463)</f>
        <v>0</v>
      </c>
      <c r="AP137" s="17" t="n">
        <f aca="false">(AB137/H137)*(MAX(0,MIN(H137,Assumptions!$B$46)-Assumptions!$B$47)*Assumptions!$C$47+MAX(0,MIN(H137,Assumptions!$B$45)-Assumptions!$B$46)*Assumptions!$C$46+MAX(0,MIN(H137,Assumptions!$B$44)-Assumptions!$B$45)*Assumptions!$C$45+MAX(0,H137-Assumptions!$B$44)*Assumptions!$C$44)</f>
        <v>0</v>
      </c>
      <c r="AQ137" s="17" t="n">
        <f aca="false">ROUND(SUMIF(Lines!$B:$B,B137,Lines!$N:$N),2)</f>
        <v>0</v>
      </c>
    </row>
    <row r="138" customFormat="false" ht="15" hidden="false" customHeight="false" outlineLevel="0" collapsed="false">
      <c r="B138" s="14" t="s">
        <v>291</v>
      </c>
      <c r="C138" s="14" t="s">
        <v>259</v>
      </c>
      <c r="D138" s="14" t="s">
        <v>235</v>
      </c>
      <c r="E138" s="24" t="n">
        <v>4</v>
      </c>
      <c r="F138" s="24" t="n">
        <v>0</v>
      </c>
      <c r="G138" s="24" t="n">
        <v>60</v>
      </c>
      <c r="H138" s="26" t="n">
        <f aca="false">SUM(E138:G138)</f>
        <v>64</v>
      </c>
      <c r="I138" s="24" t="n">
        <v>43</v>
      </c>
      <c r="J138" s="24" t="n">
        <v>1</v>
      </c>
      <c r="K138" s="27" t="n">
        <v>0.005</v>
      </c>
      <c r="L138" s="28" t="n">
        <f aca="false">MIN(Assumptions!$C$18,K138*Assumptions!$D$15)</f>
        <v>0.0031</v>
      </c>
      <c r="M138" s="28" t="n">
        <f aca="false">MIN(Assumptions!$C$18,K138*Assumptions!$D$16)</f>
        <v>0.0065</v>
      </c>
      <c r="N138" s="28" t="n">
        <f aca="false">MIN(Assumptions!$C$18,K138*Assumptions!$D$17)</f>
        <v>0.0048</v>
      </c>
      <c r="O138" s="28" t="n">
        <f aca="false">IF(I138&gt;=Assumptions!$B$36,Assumptions!$C$36,IF(I138&gt;=Assumptions!$B$37,Assumptions!$C$37,IF(I138&gt;=Assumptions!$B$38,Assumptions!$C$38,Assumptions!$C$39)))</f>
        <v>0</v>
      </c>
      <c r="P138" s="28" t="n">
        <f aca="false">IF(H138&gt;=Assumptions!$B$44,Assumptions!$C$44,IF(H138&gt;=Assumptions!$B$45,Assumptions!$C$45,IF(H138&gt;=Assumptions!$B$46,Assumptions!$C$46,Assumptions!$C$47)))</f>
        <v>0</v>
      </c>
      <c r="Q138" s="24" t="n">
        <v>0</v>
      </c>
      <c r="R138" s="28" t="n">
        <f aca="false">Q138*Assumptions!$C$51</f>
        <v>0</v>
      </c>
      <c r="S138" s="27" t="n">
        <v>0</v>
      </c>
      <c r="T138" s="27" t="n">
        <v>0</v>
      </c>
      <c r="U138" s="27" t="n">
        <v>0</v>
      </c>
      <c r="V138" s="27" t="n">
        <v>0.01</v>
      </c>
      <c r="W138" s="27" t="n">
        <v>0</v>
      </c>
      <c r="X138" s="28" t="n">
        <f aca="false">P138+R138+SUM(S138:W138)</f>
        <v>0.01</v>
      </c>
      <c r="Y138" s="24" t="n">
        <v>0</v>
      </c>
      <c r="Z138" s="29" t="n">
        <f aca="false">LN(H138)</f>
        <v>4.15888308335967</v>
      </c>
      <c r="AA138" s="17" t="n">
        <f aca="false">ROUND(SUMIF(Lines!$B:$B,B138,Lines!$I:$I),2)</f>
        <v>6352</v>
      </c>
      <c r="AB138" s="17" t="n">
        <f aca="false">ROUND(SUMIF(Lines!$B:$B,B138,Lines!$L:$L),2)</f>
        <v>6322.51</v>
      </c>
      <c r="AC138" s="17" t="n">
        <f aca="false">ROUND(SUMIF(Lines!$B:$B,B138,Lines!$T:$T),2)</f>
        <v>6259.29</v>
      </c>
      <c r="AD138" s="17" t="n">
        <f aca="false">ROUND(SUMIF(Lines!$B:$B,B138,Lines!$U:$U),2)</f>
        <v>3792</v>
      </c>
      <c r="AE138" s="17" t="n">
        <f aca="false">ROUND(SUMIF(Lines!$B:$B,B138,Lines!$V:$V),2)</f>
        <v>126.45</v>
      </c>
      <c r="AF138" s="17" t="n">
        <f aca="false">ROUND(AC138-AD138-AE138,2)</f>
        <v>2340.84</v>
      </c>
      <c r="AG138" s="26" t="n">
        <f aca="false">RANK(AC138,$AC$6:$AC$185)</f>
        <v>179</v>
      </c>
      <c r="AJ138" s="26" t="n">
        <f aca="false">IF(AND(H138&gt;=0.85*Assumptions!$B$44,H138&lt;Assumptions!$B$44),Assumptions!$B$44,IF(AND(H138&gt;=0.85*Assumptions!$B$45,H138&lt;Assumptions!$B$45),Assumptions!$B$45,IF(AND(H138&gt;=0.85*Assumptions!$B$46,H138&lt;Assumptions!$B$46),Assumptions!$B$46,0)))</f>
        <v>0</v>
      </c>
      <c r="AK138" s="26" t="n">
        <f aca="false">IF(AJ138=0,0,AJ138-H138)</f>
        <v>0</v>
      </c>
      <c r="AL138" s="28" t="n">
        <f aca="false">IF(AJ138=Assumptions!$B$44,Assumptions!$C$44,IF(AJ138=Assumptions!$B$45,Assumptions!$C$45,IF(AJ138=Assumptions!$B$46,Assumptions!$C$46,0)))</f>
        <v>0</v>
      </c>
      <c r="AM138" s="17" t="n">
        <f aca="false">IF(AJ138=0,0,AB138*(AL138-P138))</f>
        <v>0</v>
      </c>
      <c r="AN138" s="17" t="n">
        <f aca="false">ROUND(AN122+AM138,2)</f>
        <v>175350.28</v>
      </c>
      <c r="AO138" s="17" t="n">
        <f aca="false">SUMIF(Lines!$B$6:$B$463,$B138,Lines!$M$6:$M$463)</f>
        <v>0</v>
      </c>
      <c r="AP138" s="17" t="n">
        <f aca="false">(AB138/H138)*(MAX(0,MIN(H138,Assumptions!$B$46)-Assumptions!$B$47)*Assumptions!$C$47+MAX(0,MIN(H138,Assumptions!$B$45)-Assumptions!$B$46)*Assumptions!$C$46+MAX(0,MIN(H138,Assumptions!$B$44)-Assumptions!$B$45)*Assumptions!$C$45+MAX(0,H138-Assumptions!$B$44)*Assumptions!$C$44)</f>
        <v>0</v>
      </c>
      <c r="AQ138" s="17" t="n">
        <f aca="false">ROUND(SUMIF(Lines!$B:$B,B138,Lines!$N:$N),2)</f>
        <v>0</v>
      </c>
    </row>
    <row r="139" customFormat="false" ht="15" hidden="false" customHeight="false" outlineLevel="0" collapsed="false">
      <c r="B139" s="14" t="s">
        <v>292</v>
      </c>
      <c r="C139" s="14" t="s">
        <v>259</v>
      </c>
      <c r="D139" s="14" t="s">
        <v>235</v>
      </c>
      <c r="E139" s="24" t="n">
        <v>332</v>
      </c>
      <c r="F139" s="24" t="n">
        <v>1345</v>
      </c>
      <c r="G139" s="24" t="n">
        <v>542</v>
      </c>
      <c r="H139" s="26" t="n">
        <f aca="false">SUM(E139:G139)</f>
        <v>2219</v>
      </c>
      <c r="I139" s="24" t="n">
        <v>77</v>
      </c>
      <c r="J139" s="24" t="n">
        <v>29</v>
      </c>
      <c r="K139" s="27" t="n">
        <v>0</v>
      </c>
      <c r="L139" s="28" t="n">
        <f aca="false">MIN(Assumptions!$C$18,K139*Assumptions!$D$15)</f>
        <v>0</v>
      </c>
      <c r="M139" s="28" t="n">
        <f aca="false">MIN(Assumptions!$C$18,K139*Assumptions!$D$16)</f>
        <v>0</v>
      </c>
      <c r="N139" s="28" t="n">
        <f aca="false">MIN(Assumptions!$C$18,K139*Assumptions!$D$17)</f>
        <v>0</v>
      </c>
      <c r="O139" s="28" t="n">
        <f aca="false">IF(I139&gt;=Assumptions!$B$36,Assumptions!$C$36,IF(I139&gt;=Assumptions!$B$37,Assumptions!$C$37,IF(I139&gt;=Assumptions!$B$38,Assumptions!$C$38,Assumptions!$C$39)))</f>
        <v>0.02</v>
      </c>
      <c r="P139" s="28" t="n">
        <f aca="false">IF(H139&gt;=Assumptions!$B$44,Assumptions!$C$44,IF(H139&gt;=Assumptions!$B$45,Assumptions!$C$45,IF(H139&gt;=Assumptions!$B$46,Assumptions!$C$46,Assumptions!$C$47)))</f>
        <v>0</v>
      </c>
      <c r="Q139" s="24" t="n">
        <v>0</v>
      </c>
      <c r="R139" s="28" t="n">
        <f aca="false">Q139*Assumptions!$C$51</f>
        <v>0</v>
      </c>
      <c r="S139" s="27" t="n">
        <v>0</v>
      </c>
      <c r="T139" s="27" t="n">
        <v>0</v>
      </c>
      <c r="U139" s="27" t="n">
        <v>0</v>
      </c>
      <c r="V139" s="27" t="n">
        <v>0.01</v>
      </c>
      <c r="W139" s="27" t="n">
        <v>0</v>
      </c>
      <c r="X139" s="28" t="n">
        <f aca="false">P139+R139+SUM(S139:W139)</f>
        <v>0.01</v>
      </c>
      <c r="Y139" s="24" t="n">
        <v>0</v>
      </c>
      <c r="Z139" s="29" t="n">
        <f aca="false">LN(H139)</f>
        <v>7.70481192293259</v>
      </c>
      <c r="AA139" s="17" t="n">
        <f aca="false">ROUND(SUMIF(Lines!$B:$B,B139,Lines!$I:$I),2)</f>
        <v>184558</v>
      </c>
      <c r="AB139" s="17" t="n">
        <f aca="false">ROUND(SUMIF(Lines!$B:$B,B139,Lines!$L:$L),2)</f>
        <v>180866.84</v>
      </c>
      <c r="AC139" s="17" t="n">
        <f aca="false">ROUND(SUMIF(Lines!$B:$B,B139,Lines!$T:$T),2)</f>
        <v>179058.18</v>
      </c>
      <c r="AD139" s="17" t="n">
        <f aca="false">ROUND(SUMIF(Lines!$B:$B,B139,Lines!$U:$U),2)</f>
        <v>105752</v>
      </c>
      <c r="AE139" s="17" t="n">
        <f aca="false">ROUND(SUMIF(Lines!$B:$B,B139,Lines!$V:$V),2)</f>
        <v>3617.34</v>
      </c>
      <c r="AF139" s="17" t="n">
        <f aca="false">ROUND(AC139-AD139-AE139,2)</f>
        <v>69688.84</v>
      </c>
      <c r="AG139" s="26" t="n">
        <f aca="false">RANK(AC139,$AC$6:$AC$185)</f>
        <v>78</v>
      </c>
      <c r="AJ139" s="26" t="n">
        <f aca="false">IF(AND(H139&gt;=0.85*Assumptions!$B$44,H139&lt;Assumptions!$B$44),Assumptions!$B$44,IF(AND(H139&gt;=0.85*Assumptions!$B$45,H139&lt;Assumptions!$B$45),Assumptions!$B$45,IF(AND(H139&gt;=0.85*Assumptions!$B$46,H139&lt;Assumptions!$B$46),Assumptions!$B$46,0)))</f>
        <v>0</v>
      </c>
      <c r="AK139" s="26" t="n">
        <f aca="false">IF(AJ139=0,0,AJ139-H139)</f>
        <v>0</v>
      </c>
      <c r="AL139" s="28" t="n">
        <f aca="false">IF(AJ139=Assumptions!$B$44,Assumptions!$C$44,IF(AJ139=Assumptions!$B$45,Assumptions!$C$45,IF(AJ139=Assumptions!$B$46,Assumptions!$C$46,0)))</f>
        <v>0</v>
      </c>
      <c r="AM139" s="17" t="n">
        <f aca="false">IF(AJ139=0,0,AB139*(AL139-P139))</f>
        <v>0</v>
      </c>
      <c r="AN139" s="17" t="n">
        <f aca="false">ROUND(AN123+AM139,2)</f>
        <v>175350.28</v>
      </c>
      <c r="AO139" s="17" t="n">
        <f aca="false">SUMIF(Lines!$B$6:$B$463,$B139,Lines!$M$6:$M$463)</f>
        <v>0</v>
      </c>
      <c r="AP139" s="17" t="n">
        <f aca="false">(AB139/H139)*(MAX(0,MIN(H139,Assumptions!$B$46)-Assumptions!$B$47)*Assumptions!$C$47+MAX(0,MIN(H139,Assumptions!$B$45)-Assumptions!$B$46)*Assumptions!$C$46+MAX(0,MIN(H139,Assumptions!$B$44)-Assumptions!$B$45)*Assumptions!$C$45+MAX(0,H139-Assumptions!$B$44)*Assumptions!$C$44)</f>
        <v>0</v>
      </c>
      <c r="AQ139" s="17" t="n">
        <f aca="false">ROUND(SUMIF(Lines!$B:$B,B139,Lines!$N:$N),2)</f>
        <v>0</v>
      </c>
    </row>
    <row r="140" customFormat="false" ht="15" hidden="false" customHeight="false" outlineLevel="0" collapsed="false">
      <c r="B140" s="14" t="s">
        <v>293</v>
      </c>
      <c r="C140" s="14" t="s">
        <v>259</v>
      </c>
      <c r="D140" s="14" t="s">
        <v>235</v>
      </c>
      <c r="E140" s="24" t="n">
        <v>249</v>
      </c>
      <c r="F140" s="24" t="n">
        <v>706</v>
      </c>
      <c r="G140" s="24" t="n">
        <v>132</v>
      </c>
      <c r="H140" s="26" t="n">
        <f aca="false">SUM(E140:G140)</f>
        <v>1087</v>
      </c>
      <c r="I140" s="24" t="n">
        <v>67</v>
      </c>
      <c r="J140" s="24" t="n">
        <v>16</v>
      </c>
      <c r="K140" s="27" t="n">
        <v>0.03</v>
      </c>
      <c r="L140" s="28" t="n">
        <f aca="false">MIN(Assumptions!$C$18,K140*Assumptions!$D$15)</f>
        <v>0.0186</v>
      </c>
      <c r="M140" s="28" t="n">
        <f aca="false">MIN(Assumptions!$C$18,K140*Assumptions!$D$16)</f>
        <v>0.039</v>
      </c>
      <c r="N140" s="28" t="n">
        <f aca="false">MIN(Assumptions!$C$18,K140*Assumptions!$D$17)</f>
        <v>0.0288</v>
      </c>
      <c r="O140" s="28" t="n">
        <f aca="false">IF(I140&gt;=Assumptions!$B$36,Assumptions!$C$36,IF(I140&gt;=Assumptions!$B$37,Assumptions!$C$37,IF(I140&gt;=Assumptions!$B$38,Assumptions!$C$38,Assumptions!$C$39)))</f>
        <v>0.02</v>
      </c>
      <c r="P140" s="28" t="n">
        <f aca="false">IF(H140&gt;=Assumptions!$B$44,Assumptions!$C$44,IF(H140&gt;=Assumptions!$B$45,Assumptions!$C$45,IF(H140&gt;=Assumptions!$B$46,Assumptions!$C$46,Assumptions!$C$47)))</f>
        <v>0</v>
      </c>
      <c r="Q140" s="24" t="n">
        <v>0</v>
      </c>
      <c r="R140" s="28" t="n">
        <f aca="false">Q140*Assumptions!$C$51</f>
        <v>0</v>
      </c>
      <c r="S140" s="27" t="n">
        <v>0</v>
      </c>
      <c r="T140" s="27" t="n">
        <v>0</v>
      </c>
      <c r="U140" s="27" t="n">
        <v>0</v>
      </c>
      <c r="V140" s="27" t="n">
        <v>0.01</v>
      </c>
      <c r="W140" s="27" t="n">
        <v>0</v>
      </c>
      <c r="X140" s="28" t="n">
        <f aca="false">P140+R140+SUM(S140:W140)</f>
        <v>0.01</v>
      </c>
      <c r="Y140" s="24" t="n">
        <v>0</v>
      </c>
      <c r="Z140" s="29" t="n">
        <f aca="false">LN(H140)</f>
        <v>6.99117688712121</v>
      </c>
      <c r="AA140" s="17" t="n">
        <f aca="false">ROUND(SUMIF(Lines!$B:$B,B140,Lines!$I:$I),2)</f>
        <v>93296</v>
      </c>
      <c r="AB140" s="17" t="n">
        <f aca="false">ROUND(SUMIF(Lines!$B:$B,B140,Lines!$L:$L),2)</f>
        <v>88672.57</v>
      </c>
      <c r="AC140" s="17" t="n">
        <f aca="false">ROUND(SUMIF(Lines!$B:$B,B140,Lines!$T:$T),2)</f>
        <v>87785.84</v>
      </c>
      <c r="AD140" s="17" t="n">
        <f aca="false">ROUND(SUMIF(Lines!$B:$B,B140,Lines!$U:$U),2)</f>
        <v>52494</v>
      </c>
      <c r="AE140" s="17" t="n">
        <f aca="false">ROUND(SUMIF(Lines!$B:$B,B140,Lines!$V:$V),2)</f>
        <v>1773.45</v>
      </c>
      <c r="AF140" s="17" t="n">
        <f aca="false">ROUND(AC140-AD140-AE140,2)</f>
        <v>33518.39</v>
      </c>
      <c r="AG140" s="26" t="n">
        <f aca="false">RANK(AC140,$AC$6:$AC$185)</f>
        <v>122</v>
      </c>
      <c r="AJ140" s="26" t="n">
        <f aca="false">IF(AND(H140&gt;=0.85*Assumptions!$B$44,H140&lt;Assumptions!$B$44),Assumptions!$B$44,IF(AND(H140&gt;=0.85*Assumptions!$B$45,H140&lt;Assumptions!$B$45),Assumptions!$B$45,IF(AND(H140&gt;=0.85*Assumptions!$B$46,H140&lt;Assumptions!$B$46),Assumptions!$B$46,0)))</f>
        <v>0</v>
      </c>
      <c r="AK140" s="26" t="n">
        <f aca="false">IF(AJ140=0,0,AJ140-H140)</f>
        <v>0</v>
      </c>
      <c r="AL140" s="28" t="n">
        <f aca="false">IF(AJ140=Assumptions!$B$44,Assumptions!$C$44,IF(AJ140=Assumptions!$B$45,Assumptions!$C$45,IF(AJ140=Assumptions!$B$46,Assumptions!$C$46,0)))</f>
        <v>0</v>
      </c>
      <c r="AM140" s="17" t="n">
        <f aca="false">IF(AJ140=0,0,AB140*(AL140-P140))</f>
        <v>0</v>
      </c>
      <c r="AN140" s="17" t="n">
        <f aca="false">ROUND(AN124+AM140,2)</f>
        <v>175350.28</v>
      </c>
      <c r="AO140" s="17" t="n">
        <f aca="false">SUMIF(Lines!$B$6:$B$463,$B140,Lines!$M$6:$M$463)</f>
        <v>0</v>
      </c>
      <c r="AP140" s="17" t="n">
        <f aca="false">(AB140/H140)*(MAX(0,MIN(H140,Assumptions!$B$46)-Assumptions!$B$47)*Assumptions!$C$47+MAX(0,MIN(H140,Assumptions!$B$45)-Assumptions!$B$46)*Assumptions!$C$46+MAX(0,MIN(H140,Assumptions!$B$44)-Assumptions!$B$45)*Assumptions!$C$45+MAX(0,H140-Assumptions!$B$44)*Assumptions!$C$44)</f>
        <v>0</v>
      </c>
      <c r="AQ140" s="17" t="n">
        <f aca="false">ROUND(SUMIF(Lines!$B:$B,B140,Lines!$N:$N),2)</f>
        <v>0</v>
      </c>
    </row>
    <row r="141" customFormat="false" ht="15" hidden="false" customHeight="false" outlineLevel="0" collapsed="false">
      <c r="B141" s="14" t="s">
        <v>294</v>
      </c>
      <c r="C141" s="14" t="s">
        <v>259</v>
      </c>
      <c r="D141" s="14" t="s">
        <v>235</v>
      </c>
      <c r="E141" s="24" t="n">
        <v>28</v>
      </c>
      <c r="F141" s="24" t="n">
        <v>192</v>
      </c>
      <c r="G141" s="24" t="n">
        <v>0</v>
      </c>
      <c r="H141" s="26" t="n">
        <f aca="false">SUM(E141:G141)</f>
        <v>220</v>
      </c>
      <c r="I141" s="24" t="n">
        <v>10</v>
      </c>
      <c r="J141" s="24" t="n">
        <v>22</v>
      </c>
      <c r="K141" s="27" t="n">
        <v>0.015</v>
      </c>
      <c r="L141" s="28" t="n">
        <f aca="false">MIN(Assumptions!$C$18,K141*Assumptions!$D$15)</f>
        <v>0.0093</v>
      </c>
      <c r="M141" s="28" t="n">
        <f aca="false">MIN(Assumptions!$C$18,K141*Assumptions!$D$16)</f>
        <v>0.0195</v>
      </c>
      <c r="N141" s="28" t="n">
        <f aca="false">MIN(Assumptions!$C$18,K141*Assumptions!$D$17)</f>
        <v>0.0144</v>
      </c>
      <c r="O141" s="28" t="n">
        <f aca="false">IF(I141&gt;=Assumptions!$B$36,Assumptions!$C$36,IF(I141&gt;=Assumptions!$B$37,Assumptions!$C$37,IF(I141&gt;=Assumptions!$B$38,Assumptions!$C$38,Assumptions!$C$39)))</f>
        <v>0</v>
      </c>
      <c r="P141" s="28" t="n">
        <f aca="false">IF(H141&gt;=Assumptions!$B$44,Assumptions!$C$44,IF(H141&gt;=Assumptions!$B$45,Assumptions!$C$45,IF(H141&gt;=Assumptions!$B$46,Assumptions!$C$46,Assumptions!$C$47)))</f>
        <v>0</v>
      </c>
      <c r="Q141" s="24" t="n">
        <v>0</v>
      </c>
      <c r="R141" s="28" t="n">
        <f aca="false">Q141*Assumptions!$C$51</f>
        <v>0</v>
      </c>
      <c r="S141" s="27" t="n">
        <v>0</v>
      </c>
      <c r="T141" s="27" t="n">
        <v>0</v>
      </c>
      <c r="U141" s="27" t="n">
        <v>0</v>
      </c>
      <c r="V141" s="27" t="n">
        <v>0.01</v>
      </c>
      <c r="W141" s="27" t="n">
        <v>0</v>
      </c>
      <c r="X141" s="28" t="n">
        <f aca="false">P141+R141+SUM(S141:W141)</f>
        <v>0.01</v>
      </c>
      <c r="Y141" s="24" t="n">
        <v>0</v>
      </c>
      <c r="Z141" s="29" t="n">
        <f aca="false">LN(H141)</f>
        <v>5.39362754635236</v>
      </c>
      <c r="AA141" s="17" t="n">
        <f aca="false">ROUND(SUMIF(Lines!$B:$B,B141,Lines!$I:$I),2)</f>
        <v>16048</v>
      </c>
      <c r="AB141" s="17" t="n">
        <f aca="false">ROUND(SUMIF(Lines!$B:$B,B141,Lines!$L:$L),2)</f>
        <v>15777.33</v>
      </c>
      <c r="AC141" s="17" t="n">
        <f aca="false">ROUND(SUMIF(Lines!$B:$B,B141,Lines!$T:$T),2)</f>
        <v>15619.56</v>
      </c>
      <c r="AD141" s="17" t="n">
        <f aca="false">ROUND(SUMIF(Lines!$B:$B,B141,Lines!$U:$U),2)</f>
        <v>9096</v>
      </c>
      <c r="AE141" s="17" t="n">
        <f aca="false">ROUND(SUMIF(Lines!$B:$B,B141,Lines!$V:$V),2)</f>
        <v>315.55</v>
      </c>
      <c r="AF141" s="17" t="n">
        <f aca="false">ROUND(AC141-AD141-AE141,2)</f>
        <v>6208.01</v>
      </c>
      <c r="AG141" s="26" t="n">
        <f aca="false">RANK(AC141,$AC$6:$AC$185)</f>
        <v>173</v>
      </c>
      <c r="AJ141" s="26" t="n">
        <f aca="false">IF(AND(H141&gt;=0.85*Assumptions!$B$44,H141&lt;Assumptions!$B$44),Assumptions!$B$44,IF(AND(H141&gt;=0.85*Assumptions!$B$45,H141&lt;Assumptions!$B$45),Assumptions!$B$45,IF(AND(H141&gt;=0.85*Assumptions!$B$46,H141&lt;Assumptions!$B$46),Assumptions!$B$46,0)))</f>
        <v>0</v>
      </c>
      <c r="AK141" s="26" t="n">
        <f aca="false">IF(AJ141=0,0,AJ141-H141)</f>
        <v>0</v>
      </c>
      <c r="AL141" s="28" t="n">
        <f aca="false">IF(AJ141=Assumptions!$B$44,Assumptions!$C$44,IF(AJ141=Assumptions!$B$45,Assumptions!$C$45,IF(AJ141=Assumptions!$B$46,Assumptions!$C$46,0)))</f>
        <v>0</v>
      </c>
      <c r="AM141" s="17" t="n">
        <f aca="false">IF(AJ141=0,0,AB141*(AL141-P141))</f>
        <v>0</v>
      </c>
      <c r="AN141" s="17" t="n">
        <f aca="false">ROUND(AN125+AM141,2)</f>
        <v>175350.28</v>
      </c>
      <c r="AO141" s="17" t="n">
        <f aca="false">SUMIF(Lines!$B$6:$B$463,$B141,Lines!$M$6:$M$463)</f>
        <v>0</v>
      </c>
      <c r="AP141" s="17" t="n">
        <f aca="false">(AB141/H141)*(MAX(0,MIN(H141,Assumptions!$B$46)-Assumptions!$B$47)*Assumptions!$C$47+MAX(0,MIN(H141,Assumptions!$B$45)-Assumptions!$B$46)*Assumptions!$C$46+MAX(0,MIN(H141,Assumptions!$B$44)-Assumptions!$B$45)*Assumptions!$C$45+MAX(0,H141-Assumptions!$B$44)*Assumptions!$C$44)</f>
        <v>0</v>
      </c>
      <c r="AQ141" s="17" t="n">
        <f aca="false">ROUND(SUMIF(Lines!$B:$B,B141,Lines!$N:$N),2)</f>
        <v>0</v>
      </c>
    </row>
    <row r="142" customFormat="false" ht="15" hidden="false" customHeight="false" outlineLevel="0" collapsed="false">
      <c r="B142" s="14" t="s">
        <v>295</v>
      </c>
      <c r="C142" s="14" t="s">
        <v>259</v>
      </c>
      <c r="D142" s="14" t="s">
        <v>235</v>
      </c>
      <c r="E142" s="24" t="n">
        <v>41</v>
      </c>
      <c r="F142" s="24" t="n">
        <v>711</v>
      </c>
      <c r="G142" s="24" t="n">
        <v>232</v>
      </c>
      <c r="H142" s="26" t="n">
        <f aca="false">SUM(E142:G142)</f>
        <v>984</v>
      </c>
      <c r="I142" s="24" t="n">
        <v>45</v>
      </c>
      <c r="J142" s="24" t="n">
        <v>22</v>
      </c>
      <c r="K142" s="27" t="n">
        <v>0</v>
      </c>
      <c r="L142" s="28" t="n">
        <f aca="false">MIN(Assumptions!$C$18,K142*Assumptions!$D$15)</f>
        <v>0</v>
      </c>
      <c r="M142" s="28" t="n">
        <f aca="false">MIN(Assumptions!$C$18,K142*Assumptions!$D$16)</f>
        <v>0</v>
      </c>
      <c r="N142" s="28" t="n">
        <f aca="false">MIN(Assumptions!$C$18,K142*Assumptions!$D$17)</f>
        <v>0</v>
      </c>
      <c r="O142" s="28" t="n">
        <f aca="false">IF(I142&gt;=Assumptions!$B$36,Assumptions!$C$36,IF(I142&gt;=Assumptions!$B$37,Assumptions!$C$37,IF(I142&gt;=Assumptions!$B$38,Assumptions!$C$38,Assumptions!$C$39)))</f>
        <v>0</v>
      </c>
      <c r="P142" s="28" t="n">
        <f aca="false">IF(H142&gt;=Assumptions!$B$44,Assumptions!$C$44,IF(H142&gt;=Assumptions!$B$45,Assumptions!$C$45,IF(H142&gt;=Assumptions!$B$46,Assumptions!$C$46,Assumptions!$C$47)))</f>
        <v>0</v>
      </c>
      <c r="Q142" s="24" t="n">
        <v>0</v>
      </c>
      <c r="R142" s="28" t="n">
        <f aca="false">Q142*Assumptions!$C$51</f>
        <v>0</v>
      </c>
      <c r="S142" s="27" t="n">
        <v>0</v>
      </c>
      <c r="T142" s="27" t="n">
        <v>0</v>
      </c>
      <c r="U142" s="27" t="n">
        <v>0</v>
      </c>
      <c r="V142" s="27" t="n">
        <v>0.01</v>
      </c>
      <c r="W142" s="27" t="n">
        <v>0</v>
      </c>
      <c r="X142" s="28" t="n">
        <f aca="false">P142+R142+SUM(S142:W142)</f>
        <v>0.01</v>
      </c>
      <c r="Y142" s="24" t="n">
        <v>0</v>
      </c>
      <c r="Z142" s="29" t="n">
        <f aca="false">LN(H142)</f>
        <v>6.89162589705225</v>
      </c>
      <c r="AA142" s="17" t="n">
        <f aca="false">ROUND(SUMIF(Lines!$B:$B,B142,Lines!$I:$I),2)</f>
        <v>72422</v>
      </c>
      <c r="AB142" s="17" t="n">
        <f aca="false">ROUND(SUMIF(Lines!$B:$B,B142,Lines!$L:$L),2)</f>
        <v>72422</v>
      </c>
      <c r="AC142" s="17" t="n">
        <f aca="false">ROUND(SUMIF(Lines!$B:$B,B142,Lines!$T:$T),2)</f>
        <v>71697.78</v>
      </c>
      <c r="AD142" s="17" t="n">
        <f aca="false">ROUND(SUMIF(Lines!$B:$B,B142,Lines!$U:$U),2)</f>
        <v>42250</v>
      </c>
      <c r="AE142" s="17" t="n">
        <f aca="false">ROUND(SUMIF(Lines!$B:$B,B142,Lines!$V:$V),2)</f>
        <v>1448.44</v>
      </c>
      <c r="AF142" s="17" t="n">
        <f aca="false">ROUND(AC142-AD142-AE142,2)</f>
        <v>27999.34</v>
      </c>
      <c r="AG142" s="26" t="n">
        <f aca="false">RANK(AC142,$AC$6:$AC$185)</f>
        <v>132</v>
      </c>
      <c r="AJ142" s="26" t="n">
        <f aca="false">IF(AND(H142&gt;=0.85*Assumptions!$B$44,H142&lt;Assumptions!$B$44),Assumptions!$B$44,IF(AND(H142&gt;=0.85*Assumptions!$B$45,H142&lt;Assumptions!$B$45),Assumptions!$B$45,IF(AND(H142&gt;=0.85*Assumptions!$B$46,H142&lt;Assumptions!$B$46),Assumptions!$B$46,0)))</f>
        <v>0</v>
      </c>
      <c r="AK142" s="26" t="n">
        <f aca="false">IF(AJ142=0,0,AJ142-H142)</f>
        <v>0</v>
      </c>
      <c r="AL142" s="28" t="n">
        <f aca="false">IF(AJ142=Assumptions!$B$44,Assumptions!$C$44,IF(AJ142=Assumptions!$B$45,Assumptions!$C$45,IF(AJ142=Assumptions!$B$46,Assumptions!$C$46,0)))</f>
        <v>0</v>
      </c>
      <c r="AM142" s="17" t="n">
        <f aca="false">IF(AJ142=0,0,AB142*(AL142-P142))</f>
        <v>0</v>
      </c>
      <c r="AN142" s="17" t="n">
        <f aca="false">ROUND(AN126+AM142,2)</f>
        <v>175350.28</v>
      </c>
      <c r="AO142" s="17" t="n">
        <f aca="false">SUMIF(Lines!$B$6:$B$463,$B142,Lines!$M$6:$M$463)</f>
        <v>0</v>
      </c>
      <c r="AP142" s="17" t="n">
        <f aca="false">(AB142/H142)*(MAX(0,MIN(H142,Assumptions!$B$46)-Assumptions!$B$47)*Assumptions!$C$47+MAX(0,MIN(H142,Assumptions!$B$45)-Assumptions!$B$46)*Assumptions!$C$46+MAX(0,MIN(H142,Assumptions!$B$44)-Assumptions!$B$45)*Assumptions!$C$45+MAX(0,H142-Assumptions!$B$44)*Assumptions!$C$44)</f>
        <v>0</v>
      </c>
      <c r="AQ142" s="17" t="n">
        <f aca="false">ROUND(SUMIF(Lines!$B:$B,B142,Lines!$N:$N),2)</f>
        <v>0</v>
      </c>
    </row>
    <row r="143" customFormat="false" ht="15" hidden="false" customHeight="false" outlineLevel="0" collapsed="false">
      <c r="B143" s="14" t="s">
        <v>296</v>
      </c>
      <c r="C143" s="14" t="s">
        <v>259</v>
      </c>
      <c r="D143" s="14" t="s">
        <v>235</v>
      </c>
      <c r="E143" s="24" t="n">
        <v>0</v>
      </c>
      <c r="F143" s="24" t="n">
        <v>104</v>
      </c>
      <c r="G143" s="24" t="n">
        <v>45</v>
      </c>
      <c r="H143" s="26" t="n">
        <f aca="false">SUM(E143:G143)</f>
        <v>149</v>
      </c>
      <c r="I143" s="24" t="n">
        <v>25</v>
      </c>
      <c r="J143" s="24" t="n">
        <v>6</v>
      </c>
      <c r="K143" s="27" t="n">
        <v>0.035</v>
      </c>
      <c r="L143" s="28" t="n">
        <f aca="false">MIN(Assumptions!$C$18,K143*Assumptions!$D$15)</f>
        <v>0.0217</v>
      </c>
      <c r="M143" s="28" t="n">
        <f aca="false">MIN(Assumptions!$C$18,K143*Assumptions!$D$16)</f>
        <v>0.0455</v>
      </c>
      <c r="N143" s="28" t="n">
        <f aca="false">MIN(Assumptions!$C$18,K143*Assumptions!$D$17)</f>
        <v>0.0336</v>
      </c>
      <c r="O143" s="28" t="n">
        <f aca="false">IF(I143&gt;=Assumptions!$B$36,Assumptions!$C$36,IF(I143&gt;=Assumptions!$B$37,Assumptions!$C$37,IF(I143&gt;=Assumptions!$B$38,Assumptions!$C$38,Assumptions!$C$39)))</f>
        <v>0</v>
      </c>
      <c r="P143" s="28" t="n">
        <f aca="false">IF(H143&gt;=Assumptions!$B$44,Assumptions!$C$44,IF(H143&gt;=Assumptions!$B$45,Assumptions!$C$45,IF(H143&gt;=Assumptions!$B$46,Assumptions!$C$46,Assumptions!$C$47)))</f>
        <v>0</v>
      </c>
      <c r="Q143" s="24" t="n">
        <v>0</v>
      </c>
      <c r="R143" s="28" t="n">
        <f aca="false">Q143*Assumptions!$C$51</f>
        <v>0</v>
      </c>
      <c r="S143" s="27" t="n">
        <v>0</v>
      </c>
      <c r="T143" s="27" t="n">
        <v>0</v>
      </c>
      <c r="U143" s="27" t="n">
        <v>0</v>
      </c>
      <c r="V143" s="27" t="n">
        <v>0.01</v>
      </c>
      <c r="W143" s="27" t="n">
        <v>0</v>
      </c>
      <c r="X143" s="28" t="n">
        <f aca="false">P143+R143+SUM(S143:W143)</f>
        <v>0.01</v>
      </c>
      <c r="Y143" s="24" t="n">
        <v>0</v>
      </c>
      <c r="Z143" s="29" t="n">
        <f aca="false">LN(H143)</f>
        <v>5.00394630594546</v>
      </c>
      <c r="AA143" s="17" t="n">
        <f aca="false">ROUND(SUMIF(Lines!$B:$B,B143,Lines!$I:$I),2)</f>
        <v>10768</v>
      </c>
      <c r="AB143" s="17" t="n">
        <f aca="false">ROUND(SUMIF(Lines!$B:$B,B143,Lines!$L:$L),2)</f>
        <v>10329.47</v>
      </c>
      <c r="AC143" s="17" t="n">
        <f aca="false">ROUND(SUMIF(Lines!$B:$B,B143,Lines!$T:$T),2)</f>
        <v>10226.17</v>
      </c>
      <c r="AD143" s="17" t="n">
        <f aca="false">ROUND(SUMIF(Lines!$B:$B,B143,Lines!$U:$U),2)</f>
        <v>6354</v>
      </c>
      <c r="AE143" s="17" t="n">
        <f aca="false">ROUND(SUMIF(Lines!$B:$B,B143,Lines!$V:$V),2)</f>
        <v>206.59</v>
      </c>
      <c r="AF143" s="17" t="n">
        <f aca="false">ROUND(AC143-AD143-AE143,2)</f>
        <v>3665.58</v>
      </c>
      <c r="AG143" s="26" t="n">
        <f aca="false">RANK(AC143,$AC$6:$AC$185)</f>
        <v>177</v>
      </c>
      <c r="AJ143" s="26" t="n">
        <f aca="false">IF(AND(H143&gt;=0.85*Assumptions!$B$44,H143&lt;Assumptions!$B$44),Assumptions!$B$44,IF(AND(H143&gt;=0.85*Assumptions!$B$45,H143&lt;Assumptions!$B$45),Assumptions!$B$45,IF(AND(H143&gt;=0.85*Assumptions!$B$46,H143&lt;Assumptions!$B$46),Assumptions!$B$46,0)))</f>
        <v>0</v>
      </c>
      <c r="AK143" s="26" t="n">
        <f aca="false">IF(AJ143=0,0,AJ143-H143)</f>
        <v>0</v>
      </c>
      <c r="AL143" s="28" t="n">
        <f aca="false">IF(AJ143=Assumptions!$B$44,Assumptions!$C$44,IF(AJ143=Assumptions!$B$45,Assumptions!$C$45,IF(AJ143=Assumptions!$B$46,Assumptions!$C$46,0)))</f>
        <v>0</v>
      </c>
      <c r="AM143" s="17" t="n">
        <f aca="false">IF(AJ143=0,0,AB143*(AL143-P143))</f>
        <v>0</v>
      </c>
      <c r="AN143" s="17" t="n">
        <f aca="false">ROUND(AN127+AM143,2)</f>
        <v>175350.28</v>
      </c>
      <c r="AO143" s="17" t="n">
        <f aca="false">SUMIF(Lines!$B$6:$B$463,$B143,Lines!$M$6:$M$463)</f>
        <v>0</v>
      </c>
      <c r="AP143" s="17" t="n">
        <f aca="false">(AB143/H143)*(MAX(0,MIN(H143,Assumptions!$B$46)-Assumptions!$B$47)*Assumptions!$C$47+MAX(0,MIN(H143,Assumptions!$B$45)-Assumptions!$B$46)*Assumptions!$C$46+MAX(0,MIN(H143,Assumptions!$B$44)-Assumptions!$B$45)*Assumptions!$C$45+MAX(0,H143-Assumptions!$B$44)*Assumptions!$C$44)</f>
        <v>0</v>
      </c>
      <c r="AQ143" s="17" t="n">
        <f aca="false">ROUND(SUMIF(Lines!$B:$B,B143,Lines!$N:$N),2)</f>
        <v>0</v>
      </c>
    </row>
    <row r="144" customFormat="false" ht="15" hidden="false" customHeight="false" outlineLevel="0" collapsed="false">
      <c r="B144" s="14" t="s">
        <v>297</v>
      </c>
      <c r="C144" s="14" t="s">
        <v>259</v>
      </c>
      <c r="D144" s="14" t="s">
        <v>235</v>
      </c>
      <c r="E144" s="24" t="n">
        <v>0</v>
      </c>
      <c r="F144" s="24" t="n">
        <v>0</v>
      </c>
      <c r="G144" s="24" t="n">
        <v>59</v>
      </c>
      <c r="H144" s="26" t="n">
        <f aca="false">SUM(E144:G144)</f>
        <v>59</v>
      </c>
      <c r="I144" s="24" t="n">
        <v>32</v>
      </c>
      <c r="J144" s="24" t="n">
        <v>2</v>
      </c>
      <c r="K144" s="27" t="n">
        <v>0</v>
      </c>
      <c r="L144" s="28" t="n">
        <f aca="false">MIN(Assumptions!$C$18,K144*Assumptions!$D$15)</f>
        <v>0</v>
      </c>
      <c r="M144" s="28" t="n">
        <f aca="false">MIN(Assumptions!$C$18,K144*Assumptions!$D$16)</f>
        <v>0</v>
      </c>
      <c r="N144" s="28" t="n">
        <f aca="false">MIN(Assumptions!$C$18,K144*Assumptions!$D$17)</f>
        <v>0</v>
      </c>
      <c r="O144" s="28" t="n">
        <f aca="false">IF(I144&gt;=Assumptions!$B$36,Assumptions!$C$36,IF(I144&gt;=Assumptions!$B$37,Assumptions!$C$37,IF(I144&gt;=Assumptions!$B$38,Assumptions!$C$38,Assumptions!$C$39)))</f>
        <v>0</v>
      </c>
      <c r="P144" s="28" t="n">
        <f aca="false">IF(H144&gt;=Assumptions!$B$44,Assumptions!$C$44,IF(H144&gt;=Assumptions!$B$45,Assumptions!$C$45,IF(H144&gt;=Assumptions!$B$46,Assumptions!$C$46,Assumptions!$C$47)))</f>
        <v>0</v>
      </c>
      <c r="Q144" s="24" t="n">
        <v>0</v>
      </c>
      <c r="R144" s="28" t="n">
        <f aca="false">Q144*Assumptions!$C$51</f>
        <v>0</v>
      </c>
      <c r="S144" s="27" t="n">
        <v>0</v>
      </c>
      <c r="T144" s="27" t="n">
        <v>0</v>
      </c>
      <c r="U144" s="27" t="n">
        <v>0</v>
      </c>
      <c r="V144" s="27" t="n">
        <v>0.01</v>
      </c>
      <c r="W144" s="27" t="n">
        <v>0</v>
      </c>
      <c r="X144" s="28" t="n">
        <f aca="false">P144+R144+SUM(S144:W144)</f>
        <v>0.01</v>
      </c>
      <c r="Y144" s="24" t="n">
        <v>0</v>
      </c>
      <c r="Z144" s="29" t="n">
        <f aca="false">LN(H144)</f>
        <v>4.07753744390572</v>
      </c>
      <c r="AA144" s="17" t="n">
        <f aca="false">ROUND(SUMIF(Lines!$B:$B,B144,Lines!$I:$I),2)</f>
        <v>5664</v>
      </c>
      <c r="AB144" s="17" t="n">
        <f aca="false">ROUND(SUMIF(Lines!$B:$B,B144,Lines!$L:$L),2)</f>
        <v>5664</v>
      </c>
      <c r="AC144" s="17" t="n">
        <f aca="false">ROUND(SUMIF(Lines!$B:$B,B144,Lines!$T:$T),2)</f>
        <v>5607.36</v>
      </c>
      <c r="AD144" s="17" t="n">
        <f aca="false">ROUND(SUMIF(Lines!$B:$B,B144,Lines!$U:$U),2)</f>
        <v>3422</v>
      </c>
      <c r="AE144" s="17" t="n">
        <f aca="false">ROUND(SUMIF(Lines!$B:$B,B144,Lines!$V:$V),2)</f>
        <v>113.28</v>
      </c>
      <c r="AF144" s="17" t="n">
        <f aca="false">ROUND(AC144-AD144-AE144,2)</f>
        <v>2072.08</v>
      </c>
      <c r="AG144" s="26" t="n">
        <f aca="false">RANK(AC144,$AC$6:$AC$185)</f>
        <v>180</v>
      </c>
      <c r="AJ144" s="26" t="n">
        <f aca="false">IF(AND(H144&gt;=0.85*Assumptions!$B$44,H144&lt;Assumptions!$B$44),Assumptions!$B$44,IF(AND(H144&gt;=0.85*Assumptions!$B$45,H144&lt;Assumptions!$B$45),Assumptions!$B$45,IF(AND(H144&gt;=0.85*Assumptions!$B$46,H144&lt;Assumptions!$B$46),Assumptions!$B$46,0)))</f>
        <v>0</v>
      </c>
      <c r="AK144" s="26" t="n">
        <f aca="false">IF(AJ144=0,0,AJ144-H144)</f>
        <v>0</v>
      </c>
      <c r="AL144" s="28" t="n">
        <f aca="false">IF(AJ144=Assumptions!$B$44,Assumptions!$C$44,IF(AJ144=Assumptions!$B$45,Assumptions!$C$45,IF(AJ144=Assumptions!$B$46,Assumptions!$C$46,0)))</f>
        <v>0</v>
      </c>
      <c r="AM144" s="17" t="n">
        <f aca="false">IF(AJ144=0,0,AB144*(AL144-P144))</f>
        <v>0</v>
      </c>
      <c r="AN144" s="17" t="n">
        <f aca="false">ROUND(AN128+AM144,2)</f>
        <v>175350.28</v>
      </c>
      <c r="AO144" s="17" t="n">
        <f aca="false">SUMIF(Lines!$B$6:$B$463,$B144,Lines!$M$6:$M$463)</f>
        <v>0</v>
      </c>
      <c r="AP144" s="17" t="n">
        <f aca="false">(AB144/H144)*(MAX(0,MIN(H144,Assumptions!$B$46)-Assumptions!$B$47)*Assumptions!$C$47+MAX(0,MIN(H144,Assumptions!$B$45)-Assumptions!$B$46)*Assumptions!$C$46+MAX(0,MIN(H144,Assumptions!$B$44)-Assumptions!$B$45)*Assumptions!$C$45+MAX(0,H144-Assumptions!$B$44)*Assumptions!$C$44)</f>
        <v>0</v>
      </c>
      <c r="AQ144" s="17" t="n">
        <f aca="false">ROUND(SUMIF(Lines!$B:$B,B144,Lines!$N:$N),2)</f>
        <v>0</v>
      </c>
    </row>
    <row r="145" customFormat="false" ht="15" hidden="false" customHeight="false" outlineLevel="0" collapsed="false">
      <c r="B145" s="14" t="s">
        <v>298</v>
      </c>
      <c r="C145" s="14" t="s">
        <v>259</v>
      </c>
      <c r="D145" s="14" t="s">
        <v>235</v>
      </c>
      <c r="E145" s="24" t="n">
        <v>280</v>
      </c>
      <c r="F145" s="24" t="n">
        <v>846</v>
      </c>
      <c r="G145" s="24" t="n">
        <v>312</v>
      </c>
      <c r="H145" s="26" t="n">
        <f aca="false">SUM(E145:G145)</f>
        <v>1438</v>
      </c>
      <c r="I145" s="24" t="n">
        <v>52</v>
      </c>
      <c r="J145" s="24" t="n">
        <v>28</v>
      </c>
      <c r="K145" s="27" t="n">
        <v>0.065</v>
      </c>
      <c r="L145" s="28" t="n">
        <f aca="false">MIN(Assumptions!$C$18,K145*Assumptions!$D$15)</f>
        <v>0.0403</v>
      </c>
      <c r="M145" s="28" t="n">
        <f aca="false">MIN(Assumptions!$C$18,K145*Assumptions!$D$16)</f>
        <v>0.0845</v>
      </c>
      <c r="N145" s="28" t="n">
        <f aca="false">MIN(Assumptions!$C$18,K145*Assumptions!$D$17)</f>
        <v>0.0624</v>
      </c>
      <c r="O145" s="28" t="n">
        <f aca="false">IF(I145&gt;=Assumptions!$B$36,Assumptions!$C$36,IF(I145&gt;=Assumptions!$B$37,Assumptions!$C$37,IF(I145&gt;=Assumptions!$B$38,Assumptions!$C$38,Assumptions!$C$39)))</f>
        <v>0.02</v>
      </c>
      <c r="P145" s="28" t="n">
        <f aca="false">IF(H145&gt;=Assumptions!$B$44,Assumptions!$C$44,IF(H145&gt;=Assumptions!$B$45,Assumptions!$C$45,IF(H145&gt;=Assumptions!$B$46,Assumptions!$C$46,Assumptions!$C$47)))</f>
        <v>0</v>
      </c>
      <c r="Q145" s="24" t="n">
        <v>0</v>
      </c>
      <c r="R145" s="28" t="n">
        <f aca="false">Q145*Assumptions!$C$51</f>
        <v>0</v>
      </c>
      <c r="S145" s="27" t="n">
        <v>0</v>
      </c>
      <c r="T145" s="27" t="n">
        <v>0</v>
      </c>
      <c r="U145" s="27" t="n">
        <v>0</v>
      </c>
      <c r="V145" s="27" t="n">
        <v>0.01</v>
      </c>
      <c r="W145" s="27" t="n">
        <v>0</v>
      </c>
      <c r="X145" s="28" t="n">
        <f aca="false">P145+R145+SUM(S145:W145)</f>
        <v>0.01</v>
      </c>
      <c r="Y145" s="24" t="n">
        <v>0</v>
      </c>
      <c r="Z145" s="29" t="n">
        <f aca="false">LN(H145)</f>
        <v>7.27100853828099</v>
      </c>
      <c r="AA145" s="17" t="n">
        <f aca="false">ROUND(SUMIF(Lines!$B:$B,B145,Lines!$I:$I),2)</f>
        <v>123844</v>
      </c>
      <c r="AB145" s="17" t="n">
        <f aca="false">ROUND(SUMIF(Lines!$B:$B,B145,Lines!$L:$L),2)</f>
        <v>113395.9</v>
      </c>
      <c r="AC145" s="17" t="n">
        <f aca="false">ROUND(SUMIF(Lines!$B:$B,B145,Lines!$T:$T),2)</f>
        <v>112261.94</v>
      </c>
      <c r="AD145" s="17" t="n">
        <f aca="false">ROUND(SUMIF(Lines!$B:$B,B145,Lines!$U:$U),2)</f>
        <v>70392</v>
      </c>
      <c r="AE145" s="17" t="n">
        <f aca="false">ROUND(SUMIF(Lines!$B:$B,B145,Lines!$V:$V),2)</f>
        <v>2267.92</v>
      </c>
      <c r="AF145" s="17" t="n">
        <f aca="false">ROUND(AC145-AD145-AE145,2)</f>
        <v>39602.02</v>
      </c>
      <c r="AG145" s="26" t="n">
        <f aca="false">RANK(AC145,$AC$6:$AC$185)</f>
        <v>104</v>
      </c>
      <c r="AJ145" s="26" t="n">
        <f aca="false">IF(AND(H145&gt;=0.85*Assumptions!$B$44,H145&lt;Assumptions!$B$44),Assumptions!$B$44,IF(AND(H145&gt;=0.85*Assumptions!$B$45,H145&lt;Assumptions!$B$45),Assumptions!$B$45,IF(AND(H145&gt;=0.85*Assumptions!$B$46,H145&lt;Assumptions!$B$46),Assumptions!$B$46,0)))</f>
        <v>0</v>
      </c>
      <c r="AK145" s="26" t="n">
        <f aca="false">IF(AJ145=0,0,AJ145-H145)</f>
        <v>0</v>
      </c>
      <c r="AL145" s="28" t="n">
        <f aca="false">IF(AJ145=Assumptions!$B$44,Assumptions!$C$44,IF(AJ145=Assumptions!$B$45,Assumptions!$C$45,IF(AJ145=Assumptions!$B$46,Assumptions!$C$46,0)))</f>
        <v>0</v>
      </c>
      <c r="AM145" s="17" t="n">
        <f aca="false">IF(AJ145=0,0,AB145*(AL145-P145))</f>
        <v>0</v>
      </c>
      <c r="AN145" s="17" t="n">
        <f aca="false">ROUND(AN129+AM145,2)</f>
        <v>175350.28</v>
      </c>
      <c r="AO145" s="17" t="n">
        <f aca="false">SUMIF(Lines!$B$6:$B$463,$B145,Lines!$M$6:$M$463)</f>
        <v>0</v>
      </c>
      <c r="AP145" s="17" t="n">
        <f aca="false">(AB145/H145)*(MAX(0,MIN(H145,Assumptions!$B$46)-Assumptions!$B$47)*Assumptions!$C$47+MAX(0,MIN(H145,Assumptions!$B$45)-Assumptions!$B$46)*Assumptions!$C$46+MAX(0,MIN(H145,Assumptions!$B$44)-Assumptions!$B$45)*Assumptions!$C$45+MAX(0,H145-Assumptions!$B$44)*Assumptions!$C$44)</f>
        <v>0</v>
      </c>
      <c r="AQ145" s="17" t="n">
        <f aca="false">ROUND(SUMIF(Lines!$B:$B,B145,Lines!$N:$N),2)</f>
        <v>0</v>
      </c>
    </row>
    <row r="146" customFormat="false" ht="15" hidden="false" customHeight="false" outlineLevel="0" collapsed="false">
      <c r="B146" s="14" t="s">
        <v>299</v>
      </c>
      <c r="C146" s="14" t="s">
        <v>259</v>
      </c>
      <c r="D146" s="14" t="s">
        <v>235</v>
      </c>
      <c r="E146" s="24" t="n">
        <v>0</v>
      </c>
      <c r="F146" s="24" t="n">
        <v>499</v>
      </c>
      <c r="G146" s="24" t="n">
        <v>0</v>
      </c>
      <c r="H146" s="26" t="n">
        <f aca="false">SUM(E146:G146)</f>
        <v>499</v>
      </c>
      <c r="I146" s="24" t="n">
        <v>56</v>
      </c>
      <c r="J146" s="24" t="n">
        <v>9</v>
      </c>
      <c r="K146" s="27" t="n">
        <v>0.025</v>
      </c>
      <c r="L146" s="28" t="n">
        <f aca="false">MIN(Assumptions!$C$18,K146*Assumptions!$D$15)</f>
        <v>0.0155</v>
      </c>
      <c r="M146" s="28" t="n">
        <f aca="false">MIN(Assumptions!$C$18,K146*Assumptions!$D$16)</f>
        <v>0.0325</v>
      </c>
      <c r="N146" s="28" t="n">
        <f aca="false">MIN(Assumptions!$C$18,K146*Assumptions!$D$17)</f>
        <v>0.024</v>
      </c>
      <c r="O146" s="28" t="n">
        <f aca="false">IF(I146&gt;=Assumptions!$B$36,Assumptions!$C$36,IF(I146&gt;=Assumptions!$B$37,Assumptions!$C$37,IF(I146&gt;=Assumptions!$B$38,Assumptions!$C$38,Assumptions!$C$39)))</f>
        <v>0.02</v>
      </c>
      <c r="P146" s="28" t="n">
        <f aca="false">IF(H146&gt;=Assumptions!$B$44,Assumptions!$C$44,IF(H146&gt;=Assumptions!$B$45,Assumptions!$C$45,IF(H146&gt;=Assumptions!$B$46,Assumptions!$C$46,Assumptions!$C$47)))</f>
        <v>0</v>
      </c>
      <c r="Q146" s="24" t="n">
        <v>0</v>
      </c>
      <c r="R146" s="28" t="n">
        <f aca="false">Q146*Assumptions!$C$51</f>
        <v>0</v>
      </c>
      <c r="S146" s="27" t="n">
        <v>0</v>
      </c>
      <c r="T146" s="27" t="n">
        <v>0</v>
      </c>
      <c r="U146" s="27" t="n">
        <v>0</v>
      </c>
      <c r="V146" s="27" t="n">
        <v>0.01</v>
      </c>
      <c r="W146" s="27" t="n">
        <v>0</v>
      </c>
      <c r="X146" s="28" t="n">
        <f aca="false">P146+R146+SUM(S146:W146)</f>
        <v>0.01</v>
      </c>
      <c r="Y146" s="24" t="n">
        <v>0</v>
      </c>
      <c r="Z146" s="29" t="n">
        <f aca="false">LN(H146)</f>
        <v>6.21260609575152</v>
      </c>
      <c r="AA146" s="17" t="n">
        <f aca="false">ROUND(SUMIF(Lines!$B:$B,B146,Lines!$I:$I),2)</f>
        <v>30938</v>
      </c>
      <c r="AB146" s="17" t="n">
        <f aca="false">ROUND(SUMIF(Lines!$B:$B,B146,Lines!$L:$L),2)</f>
        <v>29313.75</v>
      </c>
      <c r="AC146" s="17" t="n">
        <f aca="false">ROUND(SUMIF(Lines!$B:$B,B146,Lines!$T:$T),2)</f>
        <v>29020.61</v>
      </c>
      <c r="AD146" s="17" t="n">
        <f aca="false">ROUND(SUMIF(Lines!$B:$B,B146,Lines!$U:$U),2)</f>
        <v>17964</v>
      </c>
      <c r="AE146" s="17" t="n">
        <f aca="false">ROUND(SUMIF(Lines!$B:$B,B146,Lines!$V:$V),2)</f>
        <v>586.28</v>
      </c>
      <c r="AF146" s="17" t="n">
        <f aca="false">ROUND(AC146-AD146-AE146,2)</f>
        <v>10470.33</v>
      </c>
      <c r="AG146" s="26" t="n">
        <f aca="false">RANK(AC146,$AC$6:$AC$185)</f>
        <v>165</v>
      </c>
      <c r="AJ146" s="26" t="n">
        <f aca="false">IF(AND(H146&gt;=0.85*Assumptions!$B$44,H146&lt;Assumptions!$B$44),Assumptions!$B$44,IF(AND(H146&gt;=0.85*Assumptions!$B$45,H146&lt;Assumptions!$B$45),Assumptions!$B$45,IF(AND(H146&gt;=0.85*Assumptions!$B$46,H146&lt;Assumptions!$B$46),Assumptions!$B$46,0)))</f>
        <v>0</v>
      </c>
      <c r="AK146" s="26" t="n">
        <f aca="false">IF(AJ146=0,0,AJ146-H146)</f>
        <v>0</v>
      </c>
      <c r="AL146" s="28" t="n">
        <f aca="false">IF(AJ146=Assumptions!$B$44,Assumptions!$C$44,IF(AJ146=Assumptions!$B$45,Assumptions!$C$45,IF(AJ146=Assumptions!$B$46,Assumptions!$C$46,0)))</f>
        <v>0</v>
      </c>
      <c r="AM146" s="17" t="n">
        <f aca="false">IF(AJ146=0,0,AB146*(AL146-P146))</f>
        <v>0</v>
      </c>
      <c r="AN146" s="17" t="n">
        <f aca="false">ROUND(AN130+AM146,2)</f>
        <v>175350.28</v>
      </c>
      <c r="AO146" s="17" t="n">
        <f aca="false">SUMIF(Lines!$B$6:$B$463,$B146,Lines!$M$6:$M$463)</f>
        <v>0</v>
      </c>
      <c r="AP146" s="17" t="n">
        <f aca="false">(AB146/H146)*(MAX(0,MIN(H146,Assumptions!$B$46)-Assumptions!$B$47)*Assumptions!$C$47+MAX(0,MIN(H146,Assumptions!$B$45)-Assumptions!$B$46)*Assumptions!$C$46+MAX(0,MIN(H146,Assumptions!$B$44)-Assumptions!$B$45)*Assumptions!$C$45+MAX(0,H146-Assumptions!$B$44)*Assumptions!$C$44)</f>
        <v>0</v>
      </c>
      <c r="AQ146" s="17" t="n">
        <f aca="false">ROUND(SUMIF(Lines!$B:$B,B146,Lines!$N:$N),2)</f>
        <v>0</v>
      </c>
    </row>
    <row r="147" customFormat="false" ht="15" hidden="false" customHeight="false" outlineLevel="0" collapsed="false">
      <c r="B147" s="14" t="s">
        <v>300</v>
      </c>
      <c r="C147" s="14" t="s">
        <v>259</v>
      </c>
      <c r="D147" s="14" t="s">
        <v>235</v>
      </c>
      <c r="E147" s="24" t="n">
        <v>0</v>
      </c>
      <c r="F147" s="24" t="n">
        <v>2040</v>
      </c>
      <c r="G147" s="24" t="n">
        <v>1087</v>
      </c>
      <c r="H147" s="26" t="n">
        <f aca="false">SUM(E147:G147)</f>
        <v>3127</v>
      </c>
      <c r="I147" s="24" t="n">
        <v>71</v>
      </c>
      <c r="J147" s="24" t="n">
        <v>44</v>
      </c>
      <c r="K147" s="27" t="n">
        <v>0.075</v>
      </c>
      <c r="L147" s="28" t="n">
        <f aca="false">MIN(Assumptions!$C$18,K147*Assumptions!$D$15)</f>
        <v>0.0465</v>
      </c>
      <c r="M147" s="28" t="n">
        <f aca="false">MIN(Assumptions!$C$18,K147*Assumptions!$D$16)</f>
        <v>0.0975</v>
      </c>
      <c r="N147" s="28" t="n">
        <f aca="false">MIN(Assumptions!$C$18,K147*Assumptions!$D$17)</f>
        <v>0.072</v>
      </c>
      <c r="O147" s="28" t="n">
        <f aca="false">IF(I147&gt;=Assumptions!$B$36,Assumptions!$C$36,IF(I147&gt;=Assumptions!$B$37,Assumptions!$C$37,IF(I147&gt;=Assumptions!$B$38,Assumptions!$C$38,Assumptions!$C$39)))</f>
        <v>0.02</v>
      </c>
      <c r="P147" s="28" t="n">
        <f aca="false">IF(H147&gt;=Assumptions!$B$44,Assumptions!$C$44,IF(H147&gt;=Assumptions!$B$45,Assumptions!$C$45,IF(H147&gt;=Assumptions!$B$46,Assumptions!$C$46,Assumptions!$C$47)))</f>
        <v>0.02</v>
      </c>
      <c r="Q147" s="24" t="n">
        <v>0</v>
      </c>
      <c r="R147" s="28" t="n">
        <f aca="false">Q147*Assumptions!$C$51</f>
        <v>0</v>
      </c>
      <c r="S147" s="27" t="n">
        <v>0</v>
      </c>
      <c r="T147" s="27" t="n">
        <v>0</v>
      </c>
      <c r="U147" s="27" t="n">
        <v>0</v>
      </c>
      <c r="V147" s="27" t="n">
        <v>0.01</v>
      </c>
      <c r="W147" s="27" t="n">
        <v>0</v>
      </c>
      <c r="X147" s="28" t="n">
        <f aca="false">P147+R147+SUM(S147:W147)</f>
        <v>0.03</v>
      </c>
      <c r="Y147" s="24" t="n">
        <v>0</v>
      </c>
      <c r="Z147" s="29" t="n">
        <f aca="false">LN(H147)</f>
        <v>8.04782935745784</v>
      </c>
      <c r="AA147" s="17" t="n">
        <f aca="false">ROUND(SUMIF(Lines!$B:$B,B147,Lines!$I:$I),2)</f>
        <v>230832</v>
      </c>
      <c r="AB147" s="17" t="n">
        <f aca="false">ROUND(SUMIF(Lines!$B:$B,B147,Lines!$L:$L),2)</f>
        <v>206370.22</v>
      </c>
      <c r="AC147" s="17" t="n">
        <f aca="false">ROUND(SUMIF(Lines!$B:$B,B147,Lines!$T:$T),2)</f>
        <v>200179.11</v>
      </c>
      <c r="AD147" s="17" t="n">
        <f aca="false">ROUND(SUMIF(Lines!$B:$B,B147,Lines!$U:$U),2)</f>
        <v>136486</v>
      </c>
      <c r="AE147" s="17" t="n">
        <f aca="false">ROUND(SUMIF(Lines!$B:$B,B147,Lines!$V:$V),2)</f>
        <v>4127.4</v>
      </c>
      <c r="AF147" s="17" t="n">
        <f aca="false">ROUND(AC147-AD147-AE147,2)</f>
        <v>59565.71</v>
      </c>
      <c r="AG147" s="26" t="n">
        <f aca="false">RANK(AC147,$AC$6:$AC$185)</f>
        <v>70</v>
      </c>
      <c r="AJ147" s="26" t="n">
        <f aca="false">IF(AND(H147&gt;=0.85*Assumptions!$B$44,H147&lt;Assumptions!$B$44),Assumptions!$B$44,IF(AND(H147&gt;=0.85*Assumptions!$B$45,H147&lt;Assumptions!$B$45),Assumptions!$B$45,IF(AND(H147&gt;=0.85*Assumptions!$B$46,H147&lt;Assumptions!$B$46),Assumptions!$B$46,0)))</f>
        <v>0</v>
      </c>
      <c r="AK147" s="26" t="n">
        <f aca="false">IF(AJ147=0,0,AJ147-H147)</f>
        <v>0</v>
      </c>
      <c r="AL147" s="28" t="n">
        <f aca="false">IF(AJ147=Assumptions!$B$44,Assumptions!$C$44,IF(AJ147=Assumptions!$B$45,Assumptions!$C$45,IF(AJ147=Assumptions!$B$46,Assumptions!$C$46,0)))</f>
        <v>0</v>
      </c>
      <c r="AM147" s="17" t="n">
        <f aca="false">IF(AJ147=0,0,AB147*(AL147-P147))</f>
        <v>0</v>
      </c>
      <c r="AN147" s="17" t="n">
        <f aca="false">ROUND(AN131+AM147,2)</f>
        <v>175350.28</v>
      </c>
      <c r="AO147" s="17" t="n">
        <f aca="false">SUMIF(Lines!$B$6:$B$463,$B147,Lines!$M$6:$M$463)</f>
        <v>4127.4</v>
      </c>
      <c r="AP147" s="17" t="n">
        <f aca="false">(AB147/H147)*(MAX(0,MIN(H147,Assumptions!$B$46)-Assumptions!$B$47)*Assumptions!$C$47+MAX(0,MIN(H147,Assumptions!$B$45)-Assumptions!$B$46)*Assumptions!$C$46+MAX(0,MIN(H147,Assumptions!$B$44)-Assumptions!$B$45)*Assumptions!$C$45+MAX(0,H147-Assumptions!$B$44)*Assumptions!$C$44)</f>
        <v>167.630431339942</v>
      </c>
      <c r="AQ147" s="17" t="n">
        <f aca="false">ROUND(SUMIF(Lines!$B:$B,B147,Lines!$N:$N),2)</f>
        <v>0</v>
      </c>
    </row>
    <row r="148" customFormat="false" ht="15" hidden="false" customHeight="false" outlineLevel="0" collapsed="false">
      <c r="B148" s="14" t="s">
        <v>301</v>
      </c>
      <c r="C148" s="14" t="s">
        <v>259</v>
      </c>
      <c r="D148" s="14" t="s">
        <v>235</v>
      </c>
      <c r="E148" s="24" t="n">
        <v>145</v>
      </c>
      <c r="F148" s="24" t="n">
        <v>567</v>
      </c>
      <c r="G148" s="24" t="n">
        <v>152</v>
      </c>
      <c r="H148" s="26" t="n">
        <f aca="false">SUM(E148:G148)</f>
        <v>864</v>
      </c>
      <c r="I148" s="24" t="n">
        <v>37</v>
      </c>
      <c r="J148" s="24" t="n">
        <v>23</v>
      </c>
      <c r="K148" s="27" t="n">
        <v>0.06</v>
      </c>
      <c r="L148" s="28" t="n">
        <f aca="false">MIN(Assumptions!$C$18,K148*Assumptions!$D$15)</f>
        <v>0.0372</v>
      </c>
      <c r="M148" s="28" t="n">
        <f aca="false">MIN(Assumptions!$C$18,K148*Assumptions!$D$16)</f>
        <v>0.078</v>
      </c>
      <c r="N148" s="28" t="n">
        <f aca="false">MIN(Assumptions!$C$18,K148*Assumptions!$D$17)</f>
        <v>0.0576</v>
      </c>
      <c r="O148" s="28" t="n">
        <f aca="false">IF(I148&gt;=Assumptions!$B$36,Assumptions!$C$36,IF(I148&gt;=Assumptions!$B$37,Assumptions!$C$37,IF(I148&gt;=Assumptions!$B$38,Assumptions!$C$38,Assumptions!$C$39)))</f>
        <v>0</v>
      </c>
      <c r="P148" s="28" t="n">
        <f aca="false">IF(H148&gt;=Assumptions!$B$44,Assumptions!$C$44,IF(H148&gt;=Assumptions!$B$45,Assumptions!$C$45,IF(H148&gt;=Assumptions!$B$46,Assumptions!$C$46,Assumptions!$C$47)))</f>
        <v>0</v>
      </c>
      <c r="Q148" s="24" t="n">
        <v>0</v>
      </c>
      <c r="R148" s="28" t="n">
        <f aca="false">Q148*Assumptions!$C$51</f>
        <v>0</v>
      </c>
      <c r="S148" s="27" t="n">
        <v>0</v>
      </c>
      <c r="T148" s="27" t="n">
        <v>0</v>
      </c>
      <c r="U148" s="27" t="n">
        <v>0</v>
      </c>
      <c r="V148" s="27" t="n">
        <v>0.01</v>
      </c>
      <c r="W148" s="27" t="n">
        <v>0</v>
      </c>
      <c r="X148" s="28" t="n">
        <f aca="false">P148+R148+SUM(S148:W148)</f>
        <v>0.01</v>
      </c>
      <c r="Y148" s="24" t="n">
        <v>0</v>
      </c>
      <c r="Z148" s="29" t="n">
        <f aca="false">LN(H148)</f>
        <v>6.76157276880406</v>
      </c>
      <c r="AA148" s="17" t="n">
        <f aca="false">ROUND(SUMIF(Lines!$B:$B,B148,Lines!$I:$I),2)</f>
        <v>71206</v>
      </c>
      <c r="AB148" s="17" t="n">
        <f aca="false">ROUND(SUMIF(Lines!$B:$B,B148,Lines!$L:$L),2)</f>
        <v>66825.18</v>
      </c>
      <c r="AC148" s="17" t="n">
        <f aca="false">ROUND(SUMIF(Lines!$B:$B,B148,Lines!$T:$T),2)</f>
        <v>66156.92</v>
      </c>
      <c r="AD148" s="17" t="n">
        <f aca="false">ROUND(SUMIF(Lines!$B:$B,B148,Lines!$U:$U),2)</f>
        <v>40538</v>
      </c>
      <c r="AE148" s="17" t="n">
        <f aca="false">ROUND(SUMIF(Lines!$B:$B,B148,Lines!$V:$V),2)</f>
        <v>1336.5</v>
      </c>
      <c r="AF148" s="17" t="n">
        <f aca="false">ROUND(AC148-AD148-AE148,2)</f>
        <v>24282.42</v>
      </c>
      <c r="AG148" s="26" t="n">
        <f aca="false">RANK(AC148,$AC$6:$AC$185)</f>
        <v>135</v>
      </c>
      <c r="AJ148" s="26" t="n">
        <f aca="false">IF(AND(H148&gt;=0.85*Assumptions!$B$44,H148&lt;Assumptions!$B$44),Assumptions!$B$44,IF(AND(H148&gt;=0.85*Assumptions!$B$45,H148&lt;Assumptions!$B$45),Assumptions!$B$45,IF(AND(H148&gt;=0.85*Assumptions!$B$46,H148&lt;Assumptions!$B$46),Assumptions!$B$46,0)))</f>
        <v>0</v>
      </c>
      <c r="AK148" s="26" t="n">
        <f aca="false">IF(AJ148=0,0,AJ148-H148)</f>
        <v>0</v>
      </c>
      <c r="AL148" s="28" t="n">
        <f aca="false">IF(AJ148=Assumptions!$B$44,Assumptions!$C$44,IF(AJ148=Assumptions!$B$45,Assumptions!$C$45,IF(AJ148=Assumptions!$B$46,Assumptions!$C$46,0)))</f>
        <v>0</v>
      </c>
      <c r="AM148" s="17" t="n">
        <f aca="false">IF(AJ148=0,0,AB148*(AL148-P148))</f>
        <v>0</v>
      </c>
      <c r="AN148" s="17" t="n">
        <f aca="false">ROUND(AN132+AM148,2)</f>
        <v>175350.28</v>
      </c>
      <c r="AO148" s="17" t="n">
        <f aca="false">SUMIF(Lines!$B$6:$B$463,$B148,Lines!$M$6:$M$463)</f>
        <v>0</v>
      </c>
      <c r="AP148" s="17" t="n">
        <f aca="false">(AB148/H148)*(MAX(0,MIN(H148,Assumptions!$B$46)-Assumptions!$B$47)*Assumptions!$C$47+MAX(0,MIN(H148,Assumptions!$B$45)-Assumptions!$B$46)*Assumptions!$C$46+MAX(0,MIN(H148,Assumptions!$B$44)-Assumptions!$B$45)*Assumptions!$C$45+MAX(0,H148-Assumptions!$B$44)*Assumptions!$C$44)</f>
        <v>0</v>
      </c>
      <c r="AQ148" s="17" t="n">
        <f aca="false">ROUND(SUMIF(Lines!$B:$B,B148,Lines!$N:$N),2)</f>
        <v>0</v>
      </c>
    </row>
    <row r="149" customFormat="false" ht="15" hidden="false" customHeight="false" outlineLevel="0" collapsed="false">
      <c r="B149" s="14" t="s">
        <v>302</v>
      </c>
      <c r="C149" s="14" t="s">
        <v>259</v>
      </c>
      <c r="D149" s="14" t="s">
        <v>235</v>
      </c>
      <c r="E149" s="24" t="n">
        <v>214</v>
      </c>
      <c r="F149" s="24" t="n">
        <v>0</v>
      </c>
      <c r="G149" s="24" t="n">
        <v>283</v>
      </c>
      <c r="H149" s="26" t="n">
        <f aca="false">SUM(E149:G149)</f>
        <v>497</v>
      </c>
      <c r="I149" s="24" t="n">
        <v>46</v>
      </c>
      <c r="J149" s="24" t="n">
        <v>11</v>
      </c>
      <c r="K149" s="27" t="n">
        <v>0.07</v>
      </c>
      <c r="L149" s="28" t="n">
        <f aca="false">MIN(Assumptions!$C$18,K149*Assumptions!$D$15)</f>
        <v>0.0434</v>
      </c>
      <c r="M149" s="28" t="n">
        <f aca="false">MIN(Assumptions!$C$18,K149*Assumptions!$D$16)</f>
        <v>0.091</v>
      </c>
      <c r="N149" s="28" t="n">
        <f aca="false">MIN(Assumptions!$C$18,K149*Assumptions!$D$17)</f>
        <v>0.0672</v>
      </c>
      <c r="O149" s="28" t="n">
        <f aca="false">IF(I149&gt;=Assumptions!$B$36,Assumptions!$C$36,IF(I149&gt;=Assumptions!$B$37,Assumptions!$C$37,IF(I149&gt;=Assumptions!$B$38,Assumptions!$C$38,Assumptions!$C$39)))</f>
        <v>0</v>
      </c>
      <c r="P149" s="28" t="n">
        <f aca="false">IF(H149&gt;=Assumptions!$B$44,Assumptions!$C$44,IF(H149&gt;=Assumptions!$B$45,Assumptions!$C$45,IF(H149&gt;=Assumptions!$B$46,Assumptions!$C$46,Assumptions!$C$47)))</f>
        <v>0</v>
      </c>
      <c r="Q149" s="24" t="n">
        <v>0</v>
      </c>
      <c r="R149" s="28" t="n">
        <f aca="false">Q149*Assumptions!$C$51</f>
        <v>0</v>
      </c>
      <c r="S149" s="27" t="n">
        <v>0</v>
      </c>
      <c r="T149" s="27" t="n">
        <v>0</v>
      </c>
      <c r="U149" s="27" t="n">
        <v>0</v>
      </c>
      <c r="V149" s="27" t="n">
        <v>0.01</v>
      </c>
      <c r="W149" s="27" t="n">
        <v>0</v>
      </c>
      <c r="X149" s="28" t="n">
        <f aca="false">P149+R149+SUM(S149:W149)</f>
        <v>0.01</v>
      </c>
      <c r="Y149" s="24" t="n">
        <v>0</v>
      </c>
      <c r="Z149" s="29" t="n">
        <f aca="false">LN(H149)</f>
        <v>6.20859002609663</v>
      </c>
      <c r="AA149" s="17" t="n">
        <f aca="false">ROUND(SUMIF(Lines!$B:$B,B149,Lines!$I:$I),2)</f>
        <v>58840</v>
      </c>
      <c r="AB149" s="17" t="n">
        <f aca="false">ROUND(SUMIF(Lines!$B:$B,B149,Lines!$L:$L),2)</f>
        <v>55639.75</v>
      </c>
      <c r="AC149" s="17" t="n">
        <f aca="false">ROUND(SUMIF(Lines!$B:$B,B149,Lines!$T:$T),2)</f>
        <v>55083.36</v>
      </c>
      <c r="AD149" s="17" t="n">
        <f aca="false">ROUND(SUMIF(Lines!$B:$B,B149,Lines!$U:$U),2)</f>
        <v>33106</v>
      </c>
      <c r="AE149" s="17" t="n">
        <f aca="false">ROUND(SUMIF(Lines!$B:$B,B149,Lines!$V:$V),2)</f>
        <v>1112.8</v>
      </c>
      <c r="AF149" s="17" t="n">
        <f aca="false">ROUND(AC149-AD149-AE149,2)</f>
        <v>20864.56</v>
      </c>
      <c r="AG149" s="26" t="n">
        <f aca="false">RANK(AC149,$AC$6:$AC$185)</f>
        <v>147</v>
      </c>
      <c r="AJ149" s="26" t="n">
        <f aca="false">IF(AND(H149&gt;=0.85*Assumptions!$B$44,H149&lt;Assumptions!$B$44),Assumptions!$B$44,IF(AND(H149&gt;=0.85*Assumptions!$B$45,H149&lt;Assumptions!$B$45),Assumptions!$B$45,IF(AND(H149&gt;=0.85*Assumptions!$B$46,H149&lt;Assumptions!$B$46),Assumptions!$B$46,0)))</f>
        <v>0</v>
      </c>
      <c r="AK149" s="26" t="n">
        <f aca="false">IF(AJ149=0,0,AJ149-H149)</f>
        <v>0</v>
      </c>
      <c r="AL149" s="28" t="n">
        <f aca="false">IF(AJ149=Assumptions!$B$44,Assumptions!$C$44,IF(AJ149=Assumptions!$B$45,Assumptions!$C$45,IF(AJ149=Assumptions!$B$46,Assumptions!$C$46,0)))</f>
        <v>0</v>
      </c>
      <c r="AM149" s="17" t="n">
        <f aca="false">IF(AJ149=0,0,AB149*(AL149-P149))</f>
        <v>0</v>
      </c>
      <c r="AN149" s="17" t="n">
        <f aca="false">ROUND(AN133+AM149,2)</f>
        <v>175350.28</v>
      </c>
      <c r="AO149" s="17" t="n">
        <f aca="false">SUMIF(Lines!$B$6:$B$463,$B149,Lines!$M$6:$M$463)</f>
        <v>0</v>
      </c>
      <c r="AP149" s="17" t="n">
        <f aca="false">(AB149/H149)*(MAX(0,MIN(H149,Assumptions!$B$46)-Assumptions!$B$47)*Assumptions!$C$47+MAX(0,MIN(H149,Assumptions!$B$45)-Assumptions!$B$46)*Assumptions!$C$46+MAX(0,MIN(H149,Assumptions!$B$44)-Assumptions!$B$45)*Assumptions!$C$45+MAX(0,H149-Assumptions!$B$44)*Assumptions!$C$44)</f>
        <v>0</v>
      </c>
      <c r="AQ149" s="17" t="n">
        <f aca="false">ROUND(SUMIF(Lines!$B:$B,B149,Lines!$N:$N),2)</f>
        <v>0</v>
      </c>
    </row>
    <row r="150" customFormat="false" ht="15" hidden="false" customHeight="false" outlineLevel="0" collapsed="false">
      <c r="B150" s="14" t="s">
        <v>303</v>
      </c>
      <c r="C150" s="14" t="s">
        <v>259</v>
      </c>
      <c r="D150" s="14" t="s">
        <v>235</v>
      </c>
      <c r="E150" s="24" t="n">
        <v>105</v>
      </c>
      <c r="F150" s="24" t="n">
        <v>779</v>
      </c>
      <c r="G150" s="24" t="n">
        <v>349</v>
      </c>
      <c r="H150" s="26" t="n">
        <f aca="false">SUM(E150:G150)</f>
        <v>1233</v>
      </c>
      <c r="I150" s="24" t="n">
        <v>35</v>
      </c>
      <c r="J150" s="24" t="n">
        <v>35</v>
      </c>
      <c r="K150" s="27" t="n">
        <v>0.01</v>
      </c>
      <c r="L150" s="28" t="n">
        <f aca="false">MIN(Assumptions!$C$18,K150*Assumptions!$D$15)</f>
        <v>0.0062</v>
      </c>
      <c r="M150" s="28" t="n">
        <f aca="false">MIN(Assumptions!$C$18,K150*Assumptions!$D$16)</f>
        <v>0.013</v>
      </c>
      <c r="N150" s="28" t="n">
        <f aca="false">MIN(Assumptions!$C$18,K150*Assumptions!$D$17)</f>
        <v>0.0096</v>
      </c>
      <c r="O150" s="28" t="n">
        <f aca="false">IF(I150&gt;=Assumptions!$B$36,Assumptions!$C$36,IF(I150&gt;=Assumptions!$B$37,Assumptions!$C$37,IF(I150&gt;=Assumptions!$B$38,Assumptions!$C$38,Assumptions!$C$39)))</f>
        <v>0</v>
      </c>
      <c r="P150" s="28" t="n">
        <f aca="false">IF(H150&gt;=Assumptions!$B$44,Assumptions!$C$44,IF(H150&gt;=Assumptions!$B$45,Assumptions!$C$45,IF(H150&gt;=Assumptions!$B$46,Assumptions!$C$46,Assumptions!$C$47)))</f>
        <v>0</v>
      </c>
      <c r="Q150" s="24" t="n">
        <v>0</v>
      </c>
      <c r="R150" s="28" t="n">
        <f aca="false">Q150*Assumptions!$C$51</f>
        <v>0</v>
      </c>
      <c r="S150" s="27" t="n">
        <v>0</v>
      </c>
      <c r="T150" s="27" t="n">
        <v>0</v>
      </c>
      <c r="U150" s="27" t="n">
        <v>0</v>
      </c>
      <c r="V150" s="27" t="n">
        <v>0.01</v>
      </c>
      <c r="W150" s="27" t="n">
        <v>0</v>
      </c>
      <c r="X150" s="28" t="n">
        <f aca="false">P150+R150+SUM(S150:W150)</f>
        <v>0.01</v>
      </c>
      <c r="Y150" s="24" t="n">
        <v>0</v>
      </c>
      <c r="Z150" s="29" t="n">
        <f aca="false">LN(H150)</f>
        <v>7.11720550316434</v>
      </c>
      <c r="AA150" s="17" t="n">
        <f aca="false">ROUND(SUMIF(Lines!$B:$B,B150,Lines!$I:$I),2)</f>
        <v>97342</v>
      </c>
      <c r="AB150" s="17" t="n">
        <f aca="false">ROUND(SUMIF(Lines!$B:$B,B150,Lines!$L:$L),2)</f>
        <v>96296.14</v>
      </c>
      <c r="AC150" s="17" t="n">
        <f aca="false">ROUND(SUMIF(Lines!$B:$B,B150,Lines!$T:$T),2)</f>
        <v>95333.18</v>
      </c>
      <c r="AD150" s="17" t="n">
        <f aca="false">ROUND(SUMIF(Lines!$B:$B,B150,Lines!$U:$U),2)</f>
        <v>56476</v>
      </c>
      <c r="AE150" s="17" t="n">
        <f aca="false">ROUND(SUMIF(Lines!$B:$B,B150,Lines!$V:$V),2)</f>
        <v>1925.92</v>
      </c>
      <c r="AF150" s="17" t="n">
        <f aca="false">ROUND(AC150-AD150-AE150,2)</f>
        <v>36931.26</v>
      </c>
      <c r="AG150" s="26" t="n">
        <f aca="false">RANK(AC150,$AC$6:$AC$185)</f>
        <v>116</v>
      </c>
      <c r="AJ150" s="26" t="n">
        <f aca="false">IF(AND(H150&gt;=0.85*Assumptions!$B$44,H150&lt;Assumptions!$B$44),Assumptions!$B$44,IF(AND(H150&gt;=0.85*Assumptions!$B$45,H150&lt;Assumptions!$B$45),Assumptions!$B$45,IF(AND(H150&gt;=0.85*Assumptions!$B$46,H150&lt;Assumptions!$B$46),Assumptions!$B$46,0)))</f>
        <v>0</v>
      </c>
      <c r="AK150" s="26" t="n">
        <f aca="false">IF(AJ150=0,0,AJ150-H150)</f>
        <v>0</v>
      </c>
      <c r="AL150" s="28" t="n">
        <f aca="false">IF(AJ150=Assumptions!$B$44,Assumptions!$C$44,IF(AJ150=Assumptions!$B$45,Assumptions!$C$45,IF(AJ150=Assumptions!$B$46,Assumptions!$C$46,0)))</f>
        <v>0</v>
      </c>
      <c r="AM150" s="17" t="n">
        <f aca="false">IF(AJ150=0,0,AB150*(AL150-P150))</f>
        <v>0</v>
      </c>
      <c r="AN150" s="17" t="n">
        <f aca="false">ROUND(AN134+AM150,2)</f>
        <v>175350.28</v>
      </c>
      <c r="AO150" s="17" t="n">
        <f aca="false">SUMIF(Lines!$B$6:$B$463,$B150,Lines!$M$6:$M$463)</f>
        <v>0</v>
      </c>
      <c r="AP150" s="17" t="n">
        <f aca="false">(AB150/H150)*(MAX(0,MIN(H150,Assumptions!$B$46)-Assumptions!$B$47)*Assumptions!$C$47+MAX(0,MIN(H150,Assumptions!$B$45)-Assumptions!$B$46)*Assumptions!$C$46+MAX(0,MIN(H150,Assumptions!$B$44)-Assumptions!$B$45)*Assumptions!$C$45+MAX(0,H150-Assumptions!$B$44)*Assumptions!$C$44)</f>
        <v>0</v>
      </c>
      <c r="AQ150" s="17" t="n">
        <f aca="false">ROUND(SUMIF(Lines!$B:$B,B150,Lines!$N:$N),2)</f>
        <v>0</v>
      </c>
    </row>
    <row r="151" customFormat="false" ht="15" hidden="false" customHeight="false" outlineLevel="0" collapsed="false">
      <c r="B151" s="14" t="s">
        <v>304</v>
      </c>
      <c r="C151" s="14" t="s">
        <v>259</v>
      </c>
      <c r="D151" s="14" t="s">
        <v>235</v>
      </c>
      <c r="E151" s="24" t="n">
        <v>31</v>
      </c>
      <c r="F151" s="24" t="n">
        <v>984</v>
      </c>
      <c r="G151" s="24" t="n">
        <v>465</v>
      </c>
      <c r="H151" s="26" t="n">
        <f aca="false">SUM(E151:G151)</f>
        <v>1480</v>
      </c>
      <c r="I151" s="24" t="n">
        <v>58</v>
      </c>
      <c r="J151" s="24" t="n">
        <v>26</v>
      </c>
      <c r="K151" s="27" t="n">
        <v>0.015</v>
      </c>
      <c r="L151" s="28" t="n">
        <f aca="false">MIN(Assumptions!$C$18,K151*Assumptions!$D$15)</f>
        <v>0.0093</v>
      </c>
      <c r="M151" s="28" t="n">
        <f aca="false">MIN(Assumptions!$C$18,K151*Assumptions!$D$16)</f>
        <v>0.0195</v>
      </c>
      <c r="N151" s="28" t="n">
        <f aca="false">MIN(Assumptions!$C$18,K151*Assumptions!$D$17)</f>
        <v>0.0144</v>
      </c>
      <c r="O151" s="28" t="n">
        <f aca="false">IF(I151&gt;=Assumptions!$B$36,Assumptions!$C$36,IF(I151&gt;=Assumptions!$B$37,Assumptions!$C$37,IF(I151&gt;=Assumptions!$B$38,Assumptions!$C$38,Assumptions!$C$39)))</f>
        <v>0.02</v>
      </c>
      <c r="P151" s="28" t="n">
        <f aca="false">IF(H151&gt;=Assumptions!$B$44,Assumptions!$C$44,IF(H151&gt;=Assumptions!$B$45,Assumptions!$C$45,IF(H151&gt;=Assumptions!$B$46,Assumptions!$C$46,Assumptions!$C$47)))</f>
        <v>0</v>
      </c>
      <c r="Q151" s="24" t="n">
        <v>0</v>
      </c>
      <c r="R151" s="28" t="n">
        <f aca="false">Q151*Assumptions!$C$51</f>
        <v>0</v>
      </c>
      <c r="S151" s="27" t="n">
        <v>0</v>
      </c>
      <c r="T151" s="27" t="n">
        <v>0</v>
      </c>
      <c r="U151" s="27" t="n">
        <v>0</v>
      </c>
      <c r="V151" s="27" t="n">
        <v>0.01</v>
      </c>
      <c r="W151" s="27" t="n">
        <v>0</v>
      </c>
      <c r="X151" s="28" t="n">
        <f aca="false">P151+R151+SUM(S151:W151)</f>
        <v>0.01</v>
      </c>
      <c r="Y151" s="24" t="n">
        <v>0</v>
      </c>
      <c r="Z151" s="29" t="n">
        <f aca="false">LN(H151)</f>
        <v>7.29979736675816</v>
      </c>
      <c r="AA151" s="17" t="n">
        <f aca="false">ROUND(SUMIF(Lines!$B:$B,B151,Lines!$I:$I),2)</f>
        <v>110236</v>
      </c>
      <c r="AB151" s="17" t="n">
        <f aca="false">ROUND(SUMIF(Lines!$B:$B,B151,Lines!$L:$L),2)</f>
        <v>106156.13</v>
      </c>
      <c r="AC151" s="17" t="n">
        <f aca="false">ROUND(SUMIF(Lines!$B:$B,B151,Lines!$T:$T),2)</f>
        <v>105094.57</v>
      </c>
      <c r="AD151" s="17" t="n">
        <f aca="false">ROUND(SUMIF(Lines!$B:$B,B151,Lines!$U:$U),2)</f>
        <v>64812</v>
      </c>
      <c r="AE151" s="17" t="n">
        <f aca="false">ROUND(SUMIF(Lines!$B:$B,B151,Lines!$V:$V),2)</f>
        <v>2123.12</v>
      </c>
      <c r="AF151" s="17" t="n">
        <f aca="false">ROUND(AC151-AD151-AE151,2)</f>
        <v>38159.45</v>
      </c>
      <c r="AG151" s="26" t="n">
        <f aca="false">RANK(AC151,$AC$6:$AC$185)</f>
        <v>108</v>
      </c>
      <c r="AJ151" s="26" t="n">
        <f aca="false">IF(AND(H151&gt;=0.85*Assumptions!$B$44,H151&lt;Assumptions!$B$44),Assumptions!$B$44,IF(AND(H151&gt;=0.85*Assumptions!$B$45,H151&lt;Assumptions!$B$45),Assumptions!$B$45,IF(AND(H151&gt;=0.85*Assumptions!$B$46,H151&lt;Assumptions!$B$46),Assumptions!$B$46,0)))</f>
        <v>0</v>
      </c>
      <c r="AK151" s="26" t="n">
        <f aca="false">IF(AJ151=0,0,AJ151-H151)</f>
        <v>0</v>
      </c>
      <c r="AL151" s="28" t="n">
        <f aca="false">IF(AJ151=Assumptions!$B$44,Assumptions!$C$44,IF(AJ151=Assumptions!$B$45,Assumptions!$C$45,IF(AJ151=Assumptions!$B$46,Assumptions!$C$46,0)))</f>
        <v>0</v>
      </c>
      <c r="AM151" s="17" t="n">
        <f aca="false">IF(AJ151=0,0,AB151*(AL151-P151))</f>
        <v>0</v>
      </c>
      <c r="AN151" s="17" t="n">
        <f aca="false">ROUND(AN135+AM151,2)</f>
        <v>179258.59</v>
      </c>
      <c r="AO151" s="17" t="n">
        <f aca="false">SUMIF(Lines!$B$6:$B$463,$B151,Lines!$M$6:$M$463)</f>
        <v>0</v>
      </c>
      <c r="AP151" s="17" t="n">
        <f aca="false">(AB151/H151)*(MAX(0,MIN(H151,Assumptions!$B$46)-Assumptions!$B$47)*Assumptions!$C$47+MAX(0,MIN(H151,Assumptions!$B$45)-Assumptions!$B$46)*Assumptions!$C$46+MAX(0,MIN(H151,Assumptions!$B$44)-Assumptions!$B$45)*Assumptions!$C$45+MAX(0,H151-Assumptions!$B$44)*Assumptions!$C$44)</f>
        <v>0</v>
      </c>
      <c r="AQ151" s="17" t="n">
        <f aca="false">ROUND(SUMIF(Lines!$B:$B,B151,Lines!$N:$N),2)</f>
        <v>0</v>
      </c>
    </row>
    <row r="152" customFormat="false" ht="15" hidden="false" customHeight="false" outlineLevel="0" collapsed="false">
      <c r="B152" s="14" t="s">
        <v>305</v>
      </c>
      <c r="C152" s="14" t="s">
        <v>259</v>
      </c>
      <c r="D152" s="14" t="s">
        <v>235</v>
      </c>
      <c r="E152" s="24" t="n">
        <v>161</v>
      </c>
      <c r="F152" s="24" t="n">
        <v>469</v>
      </c>
      <c r="G152" s="24" t="n">
        <v>162</v>
      </c>
      <c r="H152" s="26" t="n">
        <f aca="false">SUM(E152:G152)</f>
        <v>792</v>
      </c>
      <c r="I152" s="24" t="n">
        <v>40</v>
      </c>
      <c r="J152" s="24" t="n">
        <v>20</v>
      </c>
      <c r="K152" s="27" t="n">
        <v>0</v>
      </c>
      <c r="L152" s="28" t="n">
        <f aca="false">MIN(Assumptions!$C$18,K152*Assumptions!$D$15)</f>
        <v>0</v>
      </c>
      <c r="M152" s="28" t="n">
        <f aca="false">MIN(Assumptions!$C$18,K152*Assumptions!$D$16)</f>
        <v>0</v>
      </c>
      <c r="N152" s="28" t="n">
        <f aca="false">MIN(Assumptions!$C$18,K152*Assumptions!$D$17)</f>
        <v>0</v>
      </c>
      <c r="O152" s="28" t="n">
        <f aca="false">IF(I152&gt;=Assumptions!$B$36,Assumptions!$C$36,IF(I152&gt;=Assumptions!$B$37,Assumptions!$C$37,IF(I152&gt;=Assumptions!$B$38,Assumptions!$C$38,Assumptions!$C$39)))</f>
        <v>0</v>
      </c>
      <c r="P152" s="28" t="n">
        <f aca="false">IF(H152&gt;=Assumptions!$B$44,Assumptions!$C$44,IF(H152&gt;=Assumptions!$B$45,Assumptions!$C$45,IF(H152&gt;=Assumptions!$B$46,Assumptions!$C$46,Assumptions!$C$47)))</f>
        <v>0</v>
      </c>
      <c r="Q152" s="24" t="n">
        <v>0</v>
      </c>
      <c r="R152" s="28" t="n">
        <f aca="false">Q152*Assumptions!$C$51</f>
        <v>0</v>
      </c>
      <c r="S152" s="27" t="n">
        <v>0</v>
      </c>
      <c r="T152" s="27" t="n">
        <v>0</v>
      </c>
      <c r="U152" s="27" t="n">
        <v>0</v>
      </c>
      <c r="V152" s="27" t="n">
        <v>0.01</v>
      </c>
      <c r="W152" s="27" t="n">
        <v>0</v>
      </c>
      <c r="X152" s="28" t="n">
        <f aca="false">P152+R152+SUM(S152:W152)</f>
        <v>0.01</v>
      </c>
      <c r="Y152" s="24" t="n">
        <v>0</v>
      </c>
      <c r="Z152" s="29" t="n">
        <f aca="false">LN(H152)</f>
        <v>6.67456139181443</v>
      </c>
      <c r="AA152" s="17" t="n">
        <f aca="false">ROUND(SUMIF(Lines!$B:$B,B152,Lines!$I:$I),2)</f>
        <v>68458</v>
      </c>
      <c r="AB152" s="17" t="n">
        <f aca="false">ROUND(SUMIF(Lines!$B:$B,B152,Lines!$L:$L),2)</f>
        <v>68458</v>
      </c>
      <c r="AC152" s="17" t="n">
        <f aca="false">ROUND(SUMIF(Lines!$B:$B,B152,Lines!$T:$T),2)</f>
        <v>67773.42</v>
      </c>
      <c r="AD152" s="17" t="n">
        <f aca="false">ROUND(SUMIF(Lines!$B:$B,B152,Lines!$U:$U),2)</f>
        <v>38838</v>
      </c>
      <c r="AE152" s="17" t="n">
        <f aca="false">ROUND(SUMIF(Lines!$B:$B,B152,Lines!$V:$V),2)</f>
        <v>1369.16</v>
      </c>
      <c r="AF152" s="17" t="n">
        <f aca="false">ROUND(AC152-AD152-AE152,2)</f>
        <v>27566.26</v>
      </c>
      <c r="AG152" s="26" t="n">
        <f aca="false">RANK(AC152,$AC$6:$AC$185)</f>
        <v>134</v>
      </c>
      <c r="AJ152" s="26" t="n">
        <f aca="false">IF(AND(H152&gt;=0.85*Assumptions!$B$44,H152&lt;Assumptions!$B$44),Assumptions!$B$44,IF(AND(H152&gt;=0.85*Assumptions!$B$45,H152&lt;Assumptions!$B$45),Assumptions!$B$45,IF(AND(H152&gt;=0.85*Assumptions!$B$46,H152&lt;Assumptions!$B$46),Assumptions!$B$46,0)))</f>
        <v>0</v>
      </c>
      <c r="AK152" s="26" t="n">
        <f aca="false">IF(AJ152=0,0,AJ152-H152)</f>
        <v>0</v>
      </c>
      <c r="AL152" s="28" t="n">
        <f aca="false">IF(AJ152=Assumptions!$B$44,Assumptions!$C$44,IF(AJ152=Assumptions!$B$45,Assumptions!$C$45,IF(AJ152=Assumptions!$B$46,Assumptions!$C$46,0)))</f>
        <v>0</v>
      </c>
      <c r="AM152" s="17" t="n">
        <f aca="false">IF(AJ152=0,0,AB152*(AL152-P152))</f>
        <v>0</v>
      </c>
      <c r="AN152" s="17" t="n">
        <f aca="false">ROUND(AN136+AM152,2)</f>
        <v>187091.56</v>
      </c>
      <c r="AO152" s="17" t="n">
        <f aca="false">SUMIF(Lines!$B$6:$B$463,$B152,Lines!$M$6:$M$463)</f>
        <v>0</v>
      </c>
      <c r="AP152" s="17" t="n">
        <f aca="false">(AB152/H152)*(MAX(0,MIN(H152,Assumptions!$B$46)-Assumptions!$B$47)*Assumptions!$C$47+MAX(0,MIN(H152,Assumptions!$B$45)-Assumptions!$B$46)*Assumptions!$C$46+MAX(0,MIN(H152,Assumptions!$B$44)-Assumptions!$B$45)*Assumptions!$C$45+MAX(0,H152-Assumptions!$B$44)*Assumptions!$C$44)</f>
        <v>0</v>
      </c>
      <c r="AQ152" s="17" t="n">
        <f aca="false">ROUND(SUMIF(Lines!$B:$B,B152,Lines!$N:$N),2)</f>
        <v>0</v>
      </c>
    </row>
    <row r="153" customFormat="false" ht="15" hidden="false" customHeight="false" outlineLevel="0" collapsed="false">
      <c r="B153" s="14" t="s">
        <v>306</v>
      </c>
      <c r="C153" s="14" t="s">
        <v>259</v>
      </c>
      <c r="D153" s="14" t="s">
        <v>235</v>
      </c>
      <c r="E153" s="24" t="n">
        <v>0</v>
      </c>
      <c r="F153" s="24" t="n">
        <v>1089</v>
      </c>
      <c r="G153" s="24" t="n">
        <v>654</v>
      </c>
      <c r="H153" s="26" t="n">
        <f aca="false">SUM(E153:G153)</f>
        <v>1743</v>
      </c>
      <c r="I153" s="24" t="n">
        <v>41</v>
      </c>
      <c r="J153" s="24" t="n">
        <v>43</v>
      </c>
      <c r="K153" s="27" t="n">
        <v>0</v>
      </c>
      <c r="L153" s="28" t="n">
        <f aca="false">MIN(Assumptions!$C$18,K153*Assumptions!$D$15)</f>
        <v>0</v>
      </c>
      <c r="M153" s="28" t="n">
        <f aca="false">MIN(Assumptions!$C$18,K153*Assumptions!$D$16)</f>
        <v>0</v>
      </c>
      <c r="N153" s="28" t="n">
        <f aca="false">MIN(Assumptions!$C$18,K153*Assumptions!$D$17)</f>
        <v>0</v>
      </c>
      <c r="O153" s="28" t="n">
        <f aca="false">IF(I153&gt;=Assumptions!$B$36,Assumptions!$C$36,IF(I153&gt;=Assumptions!$B$37,Assumptions!$C$37,IF(I153&gt;=Assumptions!$B$38,Assumptions!$C$38,Assumptions!$C$39)))</f>
        <v>0</v>
      </c>
      <c r="P153" s="28" t="n">
        <f aca="false">IF(H153&gt;=Assumptions!$B$44,Assumptions!$C$44,IF(H153&gt;=Assumptions!$B$45,Assumptions!$C$45,IF(H153&gt;=Assumptions!$B$46,Assumptions!$C$46,Assumptions!$C$47)))</f>
        <v>0</v>
      </c>
      <c r="Q153" s="24" t="n">
        <v>0</v>
      </c>
      <c r="R153" s="28" t="n">
        <f aca="false">Q153*Assumptions!$C$51</f>
        <v>0</v>
      </c>
      <c r="S153" s="27" t="n">
        <v>0</v>
      </c>
      <c r="T153" s="27" t="n">
        <v>0</v>
      </c>
      <c r="U153" s="27" t="n">
        <v>0</v>
      </c>
      <c r="V153" s="27" t="n">
        <v>0.01</v>
      </c>
      <c r="W153" s="27" t="n">
        <v>0</v>
      </c>
      <c r="X153" s="28" t="n">
        <f aca="false">P153+R153+SUM(S153:W153)</f>
        <v>0.01</v>
      </c>
      <c r="Y153" s="24" t="n">
        <v>0</v>
      </c>
      <c r="Z153" s="29" t="n">
        <f aca="false">LN(H153)</f>
        <v>7.46336304552002</v>
      </c>
      <c r="AA153" s="17" t="n">
        <f aca="false">ROUND(SUMIF(Lines!$B:$B,B153,Lines!$I:$I),2)</f>
        <v>130302</v>
      </c>
      <c r="AB153" s="17" t="n">
        <f aca="false">ROUND(SUMIF(Lines!$B:$B,B153,Lines!$L:$L),2)</f>
        <v>130302</v>
      </c>
      <c r="AC153" s="17" t="n">
        <f aca="false">ROUND(SUMIF(Lines!$B:$B,B153,Lines!$T:$T),2)</f>
        <v>128998.98</v>
      </c>
      <c r="AD153" s="17" t="n">
        <f aca="false">ROUND(SUMIF(Lines!$B:$B,B153,Lines!$U:$U),2)</f>
        <v>77136</v>
      </c>
      <c r="AE153" s="17" t="n">
        <f aca="false">ROUND(SUMIF(Lines!$B:$B,B153,Lines!$V:$V),2)</f>
        <v>2606.04</v>
      </c>
      <c r="AF153" s="17" t="n">
        <f aca="false">ROUND(AC153-AD153-AE153,2)</f>
        <v>49256.94</v>
      </c>
      <c r="AG153" s="26" t="n">
        <f aca="false">RANK(AC153,$AC$6:$AC$185)</f>
        <v>98</v>
      </c>
      <c r="AJ153" s="26" t="n">
        <f aca="false">IF(AND(H153&gt;=0.85*Assumptions!$B$44,H153&lt;Assumptions!$B$44),Assumptions!$B$44,IF(AND(H153&gt;=0.85*Assumptions!$B$45,H153&lt;Assumptions!$B$45),Assumptions!$B$45,IF(AND(H153&gt;=0.85*Assumptions!$B$46,H153&lt;Assumptions!$B$46),Assumptions!$B$46,0)))</f>
        <v>0</v>
      </c>
      <c r="AK153" s="26" t="n">
        <f aca="false">IF(AJ153=0,0,AJ153-H153)</f>
        <v>0</v>
      </c>
      <c r="AL153" s="28" t="n">
        <f aca="false">IF(AJ153=Assumptions!$B$44,Assumptions!$C$44,IF(AJ153=Assumptions!$B$45,Assumptions!$C$45,IF(AJ153=Assumptions!$B$46,Assumptions!$C$46,0)))</f>
        <v>0</v>
      </c>
      <c r="AM153" s="17" t="n">
        <f aca="false">IF(AJ153=0,0,AB153*(AL153-P153))</f>
        <v>0</v>
      </c>
      <c r="AN153" s="17" t="n">
        <f aca="false">ROUND(AN137+AM153,2)</f>
        <v>187091.56</v>
      </c>
      <c r="AO153" s="17" t="n">
        <f aca="false">SUMIF(Lines!$B$6:$B$463,$B153,Lines!$M$6:$M$463)</f>
        <v>0</v>
      </c>
      <c r="AP153" s="17" t="n">
        <f aca="false">(AB153/H153)*(MAX(0,MIN(H153,Assumptions!$B$46)-Assumptions!$B$47)*Assumptions!$C$47+MAX(0,MIN(H153,Assumptions!$B$45)-Assumptions!$B$46)*Assumptions!$C$46+MAX(0,MIN(H153,Assumptions!$B$44)-Assumptions!$B$45)*Assumptions!$C$45+MAX(0,H153-Assumptions!$B$44)*Assumptions!$C$44)</f>
        <v>0</v>
      </c>
      <c r="AQ153" s="17" t="n">
        <f aca="false">ROUND(SUMIF(Lines!$B:$B,B153,Lines!$N:$N),2)</f>
        <v>0</v>
      </c>
    </row>
    <row r="154" customFormat="false" ht="15" hidden="false" customHeight="false" outlineLevel="0" collapsed="false">
      <c r="B154" s="14" t="s">
        <v>307</v>
      </c>
      <c r="C154" s="14" t="s">
        <v>259</v>
      </c>
      <c r="D154" s="14" t="s">
        <v>243</v>
      </c>
      <c r="E154" s="24" t="n">
        <v>136</v>
      </c>
      <c r="F154" s="24" t="n">
        <v>706</v>
      </c>
      <c r="G154" s="24" t="n">
        <v>317</v>
      </c>
      <c r="H154" s="26" t="n">
        <f aca="false">SUM(E154:G154)</f>
        <v>1159</v>
      </c>
      <c r="I154" s="24" t="n">
        <v>52</v>
      </c>
      <c r="J154" s="24" t="n">
        <v>22</v>
      </c>
      <c r="K154" s="27" t="n">
        <v>0</v>
      </c>
      <c r="L154" s="28" t="n">
        <f aca="false">MIN(Assumptions!$C$18,K154*Assumptions!$D$15)</f>
        <v>0</v>
      </c>
      <c r="M154" s="28" t="n">
        <f aca="false">MIN(Assumptions!$C$18,K154*Assumptions!$D$16)</f>
        <v>0</v>
      </c>
      <c r="N154" s="28" t="n">
        <f aca="false">MIN(Assumptions!$C$18,K154*Assumptions!$D$17)</f>
        <v>0</v>
      </c>
      <c r="O154" s="28" t="n">
        <f aca="false">IF(I154&gt;=Assumptions!$B$36,Assumptions!$C$36,IF(I154&gt;=Assumptions!$B$37,Assumptions!$C$37,IF(I154&gt;=Assumptions!$B$38,Assumptions!$C$38,Assumptions!$C$39)))</f>
        <v>0.02</v>
      </c>
      <c r="P154" s="28" t="n">
        <f aca="false">IF(H154&gt;=Assumptions!$B$44,Assumptions!$C$44,IF(H154&gt;=Assumptions!$B$45,Assumptions!$C$45,IF(H154&gt;=Assumptions!$B$46,Assumptions!$C$46,Assumptions!$C$47)))</f>
        <v>0</v>
      </c>
      <c r="Q154" s="24" t="n">
        <v>0</v>
      </c>
      <c r="R154" s="28" t="n">
        <f aca="false">Q154*Assumptions!$C$51</f>
        <v>0</v>
      </c>
      <c r="S154" s="27" t="n">
        <v>0</v>
      </c>
      <c r="T154" s="27" t="n">
        <v>0</v>
      </c>
      <c r="U154" s="27" t="n">
        <v>0</v>
      </c>
      <c r="V154" s="27" t="n">
        <v>0.01</v>
      </c>
      <c r="W154" s="27" t="n">
        <v>0</v>
      </c>
      <c r="X154" s="28" t="n">
        <f aca="false">P154+R154+SUM(S154:W154)</f>
        <v>0.01</v>
      </c>
      <c r="Y154" s="24" t="n">
        <v>0</v>
      </c>
      <c r="Z154" s="29" t="n">
        <f aca="false">LN(H154)</f>
        <v>7.05531284333975</v>
      </c>
      <c r="AA154" s="17" t="n">
        <f aca="false">ROUND(SUMIF(Lines!$B:$B,B154,Lines!$I:$I),2)</f>
        <v>94332</v>
      </c>
      <c r="AB154" s="17" t="n">
        <f aca="false">ROUND(SUMIF(Lines!$B:$B,B154,Lines!$L:$L),2)</f>
        <v>92445.36</v>
      </c>
      <c r="AC154" s="17" t="n">
        <f aca="false">ROUND(SUMIF(Lines!$B:$B,B154,Lines!$T:$T),2)</f>
        <v>91520.91</v>
      </c>
      <c r="AD154" s="17" t="n">
        <f aca="false">ROUND(SUMIF(Lines!$B:$B,B154,Lines!$U:$U),2)</f>
        <v>54410</v>
      </c>
      <c r="AE154" s="17" t="n">
        <f aca="false">ROUND(SUMIF(Lines!$B:$B,B154,Lines!$V:$V),2)</f>
        <v>1848.91</v>
      </c>
      <c r="AF154" s="17" t="n">
        <f aca="false">ROUND(AC154-AD154-AE154,2)</f>
        <v>35262</v>
      </c>
      <c r="AG154" s="26" t="n">
        <f aca="false">RANK(AC154,$AC$6:$AC$185)</f>
        <v>118</v>
      </c>
      <c r="AJ154" s="26" t="n">
        <f aca="false">IF(AND(H154&gt;=0.85*Assumptions!$B$44,H154&lt;Assumptions!$B$44),Assumptions!$B$44,IF(AND(H154&gt;=0.85*Assumptions!$B$45,H154&lt;Assumptions!$B$45),Assumptions!$B$45,IF(AND(H154&gt;=0.85*Assumptions!$B$46,H154&lt;Assumptions!$B$46),Assumptions!$B$46,0)))</f>
        <v>0</v>
      </c>
      <c r="AK154" s="26" t="n">
        <f aca="false">IF(AJ154=0,0,AJ154-H154)</f>
        <v>0</v>
      </c>
      <c r="AL154" s="28" t="n">
        <f aca="false">IF(AJ154=Assumptions!$B$44,Assumptions!$C$44,IF(AJ154=Assumptions!$B$45,Assumptions!$C$45,IF(AJ154=Assumptions!$B$46,Assumptions!$C$46,0)))</f>
        <v>0</v>
      </c>
      <c r="AM154" s="17" t="n">
        <f aca="false">IF(AJ154=0,0,AB154*(AL154-P154))</f>
        <v>0</v>
      </c>
      <c r="AN154" s="17" t="n">
        <f aca="false">ROUND(AN138+AM154,2)</f>
        <v>175350.28</v>
      </c>
      <c r="AO154" s="17" t="n">
        <f aca="false">SUMIF(Lines!$B$6:$B$463,$B154,Lines!$M$6:$M$463)</f>
        <v>0</v>
      </c>
      <c r="AP154" s="17" t="n">
        <f aca="false">(AB154/H154)*(MAX(0,MIN(H154,Assumptions!$B$46)-Assumptions!$B$47)*Assumptions!$C$47+MAX(0,MIN(H154,Assumptions!$B$45)-Assumptions!$B$46)*Assumptions!$C$46+MAX(0,MIN(H154,Assumptions!$B$44)-Assumptions!$B$45)*Assumptions!$C$45+MAX(0,H154-Assumptions!$B$44)*Assumptions!$C$44)</f>
        <v>0</v>
      </c>
      <c r="AQ154" s="17" t="n">
        <f aca="false">ROUND(SUMIF(Lines!$B:$B,B154,Lines!$N:$N),2)</f>
        <v>0</v>
      </c>
    </row>
    <row r="155" customFormat="false" ht="15" hidden="false" customHeight="false" outlineLevel="0" collapsed="false">
      <c r="B155" s="14" t="s">
        <v>308</v>
      </c>
      <c r="C155" s="14" t="s">
        <v>259</v>
      </c>
      <c r="D155" s="14" t="s">
        <v>243</v>
      </c>
      <c r="E155" s="24" t="n">
        <v>160</v>
      </c>
      <c r="F155" s="24" t="n">
        <v>951</v>
      </c>
      <c r="G155" s="24" t="n">
        <v>372</v>
      </c>
      <c r="H155" s="26" t="n">
        <f aca="false">SUM(E155:G155)</f>
        <v>1483</v>
      </c>
      <c r="I155" s="24" t="n">
        <v>42</v>
      </c>
      <c r="J155" s="24" t="n">
        <v>35</v>
      </c>
      <c r="K155" s="27" t="n">
        <v>0.035</v>
      </c>
      <c r="L155" s="28" t="n">
        <f aca="false">MIN(Assumptions!$C$18,K155*Assumptions!$D$15)</f>
        <v>0.0217</v>
      </c>
      <c r="M155" s="28" t="n">
        <f aca="false">MIN(Assumptions!$C$18,K155*Assumptions!$D$16)</f>
        <v>0.0455</v>
      </c>
      <c r="N155" s="28" t="n">
        <f aca="false">MIN(Assumptions!$C$18,K155*Assumptions!$D$17)</f>
        <v>0.0336</v>
      </c>
      <c r="O155" s="28" t="n">
        <f aca="false">IF(I155&gt;=Assumptions!$B$36,Assumptions!$C$36,IF(I155&gt;=Assumptions!$B$37,Assumptions!$C$37,IF(I155&gt;=Assumptions!$B$38,Assumptions!$C$38,Assumptions!$C$39)))</f>
        <v>0</v>
      </c>
      <c r="P155" s="28" t="n">
        <f aca="false">IF(H155&gt;=Assumptions!$B$44,Assumptions!$C$44,IF(H155&gt;=Assumptions!$B$45,Assumptions!$C$45,IF(H155&gt;=Assumptions!$B$46,Assumptions!$C$46,Assumptions!$C$47)))</f>
        <v>0</v>
      </c>
      <c r="Q155" s="24" t="n">
        <v>0</v>
      </c>
      <c r="R155" s="28" t="n">
        <f aca="false">Q155*Assumptions!$C$51</f>
        <v>0</v>
      </c>
      <c r="S155" s="27" t="n">
        <v>0</v>
      </c>
      <c r="T155" s="27" t="n">
        <v>0</v>
      </c>
      <c r="U155" s="27" t="n">
        <v>0</v>
      </c>
      <c r="V155" s="27" t="n">
        <v>0.01</v>
      </c>
      <c r="W155" s="27" t="n">
        <v>0</v>
      </c>
      <c r="X155" s="28" t="n">
        <f aca="false">P155+R155+SUM(S155:W155)</f>
        <v>0.01</v>
      </c>
      <c r="Y155" s="24" t="n">
        <v>0</v>
      </c>
      <c r="Z155" s="29" t="n">
        <f aca="false">LN(H155)</f>
        <v>7.30182234213793</v>
      </c>
      <c r="AA155" s="17" t="n">
        <f aca="false">ROUND(SUMIF(Lines!$B:$B,B155,Lines!$I:$I),2)</f>
        <v>118354</v>
      </c>
      <c r="AB155" s="17" t="n">
        <f aca="false">ROUND(SUMIF(Lines!$B:$B,B155,Lines!$L:$L),2)</f>
        <v>113957.45</v>
      </c>
      <c r="AC155" s="17" t="n">
        <f aca="false">ROUND(SUMIF(Lines!$B:$B,B155,Lines!$T:$T),2)</f>
        <v>112817.88</v>
      </c>
      <c r="AD155" s="17" t="n">
        <f aca="false">ROUND(SUMIF(Lines!$B:$B,B155,Lines!$U:$U),2)</f>
        <v>68292</v>
      </c>
      <c r="AE155" s="17" t="n">
        <f aca="false">ROUND(SUMIF(Lines!$B:$B,B155,Lines!$V:$V),2)</f>
        <v>2279.14</v>
      </c>
      <c r="AF155" s="17" t="n">
        <f aca="false">ROUND(AC155-AD155-AE155,2)</f>
        <v>42246.74</v>
      </c>
      <c r="AG155" s="26" t="n">
        <f aca="false">RANK(AC155,$AC$6:$AC$185)</f>
        <v>103</v>
      </c>
      <c r="AJ155" s="26" t="n">
        <f aca="false">IF(AND(H155&gt;=0.85*Assumptions!$B$44,H155&lt;Assumptions!$B$44),Assumptions!$B$44,IF(AND(H155&gt;=0.85*Assumptions!$B$45,H155&lt;Assumptions!$B$45),Assumptions!$B$45,IF(AND(H155&gt;=0.85*Assumptions!$B$46,H155&lt;Assumptions!$B$46),Assumptions!$B$46,0)))</f>
        <v>0</v>
      </c>
      <c r="AK155" s="26" t="n">
        <f aca="false">IF(AJ155=0,0,AJ155-H155)</f>
        <v>0</v>
      </c>
      <c r="AL155" s="28" t="n">
        <f aca="false">IF(AJ155=Assumptions!$B$44,Assumptions!$C$44,IF(AJ155=Assumptions!$B$45,Assumptions!$C$45,IF(AJ155=Assumptions!$B$46,Assumptions!$C$46,0)))</f>
        <v>0</v>
      </c>
      <c r="AM155" s="17" t="n">
        <f aca="false">IF(AJ155=0,0,AB155*(AL155-P155))</f>
        <v>0</v>
      </c>
      <c r="AN155" s="17" t="n">
        <f aca="false">ROUND(AN139+AM155,2)</f>
        <v>175350.28</v>
      </c>
      <c r="AO155" s="17" t="n">
        <f aca="false">SUMIF(Lines!$B$6:$B$463,$B155,Lines!$M$6:$M$463)</f>
        <v>0</v>
      </c>
      <c r="AP155" s="17" t="n">
        <f aca="false">(AB155/H155)*(MAX(0,MIN(H155,Assumptions!$B$46)-Assumptions!$B$47)*Assumptions!$C$47+MAX(0,MIN(H155,Assumptions!$B$45)-Assumptions!$B$46)*Assumptions!$C$46+MAX(0,MIN(H155,Assumptions!$B$44)-Assumptions!$B$45)*Assumptions!$C$45+MAX(0,H155-Assumptions!$B$44)*Assumptions!$C$44)</f>
        <v>0</v>
      </c>
      <c r="AQ155" s="17" t="n">
        <f aca="false">ROUND(SUMIF(Lines!$B:$B,B155,Lines!$N:$N),2)</f>
        <v>0</v>
      </c>
    </row>
    <row r="156" customFormat="false" ht="15" hidden="false" customHeight="false" outlineLevel="0" collapsed="false">
      <c r="B156" s="14" t="s">
        <v>309</v>
      </c>
      <c r="C156" s="14" t="s">
        <v>259</v>
      </c>
      <c r="D156" s="14" t="s">
        <v>243</v>
      </c>
      <c r="E156" s="24" t="n">
        <v>39</v>
      </c>
      <c r="F156" s="24" t="n">
        <v>130</v>
      </c>
      <c r="G156" s="24" t="n">
        <v>39</v>
      </c>
      <c r="H156" s="26" t="n">
        <f aca="false">SUM(E156:G156)</f>
        <v>208</v>
      </c>
      <c r="I156" s="24" t="n">
        <v>42</v>
      </c>
      <c r="J156" s="24" t="n">
        <v>5</v>
      </c>
      <c r="K156" s="27" t="n">
        <v>0.04</v>
      </c>
      <c r="L156" s="28" t="n">
        <f aca="false">MIN(Assumptions!$C$18,K156*Assumptions!$D$15)</f>
        <v>0.0248</v>
      </c>
      <c r="M156" s="28" t="n">
        <f aca="false">MIN(Assumptions!$C$18,K156*Assumptions!$D$16)</f>
        <v>0.052</v>
      </c>
      <c r="N156" s="28" t="n">
        <f aca="false">MIN(Assumptions!$C$18,K156*Assumptions!$D$17)</f>
        <v>0.0384</v>
      </c>
      <c r="O156" s="28" t="n">
        <f aca="false">IF(I156&gt;=Assumptions!$B$36,Assumptions!$C$36,IF(I156&gt;=Assumptions!$B$37,Assumptions!$C$37,IF(I156&gt;=Assumptions!$B$38,Assumptions!$C$38,Assumptions!$C$39)))</f>
        <v>0</v>
      </c>
      <c r="P156" s="28" t="n">
        <f aca="false">IF(H156&gt;=Assumptions!$B$44,Assumptions!$C$44,IF(H156&gt;=Assumptions!$B$45,Assumptions!$C$45,IF(H156&gt;=Assumptions!$B$46,Assumptions!$C$46,Assumptions!$C$47)))</f>
        <v>0</v>
      </c>
      <c r="Q156" s="24" t="n">
        <v>0</v>
      </c>
      <c r="R156" s="28" t="n">
        <f aca="false">Q156*Assumptions!$C$51</f>
        <v>0</v>
      </c>
      <c r="S156" s="27" t="n">
        <v>0</v>
      </c>
      <c r="T156" s="27" t="n">
        <v>0</v>
      </c>
      <c r="U156" s="27" t="n">
        <v>0</v>
      </c>
      <c r="V156" s="27" t="n">
        <v>0.01</v>
      </c>
      <c r="W156" s="27" t="n">
        <v>0</v>
      </c>
      <c r="X156" s="28" t="n">
        <f aca="false">P156+R156+SUM(S156:W156)</f>
        <v>0.01</v>
      </c>
      <c r="Y156" s="24" t="n">
        <v>0</v>
      </c>
      <c r="Z156" s="29" t="n">
        <f aca="false">LN(H156)</f>
        <v>5.33753807970132</v>
      </c>
      <c r="AA156" s="17" t="n">
        <f aca="false">ROUND(SUMIF(Lines!$B:$B,B156,Lines!$I:$I),2)</f>
        <v>17576</v>
      </c>
      <c r="AB156" s="17" t="n">
        <f aca="false">ROUND(SUMIF(Lines!$B:$B,B156,Lines!$L:$L),2)</f>
        <v>16869.96</v>
      </c>
      <c r="AC156" s="17" t="n">
        <f aca="false">ROUND(SUMIF(Lines!$B:$B,B156,Lines!$T:$T),2)</f>
        <v>16701.26</v>
      </c>
      <c r="AD156" s="17" t="n">
        <f aca="false">ROUND(SUMIF(Lines!$B:$B,B156,Lines!$U:$U),2)</f>
        <v>9984</v>
      </c>
      <c r="AE156" s="17" t="n">
        <f aca="false">ROUND(SUMIF(Lines!$B:$B,B156,Lines!$V:$V),2)</f>
        <v>337.4</v>
      </c>
      <c r="AF156" s="17" t="n">
        <f aca="false">ROUND(AC156-AD156-AE156,2)</f>
        <v>6379.86</v>
      </c>
      <c r="AG156" s="26" t="n">
        <f aca="false">RANK(AC156,$AC$6:$AC$185)</f>
        <v>171</v>
      </c>
      <c r="AJ156" s="26" t="n">
        <f aca="false">IF(AND(H156&gt;=0.85*Assumptions!$B$44,H156&lt;Assumptions!$B$44),Assumptions!$B$44,IF(AND(H156&gt;=0.85*Assumptions!$B$45,H156&lt;Assumptions!$B$45),Assumptions!$B$45,IF(AND(H156&gt;=0.85*Assumptions!$B$46,H156&lt;Assumptions!$B$46),Assumptions!$B$46,0)))</f>
        <v>0</v>
      </c>
      <c r="AK156" s="26" t="n">
        <f aca="false">IF(AJ156=0,0,AJ156-H156)</f>
        <v>0</v>
      </c>
      <c r="AL156" s="28" t="n">
        <f aca="false">IF(AJ156=Assumptions!$B$44,Assumptions!$C$44,IF(AJ156=Assumptions!$B$45,Assumptions!$C$45,IF(AJ156=Assumptions!$B$46,Assumptions!$C$46,0)))</f>
        <v>0</v>
      </c>
      <c r="AM156" s="17" t="n">
        <f aca="false">IF(AJ156=0,0,AB156*(AL156-P156))</f>
        <v>0</v>
      </c>
      <c r="AN156" s="17" t="n">
        <f aca="false">ROUND(AN140+AM156,2)</f>
        <v>175350.28</v>
      </c>
      <c r="AO156" s="17" t="n">
        <f aca="false">SUMIF(Lines!$B$6:$B$463,$B156,Lines!$M$6:$M$463)</f>
        <v>0</v>
      </c>
      <c r="AP156" s="17" t="n">
        <f aca="false">(AB156/H156)*(MAX(0,MIN(H156,Assumptions!$B$46)-Assumptions!$B$47)*Assumptions!$C$47+MAX(0,MIN(H156,Assumptions!$B$45)-Assumptions!$B$46)*Assumptions!$C$46+MAX(0,MIN(H156,Assumptions!$B$44)-Assumptions!$B$45)*Assumptions!$C$45+MAX(0,H156-Assumptions!$B$44)*Assumptions!$C$44)</f>
        <v>0</v>
      </c>
      <c r="AQ156" s="17" t="n">
        <f aca="false">ROUND(SUMIF(Lines!$B:$B,B156,Lines!$N:$N),2)</f>
        <v>0</v>
      </c>
    </row>
    <row r="157" customFormat="false" ht="15" hidden="false" customHeight="false" outlineLevel="0" collapsed="false">
      <c r="B157" s="14" t="s">
        <v>310</v>
      </c>
      <c r="C157" s="14" t="s">
        <v>259</v>
      </c>
      <c r="D157" s="14" t="s">
        <v>243</v>
      </c>
      <c r="E157" s="24" t="n">
        <v>41</v>
      </c>
      <c r="F157" s="24" t="n">
        <v>216</v>
      </c>
      <c r="G157" s="24" t="n">
        <v>0</v>
      </c>
      <c r="H157" s="26" t="n">
        <f aca="false">SUM(E157:G157)</f>
        <v>257</v>
      </c>
      <c r="I157" s="24" t="n">
        <v>42</v>
      </c>
      <c r="J157" s="24" t="n">
        <v>6</v>
      </c>
      <c r="K157" s="27" t="n">
        <v>0.045</v>
      </c>
      <c r="L157" s="28" t="n">
        <f aca="false">MIN(Assumptions!$C$18,K157*Assumptions!$D$15)</f>
        <v>0.0279</v>
      </c>
      <c r="M157" s="28" t="n">
        <f aca="false">MIN(Assumptions!$C$18,K157*Assumptions!$D$16)</f>
        <v>0.0585</v>
      </c>
      <c r="N157" s="28" t="n">
        <f aca="false">MIN(Assumptions!$C$18,K157*Assumptions!$D$17)</f>
        <v>0.0432</v>
      </c>
      <c r="O157" s="28" t="n">
        <f aca="false">IF(I157&gt;=Assumptions!$B$36,Assumptions!$C$36,IF(I157&gt;=Assumptions!$B$37,Assumptions!$C$37,IF(I157&gt;=Assumptions!$B$38,Assumptions!$C$38,Assumptions!$C$39)))</f>
        <v>0</v>
      </c>
      <c r="P157" s="28" t="n">
        <f aca="false">IF(H157&gt;=Assumptions!$B$44,Assumptions!$C$44,IF(H157&gt;=Assumptions!$B$45,Assumptions!$C$45,IF(H157&gt;=Assumptions!$B$46,Assumptions!$C$46,Assumptions!$C$47)))</f>
        <v>0</v>
      </c>
      <c r="Q157" s="24" t="n">
        <v>0</v>
      </c>
      <c r="R157" s="28" t="n">
        <f aca="false">Q157*Assumptions!$C$51</f>
        <v>0</v>
      </c>
      <c r="S157" s="27" t="n">
        <v>0</v>
      </c>
      <c r="T157" s="27" t="n">
        <v>0</v>
      </c>
      <c r="U157" s="27" t="n">
        <v>0</v>
      </c>
      <c r="V157" s="27" t="n">
        <v>0.01</v>
      </c>
      <c r="W157" s="27" t="n">
        <v>0</v>
      </c>
      <c r="X157" s="28" t="n">
        <f aca="false">P157+R157+SUM(S157:W157)</f>
        <v>0.01</v>
      </c>
      <c r="Y157" s="24" t="n">
        <v>0</v>
      </c>
      <c r="Z157" s="29" t="n">
        <f aca="false">LN(H157)</f>
        <v>5.54907608489522</v>
      </c>
      <c r="AA157" s="17" t="n">
        <f aca="false">ROUND(SUMIF(Lines!$B:$B,B157,Lines!$I:$I),2)</f>
        <v>19460</v>
      </c>
      <c r="AB157" s="17" t="n">
        <f aca="false">ROUND(SUMIF(Lines!$B:$B,B157,Lines!$L:$L),2)</f>
        <v>18507.27</v>
      </c>
      <c r="AC157" s="17" t="n">
        <f aca="false">ROUND(SUMIF(Lines!$B:$B,B157,Lines!$T:$T),2)</f>
        <v>18322.19</v>
      </c>
      <c r="AD157" s="17" t="n">
        <f aca="false">ROUND(SUMIF(Lines!$B:$B,B157,Lines!$U:$U),2)</f>
        <v>10974</v>
      </c>
      <c r="AE157" s="17" t="n">
        <f aca="false">ROUND(SUMIF(Lines!$B:$B,B157,Lines!$V:$V),2)</f>
        <v>370.14</v>
      </c>
      <c r="AF157" s="17" t="n">
        <f aca="false">ROUND(AC157-AD157-AE157,2)</f>
        <v>6978.05</v>
      </c>
      <c r="AG157" s="26" t="n">
        <f aca="false">RANK(AC157,$AC$6:$AC$185)</f>
        <v>170</v>
      </c>
      <c r="AJ157" s="26" t="n">
        <f aca="false">IF(AND(H157&gt;=0.85*Assumptions!$B$44,H157&lt;Assumptions!$B$44),Assumptions!$B$44,IF(AND(H157&gt;=0.85*Assumptions!$B$45,H157&lt;Assumptions!$B$45),Assumptions!$B$45,IF(AND(H157&gt;=0.85*Assumptions!$B$46,H157&lt;Assumptions!$B$46),Assumptions!$B$46,0)))</f>
        <v>0</v>
      </c>
      <c r="AK157" s="26" t="n">
        <f aca="false">IF(AJ157=0,0,AJ157-H157)</f>
        <v>0</v>
      </c>
      <c r="AL157" s="28" t="n">
        <f aca="false">IF(AJ157=Assumptions!$B$44,Assumptions!$C$44,IF(AJ157=Assumptions!$B$45,Assumptions!$C$45,IF(AJ157=Assumptions!$B$46,Assumptions!$C$46,0)))</f>
        <v>0</v>
      </c>
      <c r="AM157" s="17" t="n">
        <f aca="false">IF(AJ157=0,0,AB157*(AL157-P157))</f>
        <v>0</v>
      </c>
      <c r="AN157" s="17" t="n">
        <f aca="false">ROUND(AN141+AM157,2)</f>
        <v>175350.28</v>
      </c>
      <c r="AO157" s="17" t="n">
        <f aca="false">SUMIF(Lines!$B$6:$B$463,$B157,Lines!$M$6:$M$463)</f>
        <v>0</v>
      </c>
      <c r="AP157" s="17" t="n">
        <f aca="false">(AB157/H157)*(MAX(0,MIN(H157,Assumptions!$B$46)-Assumptions!$B$47)*Assumptions!$C$47+MAX(0,MIN(H157,Assumptions!$B$45)-Assumptions!$B$46)*Assumptions!$C$46+MAX(0,MIN(H157,Assumptions!$B$44)-Assumptions!$B$45)*Assumptions!$C$45+MAX(0,H157-Assumptions!$B$44)*Assumptions!$C$44)</f>
        <v>0</v>
      </c>
      <c r="AQ157" s="17" t="n">
        <f aca="false">ROUND(SUMIF(Lines!$B:$B,B157,Lines!$N:$N),2)</f>
        <v>0</v>
      </c>
    </row>
    <row r="158" customFormat="false" ht="15" hidden="false" customHeight="false" outlineLevel="0" collapsed="false">
      <c r="B158" s="14" t="s">
        <v>311</v>
      </c>
      <c r="C158" s="14" t="s">
        <v>259</v>
      </c>
      <c r="D158" s="14" t="s">
        <v>243</v>
      </c>
      <c r="E158" s="24" t="n">
        <v>85</v>
      </c>
      <c r="F158" s="24" t="n">
        <v>310</v>
      </c>
      <c r="G158" s="24" t="n">
        <v>118</v>
      </c>
      <c r="H158" s="26" t="n">
        <f aca="false">SUM(E158:G158)</f>
        <v>513</v>
      </c>
      <c r="I158" s="24" t="n">
        <v>29</v>
      </c>
      <c r="J158" s="24" t="n">
        <v>18</v>
      </c>
      <c r="K158" s="27" t="n">
        <v>0</v>
      </c>
      <c r="L158" s="28" t="n">
        <f aca="false">MIN(Assumptions!$C$18,K158*Assumptions!$D$15)</f>
        <v>0</v>
      </c>
      <c r="M158" s="28" t="n">
        <f aca="false">MIN(Assumptions!$C$18,K158*Assumptions!$D$16)</f>
        <v>0</v>
      </c>
      <c r="N158" s="28" t="n">
        <f aca="false">MIN(Assumptions!$C$18,K158*Assumptions!$D$17)</f>
        <v>0</v>
      </c>
      <c r="O158" s="28" t="n">
        <f aca="false">IF(I158&gt;=Assumptions!$B$36,Assumptions!$C$36,IF(I158&gt;=Assumptions!$B$37,Assumptions!$C$37,IF(I158&gt;=Assumptions!$B$38,Assumptions!$C$38,Assumptions!$C$39)))</f>
        <v>0</v>
      </c>
      <c r="P158" s="28" t="n">
        <f aca="false">IF(H158&gt;=Assumptions!$B$44,Assumptions!$C$44,IF(H158&gt;=Assumptions!$B$45,Assumptions!$C$45,IF(H158&gt;=Assumptions!$B$46,Assumptions!$C$46,Assumptions!$C$47)))</f>
        <v>0</v>
      </c>
      <c r="Q158" s="24" t="n">
        <v>0</v>
      </c>
      <c r="R158" s="28" t="n">
        <f aca="false">Q158*Assumptions!$C$51</f>
        <v>0</v>
      </c>
      <c r="S158" s="27" t="n">
        <v>0</v>
      </c>
      <c r="T158" s="27" t="n">
        <v>0</v>
      </c>
      <c r="U158" s="27" t="n">
        <v>0</v>
      </c>
      <c r="V158" s="27" t="n">
        <v>0.01</v>
      </c>
      <c r="W158" s="27" t="n">
        <v>0</v>
      </c>
      <c r="X158" s="28" t="n">
        <f aca="false">P158+R158+SUM(S158:W158)</f>
        <v>0.01</v>
      </c>
      <c r="Y158" s="24" t="n">
        <v>0</v>
      </c>
      <c r="Z158" s="29" t="n">
        <f aca="false">LN(H158)</f>
        <v>6.24027584517077</v>
      </c>
      <c r="AA158" s="17" t="n">
        <f aca="false">ROUND(SUMIF(Lines!$B:$B,B158,Lines!$I:$I),2)</f>
        <v>43128</v>
      </c>
      <c r="AB158" s="17" t="n">
        <f aca="false">ROUND(SUMIF(Lines!$B:$B,B158,Lines!$L:$L),2)</f>
        <v>43128</v>
      </c>
      <c r="AC158" s="17" t="n">
        <f aca="false">ROUND(SUMIF(Lines!$B:$B,B158,Lines!$T:$T),2)</f>
        <v>42696.72</v>
      </c>
      <c r="AD158" s="17" t="n">
        <f aca="false">ROUND(SUMIF(Lines!$B:$B,B158,Lines!$U:$U),2)</f>
        <v>24634</v>
      </c>
      <c r="AE158" s="17" t="n">
        <f aca="false">ROUND(SUMIF(Lines!$B:$B,B158,Lines!$V:$V),2)</f>
        <v>862.56</v>
      </c>
      <c r="AF158" s="17" t="n">
        <f aca="false">ROUND(AC158-AD158-AE158,2)</f>
        <v>17200.16</v>
      </c>
      <c r="AG158" s="26" t="n">
        <f aca="false">RANK(AC158,$AC$6:$AC$185)</f>
        <v>159</v>
      </c>
      <c r="AJ158" s="26" t="n">
        <f aca="false">IF(AND(H158&gt;=0.85*Assumptions!$B$44,H158&lt;Assumptions!$B$44),Assumptions!$B$44,IF(AND(H158&gt;=0.85*Assumptions!$B$45,H158&lt;Assumptions!$B$45),Assumptions!$B$45,IF(AND(H158&gt;=0.85*Assumptions!$B$46,H158&lt;Assumptions!$B$46),Assumptions!$B$46,0)))</f>
        <v>0</v>
      </c>
      <c r="AK158" s="26" t="n">
        <f aca="false">IF(AJ158=0,0,AJ158-H158)</f>
        <v>0</v>
      </c>
      <c r="AL158" s="28" t="n">
        <f aca="false">IF(AJ158=Assumptions!$B$44,Assumptions!$C$44,IF(AJ158=Assumptions!$B$45,Assumptions!$C$45,IF(AJ158=Assumptions!$B$46,Assumptions!$C$46,0)))</f>
        <v>0</v>
      </c>
      <c r="AM158" s="17" t="n">
        <f aca="false">IF(AJ158=0,0,AB158*(AL158-P158))</f>
        <v>0</v>
      </c>
      <c r="AN158" s="17" t="n">
        <f aca="false">ROUND(AN142+AM158,2)</f>
        <v>175350.28</v>
      </c>
      <c r="AO158" s="17" t="n">
        <f aca="false">SUMIF(Lines!$B$6:$B$463,$B158,Lines!$M$6:$M$463)</f>
        <v>0</v>
      </c>
      <c r="AP158" s="17" t="n">
        <f aca="false">(AB158/H158)*(MAX(0,MIN(H158,Assumptions!$B$46)-Assumptions!$B$47)*Assumptions!$C$47+MAX(0,MIN(H158,Assumptions!$B$45)-Assumptions!$B$46)*Assumptions!$C$46+MAX(0,MIN(H158,Assumptions!$B$44)-Assumptions!$B$45)*Assumptions!$C$45+MAX(0,H158-Assumptions!$B$44)*Assumptions!$C$44)</f>
        <v>0</v>
      </c>
      <c r="AQ158" s="17" t="n">
        <f aca="false">ROUND(SUMIF(Lines!$B:$B,B158,Lines!$N:$N),2)</f>
        <v>0</v>
      </c>
    </row>
    <row r="159" customFormat="false" ht="15" hidden="false" customHeight="false" outlineLevel="0" collapsed="false">
      <c r="B159" s="14" t="s">
        <v>312</v>
      </c>
      <c r="C159" s="14" t="s">
        <v>259</v>
      </c>
      <c r="D159" s="14" t="s">
        <v>243</v>
      </c>
      <c r="E159" s="24" t="n">
        <v>91</v>
      </c>
      <c r="F159" s="24" t="n">
        <v>0</v>
      </c>
      <c r="G159" s="24" t="n">
        <v>0</v>
      </c>
      <c r="H159" s="26" t="n">
        <f aca="false">SUM(E159:G159)</f>
        <v>91</v>
      </c>
      <c r="I159" s="24" t="n">
        <v>15</v>
      </c>
      <c r="J159" s="24" t="n">
        <v>6</v>
      </c>
      <c r="K159" s="27" t="n">
        <v>0.05</v>
      </c>
      <c r="L159" s="28" t="n">
        <f aca="false">MIN(Assumptions!$C$18,K159*Assumptions!$D$15)</f>
        <v>0.031</v>
      </c>
      <c r="M159" s="28" t="n">
        <f aca="false">MIN(Assumptions!$C$18,K159*Assumptions!$D$16)</f>
        <v>0.065</v>
      </c>
      <c r="N159" s="28" t="n">
        <f aca="false">MIN(Assumptions!$C$18,K159*Assumptions!$D$17)</f>
        <v>0.048</v>
      </c>
      <c r="O159" s="28" t="n">
        <f aca="false">IF(I159&gt;=Assumptions!$B$36,Assumptions!$C$36,IF(I159&gt;=Assumptions!$B$37,Assumptions!$C$37,IF(I159&gt;=Assumptions!$B$38,Assumptions!$C$38,Assumptions!$C$39)))</f>
        <v>0</v>
      </c>
      <c r="P159" s="28" t="n">
        <f aca="false">IF(H159&gt;=Assumptions!$B$44,Assumptions!$C$44,IF(H159&gt;=Assumptions!$B$45,Assumptions!$C$45,IF(H159&gt;=Assumptions!$B$46,Assumptions!$C$46,Assumptions!$C$47)))</f>
        <v>0</v>
      </c>
      <c r="Q159" s="24" t="n">
        <v>0</v>
      </c>
      <c r="R159" s="28" t="n">
        <f aca="false">Q159*Assumptions!$C$51</f>
        <v>0</v>
      </c>
      <c r="S159" s="27" t="n">
        <v>0</v>
      </c>
      <c r="T159" s="27" t="n">
        <v>0</v>
      </c>
      <c r="U159" s="27" t="n">
        <v>0</v>
      </c>
      <c r="V159" s="27" t="n">
        <v>0.01</v>
      </c>
      <c r="W159" s="27" t="n">
        <v>0</v>
      </c>
      <c r="X159" s="28" t="n">
        <f aca="false">P159+R159+SUM(S159:W159)</f>
        <v>0.01</v>
      </c>
      <c r="Y159" s="24" t="n">
        <v>0</v>
      </c>
      <c r="Z159" s="29" t="n">
        <f aca="false">LN(H159)</f>
        <v>4.51085950651685</v>
      </c>
      <c r="AA159" s="17" t="n">
        <f aca="false">ROUND(SUMIF(Lines!$B:$B,B159,Lines!$I:$I),2)</f>
        <v>13468</v>
      </c>
      <c r="AB159" s="17" t="n">
        <f aca="false">ROUND(SUMIF(Lines!$B:$B,B159,Lines!$L:$L),2)</f>
        <v>13050.49</v>
      </c>
      <c r="AC159" s="17" t="n">
        <f aca="false">ROUND(SUMIF(Lines!$B:$B,B159,Lines!$T:$T),2)</f>
        <v>12919.99</v>
      </c>
      <c r="AD159" s="17" t="n">
        <f aca="false">ROUND(SUMIF(Lines!$B:$B,B159,Lines!$U:$U),2)</f>
        <v>7098</v>
      </c>
      <c r="AE159" s="17" t="n">
        <f aca="false">ROUND(SUMIF(Lines!$B:$B,B159,Lines!$V:$V),2)</f>
        <v>261.01</v>
      </c>
      <c r="AF159" s="17" t="n">
        <f aca="false">ROUND(AC159-AD159-AE159,2)</f>
        <v>5560.98</v>
      </c>
      <c r="AG159" s="26" t="n">
        <f aca="false">RANK(AC159,$AC$6:$AC$185)</f>
        <v>176</v>
      </c>
      <c r="AJ159" s="26" t="n">
        <f aca="false">IF(AND(H159&gt;=0.85*Assumptions!$B$44,H159&lt;Assumptions!$B$44),Assumptions!$B$44,IF(AND(H159&gt;=0.85*Assumptions!$B$45,H159&lt;Assumptions!$B$45),Assumptions!$B$45,IF(AND(H159&gt;=0.85*Assumptions!$B$46,H159&lt;Assumptions!$B$46),Assumptions!$B$46,0)))</f>
        <v>0</v>
      </c>
      <c r="AK159" s="26" t="n">
        <f aca="false">IF(AJ159=0,0,AJ159-H159)</f>
        <v>0</v>
      </c>
      <c r="AL159" s="28" t="n">
        <f aca="false">IF(AJ159=Assumptions!$B$44,Assumptions!$C$44,IF(AJ159=Assumptions!$B$45,Assumptions!$C$45,IF(AJ159=Assumptions!$B$46,Assumptions!$C$46,0)))</f>
        <v>0</v>
      </c>
      <c r="AM159" s="17" t="n">
        <f aca="false">IF(AJ159=0,0,AB159*(AL159-P159))</f>
        <v>0</v>
      </c>
      <c r="AN159" s="17" t="n">
        <f aca="false">ROUND(AN143+AM159,2)</f>
        <v>175350.28</v>
      </c>
      <c r="AO159" s="17" t="n">
        <f aca="false">SUMIF(Lines!$B$6:$B$463,$B159,Lines!$M$6:$M$463)</f>
        <v>0</v>
      </c>
      <c r="AP159" s="17" t="n">
        <f aca="false">(AB159/H159)*(MAX(0,MIN(H159,Assumptions!$B$46)-Assumptions!$B$47)*Assumptions!$C$47+MAX(0,MIN(H159,Assumptions!$B$45)-Assumptions!$B$46)*Assumptions!$C$46+MAX(0,MIN(H159,Assumptions!$B$44)-Assumptions!$B$45)*Assumptions!$C$45+MAX(0,H159-Assumptions!$B$44)*Assumptions!$C$44)</f>
        <v>0</v>
      </c>
      <c r="AQ159" s="17" t="n">
        <f aca="false">ROUND(SUMIF(Lines!$B:$B,B159,Lines!$N:$N),2)</f>
        <v>0</v>
      </c>
    </row>
    <row r="160" customFormat="false" ht="15" hidden="false" customHeight="false" outlineLevel="0" collapsed="false">
      <c r="B160" s="14" t="s">
        <v>313</v>
      </c>
      <c r="C160" s="14" t="s">
        <v>259</v>
      </c>
      <c r="D160" s="14" t="s">
        <v>243</v>
      </c>
      <c r="E160" s="24" t="n">
        <v>65</v>
      </c>
      <c r="F160" s="24" t="n">
        <v>518</v>
      </c>
      <c r="G160" s="24" t="n">
        <v>161</v>
      </c>
      <c r="H160" s="26" t="n">
        <f aca="false">SUM(E160:G160)</f>
        <v>744</v>
      </c>
      <c r="I160" s="24" t="n">
        <v>52</v>
      </c>
      <c r="J160" s="24" t="n">
        <v>14</v>
      </c>
      <c r="K160" s="27" t="n">
        <v>0</v>
      </c>
      <c r="L160" s="28" t="n">
        <f aca="false">MIN(Assumptions!$C$18,K160*Assumptions!$D$15)</f>
        <v>0</v>
      </c>
      <c r="M160" s="28" t="n">
        <f aca="false">MIN(Assumptions!$C$18,K160*Assumptions!$D$16)</f>
        <v>0</v>
      </c>
      <c r="N160" s="28" t="n">
        <f aca="false">MIN(Assumptions!$C$18,K160*Assumptions!$D$17)</f>
        <v>0</v>
      </c>
      <c r="O160" s="28" t="n">
        <f aca="false">IF(I160&gt;=Assumptions!$B$36,Assumptions!$C$36,IF(I160&gt;=Assumptions!$B$37,Assumptions!$C$37,IF(I160&gt;=Assumptions!$B$38,Assumptions!$C$38,Assumptions!$C$39)))</f>
        <v>0.02</v>
      </c>
      <c r="P160" s="28" t="n">
        <f aca="false">IF(H160&gt;=Assumptions!$B$44,Assumptions!$C$44,IF(H160&gt;=Assumptions!$B$45,Assumptions!$C$45,IF(H160&gt;=Assumptions!$B$46,Assumptions!$C$46,Assumptions!$C$47)))</f>
        <v>0</v>
      </c>
      <c r="Q160" s="24" t="n">
        <v>0</v>
      </c>
      <c r="R160" s="28" t="n">
        <f aca="false">Q160*Assumptions!$C$51</f>
        <v>0</v>
      </c>
      <c r="S160" s="27" t="n">
        <v>0</v>
      </c>
      <c r="T160" s="27" t="n">
        <v>0</v>
      </c>
      <c r="U160" s="27" t="n">
        <v>0</v>
      </c>
      <c r="V160" s="27" t="n">
        <v>0.01</v>
      </c>
      <c r="W160" s="27" t="n">
        <v>0</v>
      </c>
      <c r="X160" s="28" t="n">
        <f aca="false">P160+R160+SUM(S160:W160)</f>
        <v>0.01</v>
      </c>
      <c r="Y160" s="24" t="n">
        <v>0</v>
      </c>
      <c r="Z160" s="29" t="n">
        <f aca="false">LN(H160)</f>
        <v>6.61204103483309</v>
      </c>
      <c r="AA160" s="17" t="n">
        <f aca="false">ROUND(SUMIF(Lines!$B:$B,B160,Lines!$I:$I),2)</f>
        <v>57192</v>
      </c>
      <c r="AB160" s="17" t="n">
        <f aca="false">ROUND(SUMIF(Lines!$B:$B,B160,Lines!$L:$L),2)</f>
        <v>56048.16</v>
      </c>
      <c r="AC160" s="17" t="n">
        <f aca="false">ROUND(SUMIF(Lines!$B:$B,B160,Lines!$T:$T),2)</f>
        <v>55487.67</v>
      </c>
      <c r="AD160" s="17" t="n">
        <f aca="false">ROUND(SUMIF(Lines!$B:$B,B160,Lines!$U:$U),2)</f>
        <v>33056</v>
      </c>
      <c r="AE160" s="17" t="n">
        <f aca="false">ROUND(SUMIF(Lines!$B:$B,B160,Lines!$V:$V),2)</f>
        <v>1120.96</v>
      </c>
      <c r="AF160" s="17" t="n">
        <f aca="false">ROUND(AC160-AD160-AE160,2)</f>
        <v>21310.71</v>
      </c>
      <c r="AG160" s="26" t="n">
        <f aca="false">RANK(AC160,$AC$6:$AC$185)</f>
        <v>146</v>
      </c>
      <c r="AJ160" s="26" t="n">
        <f aca="false">IF(AND(H160&gt;=0.85*Assumptions!$B$44,H160&lt;Assumptions!$B$44),Assumptions!$B$44,IF(AND(H160&gt;=0.85*Assumptions!$B$45,H160&lt;Assumptions!$B$45),Assumptions!$B$45,IF(AND(H160&gt;=0.85*Assumptions!$B$46,H160&lt;Assumptions!$B$46),Assumptions!$B$46,0)))</f>
        <v>0</v>
      </c>
      <c r="AK160" s="26" t="n">
        <f aca="false">IF(AJ160=0,0,AJ160-H160)</f>
        <v>0</v>
      </c>
      <c r="AL160" s="28" t="n">
        <f aca="false">IF(AJ160=Assumptions!$B$44,Assumptions!$C$44,IF(AJ160=Assumptions!$B$45,Assumptions!$C$45,IF(AJ160=Assumptions!$B$46,Assumptions!$C$46,0)))</f>
        <v>0</v>
      </c>
      <c r="AM160" s="17" t="n">
        <f aca="false">IF(AJ160=0,0,AB160*(AL160-P160))</f>
        <v>0</v>
      </c>
      <c r="AN160" s="17" t="n">
        <f aca="false">ROUND(AN144+AM160,2)</f>
        <v>175350.28</v>
      </c>
      <c r="AO160" s="17" t="n">
        <f aca="false">SUMIF(Lines!$B$6:$B$463,$B160,Lines!$M$6:$M$463)</f>
        <v>0</v>
      </c>
      <c r="AP160" s="17" t="n">
        <f aca="false">(AB160/H160)*(MAX(0,MIN(H160,Assumptions!$B$46)-Assumptions!$B$47)*Assumptions!$C$47+MAX(0,MIN(H160,Assumptions!$B$45)-Assumptions!$B$46)*Assumptions!$C$46+MAX(0,MIN(H160,Assumptions!$B$44)-Assumptions!$B$45)*Assumptions!$C$45+MAX(0,H160-Assumptions!$B$44)*Assumptions!$C$44)</f>
        <v>0</v>
      </c>
      <c r="AQ160" s="17" t="n">
        <f aca="false">ROUND(SUMIF(Lines!$B:$B,B160,Lines!$N:$N),2)</f>
        <v>0</v>
      </c>
    </row>
    <row r="161" customFormat="false" ht="15" hidden="false" customHeight="false" outlineLevel="0" collapsed="false">
      <c r="B161" s="14" t="s">
        <v>314</v>
      </c>
      <c r="C161" s="14" t="s">
        <v>259</v>
      </c>
      <c r="D161" s="14" t="s">
        <v>243</v>
      </c>
      <c r="E161" s="24" t="n">
        <v>177</v>
      </c>
      <c r="F161" s="24" t="n">
        <v>0</v>
      </c>
      <c r="G161" s="24" t="n">
        <v>285</v>
      </c>
      <c r="H161" s="26" t="n">
        <f aca="false">SUM(E161:G161)</f>
        <v>462</v>
      </c>
      <c r="I161" s="24" t="n">
        <v>42</v>
      </c>
      <c r="J161" s="24" t="n">
        <v>11</v>
      </c>
      <c r="K161" s="27" t="n">
        <v>0.025</v>
      </c>
      <c r="L161" s="28" t="n">
        <f aca="false">MIN(Assumptions!$C$18,K161*Assumptions!$D$15)</f>
        <v>0.0155</v>
      </c>
      <c r="M161" s="28" t="n">
        <f aca="false">MIN(Assumptions!$C$18,K161*Assumptions!$D$16)</f>
        <v>0.0325</v>
      </c>
      <c r="N161" s="28" t="n">
        <f aca="false">MIN(Assumptions!$C$18,K161*Assumptions!$D$17)</f>
        <v>0.024</v>
      </c>
      <c r="O161" s="28" t="n">
        <f aca="false">IF(I161&gt;=Assumptions!$B$36,Assumptions!$C$36,IF(I161&gt;=Assumptions!$B$37,Assumptions!$C$37,IF(I161&gt;=Assumptions!$B$38,Assumptions!$C$38,Assumptions!$C$39)))</f>
        <v>0</v>
      </c>
      <c r="P161" s="28" t="n">
        <f aca="false">IF(H161&gt;=Assumptions!$B$44,Assumptions!$C$44,IF(H161&gt;=Assumptions!$B$45,Assumptions!$C$45,IF(H161&gt;=Assumptions!$B$46,Assumptions!$C$46,Assumptions!$C$47)))</f>
        <v>0</v>
      </c>
      <c r="Q161" s="24" t="n">
        <v>0</v>
      </c>
      <c r="R161" s="28" t="n">
        <f aca="false">Q161*Assumptions!$C$51</f>
        <v>0</v>
      </c>
      <c r="S161" s="27" t="n">
        <v>0</v>
      </c>
      <c r="T161" s="27" t="n">
        <v>0</v>
      </c>
      <c r="U161" s="27" t="n">
        <v>0</v>
      </c>
      <c r="V161" s="27" t="n">
        <v>0.01</v>
      </c>
      <c r="W161" s="27" t="n">
        <v>0</v>
      </c>
      <c r="X161" s="28" t="n">
        <f aca="false">P161+R161+SUM(S161:W161)</f>
        <v>0.01</v>
      </c>
      <c r="Y161" s="24" t="n">
        <v>0</v>
      </c>
      <c r="Z161" s="29" t="n">
        <f aca="false">LN(H161)</f>
        <v>6.13556489108174</v>
      </c>
      <c r="AA161" s="17" t="n">
        <f aca="false">ROUND(SUMIF(Lines!$B:$B,B161,Lines!$I:$I),2)</f>
        <v>53556</v>
      </c>
      <c r="AB161" s="17" t="n">
        <f aca="false">ROUND(SUMIF(Lines!$B:$B,B161,Lines!$L:$L),2)</f>
        <v>52493.32</v>
      </c>
      <c r="AC161" s="17" t="n">
        <f aca="false">ROUND(SUMIF(Lines!$B:$B,B161,Lines!$T:$T),2)</f>
        <v>51968.39</v>
      </c>
      <c r="AD161" s="17" t="n">
        <f aca="false">ROUND(SUMIF(Lines!$B:$B,B161,Lines!$U:$U),2)</f>
        <v>30336</v>
      </c>
      <c r="AE161" s="17" t="n">
        <f aca="false">ROUND(SUMIF(Lines!$B:$B,B161,Lines!$V:$V),2)</f>
        <v>1049.87</v>
      </c>
      <c r="AF161" s="17" t="n">
        <f aca="false">ROUND(AC161-AD161-AE161,2)</f>
        <v>20582.52</v>
      </c>
      <c r="AG161" s="26" t="n">
        <f aca="false">RANK(AC161,$AC$6:$AC$185)</f>
        <v>150</v>
      </c>
      <c r="AJ161" s="26" t="n">
        <f aca="false">IF(AND(H161&gt;=0.85*Assumptions!$B$44,H161&lt;Assumptions!$B$44),Assumptions!$B$44,IF(AND(H161&gt;=0.85*Assumptions!$B$45,H161&lt;Assumptions!$B$45),Assumptions!$B$45,IF(AND(H161&gt;=0.85*Assumptions!$B$46,H161&lt;Assumptions!$B$46),Assumptions!$B$46,0)))</f>
        <v>0</v>
      </c>
      <c r="AK161" s="26" t="n">
        <f aca="false">IF(AJ161=0,0,AJ161-H161)</f>
        <v>0</v>
      </c>
      <c r="AL161" s="28" t="n">
        <f aca="false">IF(AJ161=Assumptions!$B$44,Assumptions!$C$44,IF(AJ161=Assumptions!$B$45,Assumptions!$C$45,IF(AJ161=Assumptions!$B$46,Assumptions!$C$46,0)))</f>
        <v>0</v>
      </c>
      <c r="AM161" s="17" t="n">
        <f aca="false">IF(AJ161=0,0,AB161*(AL161-P161))</f>
        <v>0</v>
      </c>
      <c r="AN161" s="17" t="n">
        <f aca="false">ROUND(AN145+AM161,2)</f>
        <v>175350.28</v>
      </c>
      <c r="AO161" s="17" t="n">
        <f aca="false">SUMIF(Lines!$B$6:$B$463,$B161,Lines!$M$6:$M$463)</f>
        <v>0</v>
      </c>
      <c r="AP161" s="17" t="n">
        <f aca="false">(AB161/H161)*(MAX(0,MIN(H161,Assumptions!$B$46)-Assumptions!$B$47)*Assumptions!$C$47+MAX(0,MIN(H161,Assumptions!$B$45)-Assumptions!$B$46)*Assumptions!$C$46+MAX(0,MIN(H161,Assumptions!$B$44)-Assumptions!$B$45)*Assumptions!$C$45+MAX(0,H161-Assumptions!$B$44)*Assumptions!$C$44)</f>
        <v>0</v>
      </c>
      <c r="AQ161" s="17" t="n">
        <f aca="false">ROUND(SUMIF(Lines!$B:$B,B161,Lines!$N:$N),2)</f>
        <v>0</v>
      </c>
    </row>
    <row r="162" customFormat="false" ht="15" hidden="false" customHeight="false" outlineLevel="0" collapsed="false">
      <c r="B162" s="14" t="s">
        <v>315</v>
      </c>
      <c r="C162" s="14" t="s">
        <v>259</v>
      </c>
      <c r="D162" s="14" t="s">
        <v>243</v>
      </c>
      <c r="E162" s="24" t="n">
        <v>0</v>
      </c>
      <c r="F162" s="24" t="n">
        <v>2092</v>
      </c>
      <c r="G162" s="24" t="n">
        <v>0</v>
      </c>
      <c r="H162" s="26" t="n">
        <f aca="false">SUM(E162:G162)</f>
        <v>2092</v>
      </c>
      <c r="I162" s="24" t="n">
        <v>54</v>
      </c>
      <c r="J162" s="24" t="n">
        <v>39</v>
      </c>
      <c r="K162" s="27" t="n">
        <v>0.03</v>
      </c>
      <c r="L162" s="28" t="n">
        <f aca="false">MIN(Assumptions!$C$18,K162*Assumptions!$D$15)</f>
        <v>0.0186</v>
      </c>
      <c r="M162" s="28" t="n">
        <f aca="false">MIN(Assumptions!$C$18,K162*Assumptions!$D$16)</f>
        <v>0.039</v>
      </c>
      <c r="N162" s="28" t="n">
        <f aca="false">MIN(Assumptions!$C$18,K162*Assumptions!$D$17)</f>
        <v>0.0288</v>
      </c>
      <c r="O162" s="28" t="n">
        <f aca="false">IF(I162&gt;=Assumptions!$B$36,Assumptions!$C$36,IF(I162&gt;=Assumptions!$B$37,Assumptions!$C$37,IF(I162&gt;=Assumptions!$B$38,Assumptions!$C$38,Assumptions!$C$39)))</f>
        <v>0.02</v>
      </c>
      <c r="P162" s="28" t="n">
        <f aca="false">IF(H162&gt;=Assumptions!$B$44,Assumptions!$C$44,IF(H162&gt;=Assumptions!$B$45,Assumptions!$C$45,IF(H162&gt;=Assumptions!$B$46,Assumptions!$C$46,Assumptions!$C$47)))</f>
        <v>0</v>
      </c>
      <c r="Q162" s="24" t="n">
        <v>0</v>
      </c>
      <c r="R162" s="28" t="n">
        <f aca="false">Q162*Assumptions!$C$51</f>
        <v>0</v>
      </c>
      <c r="S162" s="27" t="n">
        <v>0</v>
      </c>
      <c r="T162" s="27" t="n">
        <v>0</v>
      </c>
      <c r="U162" s="27" t="n">
        <v>0</v>
      </c>
      <c r="V162" s="27" t="n">
        <v>0.01</v>
      </c>
      <c r="W162" s="27" t="n">
        <v>0</v>
      </c>
      <c r="X162" s="28" t="n">
        <f aca="false">P162+R162+SUM(S162:W162)</f>
        <v>0.01</v>
      </c>
      <c r="Y162" s="24" t="n">
        <v>0</v>
      </c>
      <c r="Z162" s="29" t="n">
        <f aca="false">LN(H162)</f>
        <v>7.64587582518481</v>
      </c>
      <c r="AA162" s="17" t="n">
        <f aca="false">ROUND(SUMIF(Lines!$B:$B,B162,Lines!$I:$I),2)</f>
        <v>129704</v>
      </c>
      <c r="AB162" s="17" t="n">
        <f aca="false">ROUND(SUMIF(Lines!$B:$B,B162,Lines!$L:$L),2)</f>
        <v>122051.46</v>
      </c>
      <c r="AC162" s="17" t="n">
        <f aca="false">ROUND(SUMIF(Lines!$B:$B,B162,Lines!$T:$T),2)</f>
        <v>120830.95</v>
      </c>
      <c r="AD162" s="17" t="n">
        <f aca="false">ROUND(SUMIF(Lines!$B:$B,B162,Lines!$U:$U),2)</f>
        <v>75312</v>
      </c>
      <c r="AE162" s="17" t="n">
        <f aca="false">ROUND(SUMIF(Lines!$B:$B,B162,Lines!$V:$V),2)</f>
        <v>2441.03</v>
      </c>
      <c r="AF162" s="17" t="n">
        <f aca="false">ROUND(AC162-AD162-AE162,2)</f>
        <v>43077.92</v>
      </c>
      <c r="AG162" s="26" t="n">
        <f aca="false">RANK(AC162,$AC$6:$AC$185)</f>
        <v>101</v>
      </c>
      <c r="AJ162" s="26" t="n">
        <f aca="false">IF(AND(H162&gt;=0.85*Assumptions!$B$44,H162&lt;Assumptions!$B$44),Assumptions!$B$44,IF(AND(H162&gt;=0.85*Assumptions!$B$45,H162&lt;Assumptions!$B$45),Assumptions!$B$45,IF(AND(H162&gt;=0.85*Assumptions!$B$46,H162&lt;Assumptions!$B$46),Assumptions!$B$46,0)))</f>
        <v>0</v>
      </c>
      <c r="AK162" s="26" t="n">
        <f aca="false">IF(AJ162=0,0,AJ162-H162)</f>
        <v>0</v>
      </c>
      <c r="AL162" s="28" t="n">
        <f aca="false">IF(AJ162=Assumptions!$B$44,Assumptions!$C$44,IF(AJ162=Assumptions!$B$45,Assumptions!$C$45,IF(AJ162=Assumptions!$B$46,Assumptions!$C$46,0)))</f>
        <v>0</v>
      </c>
      <c r="AM162" s="17" t="n">
        <f aca="false">IF(AJ162=0,0,AB162*(AL162-P162))</f>
        <v>0</v>
      </c>
      <c r="AN162" s="17" t="n">
        <f aca="false">ROUND(AN146+AM162,2)</f>
        <v>175350.28</v>
      </c>
      <c r="AO162" s="17" t="n">
        <f aca="false">SUMIF(Lines!$B$6:$B$463,$B162,Lines!$M$6:$M$463)</f>
        <v>0</v>
      </c>
      <c r="AP162" s="17" t="n">
        <f aca="false">(AB162/H162)*(MAX(0,MIN(H162,Assumptions!$B$46)-Assumptions!$B$47)*Assumptions!$C$47+MAX(0,MIN(H162,Assumptions!$B$45)-Assumptions!$B$46)*Assumptions!$C$46+MAX(0,MIN(H162,Assumptions!$B$44)-Assumptions!$B$45)*Assumptions!$C$45+MAX(0,H162-Assumptions!$B$44)*Assumptions!$C$44)</f>
        <v>0</v>
      </c>
      <c r="AQ162" s="17" t="n">
        <f aca="false">ROUND(SUMIF(Lines!$B:$B,B162,Lines!$N:$N),2)</f>
        <v>0</v>
      </c>
    </row>
    <row r="163" customFormat="false" ht="15" hidden="false" customHeight="false" outlineLevel="0" collapsed="false">
      <c r="B163" s="14" t="s">
        <v>316</v>
      </c>
      <c r="C163" s="14" t="s">
        <v>259</v>
      </c>
      <c r="D163" s="14" t="s">
        <v>243</v>
      </c>
      <c r="E163" s="24" t="n">
        <v>125</v>
      </c>
      <c r="F163" s="24" t="n">
        <v>607</v>
      </c>
      <c r="G163" s="24" t="n">
        <v>134</v>
      </c>
      <c r="H163" s="26" t="n">
        <f aca="false">SUM(E163:G163)</f>
        <v>866</v>
      </c>
      <c r="I163" s="24" t="n">
        <v>40</v>
      </c>
      <c r="J163" s="24" t="n">
        <v>22</v>
      </c>
      <c r="K163" s="27" t="n">
        <v>0.03</v>
      </c>
      <c r="L163" s="28" t="n">
        <f aca="false">MIN(Assumptions!$C$18,K163*Assumptions!$D$15)</f>
        <v>0.0186</v>
      </c>
      <c r="M163" s="28" t="n">
        <f aca="false">MIN(Assumptions!$C$18,K163*Assumptions!$D$16)</f>
        <v>0.039</v>
      </c>
      <c r="N163" s="28" t="n">
        <f aca="false">MIN(Assumptions!$C$18,K163*Assumptions!$D$17)</f>
        <v>0.0288</v>
      </c>
      <c r="O163" s="28" t="n">
        <f aca="false">IF(I163&gt;=Assumptions!$B$36,Assumptions!$C$36,IF(I163&gt;=Assumptions!$B$37,Assumptions!$C$37,IF(I163&gt;=Assumptions!$B$38,Assumptions!$C$38,Assumptions!$C$39)))</f>
        <v>0</v>
      </c>
      <c r="P163" s="28" t="n">
        <f aca="false">IF(H163&gt;=Assumptions!$B$44,Assumptions!$C$44,IF(H163&gt;=Assumptions!$B$45,Assumptions!$C$45,IF(H163&gt;=Assumptions!$B$46,Assumptions!$C$46,Assumptions!$C$47)))</f>
        <v>0</v>
      </c>
      <c r="Q163" s="24" t="n">
        <v>0</v>
      </c>
      <c r="R163" s="28" t="n">
        <f aca="false">Q163*Assumptions!$C$51</f>
        <v>0</v>
      </c>
      <c r="S163" s="27" t="n">
        <v>0</v>
      </c>
      <c r="T163" s="27" t="n">
        <v>0</v>
      </c>
      <c r="U163" s="27" t="n">
        <v>0</v>
      </c>
      <c r="V163" s="27" t="n">
        <v>0.01</v>
      </c>
      <c r="W163" s="27" t="n">
        <v>0</v>
      </c>
      <c r="X163" s="28" t="n">
        <f aca="false">P163+R163+SUM(S163:W163)</f>
        <v>0.01</v>
      </c>
      <c r="Y163" s="24" t="n">
        <v>0</v>
      </c>
      <c r="Z163" s="29" t="n">
        <f aca="false">LN(H163)</f>
        <v>6.76388490856244</v>
      </c>
      <c r="AA163" s="17" t="n">
        <f aca="false">ROUND(SUMIF(Lines!$B:$B,B163,Lines!$I:$I),2)</f>
        <v>68998</v>
      </c>
      <c r="AB163" s="17" t="n">
        <f aca="false">ROUND(SUMIF(Lines!$B:$B,B163,Lines!$L:$L),2)</f>
        <v>66815.69</v>
      </c>
      <c r="AC163" s="17" t="n">
        <f aca="false">ROUND(SUMIF(Lines!$B:$B,B163,Lines!$T:$T),2)</f>
        <v>66147.53</v>
      </c>
      <c r="AD163" s="17" t="n">
        <f aca="false">ROUND(SUMIF(Lines!$B:$B,B163,Lines!$U:$U),2)</f>
        <v>39374</v>
      </c>
      <c r="AE163" s="17" t="n">
        <f aca="false">ROUND(SUMIF(Lines!$B:$B,B163,Lines!$V:$V),2)</f>
        <v>1336.32</v>
      </c>
      <c r="AF163" s="17" t="n">
        <f aca="false">ROUND(AC163-AD163-AE163,2)</f>
        <v>25437.21</v>
      </c>
      <c r="AG163" s="26" t="n">
        <f aca="false">RANK(AC163,$AC$6:$AC$185)</f>
        <v>136</v>
      </c>
      <c r="AJ163" s="26" t="n">
        <f aca="false">IF(AND(H163&gt;=0.85*Assumptions!$B$44,H163&lt;Assumptions!$B$44),Assumptions!$B$44,IF(AND(H163&gt;=0.85*Assumptions!$B$45,H163&lt;Assumptions!$B$45),Assumptions!$B$45,IF(AND(H163&gt;=0.85*Assumptions!$B$46,H163&lt;Assumptions!$B$46),Assumptions!$B$46,0)))</f>
        <v>0</v>
      </c>
      <c r="AK163" s="26" t="n">
        <f aca="false">IF(AJ163=0,0,AJ163-H163)</f>
        <v>0</v>
      </c>
      <c r="AL163" s="28" t="n">
        <f aca="false">IF(AJ163=Assumptions!$B$44,Assumptions!$C$44,IF(AJ163=Assumptions!$B$45,Assumptions!$C$45,IF(AJ163=Assumptions!$B$46,Assumptions!$C$46,0)))</f>
        <v>0</v>
      </c>
      <c r="AM163" s="17" t="n">
        <f aca="false">IF(AJ163=0,0,AB163*(AL163-P163))</f>
        <v>0</v>
      </c>
      <c r="AN163" s="17" t="n">
        <f aca="false">ROUND(AN147+AM163,2)</f>
        <v>175350.28</v>
      </c>
      <c r="AO163" s="17" t="n">
        <f aca="false">SUMIF(Lines!$B$6:$B$463,$B163,Lines!$M$6:$M$463)</f>
        <v>0</v>
      </c>
      <c r="AP163" s="17" t="n">
        <f aca="false">(AB163/H163)*(MAX(0,MIN(H163,Assumptions!$B$46)-Assumptions!$B$47)*Assumptions!$C$47+MAX(0,MIN(H163,Assumptions!$B$45)-Assumptions!$B$46)*Assumptions!$C$46+MAX(0,MIN(H163,Assumptions!$B$44)-Assumptions!$B$45)*Assumptions!$C$45+MAX(0,H163-Assumptions!$B$44)*Assumptions!$C$44)</f>
        <v>0</v>
      </c>
      <c r="AQ163" s="17" t="n">
        <f aca="false">ROUND(SUMIF(Lines!$B:$B,B163,Lines!$N:$N),2)</f>
        <v>0</v>
      </c>
    </row>
    <row r="164" customFormat="false" ht="15" hidden="false" customHeight="false" outlineLevel="0" collapsed="false">
      <c r="B164" s="14" t="s">
        <v>317</v>
      </c>
      <c r="C164" s="14" t="s">
        <v>259</v>
      </c>
      <c r="D164" s="14" t="s">
        <v>243</v>
      </c>
      <c r="E164" s="24" t="n">
        <v>0</v>
      </c>
      <c r="F164" s="24" t="n">
        <v>507</v>
      </c>
      <c r="G164" s="24" t="n">
        <v>192</v>
      </c>
      <c r="H164" s="26" t="n">
        <f aca="false">SUM(E164:G164)</f>
        <v>699</v>
      </c>
      <c r="I164" s="24" t="n">
        <v>49</v>
      </c>
      <c r="J164" s="24" t="n">
        <v>14</v>
      </c>
      <c r="K164" s="27" t="n">
        <v>0.09</v>
      </c>
      <c r="L164" s="28" t="n">
        <f aca="false">MIN(Assumptions!$C$18,K164*Assumptions!$D$15)</f>
        <v>0.0558</v>
      </c>
      <c r="M164" s="28" t="n">
        <f aca="false">MIN(Assumptions!$C$18,K164*Assumptions!$D$16)</f>
        <v>0.117</v>
      </c>
      <c r="N164" s="28" t="n">
        <f aca="false">MIN(Assumptions!$C$18,K164*Assumptions!$D$17)</f>
        <v>0.0864</v>
      </c>
      <c r="O164" s="28" t="n">
        <f aca="false">IF(I164&gt;=Assumptions!$B$36,Assumptions!$C$36,IF(I164&gt;=Assumptions!$B$37,Assumptions!$C$37,IF(I164&gt;=Assumptions!$B$38,Assumptions!$C$38,Assumptions!$C$39)))</f>
        <v>0</v>
      </c>
      <c r="P164" s="28" t="n">
        <f aca="false">IF(H164&gt;=Assumptions!$B$44,Assumptions!$C$44,IF(H164&gt;=Assumptions!$B$45,Assumptions!$C$45,IF(H164&gt;=Assumptions!$B$46,Assumptions!$C$46,Assumptions!$C$47)))</f>
        <v>0</v>
      </c>
      <c r="Q164" s="24" t="n">
        <v>0</v>
      </c>
      <c r="R164" s="28" t="n">
        <f aca="false">Q164*Assumptions!$C$51</f>
        <v>0</v>
      </c>
      <c r="S164" s="27" t="n">
        <v>0</v>
      </c>
      <c r="T164" s="27" t="n">
        <v>0</v>
      </c>
      <c r="U164" s="27" t="n">
        <v>0</v>
      </c>
      <c r="V164" s="27" t="n">
        <v>0.01</v>
      </c>
      <c r="W164" s="27" t="n">
        <v>0</v>
      </c>
      <c r="X164" s="28" t="n">
        <f aca="false">P164+R164+SUM(S164:W164)</f>
        <v>0.01</v>
      </c>
      <c r="Y164" s="24" t="n">
        <v>0</v>
      </c>
      <c r="Z164" s="29" t="n">
        <f aca="false">LN(H164)</f>
        <v>6.54965074223381</v>
      </c>
      <c r="AA164" s="17" t="n">
        <f aca="false">ROUND(SUMIF(Lines!$B:$B,B164,Lines!$I:$I),2)</f>
        <v>49866</v>
      </c>
      <c r="AB164" s="17" t="n">
        <f aca="false">ROUND(SUMIF(Lines!$B:$B,B164,Lines!$L:$L),2)</f>
        <v>44595.7</v>
      </c>
      <c r="AC164" s="17" t="n">
        <f aca="false">ROUND(SUMIF(Lines!$B:$B,B164,Lines!$T:$T),2)</f>
        <v>44149.75</v>
      </c>
      <c r="AD164" s="17" t="n">
        <f aca="false">ROUND(SUMIF(Lines!$B:$B,B164,Lines!$U:$U),2)</f>
        <v>29388</v>
      </c>
      <c r="AE164" s="17" t="n">
        <f aca="false">ROUND(SUMIF(Lines!$B:$B,B164,Lines!$V:$V),2)</f>
        <v>891.91</v>
      </c>
      <c r="AF164" s="17" t="n">
        <f aca="false">ROUND(AC164-AD164-AE164,2)</f>
        <v>13869.84</v>
      </c>
      <c r="AG164" s="26" t="n">
        <f aca="false">RANK(AC164,$AC$6:$AC$185)</f>
        <v>158</v>
      </c>
      <c r="AJ164" s="26" t="n">
        <f aca="false">IF(AND(H164&gt;=0.85*Assumptions!$B$44,H164&lt;Assumptions!$B$44),Assumptions!$B$44,IF(AND(H164&gt;=0.85*Assumptions!$B$45,H164&lt;Assumptions!$B$45),Assumptions!$B$45,IF(AND(H164&gt;=0.85*Assumptions!$B$46,H164&lt;Assumptions!$B$46),Assumptions!$B$46,0)))</f>
        <v>0</v>
      </c>
      <c r="AK164" s="26" t="n">
        <f aca="false">IF(AJ164=0,0,AJ164-H164)</f>
        <v>0</v>
      </c>
      <c r="AL164" s="28" t="n">
        <f aca="false">IF(AJ164=Assumptions!$B$44,Assumptions!$C$44,IF(AJ164=Assumptions!$B$45,Assumptions!$C$45,IF(AJ164=Assumptions!$B$46,Assumptions!$C$46,0)))</f>
        <v>0</v>
      </c>
      <c r="AM164" s="17" t="n">
        <f aca="false">IF(AJ164=0,0,AB164*(AL164-P164))</f>
        <v>0</v>
      </c>
      <c r="AN164" s="17" t="n">
        <f aca="false">ROUND(AN148+AM164,2)</f>
        <v>175350.28</v>
      </c>
      <c r="AO164" s="17" t="n">
        <f aca="false">SUMIF(Lines!$B$6:$B$463,$B164,Lines!$M$6:$M$463)</f>
        <v>0</v>
      </c>
      <c r="AP164" s="17" t="n">
        <f aca="false">(AB164/H164)*(MAX(0,MIN(H164,Assumptions!$B$46)-Assumptions!$B$47)*Assumptions!$C$47+MAX(0,MIN(H164,Assumptions!$B$45)-Assumptions!$B$46)*Assumptions!$C$46+MAX(0,MIN(H164,Assumptions!$B$44)-Assumptions!$B$45)*Assumptions!$C$45+MAX(0,H164-Assumptions!$B$44)*Assumptions!$C$44)</f>
        <v>0</v>
      </c>
      <c r="AQ164" s="17" t="n">
        <f aca="false">ROUND(SUMIF(Lines!$B:$B,B164,Lines!$N:$N),2)</f>
        <v>0</v>
      </c>
    </row>
    <row r="165" customFormat="false" ht="15" hidden="false" customHeight="false" outlineLevel="0" collapsed="false">
      <c r="B165" s="14" t="s">
        <v>318</v>
      </c>
      <c r="C165" s="14" t="s">
        <v>259</v>
      </c>
      <c r="D165" s="14" t="s">
        <v>243</v>
      </c>
      <c r="E165" s="24" t="n">
        <v>437</v>
      </c>
      <c r="F165" s="24" t="n">
        <v>2402</v>
      </c>
      <c r="G165" s="24" t="n">
        <v>762</v>
      </c>
      <c r="H165" s="26" t="n">
        <f aca="false">SUM(E165:G165)</f>
        <v>3601</v>
      </c>
      <c r="I165" s="24" t="n">
        <v>88</v>
      </c>
      <c r="J165" s="24" t="n">
        <v>41</v>
      </c>
      <c r="K165" s="27" t="n">
        <v>0.105</v>
      </c>
      <c r="L165" s="28" t="n">
        <f aca="false">MIN(Assumptions!$C$18,K165*Assumptions!$D$15)</f>
        <v>0.0651</v>
      </c>
      <c r="M165" s="28" t="n">
        <f aca="false">MIN(Assumptions!$C$18,K165*Assumptions!$D$16)</f>
        <v>0.1365</v>
      </c>
      <c r="N165" s="28" t="n">
        <f aca="false">MIN(Assumptions!$C$18,K165*Assumptions!$D$17)</f>
        <v>0.1008</v>
      </c>
      <c r="O165" s="28" t="n">
        <f aca="false">IF(I165&gt;=Assumptions!$B$36,Assumptions!$C$36,IF(I165&gt;=Assumptions!$B$37,Assumptions!$C$37,IF(I165&gt;=Assumptions!$B$38,Assumptions!$C$38,Assumptions!$C$39)))</f>
        <v>0.02</v>
      </c>
      <c r="P165" s="28" t="n">
        <f aca="false">IF(H165&gt;=Assumptions!$B$44,Assumptions!$C$44,IF(H165&gt;=Assumptions!$B$45,Assumptions!$C$45,IF(H165&gt;=Assumptions!$B$46,Assumptions!$C$46,Assumptions!$C$47)))</f>
        <v>0.02</v>
      </c>
      <c r="Q165" s="24" t="n">
        <v>0</v>
      </c>
      <c r="R165" s="28" t="n">
        <f aca="false">Q165*Assumptions!$C$51</f>
        <v>0</v>
      </c>
      <c r="S165" s="27" t="n">
        <v>0</v>
      </c>
      <c r="T165" s="27" t="n">
        <v>0</v>
      </c>
      <c r="U165" s="27" t="n">
        <v>0</v>
      </c>
      <c r="V165" s="27" t="n">
        <v>0.01</v>
      </c>
      <c r="W165" s="27" t="n">
        <v>0</v>
      </c>
      <c r="X165" s="28" t="n">
        <f aca="false">P165+R165+SUM(S165:W165)</f>
        <v>0.03</v>
      </c>
      <c r="Y165" s="24" t="n">
        <v>0</v>
      </c>
      <c r="Z165" s="29" t="n">
        <f aca="false">LN(H165)</f>
        <v>8.18896686364888</v>
      </c>
      <c r="AA165" s="17" t="n">
        <f aca="false">ROUND(SUMIF(Lines!$B:$B,B165,Lines!$I:$I),2)</f>
        <v>286752</v>
      </c>
      <c r="AB165" s="17" t="n">
        <f aca="false">ROUND(SUMIF(Lines!$B:$B,B165,Lines!$L:$L),2)</f>
        <v>249104.7</v>
      </c>
      <c r="AC165" s="17" t="n">
        <f aca="false">ROUND(SUMIF(Lines!$B:$B,B165,Lines!$T:$T),2)</f>
        <v>241631.57</v>
      </c>
      <c r="AD165" s="17" t="n">
        <f aca="false">ROUND(SUMIF(Lines!$B:$B,B165,Lines!$U:$U),2)</f>
        <v>164754</v>
      </c>
      <c r="AE165" s="17" t="n">
        <f aca="false">ROUND(SUMIF(Lines!$B:$B,B165,Lines!$V:$V),2)</f>
        <v>4982.09</v>
      </c>
      <c r="AF165" s="17" t="n">
        <f aca="false">ROUND(AC165-AD165-AE165,2)</f>
        <v>71895.48</v>
      </c>
      <c r="AG165" s="26" t="n">
        <f aca="false">RANK(AC165,$AC$6:$AC$185)</f>
        <v>58</v>
      </c>
      <c r="AJ165" s="26" t="n">
        <f aca="false">IF(AND(H165&gt;=0.85*Assumptions!$B$44,H165&lt;Assumptions!$B$44),Assumptions!$B$44,IF(AND(H165&gt;=0.85*Assumptions!$B$45,H165&lt;Assumptions!$B$45),Assumptions!$B$45,IF(AND(H165&gt;=0.85*Assumptions!$B$46,H165&lt;Assumptions!$B$46),Assumptions!$B$46,0)))</f>
        <v>0</v>
      </c>
      <c r="AK165" s="26" t="n">
        <f aca="false">IF(AJ165=0,0,AJ165-H165)</f>
        <v>0</v>
      </c>
      <c r="AL165" s="28" t="n">
        <f aca="false">IF(AJ165=Assumptions!$B$44,Assumptions!$C$44,IF(AJ165=Assumptions!$B$45,Assumptions!$C$45,IF(AJ165=Assumptions!$B$46,Assumptions!$C$46,0)))</f>
        <v>0</v>
      </c>
      <c r="AM165" s="17" t="n">
        <f aca="false">IF(AJ165=0,0,AB165*(AL165-P165))</f>
        <v>0</v>
      </c>
      <c r="AN165" s="17" t="n">
        <f aca="false">ROUND(AN149+AM165,2)</f>
        <v>175350.28</v>
      </c>
      <c r="AO165" s="17" t="n">
        <f aca="false">SUMIF(Lines!$B$6:$B$463,$B165,Lines!$M$6:$M$463)</f>
        <v>4982.09</v>
      </c>
      <c r="AP165" s="17" t="n">
        <f aca="false">(AB165/H165)*(MAX(0,MIN(H165,Assumptions!$B$46)-Assumptions!$B$47)*Assumptions!$C$47+MAX(0,MIN(H165,Assumptions!$B$45)-Assumptions!$B$46)*Assumptions!$C$46+MAX(0,MIN(H165,Assumptions!$B$44)-Assumptions!$B$45)*Assumptions!$C$45+MAX(0,H165-Assumptions!$B$44)*Assumptions!$C$44)</f>
        <v>831.501942238267</v>
      </c>
      <c r="AQ165" s="17" t="n">
        <f aca="false">ROUND(SUMIF(Lines!$B:$B,B165,Lines!$N:$N),2)</f>
        <v>0</v>
      </c>
    </row>
    <row r="166" customFormat="false" ht="15" hidden="false" customHeight="false" outlineLevel="0" collapsed="false">
      <c r="B166" s="14" t="s">
        <v>319</v>
      </c>
      <c r="C166" s="14" t="s">
        <v>259</v>
      </c>
      <c r="D166" s="14" t="s">
        <v>243</v>
      </c>
      <c r="E166" s="24" t="n">
        <v>0</v>
      </c>
      <c r="F166" s="24" t="n">
        <v>591</v>
      </c>
      <c r="G166" s="24" t="n">
        <v>157</v>
      </c>
      <c r="H166" s="26" t="n">
        <f aca="false">SUM(E166:G166)</f>
        <v>748</v>
      </c>
      <c r="I166" s="24" t="n">
        <v>42</v>
      </c>
      <c r="J166" s="24" t="n">
        <v>18</v>
      </c>
      <c r="K166" s="27" t="n">
        <v>0.035</v>
      </c>
      <c r="L166" s="28" t="n">
        <f aca="false">MIN(Assumptions!$C$18,K166*Assumptions!$D$15)</f>
        <v>0.0217</v>
      </c>
      <c r="M166" s="28" t="n">
        <f aca="false">MIN(Assumptions!$C$18,K166*Assumptions!$D$16)</f>
        <v>0.0455</v>
      </c>
      <c r="N166" s="28" t="n">
        <f aca="false">MIN(Assumptions!$C$18,K166*Assumptions!$D$17)</f>
        <v>0.0336</v>
      </c>
      <c r="O166" s="28" t="n">
        <f aca="false">IF(I166&gt;=Assumptions!$B$36,Assumptions!$C$36,IF(I166&gt;=Assumptions!$B$37,Assumptions!$C$37,IF(I166&gt;=Assumptions!$B$38,Assumptions!$C$38,Assumptions!$C$39)))</f>
        <v>0</v>
      </c>
      <c r="P166" s="28" t="n">
        <f aca="false">IF(H166&gt;=Assumptions!$B$44,Assumptions!$C$44,IF(H166&gt;=Assumptions!$B$45,Assumptions!$C$45,IF(H166&gt;=Assumptions!$B$46,Assumptions!$C$46,Assumptions!$C$47)))</f>
        <v>0</v>
      </c>
      <c r="Q166" s="24" t="n">
        <v>0</v>
      </c>
      <c r="R166" s="28" t="n">
        <f aca="false">Q166*Assumptions!$C$51</f>
        <v>0</v>
      </c>
      <c r="S166" s="27" t="n">
        <v>0</v>
      </c>
      <c r="T166" s="27" t="n">
        <v>0</v>
      </c>
      <c r="U166" s="27" t="n">
        <v>0</v>
      </c>
      <c r="V166" s="27" t="n">
        <v>0.01</v>
      </c>
      <c r="W166" s="27" t="n">
        <v>0</v>
      </c>
      <c r="X166" s="28" t="n">
        <f aca="false">P166+R166+SUM(S166:W166)</f>
        <v>0.01</v>
      </c>
      <c r="Y166" s="24" t="n">
        <v>0</v>
      </c>
      <c r="Z166" s="29" t="n">
        <f aca="false">LN(H166)</f>
        <v>6.61740297797448</v>
      </c>
      <c r="AA166" s="17" t="n">
        <f aca="false">ROUND(SUMIF(Lines!$B:$B,B166,Lines!$I:$I),2)</f>
        <v>51714</v>
      </c>
      <c r="AB166" s="17" t="n">
        <f aca="false">ROUND(SUMIF(Lines!$B:$B,B166,Lines!$L:$L),2)</f>
        <v>49540.37</v>
      </c>
      <c r="AC166" s="17" t="n">
        <f aca="false">ROUND(SUMIF(Lines!$B:$B,B166,Lines!$T:$T),2)</f>
        <v>49044.96</v>
      </c>
      <c r="AD166" s="17" t="n">
        <f aca="false">ROUND(SUMIF(Lines!$B:$B,B166,Lines!$U:$U),2)</f>
        <v>30382</v>
      </c>
      <c r="AE166" s="17" t="n">
        <f aca="false">ROUND(SUMIF(Lines!$B:$B,B166,Lines!$V:$V),2)</f>
        <v>990.81</v>
      </c>
      <c r="AF166" s="17" t="n">
        <f aca="false">ROUND(AC166-AD166-AE166,2)</f>
        <v>17672.15</v>
      </c>
      <c r="AG166" s="26" t="n">
        <f aca="false">RANK(AC166,$AC$6:$AC$185)</f>
        <v>154</v>
      </c>
      <c r="AJ166" s="26" t="n">
        <f aca="false">IF(AND(H166&gt;=0.85*Assumptions!$B$44,H166&lt;Assumptions!$B$44),Assumptions!$B$44,IF(AND(H166&gt;=0.85*Assumptions!$B$45,H166&lt;Assumptions!$B$45),Assumptions!$B$45,IF(AND(H166&gt;=0.85*Assumptions!$B$46,H166&lt;Assumptions!$B$46),Assumptions!$B$46,0)))</f>
        <v>0</v>
      </c>
      <c r="AK166" s="26" t="n">
        <f aca="false">IF(AJ166=0,0,AJ166-H166)</f>
        <v>0</v>
      </c>
      <c r="AL166" s="28" t="n">
        <f aca="false">IF(AJ166=Assumptions!$B$44,Assumptions!$C$44,IF(AJ166=Assumptions!$B$45,Assumptions!$C$45,IF(AJ166=Assumptions!$B$46,Assumptions!$C$46,0)))</f>
        <v>0</v>
      </c>
      <c r="AM166" s="17" t="n">
        <f aca="false">IF(AJ166=0,0,AB166*(AL166-P166))</f>
        <v>0</v>
      </c>
      <c r="AN166" s="17" t="n">
        <f aca="false">ROUND(AN150+AM166,2)</f>
        <v>175350.28</v>
      </c>
      <c r="AO166" s="17" t="n">
        <f aca="false">SUMIF(Lines!$B$6:$B$463,$B166,Lines!$M$6:$M$463)</f>
        <v>0</v>
      </c>
      <c r="AP166" s="17" t="n">
        <f aca="false">(AB166/H166)*(MAX(0,MIN(H166,Assumptions!$B$46)-Assumptions!$B$47)*Assumptions!$C$47+MAX(0,MIN(H166,Assumptions!$B$45)-Assumptions!$B$46)*Assumptions!$C$46+MAX(0,MIN(H166,Assumptions!$B$44)-Assumptions!$B$45)*Assumptions!$C$45+MAX(0,H166-Assumptions!$B$44)*Assumptions!$C$44)</f>
        <v>0</v>
      </c>
      <c r="AQ166" s="17" t="n">
        <f aca="false">ROUND(SUMIF(Lines!$B:$B,B166,Lines!$N:$N),2)</f>
        <v>0</v>
      </c>
    </row>
    <row r="167" customFormat="false" ht="15" hidden="false" customHeight="false" outlineLevel="0" collapsed="false">
      <c r="B167" s="14" t="s">
        <v>320</v>
      </c>
      <c r="C167" s="14" t="s">
        <v>259</v>
      </c>
      <c r="D167" s="14" t="s">
        <v>243</v>
      </c>
      <c r="E167" s="24" t="n">
        <v>57</v>
      </c>
      <c r="F167" s="24" t="n">
        <v>1868</v>
      </c>
      <c r="G167" s="24" t="n">
        <v>683</v>
      </c>
      <c r="H167" s="26" t="n">
        <f aca="false">SUM(E167:G167)</f>
        <v>2608</v>
      </c>
      <c r="I167" s="24" t="n">
        <v>55</v>
      </c>
      <c r="J167" s="24" t="n">
        <v>47</v>
      </c>
      <c r="K167" s="27" t="n">
        <v>0.045</v>
      </c>
      <c r="L167" s="28" t="n">
        <f aca="false">MIN(Assumptions!$C$18,K167*Assumptions!$D$15)</f>
        <v>0.0279</v>
      </c>
      <c r="M167" s="28" t="n">
        <f aca="false">MIN(Assumptions!$C$18,K167*Assumptions!$D$16)</f>
        <v>0.0585</v>
      </c>
      <c r="N167" s="28" t="n">
        <f aca="false">MIN(Assumptions!$C$18,K167*Assumptions!$D$17)</f>
        <v>0.0432</v>
      </c>
      <c r="O167" s="28" t="n">
        <f aca="false">IF(I167&gt;=Assumptions!$B$36,Assumptions!$C$36,IF(I167&gt;=Assumptions!$B$37,Assumptions!$C$37,IF(I167&gt;=Assumptions!$B$38,Assumptions!$C$38,Assumptions!$C$39)))</f>
        <v>0.02</v>
      </c>
      <c r="P167" s="28" t="n">
        <f aca="false">IF(H167&gt;=Assumptions!$B$44,Assumptions!$C$44,IF(H167&gt;=Assumptions!$B$45,Assumptions!$C$45,IF(H167&gt;=Assumptions!$B$46,Assumptions!$C$46,Assumptions!$C$47)))</f>
        <v>0</v>
      </c>
      <c r="Q167" s="24" t="n">
        <v>0</v>
      </c>
      <c r="R167" s="28" t="n">
        <f aca="false">Q167*Assumptions!$C$51</f>
        <v>0</v>
      </c>
      <c r="S167" s="27" t="n">
        <v>0</v>
      </c>
      <c r="T167" s="27" t="n">
        <v>0</v>
      </c>
      <c r="U167" s="27" t="n">
        <v>0</v>
      </c>
      <c r="V167" s="27" t="n">
        <v>0.01</v>
      </c>
      <c r="W167" s="27" t="n">
        <v>0</v>
      </c>
      <c r="X167" s="28" t="n">
        <f aca="false">P167+R167+SUM(S167:W167)</f>
        <v>0.01</v>
      </c>
      <c r="Y167" s="24" t="n">
        <v>0</v>
      </c>
      <c r="Z167" s="29" t="n">
        <f aca="false">LN(H167)</f>
        <v>7.86633892304654</v>
      </c>
      <c r="AA167" s="17" t="n">
        <f aca="false">ROUND(SUMIF(Lines!$B:$B,B167,Lines!$I:$I),2)</f>
        <v>189820</v>
      </c>
      <c r="AB167" s="17" t="n">
        <f aca="false">ROUND(SUMIF(Lines!$B:$B,B167,Lines!$L:$L),2)</f>
        <v>176180.46</v>
      </c>
      <c r="AC167" s="17" t="n">
        <f aca="false">ROUND(SUMIF(Lines!$B:$B,B167,Lines!$T:$T),2)</f>
        <v>174418.66</v>
      </c>
      <c r="AD167" s="17" t="n">
        <f aca="false">ROUND(SUMIF(Lines!$B:$B,B167,Lines!$U:$U),2)</f>
        <v>111308</v>
      </c>
      <c r="AE167" s="17" t="n">
        <f aca="false">ROUND(SUMIF(Lines!$B:$B,B167,Lines!$V:$V),2)</f>
        <v>3523.61</v>
      </c>
      <c r="AF167" s="17" t="n">
        <f aca="false">ROUND(AC167-AD167-AE167,2)</f>
        <v>59587.05</v>
      </c>
      <c r="AG167" s="26" t="n">
        <f aca="false">RANK(AC167,$AC$6:$AC$185)</f>
        <v>81</v>
      </c>
      <c r="AJ167" s="26" t="n">
        <f aca="false">IF(AND(H167&gt;=0.85*Assumptions!$B$44,H167&lt;Assumptions!$B$44),Assumptions!$B$44,IF(AND(H167&gt;=0.85*Assumptions!$B$45,H167&lt;Assumptions!$B$45),Assumptions!$B$45,IF(AND(H167&gt;=0.85*Assumptions!$B$46,H167&lt;Assumptions!$B$46),Assumptions!$B$46,0)))</f>
        <v>3000</v>
      </c>
      <c r="AK167" s="26" t="n">
        <f aca="false">IF(AJ167=0,0,AJ167-H167)</f>
        <v>392</v>
      </c>
      <c r="AL167" s="28" t="n">
        <f aca="false">IF(AJ167=Assumptions!$B$44,Assumptions!$C$44,IF(AJ167=Assumptions!$B$45,Assumptions!$C$45,IF(AJ167=Assumptions!$B$46,Assumptions!$C$46,0)))</f>
        <v>0.02</v>
      </c>
      <c r="AM167" s="17" t="n">
        <f aca="false">IF(AJ167=0,0,AB167*(AL167-P167))</f>
        <v>3523.6092</v>
      </c>
      <c r="AN167" s="17" t="n">
        <f aca="false">ROUND(AN151+AM167,2)</f>
        <v>182782.2</v>
      </c>
      <c r="AO167" s="17" t="n">
        <f aca="false">SUMIF(Lines!$B$6:$B$463,$B167,Lines!$M$6:$M$463)</f>
        <v>0</v>
      </c>
      <c r="AP167" s="17" t="n">
        <f aca="false">(AB167/H167)*(MAX(0,MIN(H167,Assumptions!$B$46)-Assumptions!$B$47)*Assumptions!$C$47+MAX(0,MIN(H167,Assumptions!$B$45)-Assumptions!$B$46)*Assumptions!$C$46+MAX(0,MIN(H167,Assumptions!$B$44)-Assumptions!$B$45)*Assumptions!$C$45+MAX(0,H167-Assumptions!$B$44)*Assumptions!$C$44)</f>
        <v>0</v>
      </c>
      <c r="AQ167" s="17" t="n">
        <f aca="false">ROUND(SUMIF(Lines!$B:$B,B167,Lines!$N:$N),2)</f>
        <v>0</v>
      </c>
    </row>
    <row r="168" customFormat="false" ht="15" hidden="false" customHeight="false" outlineLevel="0" collapsed="false">
      <c r="B168" s="14" t="s">
        <v>321</v>
      </c>
      <c r="C168" s="14" t="s">
        <v>259</v>
      </c>
      <c r="D168" s="14" t="s">
        <v>243</v>
      </c>
      <c r="E168" s="24" t="n">
        <v>9</v>
      </c>
      <c r="F168" s="24" t="n">
        <v>0</v>
      </c>
      <c r="G168" s="24" t="n">
        <v>85</v>
      </c>
      <c r="H168" s="26" t="n">
        <f aca="false">SUM(E168:G168)</f>
        <v>94</v>
      </c>
      <c r="I168" s="24" t="n">
        <v>13</v>
      </c>
      <c r="J168" s="24" t="n">
        <v>7</v>
      </c>
      <c r="K168" s="27" t="n">
        <v>0.015</v>
      </c>
      <c r="L168" s="28" t="n">
        <f aca="false">MIN(Assumptions!$C$18,K168*Assumptions!$D$15)</f>
        <v>0.0093</v>
      </c>
      <c r="M168" s="28" t="n">
        <f aca="false">MIN(Assumptions!$C$18,K168*Assumptions!$D$16)</f>
        <v>0.0195</v>
      </c>
      <c r="N168" s="28" t="n">
        <f aca="false">MIN(Assumptions!$C$18,K168*Assumptions!$D$17)</f>
        <v>0.0144</v>
      </c>
      <c r="O168" s="28" t="n">
        <f aca="false">IF(I168&gt;=Assumptions!$B$36,Assumptions!$C$36,IF(I168&gt;=Assumptions!$B$37,Assumptions!$C$37,IF(I168&gt;=Assumptions!$B$38,Assumptions!$C$38,Assumptions!$C$39)))</f>
        <v>0</v>
      </c>
      <c r="P168" s="28" t="n">
        <f aca="false">IF(H168&gt;=Assumptions!$B$44,Assumptions!$C$44,IF(H168&gt;=Assumptions!$B$45,Assumptions!$C$45,IF(H168&gt;=Assumptions!$B$46,Assumptions!$C$46,Assumptions!$C$47)))</f>
        <v>0</v>
      </c>
      <c r="Q168" s="24" t="n">
        <v>0</v>
      </c>
      <c r="R168" s="28" t="n">
        <f aca="false">Q168*Assumptions!$C$51</f>
        <v>0</v>
      </c>
      <c r="S168" s="27" t="n">
        <v>0</v>
      </c>
      <c r="T168" s="27" t="n">
        <v>0</v>
      </c>
      <c r="U168" s="27" t="n">
        <v>0</v>
      </c>
      <c r="V168" s="27" t="n">
        <v>0.01</v>
      </c>
      <c r="W168" s="27" t="n">
        <v>0</v>
      </c>
      <c r="X168" s="28" t="n">
        <f aca="false">P168+R168+SUM(S168:W168)</f>
        <v>0.01</v>
      </c>
      <c r="Y168" s="24" t="n">
        <v>0</v>
      </c>
      <c r="Z168" s="29" t="n">
        <f aca="false">LN(H168)</f>
        <v>4.54329478227</v>
      </c>
      <c r="AA168" s="17" t="n">
        <f aca="false">ROUND(SUMIF(Lines!$B:$B,B168,Lines!$I:$I),2)</f>
        <v>9492</v>
      </c>
      <c r="AB168" s="17" t="n">
        <f aca="false">ROUND(SUMIF(Lines!$B:$B,B168,Lines!$L:$L),2)</f>
        <v>9362.11</v>
      </c>
      <c r="AC168" s="17" t="n">
        <f aca="false">ROUND(SUMIF(Lines!$B:$B,B168,Lines!$T:$T),2)</f>
        <v>9268.48</v>
      </c>
      <c r="AD168" s="17" t="n">
        <f aca="false">ROUND(SUMIF(Lines!$B:$B,B168,Lines!$U:$U),2)</f>
        <v>5632</v>
      </c>
      <c r="AE168" s="17" t="n">
        <f aca="false">ROUND(SUMIF(Lines!$B:$B,B168,Lines!$V:$V),2)</f>
        <v>187.24</v>
      </c>
      <c r="AF168" s="17" t="n">
        <f aca="false">ROUND(AC168-AD168-AE168,2)</f>
        <v>3449.24</v>
      </c>
      <c r="AG168" s="26" t="n">
        <f aca="false">RANK(AC168,$AC$6:$AC$185)</f>
        <v>178</v>
      </c>
      <c r="AJ168" s="26" t="n">
        <f aca="false">IF(AND(H168&gt;=0.85*Assumptions!$B$44,H168&lt;Assumptions!$B$44),Assumptions!$B$44,IF(AND(H168&gt;=0.85*Assumptions!$B$45,H168&lt;Assumptions!$B$45),Assumptions!$B$45,IF(AND(H168&gt;=0.85*Assumptions!$B$46,H168&lt;Assumptions!$B$46),Assumptions!$B$46,0)))</f>
        <v>0</v>
      </c>
      <c r="AK168" s="26" t="n">
        <f aca="false">IF(AJ168=0,0,AJ168-H168)</f>
        <v>0</v>
      </c>
      <c r="AL168" s="28" t="n">
        <f aca="false">IF(AJ168=Assumptions!$B$44,Assumptions!$C$44,IF(AJ168=Assumptions!$B$45,Assumptions!$C$45,IF(AJ168=Assumptions!$B$46,Assumptions!$C$46,0)))</f>
        <v>0</v>
      </c>
      <c r="AM168" s="17" t="n">
        <f aca="false">IF(AJ168=0,0,AB168*(AL168-P168))</f>
        <v>0</v>
      </c>
      <c r="AN168" s="17" t="n">
        <f aca="false">ROUND(AN152+AM168,2)</f>
        <v>187091.56</v>
      </c>
      <c r="AO168" s="17" t="n">
        <f aca="false">SUMIF(Lines!$B$6:$B$463,$B168,Lines!$M$6:$M$463)</f>
        <v>0</v>
      </c>
      <c r="AP168" s="17" t="n">
        <f aca="false">(AB168/H168)*(MAX(0,MIN(H168,Assumptions!$B$46)-Assumptions!$B$47)*Assumptions!$C$47+MAX(0,MIN(H168,Assumptions!$B$45)-Assumptions!$B$46)*Assumptions!$C$46+MAX(0,MIN(H168,Assumptions!$B$44)-Assumptions!$B$45)*Assumptions!$C$45+MAX(0,H168-Assumptions!$B$44)*Assumptions!$C$44)</f>
        <v>0</v>
      </c>
      <c r="AQ168" s="17" t="n">
        <f aca="false">ROUND(SUMIF(Lines!$B:$B,B168,Lines!$N:$N),2)</f>
        <v>0</v>
      </c>
    </row>
    <row r="169" customFormat="false" ht="15" hidden="false" customHeight="false" outlineLevel="0" collapsed="false">
      <c r="B169" s="14" t="s">
        <v>322</v>
      </c>
      <c r="C169" s="14" t="s">
        <v>259</v>
      </c>
      <c r="D169" s="14" t="s">
        <v>243</v>
      </c>
      <c r="E169" s="24" t="n">
        <v>0</v>
      </c>
      <c r="F169" s="24" t="n">
        <v>324</v>
      </c>
      <c r="G169" s="24" t="n">
        <v>89</v>
      </c>
      <c r="H169" s="26" t="n">
        <f aca="false">SUM(E169:G169)</f>
        <v>413</v>
      </c>
      <c r="I169" s="24" t="n">
        <v>50</v>
      </c>
      <c r="J169" s="24" t="n">
        <v>8</v>
      </c>
      <c r="K169" s="27" t="n">
        <v>0.05</v>
      </c>
      <c r="L169" s="28" t="n">
        <f aca="false">MIN(Assumptions!$C$18,K169*Assumptions!$D$15)</f>
        <v>0.031</v>
      </c>
      <c r="M169" s="28" t="n">
        <f aca="false">MIN(Assumptions!$C$18,K169*Assumptions!$D$16)</f>
        <v>0.065</v>
      </c>
      <c r="N169" s="28" t="n">
        <f aca="false">MIN(Assumptions!$C$18,K169*Assumptions!$D$17)</f>
        <v>0.048</v>
      </c>
      <c r="O169" s="28" t="n">
        <f aca="false">IF(I169&gt;=Assumptions!$B$36,Assumptions!$C$36,IF(I169&gt;=Assumptions!$B$37,Assumptions!$C$37,IF(I169&gt;=Assumptions!$B$38,Assumptions!$C$38,Assumptions!$C$39)))</f>
        <v>0.02</v>
      </c>
      <c r="P169" s="28" t="n">
        <f aca="false">IF(H169&gt;=Assumptions!$B$44,Assumptions!$C$44,IF(H169&gt;=Assumptions!$B$45,Assumptions!$C$45,IF(H169&gt;=Assumptions!$B$46,Assumptions!$C$46,Assumptions!$C$47)))</f>
        <v>0</v>
      </c>
      <c r="Q169" s="24" t="n">
        <v>0</v>
      </c>
      <c r="R169" s="28" t="n">
        <f aca="false">Q169*Assumptions!$C$51</f>
        <v>0</v>
      </c>
      <c r="S169" s="27" t="n">
        <v>0</v>
      </c>
      <c r="T169" s="27" t="n">
        <v>0</v>
      </c>
      <c r="U169" s="27" t="n">
        <v>0</v>
      </c>
      <c r="V169" s="27" t="n">
        <v>0.01</v>
      </c>
      <c r="W169" s="27" t="n">
        <v>0</v>
      </c>
      <c r="X169" s="28" t="n">
        <f aca="false">P169+R169+SUM(S169:W169)</f>
        <v>0.01</v>
      </c>
      <c r="Y169" s="24" t="n">
        <v>0</v>
      </c>
      <c r="Z169" s="29" t="n">
        <f aca="false">LN(H169)</f>
        <v>6.02344759296103</v>
      </c>
      <c r="AA169" s="17" t="n">
        <f aca="false">ROUND(SUMIF(Lines!$B:$B,B169,Lines!$I:$I),2)</f>
        <v>28632</v>
      </c>
      <c r="AB169" s="17" t="n">
        <f aca="false">ROUND(SUMIF(Lines!$B:$B,B169,Lines!$L:$L),2)</f>
        <v>26343.53</v>
      </c>
      <c r="AC169" s="17" t="n">
        <f aca="false">ROUND(SUMIF(Lines!$B:$B,B169,Lines!$T:$T),2)</f>
        <v>26080.09</v>
      </c>
      <c r="AD169" s="17" t="n">
        <f aca="false">ROUND(SUMIF(Lines!$B:$B,B169,Lines!$U:$U),2)</f>
        <v>16826</v>
      </c>
      <c r="AE169" s="17" t="n">
        <f aca="false">ROUND(SUMIF(Lines!$B:$B,B169,Lines!$V:$V),2)</f>
        <v>526.87</v>
      </c>
      <c r="AF169" s="17" t="n">
        <f aca="false">ROUND(AC169-AD169-AE169,2)</f>
        <v>8727.22</v>
      </c>
      <c r="AG169" s="26" t="n">
        <f aca="false">RANK(AC169,$AC$6:$AC$185)</f>
        <v>166</v>
      </c>
      <c r="AJ169" s="26" t="n">
        <f aca="false">IF(AND(H169&gt;=0.85*Assumptions!$B$44,H169&lt;Assumptions!$B$44),Assumptions!$B$44,IF(AND(H169&gt;=0.85*Assumptions!$B$45,H169&lt;Assumptions!$B$45),Assumptions!$B$45,IF(AND(H169&gt;=0.85*Assumptions!$B$46,H169&lt;Assumptions!$B$46),Assumptions!$B$46,0)))</f>
        <v>0</v>
      </c>
      <c r="AK169" s="26" t="n">
        <f aca="false">IF(AJ169=0,0,AJ169-H169)</f>
        <v>0</v>
      </c>
      <c r="AL169" s="28" t="n">
        <f aca="false">IF(AJ169=Assumptions!$B$44,Assumptions!$C$44,IF(AJ169=Assumptions!$B$45,Assumptions!$C$45,IF(AJ169=Assumptions!$B$46,Assumptions!$C$46,0)))</f>
        <v>0</v>
      </c>
      <c r="AM169" s="17" t="n">
        <f aca="false">IF(AJ169=0,0,AB169*(AL169-P169))</f>
        <v>0</v>
      </c>
      <c r="AN169" s="17" t="n">
        <f aca="false">ROUND(AN153+AM169,2)</f>
        <v>187091.56</v>
      </c>
      <c r="AO169" s="17" t="n">
        <f aca="false">SUMIF(Lines!$B$6:$B$463,$B169,Lines!$M$6:$M$463)</f>
        <v>0</v>
      </c>
      <c r="AP169" s="17" t="n">
        <f aca="false">(AB169/H169)*(MAX(0,MIN(H169,Assumptions!$B$46)-Assumptions!$B$47)*Assumptions!$C$47+MAX(0,MIN(H169,Assumptions!$B$45)-Assumptions!$B$46)*Assumptions!$C$46+MAX(0,MIN(H169,Assumptions!$B$44)-Assumptions!$B$45)*Assumptions!$C$45+MAX(0,H169-Assumptions!$B$44)*Assumptions!$C$44)</f>
        <v>0</v>
      </c>
      <c r="AQ169" s="17" t="n">
        <f aca="false">ROUND(SUMIF(Lines!$B:$B,B169,Lines!$N:$N),2)</f>
        <v>0</v>
      </c>
    </row>
    <row r="170" customFormat="false" ht="15" hidden="false" customHeight="false" outlineLevel="0" collapsed="false">
      <c r="B170" s="14" t="s">
        <v>323</v>
      </c>
      <c r="C170" s="14" t="s">
        <v>259</v>
      </c>
      <c r="D170" s="14" t="s">
        <v>251</v>
      </c>
      <c r="E170" s="24" t="n">
        <v>688</v>
      </c>
      <c r="F170" s="24" t="n">
        <v>2253</v>
      </c>
      <c r="G170" s="24" t="n">
        <v>675</v>
      </c>
      <c r="H170" s="26" t="n">
        <f aca="false">SUM(E170:G170)</f>
        <v>3616</v>
      </c>
      <c r="I170" s="24" t="n">
        <v>75</v>
      </c>
      <c r="J170" s="24" t="n">
        <v>48</v>
      </c>
      <c r="K170" s="27" t="n">
        <v>0.065</v>
      </c>
      <c r="L170" s="28" t="n">
        <f aca="false">MIN(Assumptions!$C$18,K170*Assumptions!$D$15)</f>
        <v>0.0403</v>
      </c>
      <c r="M170" s="28" t="n">
        <f aca="false">MIN(Assumptions!$C$18,K170*Assumptions!$D$16)</f>
        <v>0.0845</v>
      </c>
      <c r="N170" s="28" t="n">
        <f aca="false">MIN(Assumptions!$C$18,K170*Assumptions!$D$17)</f>
        <v>0.0624</v>
      </c>
      <c r="O170" s="28" t="n">
        <f aca="false">IF(I170&gt;=Assumptions!$B$36,Assumptions!$C$36,IF(I170&gt;=Assumptions!$B$37,Assumptions!$C$37,IF(I170&gt;=Assumptions!$B$38,Assumptions!$C$38,Assumptions!$C$39)))</f>
        <v>0.02</v>
      </c>
      <c r="P170" s="28" t="n">
        <f aca="false">IF(H170&gt;=Assumptions!$B$44,Assumptions!$C$44,IF(H170&gt;=Assumptions!$B$45,Assumptions!$C$45,IF(H170&gt;=Assumptions!$B$46,Assumptions!$C$46,Assumptions!$C$47)))</f>
        <v>0.02</v>
      </c>
      <c r="Q170" s="24" t="n">
        <v>0</v>
      </c>
      <c r="R170" s="28" t="n">
        <f aca="false">Q170*Assumptions!$C$51</f>
        <v>0</v>
      </c>
      <c r="S170" s="27" t="n">
        <v>0</v>
      </c>
      <c r="T170" s="27" t="n">
        <v>0</v>
      </c>
      <c r="U170" s="27" t="n">
        <v>0</v>
      </c>
      <c r="V170" s="27" t="n">
        <v>0.01</v>
      </c>
      <c r="W170" s="27" t="n">
        <v>0</v>
      </c>
      <c r="X170" s="28" t="n">
        <f aca="false">P170+R170+SUM(S170:W170)</f>
        <v>0.03</v>
      </c>
      <c r="Y170" s="24" t="n">
        <v>0</v>
      </c>
      <c r="Z170" s="29" t="n">
        <f aca="false">LN(H170)</f>
        <v>8.19312372151207</v>
      </c>
      <c r="AA170" s="17" t="n">
        <f aca="false">ROUND(SUMIF(Lines!$B:$B,B170,Lines!$I:$I),2)</f>
        <v>306310</v>
      </c>
      <c r="AB170" s="17" t="n">
        <f aca="false">ROUND(SUMIF(Lines!$B:$B,B170,Lines!$L:$L),2)</f>
        <v>280233.3</v>
      </c>
      <c r="AC170" s="17" t="n">
        <f aca="false">ROUND(SUMIF(Lines!$B:$B,B170,Lines!$T:$T),2)</f>
        <v>271826.3</v>
      </c>
      <c r="AD170" s="17" t="n">
        <f aca="false">ROUND(SUMIF(Lines!$B:$B,B170,Lines!$U:$U),2)</f>
        <v>173922</v>
      </c>
      <c r="AE170" s="17" t="n">
        <f aca="false">ROUND(SUMIF(Lines!$B:$B,B170,Lines!$V:$V),2)</f>
        <v>5604.67</v>
      </c>
      <c r="AF170" s="17" t="n">
        <f aca="false">ROUND(AC170-AD170-AE170,2)</f>
        <v>92299.63</v>
      </c>
      <c r="AG170" s="26" t="n">
        <f aca="false">RANK(AC170,$AC$6:$AC$185)</f>
        <v>49</v>
      </c>
      <c r="AJ170" s="26" t="n">
        <f aca="false">IF(AND(H170&gt;=0.85*Assumptions!$B$44,H170&lt;Assumptions!$B$44),Assumptions!$B$44,IF(AND(H170&gt;=0.85*Assumptions!$B$45,H170&lt;Assumptions!$B$45),Assumptions!$B$45,IF(AND(H170&gt;=0.85*Assumptions!$B$46,H170&lt;Assumptions!$B$46),Assumptions!$B$46,0)))</f>
        <v>0</v>
      </c>
      <c r="AK170" s="26" t="n">
        <f aca="false">IF(AJ170=0,0,AJ170-H170)</f>
        <v>0</v>
      </c>
      <c r="AL170" s="28" t="n">
        <f aca="false">IF(AJ170=Assumptions!$B$44,Assumptions!$C$44,IF(AJ170=Assumptions!$B$45,Assumptions!$C$45,IF(AJ170=Assumptions!$B$46,Assumptions!$C$46,0)))</f>
        <v>0</v>
      </c>
      <c r="AM170" s="17" t="n">
        <f aca="false">IF(AJ170=0,0,AB170*(AL170-P170))</f>
        <v>0</v>
      </c>
      <c r="AN170" s="17" t="n">
        <f aca="false">ROUND(AN154+AM170,2)</f>
        <v>175350.28</v>
      </c>
      <c r="AO170" s="17" t="n">
        <f aca="false">SUMIF(Lines!$B$6:$B$463,$B170,Lines!$M$6:$M$463)</f>
        <v>5604.67</v>
      </c>
      <c r="AP170" s="17" t="n">
        <f aca="false">(AB170/H170)*(MAX(0,MIN(H170,Assumptions!$B$46)-Assumptions!$B$47)*Assumptions!$C$47+MAX(0,MIN(H170,Assumptions!$B$45)-Assumptions!$B$46)*Assumptions!$C$46+MAX(0,MIN(H170,Assumptions!$B$44)-Assumptions!$B$45)*Assumptions!$C$45+MAX(0,H170-Assumptions!$B$44)*Assumptions!$C$44)</f>
        <v>954.777172566372</v>
      </c>
      <c r="AQ170" s="17" t="n">
        <f aca="false">ROUND(SUMIF(Lines!$B:$B,B170,Lines!$N:$N),2)</f>
        <v>0</v>
      </c>
    </row>
    <row r="171" customFormat="false" ht="15" hidden="false" customHeight="false" outlineLevel="0" collapsed="false">
      <c r="B171" s="14" t="s">
        <v>324</v>
      </c>
      <c r="C171" s="14" t="s">
        <v>259</v>
      </c>
      <c r="D171" s="14" t="s">
        <v>251</v>
      </c>
      <c r="E171" s="24" t="n">
        <v>147</v>
      </c>
      <c r="F171" s="24" t="n">
        <v>495</v>
      </c>
      <c r="G171" s="24" t="n">
        <v>138</v>
      </c>
      <c r="H171" s="26" t="n">
        <f aca="false">SUM(E171:G171)</f>
        <v>780</v>
      </c>
      <c r="I171" s="24" t="n">
        <v>39</v>
      </c>
      <c r="J171" s="24" t="n">
        <v>20</v>
      </c>
      <c r="K171" s="27" t="n">
        <v>0.07</v>
      </c>
      <c r="L171" s="28" t="n">
        <f aca="false">MIN(Assumptions!$C$18,K171*Assumptions!$D$15)</f>
        <v>0.0434</v>
      </c>
      <c r="M171" s="28" t="n">
        <f aca="false">MIN(Assumptions!$C$18,K171*Assumptions!$D$16)</f>
        <v>0.091</v>
      </c>
      <c r="N171" s="28" t="n">
        <f aca="false">MIN(Assumptions!$C$18,K171*Assumptions!$D$17)</f>
        <v>0.0672</v>
      </c>
      <c r="O171" s="28" t="n">
        <f aca="false">IF(I171&gt;=Assumptions!$B$36,Assumptions!$C$36,IF(I171&gt;=Assumptions!$B$37,Assumptions!$C$37,IF(I171&gt;=Assumptions!$B$38,Assumptions!$C$38,Assumptions!$C$39)))</f>
        <v>0</v>
      </c>
      <c r="P171" s="28" t="n">
        <f aca="false">IF(H171&gt;=Assumptions!$B$44,Assumptions!$C$44,IF(H171&gt;=Assumptions!$B$45,Assumptions!$C$45,IF(H171&gt;=Assumptions!$B$46,Assumptions!$C$46,Assumptions!$C$47)))</f>
        <v>0</v>
      </c>
      <c r="Q171" s="24" t="n">
        <v>0</v>
      </c>
      <c r="R171" s="28" t="n">
        <f aca="false">Q171*Assumptions!$C$51</f>
        <v>0</v>
      </c>
      <c r="S171" s="27" t="n">
        <v>0</v>
      </c>
      <c r="T171" s="27" t="n">
        <v>0</v>
      </c>
      <c r="U171" s="27" t="n">
        <v>0</v>
      </c>
      <c r="V171" s="27" t="n">
        <v>0.01</v>
      </c>
      <c r="W171" s="27" t="n">
        <v>0</v>
      </c>
      <c r="X171" s="28" t="n">
        <f aca="false">P171+R171+SUM(S171:W171)</f>
        <v>0.01</v>
      </c>
      <c r="Y171" s="24" t="n">
        <v>0</v>
      </c>
      <c r="Z171" s="29" t="n">
        <f aca="false">LN(H171)</f>
        <v>6.65929391968364</v>
      </c>
      <c r="AA171" s="17" t="n">
        <f aca="false">ROUND(SUMIF(Lines!$B:$B,B171,Lines!$I:$I),2)</f>
        <v>65694</v>
      </c>
      <c r="AB171" s="17" t="n">
        <f aca="false">ROUND(SUMIF(Lines!$B:$B,B171,Lines!$L:$L),2)</f>
        <v>61066.73</v>
      </c>
      <c r="AC171" s="17" t="n">
        <f aca="false">ROUND(SUMIF(Lines!$B:$B,B171,Lines!$T:$T),2)</f>
        <v>60456.06</v>
      </c>
      <c r="AD171" s="17" t="n">
        <f aca="false">ROUND(SUMIF(Lines!$B:$B,B171,Lines!$U:$U),2)</f>
        <v>37290</v>
      </c>
      <c r="AE171" s="17" t="n">
        <f aca="false">ROUND(SUMIF(Lines!$B:$B,B171,Lines!$V:$V),2)</f>
        <v>1221.33</v>
      </c>
      <c r="AF171" s="17" t="n">
        <f aca="false">ROUND(AC171-AD171-AE171,2)</f>
        <v>21944.73</v>
      </c>
      <c r="AG171" s="26" t="n">
        <f aca="false">RANK(AC171,$AC$6:$AC$185)</f>
        <v>142</v>
      </c>
      <c r="AJ171" s="26" t="n">
        <f aca="false">IF(AND(H171&gt;=0.85*Assumptions!$B$44,H171&lt;Assumptions!$B$44),Assumptions!$B$44,IF(AND(H171&gt;=0.85*Assumptions!$B$45,H171&lt;Assumptions!$B$45),Assumptions!$B$45,IF(AND(H171&gt;=0.85*Assumptions!$B$46,H171&lt;Assumptions!$B$46),Assumptions!$B$46,0)))</f>
        <v>0</v>
      </c>
      <c r="AK171" s="26" t="n">
        <f aca="false">IF(AJ171=0,0,AJ171-H171)</f>
        <v>0</v>
      </c>
      <c r="AL171" s="28" t="n">
        <f aca="false">IF(AJ171=Assumptions!$B$44,Assumptions!$C$44,IF(AJ171=Assumptions!$B$45,Assumptions!$C$45,IF(AJ171=Assumptions!$B$46,Assumptions!$C$46,0)))</f>
        <v>0</v>
      </c>
      <c r="AM171" s="17" t="n">
        <f aca="false">IF(AJ171=0,0,AB171*(AL171-P171))</f>
        <v>0</v>
      </c>
      <c r="AN171" s="17" t="n">
        <f aca="false">ROUND(AN155+AM171,2)</f>
        <v>175350.28</v>
      </c>
      <c r="AO171" s="17" t="n">
        <f aca="false">SUMIF(Lines!$B$6:$B$463,$B171,Lines!$M$6:$M$463)</f>
        <v>0</v>
      </c>
      <c r="AP171" s="17" t="n">
        <f aca="false">(AB171/H171)*(MAX(0,MIN(H171,Assumptions!$B$46)-Assumptions!$B$47)*Assumptions!$C$47+MAX(0,MIN(H171,Assumptions!$B$45)-Assumptions!$B$46)*Assumptions!$C$46+MAX(0,MIN(H171,Assumptions!$B$44)-Assumptions!$B$45)*Assumptions!$C$45+MAX(0,H171-Assumptions!$B$44)*Assumptions!$C$44)</f>
        <v>0</v>
      </c>
      <c r="AQ171" s="17" t="n">
        <f aca="false">ROUND(SUMIF(Lines!$B:$B,B171,Lines!$N:$N),2)</f>
        <v>0</v>
      </c>
    </row>
    <row r="172" customFormat="false" ht="15" hidden="false" customHeight="false" outlineLevel="0" collapsed="false">
      <c r="B172" s="14" t="s">
        <v>325</v>
      </c>
      <c r="C172" s="14" t="s">
        <v>259</v>
      </c>
      <c r="D172" s="14" t="s">
        <v>251</v>
      </c>
      <c r="E172" s="24" t="n">
        <v>0</v>
      </c>
      <c r="F172" s="24" t="n">
        <v>896</v>
      </c>
      <c r="G172" s="24" t="n">
        <v>0</v>
      </c>
      <c r="H172" s="26" t="n">
        <f aca="false">SUM(E172:G172)</f>
        <v>896</v>
      </c>
      <c r="I172" s="24" t="n">
        <v>61</v>
      </c>
      <c r="J172" s="24" t="n">
        <v>15</v>
      </c>
      <c r="K172" s="27" t="n">
        <v>0.02</v>
      </c>
      <c r="L172" s="28" t="n">
        <f aca="false">MIN(Assumptions!$C$18,K172*Assumptions!$D$15)</f>
        <v>0.0124</v>
      </c>
      <c r="M172" s="28" t="n">
        <f aca="false">MIN(Assumptions!$C$18,K172*Assumptions!$D$16)</f>
        <v>0.026</v>
      </c>
      <c r="N172" s="28" t="n">
        <f aca="false">MIN(Assumptions!$C$18,K172*Assumptions!$D$17)</f>
        <v>0.0192</v>
      </c>
      <c r="O172" s="28" t="n">
        <f aca="false">IF(I172&gt;=Assumptions!$B$36,Assumptions!$C$36,IF(I172&gt;=Assumptions!$B$37,Assumptions!$C$37,IF(I172&gt;=Assumptions!$B$38,Assumptions!$C$38,Assumptions!$C$39)))</f>
        <v>0.02</v>
      </c>
      <c r="P172" s="28" t="n">
        <f aca="false">IF(H172&gt;=Assumptions!$B$44,Assumptions!$C$44,IF(H172&gt;=Assumptions!$B$45,Assumptions!$C$45,IF(H172&gt;=Assumptions!$B$46,Assumptions!$C$46,Assumptions!$C$47)))</f>
        <v>0</v>
      </c>
      <c r="Q172" s="24" t="n">
        <v>0</v>
      </c>
      <c r="R172" s="28" t="n">
        <f aca="false">Q172*Assumptions!$C$51</f>
        <v>0</v>
      </c>
      <c r="S172" s="27" t="n">
        <v>0</v>
      </c>
      <c r="T172" s="27" t="n">
        <v>0</v>
      </c>
      <c r="U172" s="27" t="n">
        <v>0</v>
      </c>
      <c r="V172" s="27" t="n">
        <v>0.01</v>
      </c>
      <c r="W172" s="27" t="n">
        <v>0</v>
      </c>
      <c r="X172" s="28" t="n">
        <f aca="false">P172+R172+SUM(S172:W172)</f>
        <v>0.01</v>
      </c>
      <c r="Y172" s="24" t="n">
        <v>0</v>
      </c>
      <c r="Z172" s="29" t="n">
        <f aca="false">LN(H172)</f>
        <v>6.79794041297493</v>
      </c>
      <c r="AA172" s="17" t="n">
        <f aca="false">ROUND(SUMIF(Lines!$B:$B,B172,Lines!$I:$I),2)</f>
        <v>55552</v>
      </c>
      <c r="AB172" s="17" t="n">
        <f aca="false">ROUND(SUMIF(Lines!$B:$B,B172,Lines!$L:$L),2)</f>
        <v>52996.61</v>
      </c>
      <c r="AC172" s="17" t="n">
        <f aca="false">ROUND(SUMIF(Lines!$B:$B,B172,Lines!$T:$T),2)</f>
        <v>52466.64</v>
      </c>
      <c r="AD172" s="17" t="n">
        <f aca="false">ROUND(SUMIF(Lines!$B:$B,B172,Lines!$U:$U),2)</f>
        <v>32256</v>
      </c>
      <c r="AE172" s="17" t="n">
        <f aca="false">ROUND(SUMIF(Lines!$B:$B,B172,Lines!$V:$V),2)</f>
        <v>1059.93</v>
      </c>
      <c r="AF172" s="17" t="n">
        <f aca="false">ROUND(AC172-AD172-AE172,2)</f>
        <v>19150.71</v>
      </c>
      <c r="AG172" s="26" t="n">
        <f aca="false">RANK(AC172,$AC$6:$AC$185)</f>
        <v>148</v>
      </c>
      <c r="AJ172" s="26" t="n">
        <f aca="false">IF(AND(H172&gt;=0.85*Assumptions!$B$44,H172&lt;Assumptions!$B$44),Assumptions!$B$44,IF(AND(H172&gt;=0.85*Assumptions!$B$45,H172&lt;Assumptions!$B$45),Assumptions!$B$45,IF(AND(H172&gt;=0.85*Assumptions!$B$46,H172&lt;Assumptions!$B$46),Assumptions!$B$46,0)))</f>
        <v>0</v>
      </c>
      <c r="AK172" s="26" t="n">
        <f aca="false">IF(AJ172=0,0,AJ172-H172)</f>
        <v>0</v>
      </c>
      <c r="AL172" s="28" t="n">
        <f aca="false">IF(AJ172=Assumptions!$B$44,Assumptions!$C$44,IF(AJ172=Assumptions!$B$45,Assumptions!$C$45,IF(AJ172=Assumptions!$B$46,Assumptions!$C$46,0)))</f>
        <v>0</v>
      </c>
      <c r="AM172" s="17" t="n">
        <f aca="false">IF(AJ172=0,0,AB172*(AL172-P172))</f>
        <v>0</v>
      </c>
      <c r="AN172" s="17" t="n">
        <f aca="false">ROUND(AN156+AM172,2)</f>
        <v>175350.28</v>
      </c>
      <c r="AO172" s="17" t="n">
        <f aca="false">SUMIF(Lines!$B$6:$B$463,$B172,Lines!$M$6:$M$463)</f>
        <v>0</v>
      </c>
      <c r="AP172" s="17" t="n">
        <f aca="false">(AB172/H172)*(MAX(0,MIN(H172,Assumptions!$B$46)-Assumptions!$B$47)*Assumptions!$C$47+MAX(0,MIN(H172,Assumptions!$B$45)-Assumptions!$B$46)*Assumptions!$C$46+MAX(0,MIN(H172,Assumptions!$B$44)-Assumptions!$B$45)*Assumptions!$C$45+MAX(0,H172-Assumptions!$B$44)*Assumptions!$C$44)</f>
        <v>0</v>
      </c>
      <c r="AQ172" s="17" t="n">
        <f aca="false">ROUND(SUMIF(Lines!$B:$B,B172,Lines!$N:$N),2)</f>
        <v>0</v>
      </c>
    </row>
    <row r="173" customFormat="false" ht="15" hidden="false" customHeight="false" outlineLevel="0" collapsed="false">
      <c r="B173" s="14" t="s">
        <v>326</v>
      </c>
      <c r="C173" s="14" t="s">
        <v>259</v>
      </c>
      <c r="D173" s="14" t="s">
        <v>251</v>
      </c>
      <c r="E173" s="24" t="n">
        <v>322</v>
      </c>
      <c r="F173" s="24" t="n">
        <v>1016</v>
      </c>
      <c r="G173" s="24" t="n">
        <v>447</v>
      </c>
      <c r="H173" s="26" t="n">
        <f aca="false">SUM(E173:G173)</f>
        <v>1785</v>
      </c>
      <c r="I173" s="24" t="n">
        <v>66</v>
      </c>
      <c r="J173" s="24" t="n">
        <v>27</v>
      </c>
      <c r="K173" s="27" t="n">
        <v>0.06</v>
      </c>
      <c r="L173" s="28" t="n">
        <f aca="false">MIN(Assumptions!$C$18,K173*Assumptions!$D$15)</f>
        <v>0.0372</v>
      </c>
      <c r="M173" s="28" t="n">
        <f aca="false">MIN(Assumptions!$C$18,K173*Assumptions!$D$16)</f>
        <v>0.078</v>
      </c>
      <c r="N173" s="28" t="n">
        <f aca="false">MIN(Assumptions!$C$18,K173*Assumptions!$D$17)</f>
        <v>0.0576</v>
      </c>
      <c r="O173" s="28" t="n">
        <f aca="false">IF(I173&gt;=Assumptions!$B$36,Assumptions!$C$36,IF(I173&gt;=Assumptions!$B$37,Assumptions!$C$37,IF(I173&gt;=Assumptions!$B$38,Assumptions!$C$38,Assumptions!$C$39)))</f>
        <v>0.02</v>
      </c>
      <c r="P173" s="28" t="n">
        <f aca="false">IF(H173&gt;=Assumptions!$B$44,Assumptions!$C$44,IF(H173&gt;=Assumptions!$B$45,Assumptions!$C$45,IF(H173&gt;=Assumptions!$B$46,Assumptions!$C$46,Assumptions!$C$47)))</f>
        <v>0</v>
      </c>
      <c r="Q173" s="24" t="n">
        <v>0</v>
      </c>
      <c r="R173" s="28" t="n">
        <f aca="false">Q173*Assumptions!$C$51</f>
        <v>0</v>
      </c>
      <c r="S173" s="27" t="n">
        <v>0</v>
      </c>
      <c r="T173" s="27" t="n">
        <v>0</v>
      </c>
      <c r="U173" s="27" t="n">
        <v>0</v>
      </c>
      <c r="V173" s="27" t="n">
        <v>0.01</v>
      </c>
      <c r="W173" s="27" t="n">
        <v>0</v>
      </c>
      <c r="X173" s="28" t="n">
        <f aca="false">P173+R173+SUM(S173:W173)</f>
        <v>0.01</v>
      </c>
      <c r="Y173" s="24" t="n">
        <v>0</v>
      </c>
      <c r="Z173" s="29" t="n">
        <f aca="false">LN(H173)</f>
        <v>7.48717369421374</v>
      </c>
      <c r="AA173" s="17" t="n">
        <f aca="false">ROUND(SUMIF(Lines!$B:$B,B173,Lines!$I:$I),2)</f>
        <v>153560</v>
      </c>
      <c r="AB173" s="17" t="n">
        <f aca="false">ROUND(SUMIF(Lines!$B:$B,B173,Lines!$L:$L),2)</f>
        <v>141330.89</v>
      </c>
      <c r="AC173" s="17" t="n">
        <f aca="false">ROUND(SUMIF(Lines!$B:$B,B173,Lines!$T:$T),2)</f>
        <v>139917.58</v>
      </c>
      <c r="AD173" s="17" t="n">
        <f aca="false">ROUND(SUMIF(Lines!$B:$B,B173,Lines!$U:$U),2)</f>
        <v>87618</v>
      </c>
      <c r="AE173" s="17" t="n">
        <f aca="false">ROUND(SUMIF(Lines!$B:$B,B173,Lines!$V:$V),2)</f>
        <v>2826.62</v>
      </c>
      <c r="AF173" s="17" t="n">
        <f aca="false">ROUND(AC173-AD173-AE173,2)</f>
        <v>49472.96</v>
      </c>
      <c r="AG173" s="26" t="n">
        <f aca="false">RANK(AC173,$AC$6:$AC$185)</f>
        <v>93</v>
      </c>
      <c r="AJ173" s="26" t="n">
        <f aca="false">IF(AND(H173&gt;=0.85*Assumptions!$B$44,H173&lt;Assumptions!$B$44),Assumptions!$B$44,IF(AND(H173&gt;=0.85*Assumptions!$B$45,H173&lt;Assumptions!$B$45),Assumptions!$B$45,IF(AND(H173&gt;=0.85*Assumptions!$B$46,H173&lt;Assumptions!$B$46),Assumptions!$B$46,0)))</f>
        <v>0</v>
      </c>
      <c r="AK173" s="26" t="n">
        <f aca="false">IF(AJ173=0,0,AJ173-H173)</f>
        <v>0</v>
      </c>
      <c r="AL173" s="28" t="n">
        <f aca="false">IF(AJ173=Assumptions!$B$44,Assumptions!$C$44,IF(AJ173=Assumptions!$B$45,Assumptions!$C$45,IF(AJ173=Assumptions!$B$46,Assumptions!$C$46,0)))</f>
        <v>0</v>
      </c>
      <c r="AM173" s="17" t="n">
        <f aca="false">IF(AJ173=0,0,AB173*(AL173-P173))</f>
        <v>0</v>
      </c>
      <c r="AN173" s="17" t="n">
        <f aca="false">ROUND(AN157+AM173,2)</f>
        <v>175350.28</v>
      </c>
      <c r="AO173" s="17" t="n">
        <f aca="false">SUMIF(Lines!$B$6:$B$463,$B173,Lines!$M$6:$M$463)</f>
        <v>0</v>
      </c>
      <c r="AP173" s="17" t="n">
        <f aca="false">(AB173/H173)*(MAX(0,MIN(H173,Assumptions!$B$46)-Assumptions!$B$47)*Assumptions!$C$47+MAX(0,MIN(H173,Assumptions!$B$45)-Assumptions!$B$46)*Assumptions!$C$46+MAX(0,MIN(H173,Assumptions!$B$44)-Assumptions!$B$45)*Assumptions!$C$45+MAX(0,H173-Assumptions!$B$44)*Assumptions!$C$44)</f>
        <v>0</v>
      </c>
      <c r="AQ173" s="17" t="n">
        <f aca="false">ROUND(SUMIF(Lines!$B:$B,B173,Lines!$N:$N),2)</f>
        <v>0</v>
      </c>
    </row>
    <row r="174" customFormat="false" ht="15" hidden="false" customHeight="false" outlineLevel="0" collapsed="false">
      <c r="B174" s="14" t="s">
        <v>327</v>
      </c>
      <c r="C174" s="14" t="s">
        <v>259</v>
      </c>
      <c r="D174" s="14" t="s">
        <v>251</v>
      </c>
      <c r="E174" s="24" t="n">
        <v>0</v>
      </c>
      <c r="F174" s="24" t="n">
        <v>555</v>
      </c>
      <c r="G174" s="24" t="n">
        <v>237</v>
      </c>
      <c r="H174" s="26" t="n">
        <f aca="false">SUM(E174:G174)</f>
        <v>792</v>
      </c>
      <c r="I174" s="24" t="n">
        <v>58</v>
      </c>
      <c r="J174" s="24" t="n">
        <v>14</v>
      </c>
      <c r="K174" s="27" t="n">
        <v>0.05</v>
      </c>
      <c r="L174" s="28" t="n">
        <f aca="false">MIN(Assumptions!$C$18,K174*Assumptions!$D$15)</f>
        <v>0.031</v>
      </c>
      <c r="M174" s="28" t="n">
        <f aca="false">MIN(Assumptions!$C$18,K174*Assumptions!$D$16)</f>
        <v>0.065</v>
      </c>
      <c r="N174" s="28" t="n">
        <f aca="false">MIN(Assumptions!$C$18,K174*Assumptions!$D$17)</f>
        <v>0.048</v>
      </c>
      <c r="O174" s="28" t="n">
        <f aca="false">IF(I174&gt;=Assumptions!$B$36,Assumptions!$C$36,IF(I174&gt;=Assumptions!$B$37,Assumptions!$C$37,IF(I174&gt;=Assumptions!$B$38,Assumptions!$C$38,Assumptions!$C$39)))</f>
        <v>0.02</v>
      </c>
      <c r="P174" s="28" t="n">
        <f aca="false">IF(H174&gt;=Assumptions!$B$44,Assumptions!$C$44,IF(H174&gt;=Assumptions!$B$45,Assumptions!$C$45,IF(H174&gt;=Assumptions!$B$46,Assumptions!$C$46,Assumptions!$C$47)))</f>
        <v>0</v>
      </c>
      <c r="Q174" s="24" t="n">
        <v>0</v>
      </c>
      <c r="R174" s="28" t="n">
        <f aca="false">Q174*Assumptions!$C$51</f>
        <v>0</v>
      </c>
      <c r="S174" s="27" t="n">
        <v>0</v>
      </c>
      <c r="T174" s="27" t="n">
        <v>0</v>
      </c>
      <c r="U174" s="27" t="n">
        <v>0</v>
      </c>
      <c r="V174" s="27" t="n">
        <v>0.01</v>
      </c>
      <c r="W174" s="27" t="n">
        <v>0</v>
      </c>
      <c r="X174" s="28" t="n">
        <f aca="false">P174+R174+SUM(S174:W174)</f>
        <v>0.01</v>
      </c>
      <c r="Y174" s="24" t="n">
        <v>0</v>
      </c>
      <c r="Z174" s="29" t="n">
        <f aca="false">LN(H174)</f>
        <v>6.67456139181443</v>
      </c>
      <c r="AA174" s="17" t="n">
        <f aca="false">ROUND(SUMIF(Lines!$B:$B,B174,Lines!$I:$I),2)</f>
        <v>57162</v>
      </c>
      <c r="AB174" s="17" t="n">
        <f aca="false">ROUND(SUMIF(Lines!$B:$B,B174,Lines!$L:$L),2)</f>
        <v>52690.01</v>
      </c>
      <c r="AC174" s="17" t="n">
        <f aca="false">ROUND(SUMIF(Lines!$B:$B,B174,Lines!$T:$T),2)</f>
        <v>52163.11</v>
      </c>
      <c r="AD174" s="17" t="n">
        <f aca="false">ROUND(SUMIF(Lines!$B:$B,B174,Lines!$U:$U),2)</f>
        <v>33726</v>
      </c>
      <c r="AE174" s="17" t="n">
        <f aca="false">ROUND(SUMIF(Lines!$B:$B,B174,Lines!$V:$V),2)</f>
        <v>1053.8</v>
      </c>
      <c r="AF174" s="17" t="n">
        <f aca="false">ROUND(AC174-AD174-AE174,2)</f>
        <v>17383.31</v>
      </c>
      <c r="AG174" s="26" t="n">
        <f aca="false">RANK(AC174,$AC$6:$AC$185)</f>
        <v>149</v>
      </c>
      <c r="AJ174" s="26" t="n">
        <f aca="false">IF(AND(H174&gt;=0.85*Assumptions!$B$44,H174&lt;Assumptions!$B$44),Assumptions!$B$44,IF(AND(H174&gt;=0.85*Assumptions!$B$45,H174&lt;Assumptions!$B$45),Assumptions!$B$45,IF(AND(H174&gt;=0.85*Assumptions!$B$46,H174&lt;Assumptions!$B$46),Assumptions!$B$46,0)))</f>
        <v>0</v>
      </c>
      <c r="AK174" s="26" t="n">
        <f aca="false">IF(AJ174=0,0,AJ174-H174)</f>
        <v>0</v>
      </c>
      <c r="AL174" s="28" t="n">
        <f aca="false">IF(AJ174=Assumptions!$B$44,Assumptions!$C$44,IF(AJ174=Assumptions!$B$45,Assumptions!$C$45,IF(AJ174=Assumptions!$B$46,Assumptions!$C$46,0)))</f>
        <v>0</v>
      </c>
      <c r="AM174" s="17" t="n">
        <f aca="false">IF(AJ174=0,0,AB174*(AL174-P174))</f>
        <v>0</v>
      </c>
      <c r="AN174" s="17" t="n">
        <f aca="false">ROUND(AN158+AM174,2)</f>
        <v>175350.28</v>
      </c>
      <c r="AO174" s="17" t="n">
        <f aca="false">SUMIF(Lines!$B$6:$B$463,$B174,Lines!$M$6:$M$463)</f>
        <v>0</v>
      </c>
      <c r="AP174" s="17" t="n">
        <f aca="false">(AB174/H174)*(MAX(0,MIN(H174,Assumptions!$B$46)-Assumptions!$B$47)*Assumptions!$C$47+MAX(0,MIN(H174,Assumptions!$B$45)-Assumptions!$B$46)*Assumptions!$C$46+MAX(0,MIN(H174,Assumptions!$B$44)-Assumptions!$B$45)*Assumptions!$C$45+MAX(0,H174-Assumptions!$B$44)*Assumptions!$C$44)</f>
        <v>0</v>
      </c>
      <c r="AQ174" s="17" t="n">
        <f aca="false">ROUND(SUMIF(Lines!$B:$B,B174,Lines!$N:$N),2)</f>
        <v>0</v>
      </c>
    </row>
    <row r="175" customFormat="false" ht="15" hidden="false" customHeight="false" outlineLevel="0" collapsed="false">
      <c r="B175" s="14" t="s">
        <v>328</v>
      </c>
      <c r="C175" s="14" t="s">
        <v>259</v>
      </c>
      <c r="D175" s="14" t="s">
        <v>251</v>
      </c>
      <c r="E175" s="24" t="n">
        <v>328</v>
      </c>
      <c r="F175" s="24" t="n">
        <v>0</v>
      </c>
      <c r="G175" s="24" t="n">
        <v>184</v>
      </c>
      <c r="H175" s="26" t="n">
        <f aca="false">SUM(E175:G175)</f>
        <v>512</v>
      </c>
      <c r="I175" s="24" t="n">
        <v>40</v>
      </c>
      <c r="J175" s="24" t="n">
        <v>13</v>
      </c>
      <c r="K175" s="27" t="n">
        <v>0</v>
      </c>
      <c r="L175" s="28" t="n">
        <f aca="false">MIN(Assumptions!$C$18,K175*Assumptions!$D$15)</f>
        <v>0</v>
      </c>
      <c r="M175" s="28" t="n">
        <f aca="false">MIN(Assumptions!$C$18,K175*Assumptions!$D$16)</f>
        <v>0</v>
      </c>
      <c r="N175" s="28" t="n">
        <f aca="false">MIN(Assumptions!$C$18,K175*Assumptions!$D$17)</f>
        <v>0</v>
      </c>
      <c r="O175" s="28" t="n">
        <f aca="false">IF(I175&gt;=Assumptions!$B$36,Assumptions!$C$36,IF(I175&gt;=Assumptions!$B$37,Assumptions!$C$37,IF(I175&gt;=Assumptions!$B$38,Assumptions!$C$38,Assumptions!$C$39)))</f>
        <v>0</v>
      </c>
      <c r="P175" s="28" t="n">
        <f aca="false">IF(H175&gt;=Assumptions!$B$44,Assumptions!$C$44,IF(H175&gt;=Assumptions!$B$45,Assumptions!$C$45,IF(H175&gt;=Assumptions!$B$46,Assumptions!$C$46,Assumptions!$C$47)))</f>
        <v>0</v>
      </c>
      <c r="Q175" s="24" t="n">
        <v>0</v>
      </c>
      <c r="R175" s="28" t="n">
        <f aca="false">Q175*Assumptions!$C$51</f>
        <v>0</v>
      </c>
      <c r="S175" s="27" t="n">
        <v>0</v>
      </c>
      <c r="T175" s="27" t="n">
        <v>0</v>
      </c>
      <c r="U175" s="27" t="n">
        <v>0</v>
      </c>
      <c r="V175" s="27" t="n">
        <v>0.01</v>
      </c>
      <c r="W175" s="27" t="n">
        <v>0</v>
      </c>
      <c r="X175" s="28" t="n">
        <f aca="false">P175+R175+SUM(S175:W175)</f>
        <v>0.01</v>
      </c>
      <c r="Y175" s="24" t="n">
        <v>0</v>
      </c>
      <c r="Z175" s="29" t="n">
        <f aca="false">LN(H175)</f>
        <v>6.23832462503951</v>
      </c>
      <c r="AA175" s="17" t="n">
        <f aca="false">ROUND(SUMIF(Lines!$B:$B,B175,Lines!$I:$I),2)</f>
        <v>66208</v>
      </c>
      <c r="AB175" s="17" t="n">
        <f aca="false">ROUND(SUMIF(Lines!$B:$B,B175,Lines!$L:$L),2)</f>
        <v>66208</v>
      </c>
      <c r="AC175" s="17" t="n">
        <f aca="false">ROUND(SUMIF(Lines!$B:$B,B175,Lines!$T:$T),2)</f>
        <v>65545.92</v>
      </c>
      <c r="AD175" s="17" t="n">
        <f aca="false">ROUND(SUMIF(Lines!$B:$B,B175,Lines!$U:$U),2)</f>
        <v>36256</v>
      </c>
      <c r="AE175" s="17" t="n">
        <f aca="false">ROUND(SUMIF(Lines!$B:$B,B175,Lines!$V:$V),2)</f>
        <v>1324.16</v>
      </c>
      <c r="AF175" s="17" t="n">
        <f aca="false">ROUND(AC175-AD175-AE175,2)</f>
        <v>27965.76</v>
      </c>
      <c r="AG175" s="26" t="n">
        <f aca="false">RANK(AC175,$AC$6:$AC$185)</f>
        <v>137</v>
      </c>
      <c r="AJ175" s="26" t="n">
        <f aca="false">IF(AND(H175&gt;=0.85*Assumptions!$B$44,H175&lt;Assumptions!$B$44),Assumptions!$B$44,IF(AND(H175&gt;=0.85*Assumptions!$B$45,H175&lt;Assumptions!$B$45),Assumptions!$B$45,IF(AND(H175&gt;=0.85*Assumptions!$B$46,H175&lt;Assumptions!$B$46),Assumptions!$B$46,0)))</f>
        <v>0</v>
      </c>
      <c r="AK175" s="26" t="n">
        <f aca="false">IF(AJ175=0,0,AJ175-H175)</f>
        <v>0</v>
      </c>
      <c r="AL175" s="28" t="n">
        <f aca="false">IF(AJ175=Assumptions!$B$44,Assumptions!$C$44,IF(AJ175=Assumptions!$B$45,Assumptions!$C$45,IF(AJ175=Assumptions!$B$46,Assumptions!$C$46,0)))</f>
        <v>0</v>
      </c>
      <c r="AM175" s="17" t="n">
        <f aca="false">IF(AJ175=0,0,AB175*(AL175-P175))</f>
        <v>0</v>
      </c>
      <c r="AN175" s="17" t="n">
        <f aca="false">ROUND(AN159+AM175,2)</f>
        <v>175350.28</v>
      </c>
      <c r="AO175" s="17" t="n">
        <f aca="false">SUMIF(Lines!$B$6:$B$463,$B175,Lines!$M$6:$M$463)</f>
        <v>0</v>
      </c>
      <c r="AP175" s="17" t="n">
        <f aca="false">(AB175/H175)*(MAX(0,MIN(H175,Assumptions!$B$46)-Assumptions!$B$47)*Assumptions!$C$47+MAX(0,MIN(H175,Assumptions!$B$45)-Assumptions!$B$46)*Assumptions!$C$46+MAX(0,MIN(H175,Assumptions!$B$44)-Assumptions!$B$45)*Assumptions!$C$45+MAX(0,H175-Assumptions!$B$44)*Assumptions!$C$44)</f>
        <v>0</v>
      </c>
      <c r="AQ175" s="17" t="n">
        <f aca="false">ROUND(SUMIF(Lines!$B:$B,B175,Lines!$N:$N),2)</f>
        <v>0</v>
      </c>
    </row>
    <row r="176" customFormat="false" ht="15" hidden="false" customHeight="false" outlineLevel="0" collapsed="false">
      <c r="B176" s="14" t="s">
        <v>329</v>
      </c>
      <c r="C176" s="14" t="s">
        <v>259</v>
      </c>
      <c r="D176" s="14" t="s">
        <v>251</v>
      </c>
      <c r="E176" s="24" t="n">
        <v>240</v>
      </c>
      <c r="F176" s="24" t="n">
        <v>1116</v>
      </c>
      <c r="G176" s="24" t="n">
        <v>444</v>
      </c>
      <c r="H176" s="26" t="n">
        <f aca="false">SUM(E176:G176)</f>
        <v>1800</v>
      </c>
      <c r="I176" s="24" t="n">
        <v>69</v>
      </c>
      <c r="J176" s="24" t="n">
        <v>26</v>
      </c>
      <c r="K176" s="27" t="n">
        <v>0.055</v>
      </c>
      <c r="L176" s="28" t="n">
        <f aca="false">MIN(Assumptions!$C$18,K176*Assumptions!$D$15)</f>
        <v>0.0341</v>
      </c>
      <c r="M176" s="28" t="n">
        <f aca="false">MIN(Assumptions!$C$18,K176*Assumptions!$D$16)</f>
        <v>0.0715</v>
      </c>
      <c r="N176" s="28" t="n">
        <f aca="false">MIN(Assumptions!$C$18,K176*Assumptions!$D$17)</f>
        <v>0.0528</v>
      </c>
      <c r="O176" s="28" t="n">
        <f aca="false">IF(I176&gt;=Assumptions!$B$36,Assumptions!$C$36,IF(I176&gt;=Assumptions!$B$37,Assumptions!$C$37,IF(I176&gt;=Assumptions!$B$38,Assumptions!$C$38,Assumptions!$C$39)))</f>
        <v>0.02</v>
      </c>
      <c r="P176" s="28" t="n">
        <f aca="false">IF(H176&gt;=Assumptions!$B$44,Assumptions!$C$44,IF(H176&gt;=Assumptions!$B$45,Assumptions!$C$45,IF(H176&gt;=Assumptions!$B$46,Assumptions!$C$46,Assumptions!$C$47)))</f>
        <v>0</v>
      </c>
      <c r="Q176" s="24" t="n">
        <v>0</v>
      </c>
      <c r="R176" s="28" t="n">
        <f aca="false">Q176*Assumptions!$C$51</f>
        <v>0</v>
      </c>
      <c r="S176" s="27" t="n">
        <v>0</v>
      </c>
      <c r="T176" s="27" t="n">
        <v>0</v>
      </c>
      <c r="U176" s="27" t="n">
        <v>0</v>
      </c>
      <c r="V176" s="27" t="n">
        <v>0.01</v>
      </c>
      <c r="W176" s="27" t="n">
        <v>0</v>
      </c>
      <c r="X176" s="28" t="n">
        <f aca="false">P176+R176+SUM(S176:W176)</f>
        <v>0.01</v>
      </c>
      <c r="Y176" s="24" t="n">
        <v>0</v>
      </c>
      <c r="Z176" s="29" t="n">
        <f aca="false">LN(H176)</f>
        <v>7.49554194388426</v>
      </c>
      <c r="AA176" s="17" t="n">
        <f aca="false">ROUND(SUMIF(Lines!$B:$B,B176,Lines!$I:$I),2)</f>
        <v>147336</v>
      </c>
      <c r="AB176" s="17" t="n">
        <f aca="false">ROUND(SUMIF(Lines!$B:$B,B176,Lines!$L:$L),2)</f>
        <v>135980.27</v>
      </c>
      <c r="AC176" s="17" t="n">
        <f aca="false">ROUND(SUMIF(Lines!$B:$B,B176,Lines!$T:$T),2)</f>
        <v>134620.47</v>
      </c>
      <c r="AD176" s="17" t="n">
        <f aca="false">ROUND(SUMIF(Lines!$B:$B,B176,Lines!$U:$U),2)</f>
        <v>84648</v>
      </c>
      <c r="AE176" s="17" t="n">
        <f aca="false">ROUND(SUMIF(Lines!$B:$B,B176,Lines!$V:$V),2)</f>
        <v>2719.61</v>
      </c>
      <c r="AF176" s="17" t="n">
        <f aca="false">ROUND(AC176-AD176-AE176,2)</f>
        <v>47252.86</v>
      </c>
      <c r="AG176" s="26" t="n">
        <f aca="false">RANK(AC176,$AC$6:$AC$185)</f>
        <v>95</v>
      </c>
      <c r="AJ176" s="26" t="n">
        <f aca="false">IF(AND(H176&gt;=0.85*Assumptions!$B$44,H176&lt;Assumptions!$B$44),Assumptions!$B$44,IF(AND(H176&gt;=0.85*Assumptions!$B$45,H176&lt;Assumptions!$B$45),Assumptions!$B$45,IF(AND(H176&gt;=0.85*Assumptions!$B$46,H176&lt;Assumptions!$B$46),Assumptions!$B$46,0)))</f>
        <v>0</v>
      </c>
      <c r="AK176" s="26" t="n">
        <f aca="false">IF(AJ176=0,0,AJ176-H176)</f>
        <v>0</v>
      </c>
      <c r="AL176" s="28" t="n">
        <f aca="false">IF(AJ176=Assumptions!$B$44,Assumptions!$C$44,IF(AJ176=Assumptions!$B$45,Assumptions!$C$45,IF(AJ176=Assumptions!$B$46,Assumptions!$C$46,0)))</f>
        <v>0</v>
      </c>
      <c r="AM176" s="17" t="n">
        <f aca="false">IF(AJ176=0,0,AB176*(AL176-P176))</f>
        <v>0</v>
      </c>
      <c r="AN176" s="17" t="n">
        <f aca="false">ROUND(AN160+AM176,2)</f>
        <v>175350.28</v>
      </c>
      <c r="AO176" s="17" t="n">
        <f aca="false">SUMIF(Lines!$B$6:$B$463,$B176,Lines!$M$6:$M$463)</f>
        <v>0</v>
      </c>
      <c r="AP176" s="17" t="n">
        <f aca="false">(AB176/H176)*(MAX(0,MIN(H176,Assumptions!$B$46)-Assumptions!$B$47)*Assumptions!$C$47+MAX(0,MIN(H176,Assumptions!$B$45)-Assumptions!$B$46)*Assumptions!$C$46+MAX(0,MIN(H176,Assumptions!$B$44)-Assumptions!$B$45)*Assumptions!$C$45+MAX(0,H176-Assumptions!$B$44)*Assumptions!$C$44)</f>
        <v>0</v>
      </c>
      <c r="AQ176" s="17" t="n">
        <f aca="false">ROUND(SUMIF(Lines!$B:$B,B176,Lines!$N:$N),2)</f>
        <v>0</v>
      </c>
    </row>
    <row r="177" customFormat="false" ht="15" hidden="false" customHeight="false" outlineLevel="0" collapsed="false">
      <c r="B177" s="14" t="s">
        <v>330</v>
      </c>
      <c r="C177" s="14" t="s">
        <v>259</v>
      </c>
      <c r="D177" s="14" t="s">
        <v>251</v>
      </c>
      <c r="E177" s="24" t="n">
        <v>71</v>
      </c>
      <c r="F177" s="24" t="n">
        <v>0</v>
      </c>
      <c r="G177" s="24" t="n">
        <v>158</v>
      </c>
      <c r="H177" s="26" t="n">
        <f aca="false">SUM(E177:G177)</f>
        <v>229</v>
      </c>
      <c r="I177" s="24" t="n">
        <v>32</v>
      </c>
      <c r="J177" s="24" t="n">
        <v>7</v>
      </c>
      <c r="K177" s="27" t="n">
        <v>0.055</v>
      </c>
      <c r="L177" s="28" t="n">
        <f aca="false">MIN(Assumptions!$C$18,K177*Assumptions!$D$15)</f>
        <v>0.0341</v>
      </c>
      <c r="M177" s="28" t="n">
        <f aca="false">MIN(Assumptions!$C$18,K177*Assumptions!$D$16)</f>
        <v>0.0715</v>
      </c>
      <c r="N177" s="28" t="n">
        <f aca="false">MIN(Assumptions!$C$18,K177*Assumptions!$D$17)</f>
        <v>0.0528</v>
      </c>
      <c r="O177" s="28" t="n">
        <f aca="false">IF(I177&gt;=Assumptions!$B$36,Assumptions!$C$36,IF(I177&gt;=Assumptions!$B$37,Assumptions!$C$37,IF(I177&gt;=Assumptions!$B$38,Assumptions!$C$38,Assumptions!$C$39)))</f>
        <v>0</v>
      </c>
      <c r="P177" s="28" t="n">
        <f aca="false">IF(H177&gt;=Assumptions!$B$44,Assumptions!$C$44,IF(H177&gt;=Assumptions!$B$45,Assumptions!$C$45,IF(H177&gt;=Assumptions!$B$46,Assumptions!$C$46,Assumptions!$C$47)))</f>
        <v>0</v>
      </c>
      <c r="Q177" s="24" t="n">
        <v>0</v>
      </c>
      <c r="R177" s="28" t="n">
        <f aca="false">Q177*Assumptions!$C$51</f>
        <v>0</v>
      </c>
      <c r="S177" s="27" t="n">
        <v>0</v>
      </c>
      <c r="T177" s="27" t="n">
        <v>0</v>
      </c>
      <c r="U177" s="27" t="n">
        <v>0</v>
      </c>
      <c r="V177" s="27" t="n">
        <v>0.01</v>
      </c>
      <c r="W177" s="27" t="n">
        <v>0</v>
      </c>
      <c r="X177" s="28" t="n">
        <f aca="false">P177+R177+SUM(S177:W177)</f>
        <v>0.01</v>
      </c>
      <c r="Y177" s="24" t="n">
        <v>0</v>
      </c>
      <c r="Z177" s="29" t="n">
        <f aca="false">LN(H177)</f>
        <v>5.43372200355424</v>
      </c>
      <c r="AA177" s="17" t="n">
        <f aca="false">ROUND(SUMIF(Lines!$B:$B,B177,Lines!$I:$I),2)</f>
        <v>25676</v>
      </c>
      <c r="AB177" s="17" t="n">
        <f aca="false">ROUND(SUMIF(Lines!$B:$B,B177,Lines!$L:$L),2)</f>
        <v>24516.81</v>
      </c>
      <c r="AC177" s="17" t="n">
        <f aca="false">ROUND(SUMIF(Lines!$B:$B,B177,Lines!$T:$T),2)</f>
        <v>24271.64</v>
      </c>
      <c r="AD177" s="17" t="n">
        <f aca="false">ROUND(SUMIF(Lines!$B:$B,B177,Lines!$U:$U),2)</f>
        <v>14702</v>
      </c>
      <c r="AE177" s="17" t="n">
        <f aca="false">ROUND(SUMIF(Lines!$B:$B,B177,Lines!$V:$V),2)</f>
        <v>490.33</v>
      </c>
      <c r="AF177" s="17" t="n">
        <f aca="false">ROUND(AC177-AD177-AE177,2)</f>
        <v>9079.31</v>
      </c>
      <c r="AG177" s="26" t="n">
        <f aca="false">RANK(AC177,$AC$6:$AC$185)</f>
        <v>168</v>
      </c>
      <c r="AJ177" s="26" t="n">
        <f aca="false">IF(AND(H177&gt;=0.85*Assumptions!$B$44,H177&lt;Assumptions!$B$44),Assumptions!$B$44,IF(AND(H177&gt;=0.85*Assumptions!$B$45,H177&lt;Assumptions!$B$45),Assumptions!$B$45,IF(AND(H177&gt;=0.85*Assumptions!$B$46,H177&lt;Assumptions!$B$46),Assumptions!$B$46,0)))</f>
        <v>0</v>
      </c>
      <c r="AK177" s="26" t="n">
        <f aca="false">IF(AJ177=0,0,AJ177-H177)</f>
        <v>0</v>
      </c>
      <c r="AL177" s="28" t="n">
        <f aca="false">IF(AJ177=Assumptions!$B$44,Assumptions!$C$44,IF(AJ177=Assumptions!$B$45,Assumptions!$C$45,IF(AJ177=Assumptions!$B$46,Assumptions!$C$46,0)))</f>
        <v>0</v>
      </c>
      <c r="AM177" s="17" t="n">
        <f aca="false">IF(AJ177=0,0,AB177*(AL177-P177))</f>
        <v>0</v>
      </c>
      <c r="AN177" s="17" t="n">
        <f aca="false">ROUND(AN161+AM177,2)</f>
        <v>175350.28</v>
      </c>
      <c r="AO177" s="17" t="n">
        <f aca="false">SUMIF(Lines!$B$6:$B$463,$B177,Lines!$M$6:$M$463)</f>
        <v>0</v>
      </c>
      <c r="AP177" s="17" t="n">
        <f aca="false">(AB177/H177)*(MAX(0,MIN(H177,Assumptions!$B$46)-Assumptions!$B$47)*Assumptions!$C$47+MAX(0,MIN(H177,Assumptions!$B$45)-Assumptions!$B$46)*Assumptions!$C$46+MAX(0,MIN(H177,Assumptions!$B$44)-Assumptions!$B$45)*Assumptions!$C$45+MAX(0,H177-Assumptions!$B$44)*Assumptions!$C$44)</f>
        <v>0</v>
      </c>
      <c r="AQ177" s="17" t="n">
        <f aca="false">ROUND(SUMIF(Lines!$B:$B,B177,Lines!$N:$N),2)</f>
        <v>0</v>
      </c>
    </row>
    <row r="178" customFormat="false" ht="15" hidden="false" customHeight="false" outlineLevel="0" collapsed="false">
      <c r="B178" s="14" t="s">
        <v>331</v>
      </c>
      <c r="C178" s="14" t="s">
        <v>259</v>
      </c>
      <c r="D178" s="14" t="s">
        <v>251</v>
      </c>
      <c r="E178" s="24" t="n">
        <v>107</v>
      </c>
      <c r="F178" s="24" t="n">
        <v>0</v>
      </c>
      <c r="G178" s="24" t="n">
        <v>0</v>
      </c>
      <c r="H178" s="26" t="n">
        <f aca="false">SUM(E178:G178)</f>
        <v>107</v>
      </c>
      <c r="I178" s="24" t="n">
        <v>42</v>
      </c>
      <c r="J178" s="24" t="n">
        <v>3</v>
      </c>
      <c r="K178" s="27" t="n">
        <v>0.035</v>
      </c>
      <c r="L178" s="28" t="n">
        <f aca="false">MIN(Assumptions!$C$18,K178*Assumptions!$D$15)</f>
        <v>0.0217</v>
      </c>
      <c r="M178" s="28" t="n">
        <f aca="false">MIN(Assumptions!$C$18,K178*Assumptions!$D$16)</f>
        <v>0.0455</v>
      </c>
      <c r="N178" s="28" t="n">
        <f aca="false">MIN(Assumptions!$C$18,K178*Assumptions!$D$17)</f>
        <v>0.0336</v>
      </c>
      <c r="O178" s="28" t="n">
        <f aca="false">IF(I178&gt;=Assumptions!$B$36,Assumptions!$C$36,IF(I178&gt;=Assumptions!$B$37,Assumptions!$C$37,IF(I178&gt;=Assumptions!$B$38,Assumptions!$C$38,Assumptions!$C$39)))</f>
        <v>0</v>
      </c>
      <c r="P178" s="28" t="n">
        <f aca="false">IF(H178&gt;=Assumptions!$B$44,Assumptions!$C$44,IF(H178&gt;=Assumptions!$B$45,Assumptions!$C$45,IF(H178&gt;=Assumptions!$B$46,Assumptions!$C$46,Assumptions!$C$47)))</f>
        <v>0</v>
      </c>
      <c r="Q178" s="24" t="n">
        <v>0</v>
      </c>
      <c r="R178" s="28" t="n">
        <f aca="false">Q178*Assumptions!$C$51</f>
        <v>0</v>
      </c>
      <c r="S178" s="27" t="n">
        <v>0</v>
      </c>
      <c r="T178" s="27" t="n">
        <v>0</v>
      </c>
      <c r="U178" s="27" t="n">
        <v>0</v>
      </c>
      <c r="V178" s="27" t="n">
        <v>0.01</v>
      </c>
      <c r="W178" s="27" t="n">
        <v>0</v>
      </c>
      <c r="X178" s="28" t="n">
        <f aca="false">P178+R178+SUM(S178:W178)</f>
        <v>0.01</v>
      </c>
      <c r="Y178" s="24" t="n">
        <v>0</v>
      </c>
      <c r="Z178" s="29" t="n">
        <f aca="false">LN(H178)</f>
        <v>4.67282883446191</v>
      </c>
      <c r="AA178" s="17" t="n">
        <f aca="false">ROUND(SUMIF(Lines!$B:$B,B178,Lines!$I:$I),2)</f>
        <v>15836</v>
      </c>
      <c r="AB178" s="17" t="n">
        <f aca="false">ROUND(SUMIF(Lines!$B:$B,B178,Lines!$L:$L),2)</f>
        <v>15492.36</v>
      </c>
      <c r="AC178" s="17" t="n">
        <f aca="false">ROUND(SUMIF(Lines!$B:$B,B178,Lines!$T:$T),2)</f>
        <v>15337.44</v>
      </c>
      <c r="AD178" s="17" t="n">
        <f aca="false">ROUND(SUMIF(Lines!$B:$B,B178,Lines!$U:$U),2)</f>
        <v>8346</v>
      </c>
      <c r="AE178" s="17" t="n">
        <f aca="false">ROUND(SUMIF(Lines!$B:$B,B178,Lines!$V:$V),2)</f>
        <v>309.85</v>
      </c>
      <c r="AF178" s="17" t="n">
        <f aca="false">ROUND(AC178-AD178-AE178,2)</f>
        <v>6681.59</v>
      </c>
      <c r="AG178" s="26" t="n">
        <f aca="false">RANK(AC178,$AC$6:$AC$185)</f>
        <v>174</v>
      </c>
      <c r="AJ178" s="26" t="n">
        <f aca="false">IF(AND(H178&gt;=0.85*Assumptions!$B$44,H178&lt;Assumptions!$B$44),Assumptions!$B$44,IF(AND(H178&gt;=0.85*Assumptions!$B$45,H178&lt;Assumptions!$B$45),Assumptions!$B$45,IF(AND(H178&gt;=0.85*Assumptions!$B$46,H178&lt;Assumptions!$B$46),Assumptions!$B$46,0)))</f>
        <v>0</v>
      </c>
      <c r="AK178" s="26" t="n">
        <f aca="false">IF(AJ178=0,0,AJ178-H178)</f>
        <v>0</v>
      </c>
      <c r="AL178" s="28" t="n">
        <f aca="false">IF(AJ178=Assumptions!$B$44,Assumptions!$C$44,IF(AJ178=Assumptions!$B$45,Assumptions!$C$45,IF(AJ178=Assumptions!$B$46,Assumptions!$C$46,0)))</f>
        <v>0</v>
      </c>
      <c r="AM178" s="17" t="n">
        <f aca="false">IF(AJ178=0,0,AB178*(AL178-P178))</f>
        <v>0</v>
      </c>
      <c r="AN178" s="17" t="n">
        <f aca="false">ROUND(AN162+AM178,2)</f>
        <v>175350.28</v>
      </c>
      <c r="AO178" s="17" t="n">
        <f aca="false">SUMIF(Lines!$B$6:$B$463,$B178,Lines!$M$6:$M$463)</f>
        <v>0</v>
      </c>
      <c r="AP178" s="17" t="n">
        <f aca="false">(AB178/H178)*(MAX(0,MIN(H178,Assumptions!$B$46)-Assumptions!$B$47)*Assumptions!$C$47+MAX(0,MIN(H178,Assumptions!$B$45)-Assumptions!$B$46)*Assumptions!$C$46+MAX(0,MIN(H178,Assumptions!$B$44)-Assumptions!$B$45)*Assumptions!$C$45+MAX(0,H178-Assumptions!$B$44)*Assumptions!$C$44)</f>
        <v>0</v>
      </c>
      <c r="AQ178" s="17" t="n">
        <f aca="false">ROUND(SUMIF(Lines!$B:$B,B178,Lines!$N:$N),2)</f>
        <v>0</v>
      </c>
    </row>
    <row r="179" customFormat="false" ht="15" hidden="false" customHeight="false" outlineLevel="0" collapsed="false">
      <c r="B179" s="14" t="s">
        <v>332</v>
      </c>
      <c r="C179" s="14" t="s">
        <v>259</v>
      </c>
      <c r="D179" s="14" t="s">
        <v>251</v>
      </c>
      <c r="E179" s="24" t="n">
        <v>148</v>
      </c>
      <c r="F179" s="24" t="n">
        <v>518</v>
      </c>
      <c r="G179" s="24" t="n">
        <v>114</v>
      </c>
      <c r="H179" s="26" t="n">
        <f aca="false">SUM(E179:G179)</f>
        <v>780</v>
      </c>
      <c r="I179" s="24" t="n">
        <v>52</v>
      </c>
      <c r="J179" s="24" t="n">
        <v>15</v>
      </c>
      <c r="K179" s="27" t="n">
        <v>0.05</v>
      </c>
      <c r="L179" s="28" t="n">
        <f aca="false">MIN(Assumptions!$C$18,K179*Assumptions!$D$15)</f>
        <v>0.031</v>
      </c>
      <c r="M179" s="28" t="n">
        <f aca="false">MIN(Assumptions!$C$18,K179*Assumptions!$D$16)</f>
        <v>0.065</v>
      </c>
      <c r="N179" s="28" t="n">
        <f aca="false">MIN(Assumptions!$C$18,K179*Assumptions!$D$17)</f>
        <v>0.048</v>
      </c>
      <c r="O179" s="28" t="n">
        <f aca="false">IF(I179&gt;=Assumptions!$B$36,Assumptions!$C$36,IF(I179&gt;=Assumptions!$B$37,Assumptions!$C$37,IF(I179&gt;=Assumptions!$B$38,Assumptions!$C$38,Assumptions!$C$39)))</f>
        <v>0.02</v>
      </c>
      <c r="P179" s="28" t="n">
        <f aca="false">IF(H179&gt;=Assumptions!$B$44,Assumptions!$C$44,IF(H179&gt;=Assumptions!$B$45,Assumptions!$C$45,IF(H179&gt;=Assumptions!$B$46,Assumptions!$C$46,Assumptions!$C$47)))</f>
        <v>0</v>
      </c>
      <c r="Q179" s="24" t="n">
        <v>0</v>
      </c>
      <c r="R179" s="28" t="n">
        <f aca="false">Q179*Assumptions!$C$51</f>
        <v>0</v>
      </c>
      <c r="S179" s="27" t="n">
        <v>0</v>
      </c>
      <c r="T179" s="27" t="n">
        <v>0</v>
      </c>
      <c r="U179" s="27" t="n">
        <v>0</v>
      </c>
      <c r="V179" s="27" t="n">
        <v>0.01</v>
      </c>
      <c r="W179" s="27" t="n">
        <v>0</v>
      </c>
      <c r="X179" s="28" t="n">
        <f aca="false">P179+R179+SUM(S179:W179)</f>
        <v>0.01</v>
      </c>
      <c r="Y179" s="24" t="n">
        <v>0</v>
      </c>
      <c r="Z179" s="29" t="n">
        <f aca="false">LN(H179)</f>
        <v>6.65929391968364</v>
      </c>
      <c r="AA179" s="17" t="n">
        <f aca="false">ROUND(SUMIF(Lines!$B:$B,B179,Lines!$I:$I),2)</f>
        <v>64964</v>
      </c>
      <c r="AB179" s="17" t="n">
        <f aca="false">ROUND(SUMIF(Lines!$B:$B,B179,Lines!$L:$L),2)</f>
        <v>60372.85</v>
      </c>
      <c r="AC179" s="17" t="n">
        <f aca="false">ROUND(SUMIF(Lines!$B:$B,B179,Lines!$T:$T),2)</f>
        <v>59769.12</v>
      </c>
      <c r="AD179" s="17" t="n">
        <f aca="false">ROUND(SUMIF(Lines!$B:$B,B179,Lines!$U:$U),2)</f>
        <v>36804</v>
      </c>
      <c r="AE179" s="17" t="n">
        <f aca="false">ROUND(SUMIF(Lines!$B:$B,B179,Lines!$V:$V),2)</f>
        <v>1207.46</v>
      </c>
      <c r="AF179" s="17" t="n">
        <f aca="false">ROUND(AC179-AD179-AE179,2)</f>
        <v>21757.66</v>
      </c>
      <c r="AG179" s="26" t="n">
        <f aca="false">RANK(AC179,$AC$6:$AC$185)</f>
        <v>143</v>
      </c>
      <c r="AJ179" s="26" t="n">
        <f aca="false">IF(AND(H179&gt;=0.85*Assumptions!$B$44,H179&lt;Assumptions!$B$44),Assumptions!$B$44,IF(AND(H179&gt;=0.85*Assumptions!$B$45,H179&lt;Assumptions!$B$45),Assumptions!$B$45,IF(AND(H179&gt;=0.85*Assumptions!$B$46,H179&lt;Assumptions!$B$46),Assumptions!$B$46,0)))</f>
        <v>0</v>
      </c>
      <c r="AK179" s="26" t="n">
        <f aca="false">IF(AJ179=0,0,AJ179-H179)</f>
        <v>0</v>
      </c>
      <c r="AL179" s="28" t="n">
        <f aca="false">IF(AJ179=Assumptions!$B$44,Assumptions!$C$44,IF(AJ179=Assumptions!$B$45,Assumptions!$C$45,IF(AJ179=Assumptions!$B$46,Assumptions!$C$46,0)))</f>
        <v>0</v>
      </c>
      <c r="AM179" s="17" t="n">
        <f aca="false">IF(AJ179=0,0,AB179*(AL179-P179))</f>
        <v>0</v>
      </c>
      <c r="AN179" s="17" t="n">
        <f aca="false">ROUND(AN163+AM179,2)</f>
        <v>175350.28</v>
      </c>
      <c r="AO179" s="17" t="n">
        <f aca="false">SUMIF(Lines!$B$6:$B$463,$B179,Lines!$M$6:$M$463)</f>
        <v>0</v>
      </c>
      <c r="AP179" s="17" t="n">
        <f aca="false">(AB179/H179)*(MAX(0,MIN(H179,Assumptions!$B$46)-Assumptions!$B$47)*Assumptions!$C$47+MAX(0,MIN(H179,Assumptions!$B$45)-Assumptions!$B$46)*Assumptions!$C$46+MAX(0,MIN(H179,Assumptions!$B$44)-Assumptions!$B$45)*Assumptions!$C$45+MAX(0,H179-Assumptions!$B$44)*Assumptions!$C$44)</f>
        <v>0</v>
      </c>
      <c r="AQ179" s="17" t="n">
        <f aca="false">ROUND(SUMIF(Lines!$B:$B,B179,Lines!$N:$N),2)</f>
        <v>0</v>
      </c>
    </row>
    <row r="180" customFormat="false" ht="15" hidden="false" customHeight="false" outlineLevel="0" collapsed="false">
      <c r="B180" s="14" t="s">
        <v>333</v>
      </c>
      <c r="C180" s="14" t="s">
        <v>259</v>
      </c>
      <c r="D180" s="14" t="s">
        <v>251</v>
      </c>
      <c r="E180" s="24" t="n">
        <v>85</v>
      </c>
      <c r="F180" s="24" t="n">
        <v>240</v>
      </c>
      <c r="G180" s="24" t="n">
        <v>111</v>
      </c>
      <c r="H180" s="26" t="n">
        <f aca="false">SUM(E180:G180)</f>
        <v>436</v>
      </c>
      <c r="I180" s="24" t="n">
        <v>37</v>
      </c>
      <c r="J180" s="24" t="n">
        <v>12</v>
      </c>
      <c r="K180" s="27" t="n">
        <v>0.065</v>
      </c>
      <c r="L180" s="28" t="n">
        <f aca="false">MIN(Assumptions!$C$18,K180*Assumptions!$D$15)</f>
        <v>0.0403</v>
      </c>
      <c r="M180" s="28" t="n">
        <f aca="false">MIN(Assumptions!$C$18,K180*Assumptions!$D$16)</f>
        <v>0.0845</v>
      </c>
      <c r="N180" s="28" t="n">
        <f aca="false">MIN(Assumptions!$C$18,K180*Assumptions!$D$17)</f>
        <v>0.0624</v>
      </c>
      <c r="O180" s="28" t="n">
        <f aca="false">IF(I180&gt;=Assumptions!$B$36,Assumptions!$C$36,IF(I180&gt;=Assumptions!$B$37,Assumptions!$C$37,IF(I180&gt;=Assumptions!$B$38,Assumptions!$C$38,Assumptions!$C$39)))</f>
        <v>0</v>
      </c>
      <c r="P180" s="28" t="n">
        <f aca="false">IF(H180&gt;=Assumptions!$B$44,Assumptions!$C$44,IF(H180&gt;=Assumptions!$B$45,Assumptions!$C$45,IF(H180&gt;=Assumptions!$B$46,Assumptions!$C$46,Assumptions!$C$47)))</f>
        <v>0</v>
      </c>
      <c r="Q180" s="24" t="n">
        <v>0</v>
      </c>
      <c r="R180" s="28" t="n">
        <f aca="false">Q180*Assumptions!$C$51</f>
        <v>0</v>
      </c>
      <c r="S180" s="27" t="n">
        <v>0</v>
      </c>
      <c r="T180" s="27" t="n">
        <v>0</v>
      </c>
      <c r="U180" s="27" t="n">
        <v>0</v>
      </c>
      <c r="V180" s="27" t="n">
        <v>0.01</v>
      </c>
      <c r="W180" s="27" t="n">
        <v>0</v>
      </c>
      <c r="X180" s="28" t="n">
        <f aca="false">P180+R180+SUM(S180:W180)</f>
        <v>0.01</v>
      </c>
      <c r="Y180" s="24" t="n">
        <v>0</v>
      </c>
      <c r="Z180" s="29" t="n">
        <f aca="false">LN(H180)</f>
        <v>6.07764224334903</v>
      </c>
      <c r="AA180" s="17" t="n">
        <f aca="false">ROUND(SUMIF(Lines!$B:$B,B180,Lines!$I:$I),2)</f>
        <v>38116</v>
      </c>
      <c r="AB180" s="17" t="n">
        <f aca="false">ROUND(SUMIF(Lines!$B:$B,B180,Lines!$L:$L),2)</f>
        <v>35686.74</v>
      </c>
      <c r="AC180" s="17" t="n">
        <f aca="false">ROUND(SUMIF(Lines!$B:$B,B180,Lines!$T:$T),2)</f>
        <v>35329.87</v>
      </c>
      <c r="AD180" s="17" t="n">
        <f aca="false">ROUND(SUMIF(Lines!$B:$B,B180,Lines!$U:$U),2)</f>
        <v>21708</v>
      </c>
      <c r="AE180" s="17" t="n">
        <f aca="false">ROUND(SUMIF(Lines!$B:$B,B180,Lines!$V:$V),2)</f>
        <v>713.73</v>
      </c>
      <c r="AF180" s="17" t="n">
        <f aca="false">ROUND(AC180-AD180-AE180,2)</f>
        <v>12908.14</v>
      </c>
      <c r="AG180" s="26" t="n">
        <f aca="false">RANK(AC180,$AC$6:$AC$185)</f>
        <v>163</v>
      </c>
      <c r="AJ180" s="26" t="n">
        <f aca="false">IF(AND(H180&gt;=0.85*Assumptions!$B$44,H180&lt;Assumptions!$B$44),Assumptions!$B$44,IF(AND(H180&gt;=0.85*Assumptions!$B$45,H180&lt;Assumptions!$B$45),Assumptions!$B$45,IF(AND(H180&gt;=0.85*Assumptions!$B$46,H180&lt;Assumptions!$B$46),Assumptions!$B$46,0)))</f>
        <v>0</v>
      </c>
      <c r="AK180" s="26" t="n">
        <f aca="false">IF(AJ180=0,0,AJ180-H180)</f>
        <v>0</v>
      </c>
      <c r="AL180" s="28" t="n">
        <f aca="false">IF(AJ180=Assumptions!$B$44,Assumptions!$C$44,IF(AJ180=Assumptions!$B$45,Assumptions!$C$45,IF(AJ180=Assumptions!$B$46,Assumptions!$C$46,0)))</f>
        <v>0</v>
      </c>
      <c r="AM180" s="17" t="n">
        <f aca="false">IF(AJ180=0,0,AB180*(AL180-P180))</f>
        <v>0</v>
      </c>
      <c r="AN180" s="17" t="n">
        <f aca="false">ROUND(AN164+AM180,2)</f>
        <v>175350.28</v>
      </c>
      <c r="AO180" s="17" t="n">
        <f aca="false">SUMIF(Lines!$B$6:$B$463,$B180,Lines!$M$6:$M$463)</f>
        <v>0</v>
      </c>
      <c r="AP180" s="17" t="n">
        <f aca="false">(AB180/H180)*(MAX(0,MIN(H180,Assumptions!$B$46)-Assumptions!$B$47)*Assumptions!$C$47+MAX(0,MIN(H180,Assumptions!$B$45)-Assumptions!$B$46)*Assumptions!$C$46+MAX(0,MIN(H180,Assumptions!$B$44)-Assumptions!$B$45)*Assumptions!$C$45+MAX(0,H180-Assumptions!$B$44)*Assumptions!$C$44)</f>
        <v>0</v>
      </c>
      <c r="AQ180" s="17" t="n">
        <f aca="false">ROUND(SUMIF(Lines!$B:$B,B180,Lines!$N:$N),2)</f>
        <v>0</v>
      </c>
    </row>
    <row r="181" customFormat="false" ht="15" hidden="false" customHeight="false" outlineLevel="0" collapsed="false">
      <c r="B181" s="14" t="s">
        <v>334</v>
      </c>
      <c r="C181" s="14" t="s">
        <v>259</v>
      </c>
      <c r="D181" s="14" t="s">
        <v>251</v>
      </c>
      <c r="E181" s="24" t="n">
        <v>186</v>
      </c>
      <c r="F181" s="24" t="n">
        <v>836</v>
      </c>
      <c r="G181" s="24" t="n">
        <v>150</v>
      </c>
      <c r="H181" s="26" t="n">
        <f aca="false">SUM(E181:G181)</f>
        <v>1172</v>
      </c>
      <c r="I181" s="24" t="n">
        <v>44</v>
      </c>
      <c r="J181" s="24" t="n">
        <v>27</v>
      </c>
      <c r="K181" s="27" t="n">
        <v>0.045</v>
      </c>
      <c r="L181" s="28" t="n">
        <f aca="false">MIN(Assumptions!$C$18,K181*Assumptions!$D$15)</f>
        <v>0.0279</v>
      </c>
      <c r="M181" s="28" t="n">
        <f aca="false">MIN(Assumptions!$C$18,K181*Assumptions!$D$16)</f>
        <v>0.0585</v>
      </c>
      <c r="N181" s="28" t="n">
        <f aca="false">MIN(Assumptions!$C$18,K181*Assumptions!$D$17)</f>
        <v>0.0432</v>
      </c>
      <c r="O181" s="28" t="n">
        <f aca="false">IF(I181&gt;=Assumptions!$B$36,Assumptions!$C$36,IF(I181&gt;=Assumptions!$B$37,Assumptions!$C$37,IF(I181&gt;=Assumptions!$B$38,Assumptions!$C$38,Assumptions!$C$39)))</f>
        <v>0</v>
      </c>
      <c r="P181" s="28" t="n">
        <f aca="false">IF(H181&gt;=Assumptions!$B$44,Assumptions!$C$44,IF(H181&gt;=Assumptions!$B$45,Assumptions!$C$45,IF(H181&gt;=Assumptions!$B$46,Assumptions!$C$46,Assumptions!$C$47)))</f>
        <v>0</v>
      </c>
      <c r="Q181" s="24" t="n">
        <v>0</v>
      </c>
      <c r="R181" s="28" t="n">
        <f aca="false">Q181*Assumptions!$C$51</f>
        <v>0</v>
      </c>
      <c r="S181" s="27" t="n">
        <v>0</v>
      </c>
      <c r="T181" s="27" t="n">
        <v>0</v>
      </c>
      <c r="U181" s="27" t="n">
        <v>0</v>
      </c>
      <c r="V181" s="27" t="n">
        <v>0.01</v>
      </c>
      <c r="W181" s="27" t="n">
        <v>0</v>
      </c>
      <c r="X181" s="28" t="n">
        <f aca="false">P181+R181+SUM(S181:W181)</f>
        <v>0.01</v>
      </c>
      <c r="Y181" s="24" t="n">
        <v>0</v>
      </c>
      <c r="Z181" s="29" t="n">
        <f aca="false">LN(H181)</f>
        <v>7.06646697013696</v>
      </c>
      <c r="AA181" s="17" t="n">
        <f aca="false">ROUND(SUMIF(Lines!$B:$B,B181,Lines!$I:$I),2)</f>
        <v>93760</v>
      </c>
      <c r="AB181" s="17" t="n">
        <f aca="false">ROUND(SUMIF(Lines!$B:$B,B181,Lines!$L:$L),2)</f>
        <v>89337.72</v>
      </c>
      <c r="AC181" s="17" t="n">
        <f aca="false">ROUND(SUMIF(Lines!$B:$B,B181,Lines!$T:$T),2)</f>
        <v>88444.34</v>
      </c>
      <c r="AD181" s="17" t="n">
        <f aca="false">ROUND(SUMIF(Lines!$B:$B,B181,Lines!$U:$U),2)</f>
        <v>53304</v>
      </c>
      <c r="AE181" s="17" t="n">
        <f aca="false">ROUND(SUMIF(Lines!$B:$B,B181,Lines!$V:$V),2)</f>
        <v>1786.76</v>
      </c>
      <c r="AF181" s="17" t="n">
        <f aca="false">ROUND(AC181-AD181-AE181,2)</f>
        <v>33353.58</v>
      </c>
      <c r="AG181" s="26" t="n">
        <f aca="false">RANK(AC181,$AC$6:$AC$185)</f>
        <v>121</v>
      </c>
      <c r="AJ181" s="26" t="n">
        <f aca="false">IF(AND(H181&gt;=0.85*Assumptions!$B$44,H181&lt;Assumptions!$B$44),Assumptions!$B$44,IF(AND(H181&gt;=0.85*Assumptions!$B$45,H181&lt;Assumptions!$B$45),Assumptions!$B$45,IF(AND(H181&gt;=0.85*Assumptions!$B$46,H181&lt;Assumptions!$B$46),Assumptions!$B$46,0)))</f>
        <v>0</v>
      </c>
      <c r="AK181" s="26" t="n">
        <f aca="false">IF(AJ181=0,0,AJ181-H181)</f>
        <v>0</v>
      </c>
      <c r="AL181" s="28" t="n">
        <f aca="false">IF(AJ181=Assumptions!$B$44,Assumptions!$C$44,IF(AJ181=Assumptions!$B$45,Assumptions!$C$45,IF(AJ181=Assumptions!$B$46,Assumptions!$C$46,0)))</f>
        <v>0</v>
      </c>
      <c r="AM181" s="17" t="n">
        <f aca="false">IF(AJ181=0,0,AB181*(AL181-P181))</f>
        <v>0</v>
      </c>
      <c r="AN181" s="17" t="n">
        <f aca="false">ROUND(AN165+AM181,2)</f>
        <v>175350.28</v>
      </c>
      <c r="AO181" s="17" t="n">
        <f aca="false">SUMIF(Lines!$B$6:$B$463,$B181,Lines!$M$6:$M$463)</f>
        <v>0</v>
      </c>
      <c r="AP181" s="17" t="n">
        <f aca="false">(AB181/H181)*(MAX(0,MIN(H181,Assumptions!$B$46)-Assumptions!$B$47)*Assumptions!$C$47+MAX(0,MIN(H181,Assumptions!$B$45)-Assumptions!$B$46)*Assumptions!$C$46+MAX(0,MIN(H181,Assumptions!$B$44)-Assumptions!$B$45)*Assumptions!$C$45+MAX(0,H181-Assumptions!$B$44)*Assumptions!$C$44)</f>
        <v>0</v>
      </c>
      <c r="AQ181" s="17" t="n">
        <f aca="false">ROUND(SUMIF(Lines!$B:$B,B181,Lines!$N:$N),2)</f>
        <v>0</v>
      </c>
    </row>
    <row r="182" customFormat="false" ht="15" hidden="false" customHeight="false" outlineLevel="0" collapsed="false">
      <c r="B182" s="14" t="s">
        <v>335</v>
      </c>
      <c r="C182" s="14" t="s">
        <v>259</v>
      </c>
      <c r="D182" s="14" t="s">
        <v>251</v>
      </c>
      <c r="E182" s="24" t="n">
        <v>265</v>
      </c>
      <c r="F182" s="24" t="n">
        <v>0</v>
      </c>
      <c r="G182" s="24" t="n">
        <v>272</v>
      </c>
      <c r="H182" s="26" t="n">
        <f aca="false">SUM(E182:G182)</f>
        <v>537</v>
      </c>
      <c r="I182" s="24" t="n">
        <v>69</v>
      </c>
      <c r="J182" s="24" t="n">
        <v>8</v>
      </c>
      <c r="K182" s="27" t="n">
        <v>0.05</v>
      </c>
      <c r="L182" s="28" t="n">
        <f aca="false">MIN(Assumptions!$C$18,K182*Assumptions!$D$15)</f>
        <v>0.031</v>
      </c>
      <c r="M182" s="28" t="n">
        <f aca="false">MIN(Assumptions!$C$18,K182*Assumptions!$D$16)</f>
        <v>0.065</v>
      </c>
      <c r="N182" s="28" t="n">
        <f aca="false">MIN(Assumptions!$C$18,K182*Assumptions!$D$17)</f>
        <v>0.048</v>
      </c>
      <c r="O182" s="28" t="n">
        <f aca="false">IF(I182&gt;=Assumptions!$B$36,Assumptions!$C$36,IF(I182&gt;=Assumptions!$B$37,Assumptions!$C$37,IF(I182&gt;=Assumptions!$B$38,Assumptions!$C$38,Assumptions!$C$39)))</f>
        <v>0.02</v>
      </c>
      <c r="P182" s="28" t="n">
        <f aca="false">IF(H182&gt;=Assumptions!$B$44,Assumptions!$C$44,IF(H182&gt;=Assumptions!$B$45,Assumptions!$C$45,IF(H182&gt;=Assumptions!$B$46,Assumptions!$C$46,Assumptions!$C$47)))</f>
        <v>0</v>
      </c>
      <c r="Q182" s="24" t="n">
        <v>0</v>
      </c>
      <c r="R182" s="28" t="n">
        <f aca="false">Q182*Assumptions!$C$51</f>
        <v>0</v>
      </c>
      <c r="S182" s="27" t="n">
        <v>0</v>
      </c>
      <c r="T182" s="27" t="n">
        <v>0</v>
      </c>
      <c r="U182" s="27" t="n">
        <v>0</v>
      </c>
      <c r="V182" s="27" t="n">
        <v>0.01</v>
      </c>
      <c r="W182" s="27" t="n">
        <v>0</v>
      </c>
      <c r="X182" s="28" t="n">
        <f aca="false">P182+R182+SUM(S182:W182)</f>
        <v>0.01</v>
      </c>
      <c r="Y182" s="24" t="n">
        <v>0</v>
      </c>
      <c r="Z182" s="29" t="n">
        <f aca="false">LN(H182)</f>
        <v>6.28599809450887</v>
      </c>
      <c r="AA182" s="17" t="n">
        <f aca="false">ROUND(SUMIF(Lines!$B:$B,B182,Lines!$I:$I),2)</f>
        <v>65332</v>
      </c>
      <c r="AB182" s="17" t="n">
        <f aca="false">ROUND(SUMIF(Lines!$B:$B,B182,Lines!$L:$L),2)</f>
        <v>61556.16</v>
      </c>
      <c r="AC182" s="17" t="n">
        <f aca="false">ROUND(SUMIF(Lines!$B:$B,B182,Lines!$T:$T),2)</f>
        <v>60940.6</v>
      </c>
      <c r="AD182" s="17" t="n">
        <f aca="false">ROUND(SUMIF(Lines!$B:$B,B182,Lines!$U:$U),2)</f>
        <v>36446</v>
      </c>
      <c r="AE182" s="17" t="n">
        <f aca="false">ROUND(SUMIF(Lines!$B:$B,B182,Lines!$V:$V),2)</f>
        <v>1231.13</v>
      </c>
      <c r="AF182" s="17" t="n">
        <f aca="false">ROUND(AC182-AD182-AE182,2)</f>
        <v>23263.47</v>
      </c>
      <c r="AG182" s="26" t="n">
        <f aca="false">RANK(AC182,$AC$6:$AC$185)</f>
        <v>141</v>
      </c>
      <c r="AJ182" s="26" t="n">
        <f aca="false">IF(AND(H182&gt;=0.85*Assumptions!$B$44,H182&lt;Assumptions!$B$44),Assumptions!$B$44,IF(AND(H182&gt;=0.85*Assumptions!$B$45,H182&lt;Assumptions!$B$45),Assumptions!$B$45,IF(AND(H182&gt;=0.85*Assumptions!$B$46,H182&lt;Assumptions!$B$46),Assumptions!$B$46,0)))</f>
        <v>0</v>
      </c>
      <c r="AK182" s="26" t="n">
        <f aca="false">IF(AJ182=0,0,AJ182-H182)</f>
        <v>0</v>
      </c>
      <c r="AL182" s="28" t="n">
        <f aca="false">IF(AJ182=Assumptions!$B$44,Assumptions!$C$44,IF(AJ182=Assumptions!$B$45,Assumptions!$C$45,IF(AJ182=Assumptions!$B$46,Assumptions!$C$46,0)))</f>
        <v>0</v>
      </c>
      <c r="AM182" s="17" t="n">
        <f aca="false">IF(AJ182=0,0,AB182*(AL182-P182))</f>
        <v>0</v>
      </c>
      <c r="AN182" s="17" t="n">
        <f aca="false">ROUND(AN166+AM182,2)</f>
        <v>175350.28</v>
      </c>
      <c r="AO182" s="17" t="n">
        <f aca="false">SUMIF(Lines!$B$6:$B$463,$B182,Lines!$M$6:$M$463)</f>
        <v>0</v>
      </c>
      <c r="AP182" s="17" t="n">
        <f aca="false">(AB182/H182)*(MAX(0,MIN(H182,Assumptions!$B$46)-Assumptions!$B$47)*Assumptions!$C$47+MAX(0,MIN(H182,Assumptions!$B$45)-Assumptions!$B$46)*Assumptions!$C$46+MAX(0,MIN(H182,Assumptions!$B$44)-Assumptions!$B$45)*Assumptions!$C$45+MAX(0,H182-Assumptions!$B$44)*Assumptions!$C$44)</f>
        <v>0</v>
      </c>
      <c r="AQ182" s="17" t="n">
        <f aca="false">ROUND(SUMIF(Lines!$B:$B,B182,Lines!$N:$N),2)</f>
        <v>0</v>
      </c>
    </row>
    <row r="183" customFormat="false" ht="15" hidden="false" customHeight="false" outlineLevel="0" collapsed="false">
      <c r="B183" s="14" t="s">
        <v>336</v>
      </c>
      <c r="C183" s="14" t="s">
        <v>259</v>
      </c>
      <c r="D183" s="14" t="s">
        <v>251</v>
      </c>
      <c r="E183" s="24" t="n">
        <v>611</v>
      </c>
      <c r="F183" s="24" t="n">
        <v>1859</v>
      </c>
      <c r="G183" s="24" t="n">
        <v>378</v>
      </c>
      <c r="H183" s="26" t="n">
        <f aca="false">SUM(E183:G183)</f>
        <v>2848</v>
      </c>
      <c r="I183" s="24" t="n">
        <v>57</v>
      </c>
      <c r="J183" s="24" t="n">
        <v>50</v>
      </c>
      <c r="K183" s="27" t="n">
        <v>0.09</v>
      </c>
      <c r="L183" s="28" t="n">
        <f aca="false">MIN(Assumptions!$C$18,K183*Assumptions!$D$15)</f>
        <v>0.0558</v>
      </c>
      <c r="M183" s="28" t="n">
        <f aca="false">MIN(Assumptions!$C$18,K183*Assumptions!$D$16)</f>
        <v>0.117</v>
      </c>
      <c r="N183" s="28" t="n">
        <f aca="false">MIN(Assumptions!$C$18,K183*Assumptions!$D$17)</f>
        <v>0.0864</v>
      </c>
      <c r="O183" s="28" t="n">
        <f aca="false">IF(I183&gt;=Assumptions!$B$36,Assumptions!$C$36,IF(I183&gt;=Assumptions!$B$37,Assumptions!$C$37,IF(I183&gt;=Assumptions!$B$38,Assumptions!$C$38,Assumptions!$C$39)))</f>
        <v>0.02</v>
      </c>
      <c r="P183" s="28" t="n">
        <f aca="false">IF(H183&gt;=Assumptions!$B$44,Assumptions!$C$44,IF(H183&gt;=Assumptions!$B$45,Assumptions!$C$45,IF(H183&gt;=Assumptions!$B$46,Assumptions!$C$46,Assumptions!$C$47)))</f>
        <v>0</v>
      </c>
      <c r="Q183" s="24" t="n">
        <v>0</v>
      </c>
      <c r="R183" s="28" t="n">
        <f aca="false">Q183*Assumptions!$C$51</f>
        <v>0</v>
      </c>
      <c r="S183" s="27" t="n">
        <v>0</v>
      </c>
      <c r="T183" s="27" t="n">
        <v>0</v>
      </c>
      <c r="U183" s="27" t="n">
        <v>0</v>
      </c>
      <c r="V183" s="27" t="n">
        <v>0.01</v>
      </c>
      <c r="W183" s="27" t="n">
        <v>0</v>
      </c>
      <c r="X183" s="28" t="n">
        <f aca="false">P183+R183+SUM(S183:W183)</f>
        <v>0.01</v>
      </c>
      <c r="Y183" s="24" t="n">
        <v>0</v>
      </c>
      <c r="Z183" s="29" t="n">
        <f aca="false">LN(H183)</f>
        <v>7.95437227253187</v>
      </c>
      <c r="AA183" s="17" t="n">
        <f aca="false">ROUND(SUMIF(Lines!$B:$B,B183,Lines!$I:$I),2)</f>
        <v>241974</v>
      </c>
      <c r="AB183" s="17" t="n">
        <f aca="false">ROUND(SUMIF(Lines!$B:$B,B183,Lines!$L:$L),2)</f>
        <v>215468.17</v>
      </c>
      <c r="AC183" s="17" t="n">
        <f aca="false">ROUND(SUMIF(Lines!$B:$B,B183,Lines!$T:$T),2)</f>
        <v>213313.48</v>
      </c>
      <c r="AD183" s="17" t="n">
        <f aca="false">ROUND(SUMIF(Lines!$B:$B,B183,Lines!$U:$U),2)</f>
        <v>136506</v>
      </c>
      <c r="AE183" s="17" t="n">
        <f aca="false">ROUND(SUMIF(Lines!$B:$B,B183,Lines!$V:$V),2)</f>
        <v>4309.36</v>
      </c>
      <c r="AF183" s="17" t="n">
        <f aca="false">ROUND(AC183-AD183-AE183,2)</f>
        <v>72498.12</v>
      </c>
      <c r="AG183" s="26" t="n">
        <f aca="false">RANK(AC183,$AC$6:$AC$185)</f>
        <v>63</v>
      </c>
      <c r="AJ183" s="26" t="n">
        <f aca="false">IF(AND(H183&gt;=0.85*Assumptions!$B$44,H183&lt;Assumptions!$B$44),Assumptions!$B$44,IF(AND(H183&gt;=0.85*Assumptions!$B$45,H183&lt;Assumptions!$B$45),Assumptions!$B$45,IF(AND(H183&gt;=0.85*Assumptions!$B$46,H183&lt;Assumptions!$B$46),Assumptions!$B$46,0)))</f>
        <v>3000</v>
      </c>
      <c r="AK183" s="26" t="n">
        <f aca="false">IF(AJ183=0,0,AJ183-H183)</f>
        <v>152</v>
      </c>
      <c r="AL183" s="28" t="n">
        <f aca="false">IF(AJ183=Assumptions!$B$44,Assumptions!$C$44,IF(AJ183=Assumptions!$B$45,Assumptions!$C$45,IF(AJ183=Assumptions!$B$46,Assumptions!$C$46,0)))</f>
        <v>0.02</v>
      </c>
      <c r="AM183" s="17" t="n">
        <f aca="false">IF(AJ183=0,0,AB183*(AL183-P183))</f>
        <v>4309.3634</v>
      </c>
      <c r="AN183" s="17" t="n">
        <f aca="false">ROUND(AN167+AM183,2)</f>
        <v>187091.56</v>
      </c>
      <c r="AO183" s="17" t="n">
        <f aca="false">SUMIF(Lines!$B$6:$B$463,$B183,Lines!$M$6:$M$463)</f>
        <v>0</v>
      </c>
      <c r="AP183" s="17" t="n">
        <f aca="false">(AB183/H183)*(MAX(0,MIN(H183,Assumptions!$B$46)-Assumptions!$B$47)*Assumptions!$C$47+MAX(0,MIN(H183,Assumptions!$B$45)-Assumptions!$B$46)*Assumptions!$C$46+MAX(0,MIN(H183,Assumptions!$B$44)-Assumptions!$B$45)*Assumptions!$C$45+MAX(0,H183-Assumptions!$B$44)*Assumptions!$C$44)</f>
        <v>0</v>
      </c>
      <c r="AQ183" s="17" t="n">
        <f aca="false">ROUND(SUMIF(Lines!$B:$B,B183,Lines!$N:$N),2)</f>
        <v>0</v>
      </c>
    </row>
    <row r="184" customFormat="false" ht="15" hidden="false" customHeight="false" outlineLevel="0" collapsed="false">
      <c r="B184" s="14" t="s">
        <v>337</v>
      </c>
      <c r="C184" s="14" t="s">
        <v>259</v>
      </c>
      <c r="D184" s="14" t="s">
        <v>251</v>
      </c>
      <c r="E184" s="24" t="n">
        <v>164</v>
      </c>
      <c r="F184" s="24" t="n">
        <v>1531</v>
      </c>
      <c r="G184" s="24" t="n">
        <v>0</v>
      </c>
      <c r="H184" s="26" t="n">
        <f aca="false">SUM(E184:G184)</f>
        <v>1695</v>
      </c>
      <c r="I184" s="24" t="n">
        <v>68</v>
      </c>
      <c r="J184" s="24" t="n">
        <v>25</v>
      </c>
      <c r="K184" s="27" t="n">
        <v>0.07</v>
      </c>
      <c r="L184" s="28" t="n">
        <f aca="false">MIN(Assumptions!$C$18,K184*Assumptions!$D$15)</f>
        <v>0.0434</v>
      </c>
      <c r="M184" s="28" t="n">
        <f aca="false">MIN(Assumptions!$C$18,K184*Assumptions!$D$16)</f>
        <v>0.091</v>
      </c>
      <c r="N184" s="28" t="n">
        <f aca="false">MIN(Assumptions!$C$18,K184*Assumptions!$D$17)</f>
        <v>0.0672</v>
      </c>
      <c r="O184" s="28" t="n">
        <f aca="false">IF(I184&gt;=Assumptions!$B$36,Assumptions!$C$36,IF(I184&gt;=Assumptions!$B$37,Assumptions!$C$37,IF(I184&gt;=Assumptions!$B$38,Assumptions!$C$38,Assumptions!$C$39)))</f>
        <v>0.02</v>
      </c>
      <c r="P184" s="28" t="n">
        <f aca="false">IF(H184&gt;=Assumptions!$B$44,Assumptions!$C$44,IF(H184&gt;=Assumptions!$B$45,Assumptions!$C$45,IF(H184&gt;=Assumptions!$B$46,Assumptions!$C$46,Assumptions!$C$47)))</f>
        <v>0</v>
      </c>
      <c r="Q184" s="24" t="n">
        <v>0</v>
      </c>
      <c r="R184" s="28" t="n">
        <f aca="false">Q184*Assumptions!$C$51</f>
        <v>0</v>
      </c>
      <c r="S184" s="27" t="n">
        <v>0</v>
      </c>
      <c r="T184" s="27" t="n">
        <v>0</v>
      </c>
      <c r="U184" s="27" t="n">
        <v>0</v>
      </c>
      <c r="V184" s="27" t="n">
        <v>0.01</v>
      </c>
      <c r="W184" s="27" t="n">
        <v>0</v>
      </c>
      <c r="X184" s="28" t="n">
        <f aca="false">P184+R184+SUM(S184:W184)</f>
        <v>0.01</v>
      </c>
      <c r="Y184" s="24" t="n">
        <v>0</v>
      </c>
      <c r="Z184" s="29" t="n">
        <f aca="false">LN(H184)</f>
        <v>7.43543801981455</v>
      </c>
      <c r="AA184" s="17" t="n">
        <f aca="false">ROUND(SUMIF(Lines!$B:$B,B184,Lines!$I:$I),2)</f>
        <v>119194</v>
      </c>
      <c r="AB184" s="17" t="n">
        <f aca="false">ROUND(SUMIF(Lines!$B:$B,B184,Lines!$L:$L),2)</f>
        <v>107118.82</v>
      </c>
      <c r="AC184" s="17" t="n">
        <f aca="false">ROUND(SUMIF(Lines!$B:$B,B184,Lines!$T:$T),2)</f>
        <v>106047.63</v>
      </c>
      <c r="AD184" s="17" t="n">
        <f aca="false">ROUND(SUMIF(Lines!$B:$B,B184,Lines!$U:$U),2)</f>
        <v>67908</v>
      </c>
      <c r="AE184" s="17" t="n">
        <f aca="false">ROUND(SUMIF(Lines!$B:$B,B184,Lines!$V:$V),2)</f>
        <v>2142.37</v>
      </c>
      <c r="AF184" s="17" t="n">
        <f aca="false">ROUND(AC184-AD184-AE184,2)</f>
        <v>35997.26</v>
      </c>
      <c r="AG184" s="26" t="n">
        <f aca="false">RANK(AC184,$AC$6:$AC$185)</f>
        <v>107</v>
      </c>
      <c r="AJ184" s="26" t="n">
        <f aca="false">IF(AND(H184&gt;=0.85*Assumptions!$B$44,H184&lt;Assumptions!$B$44),Assumptions!$B$44,IF(AND(H184&gt;=0.85*Assumptions!$B$45,H184&lt;Assumptions!$B$45),Assumptions!$B$45,IF(AND(H184&gt;=0.85*Assumptions!$B$46,H184&lt;Assumptions!$B$46),Assumptions!$B$46,0)))</f>
        <v>0</v>
      </c>
      <c r="AK184" s="26" t="n">
        <f aca="false">IF(AJ184=0,0,AJ184-H184)</f>
        <v>0</v>
      </c>
      <c r="AL184" s="28" t="n">
        <f aca="false">IF(AJ184=Assumptions!$B$44,Assumptions!$C$44,IF(AJ184=Assumptions!$B$45,Assumptions!$C$45,IF(AJ184=Assumptions!$B$46,Assumptions!$C$46,0)))</f>
        <v>0</v>
      </c>
      <c r="AM184" s="17" t="n">
        <f aca="false">IF(AJ184=0,0,AB184*(AL184-P184))</f>
        <v>0</v>
      </c>
      <c r="AN184" s="17" t="n">
        <f aca="false">ROUND(AN168+AM184,2)</f>
        <v>187091.56</v>
      </c>
      <c r="AO184" s="17" t="n">
        <f aca="false">SUMIF(Lines!$B$6:$B$463,$B184,Lines!$M$6:$M$463)</f>
        <v>0</v>
      </c>
      <c r="AP184" s="17" t="n">
        <f aca="false">(AB184/H184)*(MAX(0,MIN(H184,Assumptions!$B$46)-Assumptions!$B$47)*Assumptions!$C$47+MAX(0,MIN(H184,Assumptions!$B$45)-Assumptions!$B$46)*Assumptions!$C$46+MAX(0,MIN(H184,Assumptions!$B$44)-Assumptions!$B$45)*Assumptions!$C$45+MAX(0,H184-Assumptions!$B$44)*Assumptions!$C$44)</f>
        <v>0</v>
      </c>
      <c r="AQ184" s="17" t="n">
        <f aca="false">ROUND(SUMIF(Lines!$B:$B,B184,Lines!$N:$N),2)</f>
        <v>0</v>
      </c>
    </row>
    <row r="185" customFormat="false" ht="15" hidden="false" customHeight="false" outlineLevel="0" collapsed="false">
      <c r="B185" s="14" t="s">
        <v>338</v>
      </c>
      <c r="C185" s="14" t="s">
        <v>259</v>
      </c>
      <c r="D185" s="14" t="s">
        <v>251</v>
      </c>
      <c r="E185" s="24" t="n">
        <v>350</v>
      </c>
      <c r="F185" s="24" t="n">
        <v>0</v>
      </c>
      <c r="G185" s="24" t="n">
        <v>936</v>
      </c>
      <c r="H185" s="26" t="n">
        <f aca="false">SUM(E185:G185)</f>
        <v>1286</v>
      </c>
      <c r="I185" s="24" t="n">
        <v>75</v>
      </c>
      <c r="J185" s="24" t="n">
        <v>17</v>
      </c>
      <c r="K185" s="27" t="n">
        <v>0.055</v>
      </c>
      <c r="L185" s="28" t="n">
        <f aca="false">MIN(Assumptions!$C$18,K185*Assumptions!$D$15)</f>
        <v>0.0341</v>
      </c>
      <c r="M185" s="28" t="n">
        <f aca="false">MIN(Assumptions!$C$18,K185*Assumptions!$D$16)</f>
        <v>0.0715</v>
      </c>
      <c r="N185" s="28" t="n">
        <f aca="false">MIN(Assumptions!$C$18,K185*Assumptions!$D$17)</f>
        <v>0.0528</v>
      </c>
      <c r="O185" s="28" t="n">
        <f aca="false">IF(I185&gt;=Assumptions!$B$36,Assumptions!$C$36,IF(I185&gt;=Assumptions!$B$37,Assumptions!$C$37,IF(I185&gt;=Assumptions!$B$38,Assumptions!$C$38,Assumptions!$C$39)))</f>
        <v>0.02</v>
      </c>
      <c r="P185" s="28" t="n">
        <f aca="false">IF(H185&gt;=Assumptions!$B$44,Assumptions!$C$44,IF(H185&gt;=Assumptions!$B$45,Assumptions!$C$45,IF(H185&gt;=Assumptions!$B$46,Assumptions!$C$46,Assumptions!$C$47)))</f>
        <v>0</v>
      </c>
      <c r="Q185" s="24" t="n">
        <v>0</v>
      </c>
      <c r="R185" s="28" t="n">
        <f aca="false">Q185*Assumptions!$C$51</f>
        <v>0</v>
      </c>
      <c r="S185" s="27" t="n">
        <v>0</v>
      </c>
      <c r="T185" s="27" t="n">
        <v>0</v>
      </c>
      <c r="U185" s="27" t="n">
        <v>0</v>
      </c>
      <c r="V185" s="27" t="n">
        <v>0.01</v>
      </c>
      <c r="W185" s="27" t="n">
        <v>0</v>
      </c>
      <c r="X185" s="28" t="n">
        <f aca="false">P185+R185+SUM(S185:W185)</f>
        <v>0.01</v>
      </c>
      <c r="Y185" s="24" t="n">
        <v>0</v>
      </c>
      <c r="Z185" s="29" t="n">
        <f aca="false">LN(H185)</f>
        <v>7.15929190479756</v>
      </c>
      <c r="AA185" s="17" t="n">
        <f aca="false">ROUND(SUMIF(Lines!$B:$B,B185,Lines!$I:$I),2)</f>
        <v>141656</v>
      </c>
      <c r="AB185" s="17" t="n">
        <f aca="false">ROUND(SUMIF(Lines!$B:$B,B185,Lines!$L:$L),2)</f>
        <v>132312.1</v>
      </c>
      <c r="AC185" s="17" t="n">
        <f aca="false">ROUND(SUMIF(Lines!$B:$B,B185,Lines!$T:$T),2)</f>
        <v>130988.98</v>
      </c>
      <c r="AD185" s="17" t="n">
        <f aca="false">ROUND(SUMIF(Lines!$B:$B,B185,Lines!$U:$U),2)</f>
        <v>81588</v>
      </c>
      <c r="AE185" s="17" t="n">
        <f aca="false">ROUND(SUMIF(Lines!$B:$B,B185,Lines!$V:$V),2)</f>
        <v>2646.24</v>
      </c>
      <c r="AF185" s="17" t="n">
        <f aca="false">ROUND(AC185-AD185-AE185,2)</f>
        <v>46754.74</v>
      </c>
      <c r="AG185" s="26" t="n">
        <f aca="false">RANK(AC185,$AC$6:$AC$185)</f>
        <v>97</v>
      </c>
      <c r="AJ185" s="26" t="n">
        <f aca="false">IF(AND(H185&gt;=0.85*Assumptions!$B$44,H185&lt;Assumptions!$B$44),Assumptions!$B$44,IF(AND(H185&gt;=0.85*Assumptions!$B$45,H185&lt;Assumptions!$B$45),Assumptions!$B$45,IF(AND(H185&gt;=0.85*Assumptions!$B$46,H185&lt;Assumptions!$B$46),Assumptions!$B$46,0)))</f>
        <v>0</v>
      </c>
      <c r="AK185" s="26" t="n">
        <f aca="false">IF(AJ185=0,0,AJ185-H185)</f>
        <v>0</v>
      </c>
      <c r="AL185" s="28" t="n">
        <f aca="false">IF(AJ185=Assumptions!$B$44,Assumptions!$C$44,IF(AJ185=Assumptions!$B$45,Assumptions!$C$45,IF(AJ185=Assumptions!$B$46,Assumptions!$C$46,0)))</f>
        <v>0</v>
      </c>
      <c r="AM185" s="17" t="n">
        <f aca="false">IF(AJ185=0,0,AB185*(AL185-P185))</f>
        <v>0</v>
      </c>
      <c r="AN185" s="17" t="n">
        <f aca="false">ROUND(AN169+AM185,2)</f>
        <v>187091.56</v>
      </c>
      <c r="AO185" s="17" t="n">
        <f aca="false">SUMIF(Lines!$B$6:$B$463,$B185,Lines!$M$6:$M$463)</f>
        <v>0</v>
      </c>
      <c r="AP185" s="17" t="n">
        <f aca="false">(AB185/H185)*(MAX(0,MIN(H185,Assumptions!$B$46)-Assumptions!$B$47)*Assumptions!$C$47+MAX(0,MIN(H185,Assumptions!$B$45)-Assumptions!$B$46)*Assumptions!$C$46+MAX(0,MIN(H185,Assumptions!$B$44)-Assumptions!$B$45)*Assumptions!$C$45+MAX(0,H185-Assumptions!$B$44)*Assumptions!$C$44)</f>
        <v>0</v>
      </c>
      <c r="AQ185" s="17" t="n">
        <f aca="false">ROUND(SUMIF(Lines!$B:$B,B185,Lines!$N:$N),2)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B4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1" min="10" style="0" width="14"/>
    <col collapsed="false" customWidth="true" hidden="false" outlineLevel="0" max="12" min="12" style="0" width="15"/>
    <col collapsed="false" customWidth="true" hidden="false" outlineLevel="0" max="16" min="13" style="0" width="14"/>
    <col collapsed="false" customWidth="true" hidden="false" outlineLevel="0" max="17" min="17" style="0" width="13"/>
    <col collapsed="false" customWidth="true" hidden="false" outlineLevel="0" max="19" min="18" style="0" width="14"/>
    <col collapsed="false" customWidth="true" hidden="false" outlineLevel="0" max="21" min="20" style="0" width="15"/>
    <col collapsed="false" customWidth="true" hidden="false" outlineLevel="0" max="22" min="22" style="0" width="13"/>
    <col collapsed="false" customWidth="true" hidden="false" outlineLevel="0" max="23" min="23" style="0" width="15"/>
    <col collapsed="false" customWidth="true" hidden="false" outlineLevel="0" max="25" min="24" style="0" width="12"/>
    <col collapsed="false" customWidth="true" hidden="false" outlineLevel="0" max="26" min="26" style="0" width="16"/>
    <col collapsed="false" customWidth="true" hidden="false" outlineLevel="0" max="28" min="27" style="0" width="15"/>
  </cols>
  <sheetData>
    <row r="2" customFormat="false" ht="16.15" hidden="false" customHeight="false" outlineLevel="0" collapsed="false">
      <c r="B2" s="12" t="s">
        <v>339</v>
      </c>
    </row>
    <row r="3" customFormat="false" ht="15" hidden="false" customHeight="false" outlineLevel="0" collapsed="false">
      <c r="B3" s="2" t="s">
        <v>340</v>
      </c>
    </row>
    <row r="5" customFormat="false" ht="42" hidden="false" customHeight="true" outlineLevel="0" collapsed="false">
      <c r="B5" s="13" t="s">
        <v>92</v>
      </c>
      <c r="C5" s="13" t="s">
        <v>108</v>
      </c>
      <c r="D5" s="13" t="s">
        <v>109</v>
      </c>
      <c r="E5" s="13" t="s">
        <v>53</v>
      </c>
      <c r="F5" s="13" t="s">
        <v>341</v>
      </c>
      <c r="G5" s="13" t="s">
        <v>55</v>
      </c>
      <c r="H5" s="13" t="s">
        <v>342</v>
      </c>
      <c r="I5" s="13" t="s">
        <v>132</v>
      </c>
      <c r="J5" s="13" t="s">
        <v>120</v>
      </c>
      <c r="K5" s="13" t="s">
        <v>116</v>
      </c>
      <c r="L5" s="13" t="s">
        <v>133</v>
      </c>
      <c r="M5" s="13" t="s">
        <v>343</v>
      </c>
      <c r="N5" s="13" t="s">
        <v>344</v>
      </c>
      <c r="O5" s="13" t="s">
        <v>124</v>
      </c>
      <c r="P5" s="13" t="s">
        <v>125</v>
      </c>
      <c r="Q5" s="13" t="s">
        <v>126</v>
      </c>
      <c r="R5" s="13" t="s">
        <v>127</v>
      </c>
      <c r="S5" s="13" t="s">
        <v>128</v>
      </c>
      <c r="T5" s="13" t="s">
        <v>134</v>
      </c>
      <c r="U5" s="13" t="s">
        <v>56</v>
      </c>
      <c r="V5" s="13" t="s">
        <v>135</v>
      </c>
      <c r="W5" s="13" t="s">
        <v>136</v>
      </c>
      <c r="X5" s="13" t="s">
        <v>345</v>
      </c>
      <c r="Y5" s="13" t="s">
        <v>346</v>
      </c>
      <c r="Z5" s="13" t="s">
        <v>347</v>
      </c>
      <c r="AA5" s="13" t="s">
        <v>348</v>
      </c>
      <c r="AB5" s="13" t="s">
        <v>349</v>
      </c>
    </row>
    <row r="6" customFormat="false" ht="15" hidden="false" customHeight="false" outlineLevel="0" collapsed="false">
      <c r="B6" s="14" t="s">
        <v>146</v>
      </c>
      <c r="C6" s="14" t="s">
        <v>147</v>
      </c>
      <c r="D6" s="14" t="s">
        <v>148</v>
      </c>
      <c r="E6" s="14" t="s">
        <v>60</v>
      </c>
      <c r="F6" s="26" t="n">
        <f aca="false">Accounts!E6</f>
        <v>6720</v>
      </c>
      <c r="G6" s="17" t="n">
        <f aca="false">Assumptions!$D$8</f>
        <v>148</v>
      </c>
      <c r="H6" s="17" t="n">
        <f aca="false">Assumptions!$E$8</f>
        <v>78</v>
      </c>
      <c r="I6" s="17" t="n">
        <f aca="false">ROUND(F6*G6,2)</f>
        <v>994560</v>
      </c>
      <c r="J6" s="17" t="n">
        <f aca="false">ROUND(I6*Accounts!O6,2)</f>
        <v>59673.6</v>
      </c>
      <c r="K6" s="17" t="n">
        <f aca="false">ROUND(I6*Accounts!L6,2)</f>
        <v>98660.35</v>
      </c>
      <c r="L6" s="17" t="n">
        <f aca="false">ROUND(I6-J6-K6,2)</f>
        <v>836226.05</v>
      </c>
      <c r="M6" s="17" t="n">
        <f aca="false">ROUND(L6*AA6,2)</f>
        <v>29267.91</v>
      </c>
      <c r="N6" s="17" t="n">
        <f aca="false">ROUND(L6*Accounts!R6,2)</f>
        <v>0</v>
      </c>
      <c r="O6" s="17" t="n">
        <f aca="false">ROUND(L6*Accounts!S6,2)</f>
        <v>25086.78</v>
      </c>
      <c r="P6" s="17" t="n">
        <f aca="false">ROUND(L6*Accounts!T6,2)</f>
        <v>0</v>
      </c>
      <c r="Q6" s="17" t="n">
        <f aca="false">ROUND(L6*Accounts!U6,2)</f>
        <v>0</v>
      </c>
      <c r="R6" s="17" t="n">
        <f aca="false">ROUND(L6*Accounts!V6,2)</f>
        <v>4181.13</v>
      </c>
      <c r="S6" s="17" t="n">
        <f aca="false">ROUND(L6*Accounts!W6,2)</f>
        <v>0</v>
      </c>
      <c r="T6" s="17" t="n">
        <f aca="false">ROUND(L6-SUM(M6:S6),2)</f>
        <v>777690.23</v>
      </c>
      <c r="U6" s="17" t="n">
        <f aca="false">ROUND(F6*H6,2)</f>
        <v>524160</v>
      </c>
      <c r="V6" s="17" t="n">
        <f aca="false">ROUND(L6*Assumptions!$C$25,2)</f>
        <v>16724.52</v>
      </c>
      <c r="W6" s="17" t="n">
        <f aca="false">ROUND(T6-U6-V6,2)</f>
        <v>236805.71</v>
      </c>
      <c r="X6" s="28" t="n">
        <f aca="false">T6/I6</f>
        <v>0.781944005389318</v>
      </c>
      <c r="Y6" s="17" t="n">
        <f aca="false">T6/F6</f>
        <v>115.727712797619</v>
      </c>
      <c r="Z6" s="26" t="n">
        <f aca="false">Accounts!H6</f>
        <v>21795</v>
      </c>
      <c r="AA6" s="28" t="n">
        <f aca="false">IF(Z6&gt;=Assumptions!$B$44,Assumptions!$C$44,IF(Z6&gt;=Assumptions!$B$45,Assumptions!$C$45,IF(Z6&gt;=Assumptions!$B$46,Assumptions!$C$46,Assumptions!$C$47)))</f>
        <v>0.035</v>
      </c>
      <c r="AB6" s="26" t="n">
        <f aca="false">IF(Z6&gt;=Assumptions!$B$44,Assumptions!$B$44,IF(Z6&gt;=Assumptions!$B$45,Assumptions!$B$45,IF(Z6&gt;=Assumptions!$B$46,Assumptions!$B$46,0)))</f>
        <v>10000</v>
      </c>
    </row>
    <row r="7" customFormat="false" ht="15" hidden="false" customHeight="false" outlineLevel="0" collapsed="false">
      <c r="B7" s="14" t="s">
        <v>154</v>
      </c>
      <c r="C7" s="14" t="s">
        <v>147</v>
      </c>
      <c r="D7" s="14" t="s">
        <v>155</v>
      </c>
      <c r="E7" s="14" t="s">
        <v>60</v>
      </c>
      <c r="F7" s="26" t="n">
        <f aca="false">Accounts!E12</f>
        <v>6480</v>
      </c>
      <c r="G7" s="17" t="n">
        <f aca="false">Assumptions!$D$8</f>
        <v>148</v>
      </c>
      <c r="H7" s="17" t="n">
        <f aca="false">Assumptions!$E$8</f>
        <v>78</v>
      </c>
      <c r="I7" s="17" t="n">
        <f aca="false">ROUND(F7*G7,2)</f>
        <v>959040</v>
      </c>
      <c r="J7" s="17" t="n">
        <f aca="false">ROUND(I7*Accounts!O12,2)</f>
        <v>57542.4</v>
      </c>
      <c r="K7" s="17" t="n">
        <f aca="false">ROUND(I7*Accounts!L12,2)</f>
        <v>74325.6</v>
      </c>
      <c r="L7" s="17" t="n">
        <f aca="false">ROUND(I7-J7-K7,2)</f>
        <v>827172</v>
      </c>
      <c r="M7" s="17" t="n">
        <f aca="false">ROUND(L7*AA7,2)</f>
        <v>28951.02</v>
      </c>
      <c r="N7" s="17" t="n">
        <f aca="false">ROUND(L7*Accounts!R12,2)</f>
        <v>0</v>
      </c>
      <c r="O7" s="17" t="n">
        <f aca="false">ROUND(L7*Accounts!S12,2)</f>
        <v>24815.16</v>
      </c>
      <c r="P7" s="17" t="n">
        <f aca="false">ROUND(L7*Accounts!T12,2)</f>
        <v>0</v>
      </c>
      <c r="Q7" s="17" t="n">
        <f aca="false">ROUND(L7*Accounts!U12,2)</f>
        <v>0</v>
      </c>
      <c r="R7" s="17" t="n">
        <f aca="false">ROUND(L7*Accounts!V12,2)</f>
        <v>4135.86</v>
      </c>
      <c r="S7" s="17" t="n">
        <f aca="false">ROUND(L7*Accounts!W12,2)</f>
        <v>0</v>
      </c>
      <c r="T7" s="17" t="n">
        <f aca="false">ROUND(L7-SUM(M7:S7),2)</f>
        <v>769269.96</v>
      </c>
      <c r="U7" s="17" t="n">
        <f aca="false">ROUND(F7*H7,2)</f>
        <v>505440</v>
      </c>
      <c r="V7" s="17" t="n">
        <f aca="false">ROUND(L7*Assumptions!$C$25,2)</f>
        <v>16543.44</v>
      </c>
      <c r="W7" s="17" t="n">
        <f aca="false">ROUND(T7-U7-V7,2)</f>
        <v>247286.52</v>
      </c>
      <c r="X7" s="28" t="n">
        <f aca="false">T7/I7</f>
        <v>0.802125</v>
      </c>
      <c r="Y7" s="17" t="n">
        <f aca="false">T7/F7</f>
        <v>118.7145</v>
      </c>
      <c r="Z7" s="26" t="n">
        <f aca="false">Accounts!H12</f>
        <v>23170</v>
      </c>
      <c r="AA7" s="28" t="n">
        <f aca="false">IF(Z7&gt;=Assumptions!$B$44,Assumptions!$C$44,IF(Z7&gt;=Assumptions!$B$45,Assumptions!$C$45,IF(Z7&gt;=Assumptions!$B$46,Assumptions!$C$46,Assumptions!$C$47)))</f>
        <v>0.035</v>
      </c>
      <c r="AB7" s="26" t="n">
        <f aca="false">IF(Z7&gt;=Assumptions!$B$44,Assumptions!$B$44,IF(Z7&gt;=Assumptions!$B$45,Assumptions!$B$45,IF(Z7&gt;=Assumptions!$B$46,Assumptions!$B$46,0)))</f>
        <v>10000</v>
      </c>
    </row>
    <row r="8" customFormat="false" ht="15" hidden="false" customHeight="false" outlineLevel="0" collapsed="false">
      <c r="B8" s="14" t="s">
        <v>149</v>
      </c>
      <c r="C8" s="14" t="s">
        <v>147</v>
      </c>
      <c r="D8" s="14" t="s">
        <v>148</v>
      </c>
      <c r="E8" s="14" t="s">
        <v>60</v>
      </c>
      <c r="F8" s="26" t="n">
        <f aca="false">Accounts!E7</f>
        <v>8376</v>
      </c>
      <c r="G8" s="17" t="n">
        <f aca="false">Assumptions!$D$8</f>
        <v>148</v>
      </c>
      <c r="H8" s="17" t="n">
        <f aca="false">Assumptions!$E$8</f>
        <v>78</v>
      </c>
      <c r="I8" s="17" t="n">
        <f aca="false">ROUND(F8*G8,2)</f>
        <v>1239648</v>
      </c>
      <c r="J8" s="17" t="n">
        <f aca="false">ROUND(I8*Accounts!O7,2)</f>
        <v>74378.88</v>
      </c>
      <c r="K8" s="17" t="n">
        <f aca="false">ROUND(I8*Accounts!L7,2)</f>
        <v>103758.54</v>
      </c>
      <c r="L8" s="17" t="n">
        <f aca="false">ROUND(I8-J8-K8,2)</f>
        <v>1061510.58</v>
      </c>
      <c r="M8" s="17" t="n">
        <f aca="false">ROUND(L8*AA8,2)</f>
        <v>37152.87</v>
      </c>
      <c r="N8" s="17" t="n">
        <f aca="false">ROUND(L8*Accounts!R7,2)</f>
        <v>0</v>
      </c>
      <c r="O8" s="17" t="n">
        <f aca="false">ROUND(L8*Accounts!S7,2)</f>
        <v>31845.32</v>
      </c>
      <c r="P8" s="17" t="n">
        <f aca="false">ROUND(L8*Accounts!T7,2)</f>
        <v>0</v>
      </c>
      <c r="Q8" s="17" t="n">
        <f aca="false">ROUND(L8*Accounts!U7,2)</f>
        <v>0</v>
      </c>
      <c r="R8" s="17" t="n">
        <f aca="false">ROUND(L8*Accounts!V7,2)</f>
        <v>5307.55</v>
      </c>
      <c r="S8" s="17" t="n">
        <f aca="false">ROUND(L8*Accounts!W7,2)</f>
        <v>0</v>
      </c>
      <c r="T8" s="17" t="n">
        <f aca="false">ROUND(L8-SUM(M8:S8),2)</f>
        <v>987204.84</v>
      </c>
      <c r="U8" s="17" t="n">
        <f aca="false">ROUND(F8*H8,2)</f>
        <v>653328</v>
      </c>
      <c r="V8" s="17" t="n">
        <f aca="false">ROUND(L8*Assumptions!$C$25,2)</f>
        <v>21230.21</v>
      </c>
      <c r="W8" s="17" t="n">
        <f aca="false">ROUND(T8-U8-V8,2)</f>
        <v>312646.63</v>
      </c>
      <c r="X8" s="28" t="n">
        <f aca="false">T8/I8</f>
        <v>0.796358998683497</v>
      </c>
      <c r="Y8" s="17" t="n">
        <f aca="false">T8/F8</f>
        <v>117.861131805158</v>
      </c>
      <c r="Z8" s="26" t="n">
        <f aca="false">Accounts!H7</f>
        <v>24820</v>
      </c>
      <c r="AA8" s="28" t="n">
        <f aca="false">IF(Z8&gt;=Assumptions!$B$44,Assumptions!$C$44,IF(Z8&gt;=Assumptions!$B$45,Assumptions!$C$45,IF(Z8&gt;=Assumptions!$B$46,Assumptions!$C$46,Assumptions!$C$47)))</f>
        <v>0.035</v>
      </c>
      <c r="AB8" s="26" t="n">
        <f aca="false">IF(Z8&gt;=Assumptions!$B$44,Assumptions!$B$44,IF(Z8&gt;=Assumptions!$B$45,Assumptions!$B$45,IF(Z8&gt;=Assumptions!$B$46,Assumptions!$B$46,0)))</f>
        <v>10000</v>
      </c>
    </row>
    <row r="9" customFormat="false" ht="15" hidden="false" customHeight="false" outlineLevel="0" collapsed="false">
      <c r="B9" s="14" t="s">
        <v>156</v>
      </c>
      <c r="C9" s="14" t="s">
        <v>147</v>
      </c>
      <c r="D9" s="14" t="s">
        <v>155</v>
      </c>
      <c r="E9" s="14" t="s">
        <v>60</v>
      </c>
      <c r="F9" s="26" t="n">
        <f aca="false">Accounts!E13</f>
        <v>9741</v>
      </c>
      <c r="G9" s="17" t="n">
        <f aca="false">Assumptions!$D$8</f>
        <v>148</v>
      </c>
      <c r="H9" s="17" t="n">
        <f aca="false">Assumptions!$E$8</f>
        <v>78</v>
      </c>
      <c r="I9" s="17" t="n">
        <f aca="false">ROUND(F9*G9,2)</f>
        <v>1441668</v>
      </c>
      <c r="J9" s="17" t="n">
        <f aca="false">ROUND(I9*Accounts!O13,2)</f>
        <v>86500.08</v>
      </c>
      <c r="K9" s="17" t="n">
        <f aca="false">ROUND(I9*Accounts!L13,2)</f>
        <v>111729.27</v>
      </c>
      <c r="L9" s="17" t="n">
        <f aca="false">ROUND(I9-J9-K9,2)</f>
        <v>1243438.65</v>
      </c>
      <c r="M9" s="17" t="n">
        <f aca="false">ROUND(L9*AA9,2)</f>
        <v>62171.93</v>
      </c>
      <c r="N9" s="17" t="n">
        <f aca="false">ROUND(L9*Accounts!R13,2)</f>
        <v>0</v>
      </c>
      <c r="O9" s="17" t="n">
        <f aca="false">ROUND(L9*Accounts!S13,2)</f>
        <v>37303.16</v>
      </c>
      <c r="P9" s="17" t="n">
        <f aca="false">ROUND(L9*Accounts!T13,2)</f>
        <v>0</v>
      </c>
      <c r="Q9" s="17" t="n">
        <f aca="false">ROUND(L9*Accounts!U13,2)</f>
        <v>0</v>
      </c>
      <c r="R9" s="17" t="n">
        <f aca="false">ROUND(L9*Accounts!V13,2)</f>
        <v>6217.19</v>
      </c>
      <c r="S9" s="17" t="n">
        <f aca="false">ROUND(L9*Accounts!W13,2)</f>
        <v>0</v>
      </c>
      <c r="T9" s="17" t="n">
        <f aca="false">ROUND(L9-SUM(M9:S9),2)</f>
        <v>1137746.37</v>
      </c>
      <c r="U9" s="17" t="n">
        <f aca="false">ROUND(F9*H9,2)</f>
        <v>759798</v>
      </c>
      <c r="V9" s="17" t="n">
        <f aca="false">ROUND(L9*Assumptions!$C$25,2)</f>
        <v>24868.77</v>
      </c>
      <c r="W9" s="17" t="n">
        <f aca="false">ROUND(T9-U9-V9,2)</f>
        <v>353079.6</v>
      </c>
      <c r="X9" s="28" t="n">
        <f aca="false">T9/I9</f>
        <v>0.789187503641615</v>
      </c>
      <c r="Y9" s="17" t="n">
        <f aca="false">T9/F9</f>
        <v>116.799750538959</v>
      </c>
      <c r="Z9" s="26" t="n">
        <f aca="false">Accounts!H13</f>
        <v>27573</v>
      </c>
      <c r="AA9" s="28" t="n">
        <f aca="false">IF(Z9&gt;=Assumptions!$B$44,Assumptions!$C$44,IF(Z9&gt;=Assumptions!$B$45,Assumptions!$C$45,IF(Z9&gt;=Assumptions!$B$46,Assumptions!$C$46,Assumptions!$C$47)))</f>
        <v>0.05</v>
      </c>
      <c r="AB9" s="26" t="n">
        <f aca="false">IF(Z9&gt;=Assumptions!$B$44,Assumptions!$B$44,IF(Z9&gt;=Assumptions!$B$45,Assumptions!$B$45,IF(Z9&gt;=Assumptions!$B$46,Assumptions!$B$46,0)))</f>
        <v>25000</v>
      </c>
    </row>
    <row r="10" customFormat="false" ht="15" hidden="false" customHeight="false" outlineLevel="0" collapsed="false">
      <c r="B10" s="14" t="s">
        <v>150</v>
      </c>
      <c r="C10" s="14" t="s">
        <v>147</v>
      </c>
      <c r="D10" s="14" t="s">
        <v>148</v>
      </c>
      <c r="E10" s="14" t="s">
        <v>60</v>
      </c>
      <c r="F10" s="26" t="n">
        <f aca="false">Accounts!E8</f>
        <v>15461</v>
      </c>
      <c r="G10" s="17" t="n">
        <f aca="false">Assumptions!$D$8</f>
        <v>148</v>
      </c>
      <c r="H10" s="17" t="n">
        <f aca="false">Assumptions!$E$8</f>
        <v>78</v>
      </c>
      <c r="I10" s="17" t="n">
        <f aca="false">ROUND(F10*G10,2)</f>
        <v>2288228</v>
      </c>
      <c r="J10" s="17" t="n">
        <f aca="false">ROUND(I10*Accounts!O8,2)</f>
        <v>137293.68</v>
      </c>
      <c r="K10" s="17" t="n">
        <f aca="false">ROUND(I10*Accounts!L8,2)</f>
        <v>226992.22</v>
      </c>
      <c r="L10" s="17" t="n">
        <f aca="false">ROUND(I10-J10-K10,2)</f>
        <v>1923942.1</v>
      </c>
      <c r="M10" s="17" t="n">
        <f aca="false">ROUND(L10*AA10,2)</f>
        <v>96197.11</v>
      </c>
      <c r="N10" s="17" t="n">
        <f aca="false">ROUND(L10*Accounts!R8,2)</f>
        <v>0</v>
      </c>
      <c r="O10" s="17" t="n">
        <f aca="false">ROUND(L10*Accounts!S8,2)</f>
        <v>57718.26</v>
      </c>
      <c r="P10" s="17" t="n">
        <f aca="false">ROUND(L10*Accounts!T8,2)</f>
        <v>0</v>
      </c>
      <c r="Q10" s="17" t="n">
        <f aca="false">ROUND(L10*Accounts!U8,2)</f>
        <v>0</v>
      </c>
      <c r="R10" s="17" t="n">
        <f aca="false">ROUND(L10*Accounts!V8,2)</f>
        <v>9619.71</v>
      </c>
      <c r="S10" s="17" t="n">
        <f aca="false">ROUND(L10*Accounts!W8,2)</f>
        <v>0</v>
      </c>
      <c r="T10" s="17" t="n">
        <f aca="false">ROUND(L10-SUM(M10:S10),2)</f>
        <v>1760407.02</v>
      </c>
      <c r="U10" s="17" t="n">
        <f aca="false">ROUND(F10*H10,2)</f>
        <v>1205958</v>
      </c>
      <c r="V10" s="17" t="n">
        <f aca="false">ROUND(L10*Assumptions!$C$25,2)</f>
        <v>38478.84</v>
      </c>
      <c r="W10" s="17" t="n">
        <f aca="false">ROUND(T10-U10-V10,2)</f>
        <v>515970.18</v>
      </c>
      <c r="X10" s="28" t="n">
        <f aca="false">T10/I10</f>
        <v>0.769331998384776</v>
      </c>
      <c r="Y10" s="17" t="n">
        <f aca="false">T10/F10</f>
        <v>113.861135760947</v>
      </c>
      <c r="Z10" s="26" t="n">
        <f aca="false">Accounts!H8</f>
        <v>47590</v>
      </c>
      <c r="AA10" s="28" t="n">
        <f aca="false">IF(Z10&gt;=Assumptions!$B$44,Assumptions!$C$44,IF(Z10&gt;=Assumptions!$B$45,Assumptions!$C$45,IF(Z10&gt;=Assumptions!$B$46,Assumptions!$C$46,Assumptions!$C$47)))</f>
        <v>0.05</v>
      </c>
      <c r="AB10" s="26" t="n">
        <f aca="false">IF(Z10&gt;=Assumptions!$B$44,Assumptions!$B$44,IF(Z10&gt;=Assumptions!$B$45,Assumptions!$B$45,IF(Z10&gt;=Assumptions!$B$46,Assumptions!$B$46,0)))</f>
        <v>25000</v>
      </c>
    </row>
    <row r="11" customFormat="false" ht="15" hidden="false" customHeight="false" outlineLevel="0" collapsed="false">
      <c r="B11" s="14" t="s">
        <v>157</v>
      </c>
      <c r="C11" s="14" t="s">
        <v>147</v>
      </c>
      <c r="D11" s="14" t="s">
        <v>155</v>
      </c>
      <c r="E11" s="14" t="s">
        <v>60</v>
      </c>
      <c r="F11" s="26" t="n">
        <f aca="false">Accounts!E14</f>
        <v>6135</v>
      </c>
      <c r="G11" s="17" t="n">
        <f aca="false">Assumptions!$D$8</f>
        <v>148</v>
      </c>
      <c r="H11" s="17" t="n">
        <f aca="false">Assumptions!$E$8</f>
        <v>78</v>
      </c>
      <c r="I11" s="17" t="n">
        <f aca="false">ROUND(F11*G11,2)</f>
        <v>907980</v>
      </c>
      <c r="J11" s="17" t="n">
        <f aca="false">ROUND(I11*Accounts!O14,2)</f>
        <v>54478.8</v>
      </c>
      <c r="K11" s="17" t="n">
        <f aca="false">ROUND(I11*Accounts!L14,2)</f>
        <v>75997.93</v>
      </c>
      <c r="L11" s="17" t="n">
        <f aca="false">ROUND(I11-J11-K11,2)</f>
        <v>777503.27</v>
      </c>
      <c r="M11" s="17" t="n">
        <f aca="false">ROUND(L11*AA11,2)</f>
        <v>27212.61</v>
      </c>
      <c r="N11" s="17" t="n">
        <f aca="false">ROUND(L11*Accounts!R14,2)</f>
        <v>0</v>
      </c>
      <c r="O11" s="17" t="n">
        <f aca="false">ROUND(L11*Accounts!S14,2)</f>
        <v>23325.1</v>
      </c>
      <c r="P11" s="17" t="n">
        <f aca="false">ROUND(L11*Accounts!T14,2)</f>
        <v>0</v>
      </c>
      <c r="Q11" s="17" t="n">
        <f aca="false">ROUND(L11*Accounts!U14,2)</f>
        <v>0</v>
      </c>
      <c r="R11" s="17" t="n">
        <f aca="false">ROUND(L11*Accounts!V14,2)</f>
        <v>3887.52</v>
      </c>
      <c r="S11" s="17" t="n">
        <f aca="false">ROUND(L11*Accounts!W14,2)</f>
        <v>0</v>
      </c>
      <c r="T11" s="17" t="n">
        <f aca="false">ROUND(L11-SUM(M11:S11),2)</f>
        <v>723078.04</v>
      </c>
      <c r="U11" s="17" t="n">
        <f aca="false">ROUND(F11*H11,2)</f>
        <v>478530</v>
      </c>
      <c r="V11" s="17" t="n">
        <f aca="false">ROUND(L11*Assumptions!$C$25,2)</f>
        <v>15550.07</v>
      </c>
      <c r="W11" s="17" t="n">
        <f aca="false">ROUND(T11-U11-V11,2)</f>
        <v>228997.97</v>
      </c>
      <c r="X11" s="28" t="n">
        <f aca="false">T11/I11</f>
        <v>0.796358994691513</v>
      </c>
      <c r="Y11" s="17" t="n">
        <f aca="false">T11/F11</f>
        <v>117.861131214344</v>
      </c>
      <c r="Z11" s="26" t="n">
        <f aca="false">Accounts!H14</f>
        <v>21054</v>
      </c>
      <c r="AA11" s="28" t="n">
        <f aca="false">IF(Z11&gt;=Assumptions!$B$44,Assumptions!$C$44,IF(Z11&gt;=Assumptions!$B$45,Assumptions!$C$45,IF(Z11&gt;=Assumptions!$B$46,Assumptions!$C$46,Assumptions!$C$47)))</f>
        <v>0.035</v>
      </c>
      <c r="AB11" s="26" t="n">
        <f aca="false">IF(Z11&gt;=Assumptions!$B$44,Assumptions!$B$44,IF(Z11&gt;=Assumptions!$B$45,Assumptions!$B$45,IF(Z11&gt;=Assumptions!$B$46,Assumptions!$B$46,0)))</f>
        <v>10000</v>
      </c>
    </row>
    <row r="12" customFormat="false" ht="15" hidden="false" customHeight="false" outlineLevel="0" collapsed="false">
      <c r="B12" s="14" t="s">
        <v>151</v>
      </c>
      <c r="C12" s="14" t="s">
        <v>147</v>
      </c>
      <c r="D12" s="14" t="s">
        <v>148</v>
      </c>
      <c r="E12" s="14" t="s">
        <v>60</v>
      </c>
      <c r="F12" s="26" t="n">
        <f aca="false">Accounts!E9</f>
        <v>2168</v>
      </c>
      <c r="G12" s="17" t="n">
        <f aca="false">Assumptions!$D$8</f>
        <v>148</v>
      </c>
      <c r="H12" s="17" t="n">
        <f aca="false">Assumptions!$E$8</f>
        <v>78</v>
      </c>
      <c r="I12" s="17" t="n">
        <f aca="false">ROUND(F12*G12,2)</f>
        <v>320864</v>
      </c>
      <c r="J12" s="17" t="n">
        <f aca="false">ROUND(I12*Accounts!O9,2)</f>
        <v>19251.84</v>
      </c>
      <c r="K12" s="17" t="n">
        <f aca="false">ROUND(I12*Accounts!L9,2)</f>
        <v>18898.89</v>
      </c>
      <c r="L12" s="17" t="n">
        <f aca="false">ROUND(I12-J12-K12,2)</f>
        <v>282713.27</v>
      </c>
      <c r="M12" s="17" t="n">
        <f aca="false">ROUND(L12*AA12,2)</f>
        <v>5654.27</v>
      </c>
      <c r="N12" s="17" t="n">
        <f aca="false">ROUND(L12*Accounts!R9,2)</f>
        <v>0</v>
      </c>
      <c r="O12" s="17" t="n">
        <f aca="false">ROUND(L12*Accounts!S9,2)</f>
        <v>8481.4</v>
      </c>
      <c r="P12" s="17" t="n">
        <f aca="false">ROUND(L12*Accounts!T9,2)</f>
        <v>0</v>
      </c>
      <c r="Q12" s="17" t="n">
        <f aca="false">ROUND(L12*Accounts!U9,2)</f>
        <v>0</v>
      </c>
      <c r="R12" s="17" t="n">
        <f aca="false">ROUND(L12*Accounts!V9,2)</f>
        <v>1413.57</v>
      </c>
      <c r="S12" s="17" t="n">
        <f aca="false">ROUND(L12*Accounts!W9,2)</f>
        <v>0</v>
      </c>
      <c r="T12" s="17" t="n">
        <f aca="false">ROUND(L12-SUM(M12:S12),2)</f>
        <v>267164.03</v>
      </c>
      <c r="U12" s="17" t="n">
        <f aca="false">ROUND(F12*H12,2)</f>
        <v>169104</v>
      </c>
      <c r="V12" s="17" t="n">
        <f aca="false">ROUND(L12*Assumptions!$C$25,2)</f>
        <v>5654.27</v>
      </c>
      <c r="W12" s="17" t="n">
        <f aca="false">ROUND(T12-U12-V12,2)</f>
        <v>92405.76</v>
      </c>
      <c r="X12" s="28" t="n">
        <f aca="false">T12/I12</f>
        <v>0.832639467188591</v>
      </c>
      <c r="Y12" s="17" t="n">
        <f aca="false">T12/F12</f>
        <v>123.230641143911</v>
      </c>
      <c r="Z12" s="26" t="n">
        <f aca="false">Accounts!H9</f>
        <v>8427</v>
      </c>
      <c r="AA12" s="28" t="n">
        <f aca="false">IF(Z12&gt;=Assumptions!$B$44,Assumptions!$C$44,IF(Z12&gt;=Assumptions!$B$45,Assumptions!$C$45,IF(Z12&gt;=Assumptions!$B$46,Assumptions!$C$46,Assumptions!$C$47)))</f>
        <v>0.02</v>
      </c>
      <c r="AB12" s="26" t="n">
        <f aca="false">IF(Z12&gt;=Assumptions!$B$44,Assumptions!$B$44,IF(Z12&gt;=Assumptions!$B$45,Assumptions!$B$45,IF(Z12&gt;=Assumptions!$B$46,Assumptions!$B$46,0)))</f>
        <v>3000</v>
      </c>
    </row>
    <row r="13" customFormat="false" ht="15" hidden="false" customHeight="false" outlineLevel="0" collapsed="false">
      <c r="B13" s="14" t="s">
        <v>158</v>
      </c>
      <c r="C13" s="14" t="s">
        <v>147</v>
      </c>
      <c r="D13" s="14" t="s">
        <v>155</v>
      </c>
      <c r="E13" s="14" t="s">
        <v>60</v>
      </c>
      <c r="F13" s="26" t="n">
        <f aca="false">Accounts!E15</f>
        <v>10575</v>
      </c>
      <c r="G13" s="17" t="n">
        <f aca="false">Assumptions!$D$8</f>
        <v>148</v>
      </c>
      <c r="H13" s="17" t="n">
        <f aca="false">Assumptions!$E$8</f>
        <v>78</v>
      </c>
      <c r="I13" s="17" t="n">
        <f aca="false">ROUND(F13*G13,2)</f>
        <v>1565100</v>
      </c>
      <c r="J13" s="17" t="n">
        <f aca="false">ROUND(I13*Accounts!O15,2)</f>
        <v>93906</v>
      </c>
      <c r="K13" s="17" t="n">
        <f aca="false">ROUND(I13*Accounts!L15,2)</f>
        <v>150406.11</v>
      </c>
      <c r="L13" s="17" t="n">
        <f aca="false">ROUND(I13-J13-K13,2)</f>
        <v>1320787.89</v>
      </c>
      <c r="M13" s="17" t="n">
        <f aca="false">ROUND(L13*AA13,2)</f>
        <v>46227.58</v>
      </c>
      <c r="N13" s="17" t="n">
        <f aca="false">ROUND(L13*Accounts!R15,2)</f>
        <v>0</v>
      </c>
      <c r="O13" s="17" t="n">
        <f aca="false">ROUND(L13*Accounts!S15,2)</f>
        <v>39623.64</v>
      </c>
      <c r="P13" s="17" t="n">
        <f aca="false">ROUND(L13*Accounts!T15,2)</f>
        <v>0</v>
      </c>
      <c r="Q13" s="17" t="n">
        <f aca="false">ROUND(L13*Accounts!U15,2)</f>
        <v>0</v>
      </c>
      <c r="R13" s="17" t="n">
        <f aca="false">ROUND(L13*Accounts!V15,2)</f>
        <v>6603.94</v>
      </c>
      <c r="S13" s="17" t="n">
        <f aca="false">ROUND(L13*Accounts!W15,2)</f>
        <v>0</v>
      </c>
      <c r="T13" s="17" t="n">
        <f aca="false">ROUND(L13-SUM(M13:S13),2)</f>
        <v>1228332.73</v>
      </c>
      <c r="U13" s="17" t="n">
        <f aca="false">ROUND(F13*H13,2)</f>
        <v>824850</v>
      </c>
      <c r="V13" s="17" t="n">
        <f aca="false">ROUND(L13*Assumptions!$C$25,2)</f>
        <v>26415.76</v>
      </c>
      <c r="W13" s="17" t="n">
        <f aca="false">ROUND(T13-U13-V13,2)</f>
        <v>377066.97</v>
      </c>
      <c r="X13" s="28" t="n">
        <f aca="false">T13/I13</f>
        <v>0.784826995080187</v>
      </c>
      <c r="Y13" s="17" t="n">
        <f aca="false">T13/F13</f>
        <v>116.154395271868</v>
      </c>
      <c r="Z13" s="26" t="n">
        <f aca="false">Accounts!H15</f>
        <v>24654</v>
      </c>
      <c r="AA13" s="28" t="n">
        <f aca="false">IF(Z13&gt;=Assumptions!$B$44,Assumptions!$C$44,IF(Z13&gt;=Assumptions!$B$45,Assumptions!$C$45,IF(Z13&gt;=Assumptions!$B$46,Assumptions!$C$46,Assumptions!$C$47)))</f>
        <v>0.035</v>
      </c>
      <c r="AB13" s="26" t="n">
        <f aca="false">IF(Z13&gt;=Assumptions!$B$44,Assumptions!$B$44,IF(Z13&gt;=Assumptions!$B$45,Assumptions!$B$45,IF(Z13&gt;=Assumptions!$B$46,Assumptions!$B$46,0)))</f>
        <v>10000</v>
      </c>
    </row>
    <row r="14" customFormat="false" ht="15" hidden="false" customHeight="false" outlineLevel="0" collapsed="false">
      <c r="B14" s="14" t="s">
        <v>152</v>
      </c>
      <c r="C14" s="14" t="s">
        <v>147</v>
      </c>
      <c r="D14" s="14" t="s">
        <v>148</v>
      </c>
      <c r="E14" s="14" t="s">
        <v>60</v>
      </c>
      <c r="F14" s="26" t="n">
        <f aca="false">Accounts!E10</f>
        <v>4179</v>
      </c>
      <c r="G14" s="17" t="n">
        <f aca="false">Assumptions!$D$8</f>
        <v>148</v>
      </c>
      <c r="H14" s="17" t="n">
        <f aca="false">Assumptions!$E$8</f>
        <v>78</v>
      </c>
      <c r="I14" s="17" t="n">
        <f aca="false">ROUND(F14*G14,2)</f>
        <v>618492</v>
      </c>
      <c r="J14" s="17" t="n">
        <f aca="false">ROUND(I14*Accounts!O10,2)</f>
        <v>37109.52</v>
      </c>
      <c r="K14" s="17" t="n">
        <f aca="false">ROUND(I14*Accounts!L10,2)</f>
        <v>26842.55</v>
      </c>
      <c r="L14" s="17" t="n">
        <f aca="false">ROUND(I14-J14-K14,2)</f>
        <v>554539.93</v>
      </c>
      <c r="M14" s="17" t="n">
        <f aca="false">ROUND(L14*AA14,2)</f>
        <v>19408.9</v>
      </c>
      <c r="N14" s="17" t="n">
        <f aca="false">ROUND(L14*Accounts!R10,2)</f>
        <v>0</v>
      </c>
      <c r="O14" s="17" t="n">
        <f aca="false">ROUND(L14*Accounts!S10,2)</f>
        <v>16636.2</v>
      </c>
      <c r="P14" s="17" t="n">
        <f aca="false">ROUND(L14*Accounts!T10,2)</f>
        <v>0</v>
      </c>
      <c r="Q14" s="17" t="n">
        <f aca="false">ROUND(L14*Accounts!U10,2)</f>
        <v>0</v>
      </c>
      <c r="R14" s="17" t="n">
        <f aca="false">ROUND(L14*Accounts!V10,2)</f>
        <v>2772.7</v>
      </c>
      <c r="S14" s="17" t="n">
        <f aca="false">ROUND(L14*Accounts!W10,2)</f>
        <v>0</v>
      </c>
      <c r="T14" s="17" t="n">
        <f aca="false">ROUND(L14-SUM(M14:S14),2)</f>
        <v>515722.13</v>
      </c>
      <c r="U14" s="17" t="n">
        <f aca="false">ROUND(F14*H14,2)</f>
        <v>325962</v>
      </c>
      <c r="V14" s="17" t="n">
        <f aca="false">ROUND(L14*Assumptions!$C$25,2)</f>
        <v>11090.8</v>
      </c>
      <c r="W14" s="17" t="n">
        <f aca="false">ROUND(T14-U14-V14,2)</f>
        <v>178669.33</v>
      </c>
      <c r="X14" s="28" t="n">
        <f aca="false">T14/I14</f>
        <v>0.833837996287745</v>
      </c>
      <c r="Y14" s="17" t="n">
        <f aca="false">T14/F14</f>
        <v>123.408023450586</v>
      </c>
      <c r="Z14" s="26" t="n">
        <f aca="false">Accounts!H10</f>
        <v>10964</v>
      </c>
      <c r="AA14" s="28" t="n">
        <f aca="false">IF(Z14&gt;=Assumptions!$B$44,Assumptions!$C$44,IF(Z14&gt;=Assumptions!$B$45,Assumptions!$C$45,IF(Z14&gt;=Assumptions!$B$46,Assumptions!$C$46,Assumptions!$C$47)))</f>
        <v>0.035</v>
      </c>
      <c r="AB14" s="26" t="n">
        <f aca="false">IF(Z14&gt;=Assumptions!$B$44,Assumptions!$B$44,IF(Z14&gt;=Assumptions!$B$45,Assumptions!$B$45,IF(Z14&gt;=Assumptions!$B$46,Assumptions!$B$46,0)))</f>
        <v>10000</v>
      </c>
    </row>
    <row r="15" customFormat="false" ht="15" hidden="false" customHeight="false" outlineLevel="0" collapsed="false">
      <c r="B15" s="14" t="s">
        <v>159</v>
      </c>
      <c r="C15" s="14" t="s">
        <v>147</v>
      </c>
      <c r="D15" s="14" t="s">
        <v>155</v>
      </c>
      <c r="E15" s="14" t="s">
        <v>60</v>
      </c>
      <c r="F15" s="26" t="n">
        <f aca="false">Accounts!E16</f>
        <v>6452</v>
      </c>
      <c r="G15" s="17" t="n">
        <f aca="false">Assumptions!$D$8</f>
        <v>148</v>
      </c>
      <c r="H15" s="17" t="n">
        <f aca="false">Assumptions!$E$8</f>
        <v>78</v>
      </c>
      <c r="I15" s="17" t="n">
        <f aca="false">ROUND(F15*G15,2)</f>
        <v>954896</v>
      </c>
      <c r="J15" s="17" t="n">
        <f aca="false">ROUND(I15*Accounts!O16,2)</f>
        <v>57293.76</v>
      </c>
      <c r="K15" s="17" t="n">
        <f aca="false">ROUND(I15*Accounts!L16,2)</f>
        <v>82884.97</v>
      </c>
      <c r="L15" s="17" t="n">
        <f aca="false">ROUND(I15-J15-K15,2)</f>
        <v>814717.27</v>
      </c>
      <c r="M15" s="17" t="n">
        <f aca="false">ROUND(L15*AA15,2)</f>
        <v>28515.1</v>
      </c>
      <c r="N15" s="17" t="n">
        <f aca="false">ROUND(L15*Accounts!R16,2)</f>
        <v>0</v>
      </c>
      <c r="O15" s="17" t="n">
        <f aca="false">ROUND(L15*Accounts!S16,2)</f>
        <v>24441.52</v>
      </c>
      <c r="P15" s="17" t="n">
        <f aca="false">ROUND(L15*Accounts!T16,2)</f>
        <v>0</v>
      </c>
      <c r="Q15" s="17" t="n">
        <f aca="false">ROUND(L15*Accounts!U16,2)</f>
        <v>0</v>
      </c>
      <c r="R15" s="17" t="n">
        <f aca="false">ROUND(L15*Accounts!V16,2)</f>
        <v>4073.59</v>
      </c>
      <c r="S15" s="17" t="n">
        <f aca="false">ROUND(L15*Accounts!W16,2)</f>
        <v>0</v>
      </c>
      <c r="T15" s="17" t="n">
        <f aca="false">ROUND(L15-SUM(M15:S15),2)</f>
        <v>757687.06</v>
      </c>
      <c r="U15" s="17" t="n">
        <f aca="false">ROUND(F15*H15,2)</f>
        <v>503256</v>
      </c>
      <c r="V15" s="17" t="n">
        <f aca="false">ROUND(L15*Assumptions!$C$25,2)</f>
        <v>16294.35</v>
      </c>
      <c r="W15" s="17" t="n">
        <f aca="false">ROUND(T15-U15-V15,2)</f>
        <v>238136.71</v>
      </c>
      <c r="X15" s="28" t="n">
        <f aca="false">T15/I15</f>
        <v>0.793476001575041</v>
      </c>
      <c r="Y15" s="17" t="n">
        <f aca="false">T15/F15</f>
        <v>117.434448233106</v>
      </c>
      <c r="Z15" s="26" t="n">
        <f aca="false">Accounts!H16</f>
        <v>20265</v>
      </c>
      <c r="AA15" s="28" t="n">
        <f aca="false">IF(Z15&gt;=Assumptions!$B$44,Assumptions!$C$44,IF(Z15&gt;=Assumptions!$B$45,Assumptions!$C$45,IF(Z15&gt;=Assumptions!$B$46,Assumptions!$C$46,Assumptions!$C$47)))</f>
        <v>0.035</v>
      </c>
      <c r="AB15" s="26" t="n">
        <f aca="false">IF(Z15&gt;=Assumptions!$B$44,Assumptions!$B$44,IF(Z15&gt;=Assumptions!$B$45,Assumptions!$B$45,IF(Z15&gt;=Assumptions!$B$46,Assumptions!$B$46,0)))</f>
        <v>10000</v>
      </c>
    </row>
    <row r="16" customFormat="false" ht="15" hidden="false" customHeight="false" outlineLevel="0" collapsed="false">
      <c r="B16" s="14" t="s">
        <v>153</v>
      </c>
      <c r="C16" s="14" t="s">
        <v>147</v>
      </c>
      <c r="D16" s="14" t="s">
        <v>148</v>
      </c>
      <c r="E16" s="14" t="s">
        <v>60</v>
      </c>
      <c r="F16" s="26" t="n">
        <f aca="false">Accounts!E11</f>
        <v>10432</v>
      </c>
      <c r="G16" s="17" t="n">
        <f aca="false">Assumptions!$D$8</f>
        <v>148</v>
      </c>
      <c r="H16" s="17" t="n">
        <f aca="false">Assumptions!$E$8</f>
        <v>78</v>
      </c>
      <c r="I16" s="17" t="n">
        <f aca="false">ROUND(F16*G16,2)</f>
        <v>1543936</v>
      </c>
      <c r="J16" s="17" t="n">
        <f aca="false">ROUND(I16*Accounts!O11,2)</f>
        <v>92636.16</v>
      </c>
      <c r="K16" s="17" t="n">
        <f aca="false">ROUND(I16*Accounts!L11,2)</f>
        <v>157944.65</v>
      </c>
      <c r="L16" s="17" t="n">
        <f aca="false">ROUND(I16-J16-K16,2)</f>
        <v>1293355.19</v>
      </c>
      <c r="M16" s="17" t="n">
        <f aca="false">ROUND(L16*AA16,2)</f>
        <v>64667.76</v>
      </c>
      <c r="N16" s="17" t="n">
        <f aca="false">ROUND(L16*Accounts!R11,2)</f>
        <v>0</v>
      </c>
      <c r="O16" s="17" t="n">
        <f aca="false">ROUND(L16*Accounts!S11,2)</f>
        <v>38800.66</v>
      </c>
      <c r="P16" s="17" t="n">
        <f aca="false">ROUND(L16*Accounts!T11,2)</f>
        <v>0</v>
      </c>
      <c r="Q16" s="17" t="n">
        <f aca="false">ROUND(L16*Accounts!U11,2)</f>
        <v>0</v>
      </c>
      <c r="R16" s="17" t="n">
        <f aca="false">ROUND(L16*Accounts!V11,2)</f>
        <v>6466.78</v>
      </c>
      <c r="S16" s="17" t="n">
        <f aca="false">ROUND(L16*Accounts!W11,2)</f>
        <v>0</v>
      </c>
      <c r="T16" s="17" t="n">
        <f aca="false">ROUND(L16-SUM(M16:S16),2)</f>
        <v>1183419.99</v>
      </c>
      <c r="U16" s="17" t="n">
        <f aca="false">ROUND(F16*H16,2)</f>
        <v>813696</v>
      </c>
      <c r="V16" s="17" t="n">
        <f aca="false">ROUND(L16*Assumptions!$C$25,2)</f>
        <v>25867.1</v>
      </c>
      <c r="W16" s="17" t="n">
        <f aca="false">ROUND(T16-U16-V16,2)</f>
        <v>343856.89</v>
      </c>
      <c r="X16" s="28" t="n">
        <f aca="false">T16/I16</f>
        <v>0.766495495927292</v>
      </c>
      <c r="Y16" s="17" t="n">
        <f aca="false">T16/F16</f>
        <v>113.441333397239</v>
      </c>
      <c r="Z16" s="26" t="n">
        <f aca="false">Accounts!H11</f>
        <v>25217</v>
      </c>
      <c r="AA16" s="28" t="n">
        <f aca="false">IF(Z16&gt;=Assumptions!$B$44,Assumptions!$C$44,IF(Z16&gt;=Assumptions!$B$45,Assumptions!$C$45,IF(Z16&gt;=Assumptions!$B$46,Assumptions!$C$46,Assumptions!$C$47)))</f>
        <v>0.05</v>
      </c>
      <c r="AB16" s="26" t="n">
        <f aca="false">IF(Z16&gt;=Assumptions!$B$44,Assumptions!$B$44,IF(Z16&gt;=Assumptions!$B$45,Assumptions!$B$45,IF(Z16&gt;=Assumptions!$B$46,Assumptions!$B$46,0)))</f>
        <v>25000</v>
      </c>
    </row>
    <row r="17" customFormat="false" ht="15" hidden="false" customHeight="false" outlineLevel="0" collapsed="false">
      <c r="B17" s="14" t="s">
        <v>160</v>
      </c>
      <c r="C17" s="14" t="s">
        <v>147</v>
      </c>
      <c r="D17" s="14" t="s">
        <v>155</v>
      </c>
      <c r="E17" s="14" t="s">
        <v>60</v>
      </c>
      <c r="F17" s="26" t="n">
        <f aca="false">Accounts!E17</f>
        <v>4765</v>
      </c>
      <c r="G17" s="17" t="n">
        <f aca="false">Assumptions!$D$8</f>
        <v>148</v>
      </c>
      <c r="H17" s="17" t="n">
        <f aca="false">Assumptions!$E$8</f>
        <v>78</v>
      </c>
      <c r="I17" s="17" t="n">
        <f aca="false">ROUND(F17*G17,2)</f>
        <v>705220</v>
      </c>
      <c r="J17" s="17" t="n">
        <f aca="false">ROUND(I17*Accounts!O17,2)</f>
        <v>42313.2</v>
      </c>
      <c r="K17" s="17" t="n">
        <f aca="false">ROUND(I17*Accounts!L17,2)</f>
        <v>85261.1</v>
      </c>
      <c r="L17" s="17" t="n">
        <f aca="false">ROUND(I17-J17-K17,2)</f>
        <v>577645.7</v>
      </c>
      <c r="M17" s="17" t="n">
        <f aca="false">ROUND(L17*AA17,2)</f>
        <v>20217.6</v>
      </c>
      <c r="N17" s="17" t="n">
        <f aca="false">ROUND(L17*Accounts!R17,2)</f>
        <v>0</v>
      </c>
      <c r="O17" s="17" t="n">
        <f aca="false">ROUND(L17*Accounts!S17,2)</f>
        <v>17329.37</v>
      </c>
      <c r="P17" s="17" t="n">
        <f aca="false">ROUND(L17*Accounts!T17,2)</f>
        <v>0</v>
      </c>
      <c r="Q17" s="17" t="n">
        <f aca="false">ROUND(L17*Accounts!U17,2)</f>
        <v>0</v>
      </c>
      <c r="R17" s="17" t="n">
        <f aca="false">ROUND(L17*Accounts!V17,2)</f>
        <v>2888.23</v>
      </c>
      <c r="S17" s="17" t="n">
        <f aca="false">ROUND(L17*Accounts!W17,2)</f>
        <v>0</v>
      </c>
      <c r="T17" s="17" t="n">
        <f aca="false">ROUND(L17-SUM(M17:S17),2)</f>
        <v>537210.5</v>
      </c>
      <c r="U17" s="17" t="n">
        <f aca="false">ROUND(F17*H17,2)</f>
        <v>371670</v>
      </c>
      <c r="V17" s="17" t="n">
        <f aca="false">ROUND(L17*Assumptions!$C$25,2)</f>
        <v>11552.91</v>
      </c>
      <c r="W17" s="17" t="n">
        <f aca="false">ROUND(T17-U17-V17,2)</f>
        <v>153987.59</v>
      </c>
      <c r="X17" s="28" t="n">
        <f aca="false">T17/I17</f>
        <v>0.761762995944528</v>
      </c>
      <c r="Y17" s="17" t="n">
        <f aca="false">T17/F17</f>
        <v>112.74092339979</v>
      </c>
      <c r="Z17" s="26" t="n">
        <f aca="false">Accounts!H17</f>
        <v>13071</v>
      </c>
      <c r="AA17" s="28" t="n">
        <f aca="false">IF(Z17&gt;=Assumptions!$B$44,Assumptions!$C$44,IF(Z17&gt;=Assumptions!$B$45,Assumptions!$C$45,IF(Z17&gt;=Assumptions!$B$46,Assumptions!$C$46,Assumptions!$C$47)))</f>
        <v>0.035</v>
      </c>
      <c r="AB17" s="26" t="n">
        <f aca="false">IF(Z17&gt;=Assumptions!$B$44,Assumptions!$B$44,IF(Z17&gt;=Assumptions!$B$45,Assumptions!$B$45,IF(Z17&gt;=Assumptions!$B$46,Assumptions!$B$46,0)))</f>
        <v>10000</v>
      </c>
    </row>
    <row r="18" customFormat="false" ht="15" hidden="false" customHeight="false" outlineLevel="0" collapsed="false">
      <c r="B18" s="14" t="s">
        <v>161</v>
      </c>
      <c r="C18" s="14" t="s">
        <v>162</v>
      </c>
      <c r="D18" s="14" t="s">
        <v>163</v>
      </c>
      <c r="E18" s="14" t="s">
        <v>60</v>
      </c>
      <c r="F18" s="26" t="n">
        <f aca="false">Accounts!E18</f>
        <v>134</v>
      </c>
      <c r="G18" s="17" t="n">
        <f aca="false">Assumptions!$D$8</f>
        <v>148</v>
      </c>
      <c r="H18" s="17" t="n">
        <f aca="false">Assumptions!$E$8</f>
        <v>78</v>
      </c>
      <c r="I18" s="17" t="n">
        <f aca="false">ROUND(F18*G18,2)</f>
        <v>19832</v>
      </c>
      <c r="J18" s="17" t="n">
        <f aca="false">ROUND(I18*Accounts!O18,2)</f>
        <v>793.28</v>
      </c>
      <c r="K18" s="17" t="n">
        <f aca="false">ROUND(I18*Accounts!L18,2)</f>
        <v>1291.06</v>
      </c>
      <c r="L18" s="17" t="n">
        <f aca="false">ROUND(I18-J18-K18,2)</f>
        <v>17747.66</v>
      </c>
      <c r="M18" s="17" t="n">
        <f aca="false">ROUND(L18*AA18,2)</f>
        <v>0</v>
      </c>
      <c r="N18" s="17" t="n">
        <f aca="false">ROUND(L18*Accounts!R18,2)</f>
        <v>354.95</v>
      </c>
      <c r="O18" s="17" t="n">
        <f aca="false">ROUND(L18*Accounts!S18,2)</f>
        <v>266.21</v>
      </c>
      <c r="P18" s="17" t="n">
        <f aca="false">ROUND(L18*Accounts!T18,2)</f>
        <v>443.69</v>
      </c>
      <c r="Q18" s="17" t="n">
        <f aca="false">ROUND(L18*Accounts!U18,2)</f>
        <v>266.21</v>
      </c>
      <c r="R18" s="17" t="n">
        <f aca="false">ROUND(L18*Accounts!V18,2)</f>
        <v>141.98</v>
      </c>
      <c r="S18" s="17" t="n">
        <f aca="false">ROUND(L18*Accounts!W18,2)</f>
        <v>177.48</v>
      </c>
      <c r="T18" s="17" t="n">
        <f aca="false">ROUND(L18-SUM(M18:S18),2)</f>
        <v>16097.14</v>
      </c>
      <c r="U18" s="17" t="n">
        <f aca="false">ROUND(F18*H18,2)</f>
        <v>10452</v>
      </c>
      <c r="V18" s="17" t="n">
        <f aca="false">ROUND(L18*Assumptions!$C$25,2)</f>
        <v>354.95</v>
      </c>
      <c r="W18" s="17" t="n">
        <f aca="false">ROUND(T18-U18-V18,2)</f>
        <v>5290.19</v>
      </c>
      <c r="X18" s="28" t="n">
        <f aca="false">T18/I18</f>
        <v>0.811675070592981</v>
      </c>
      <c r="Y18" s="17" t="n">
        <f aca="false">T18/F18</f>
        <v>120.127910447761</v>
      </c>
      <c r="Z18" s="26" t="n">
        <f aca="false">Accounts!H18</f>
        <v>1695</v>
      </c>
      <c r="AA18" s="28" t="n">
        <f aca="false">IF(Z18&gt;=Assumptions!$B$44,Assumptions!$C$44,IF(Z18&gt;=Assumptions!$B$45,Assumptions!$C$45,IF(Z18&gt;=Assumptions!$B$46,Assumptions!$C$46,Assumptions!$C$47)))</f>
        <v>0</v>
      </c>
      <c r="AB18" s="26" t="n">
        <f aca="false">IF(Z18&gt;=Assumptions!$B$44,Assumptions!$B$44,IF(Z18&gt;=Assumptions!$B$45,Assumptions!$B$45,IF(Z18&gt;=Assumptions!$B$46,Assumptions!$B$46,0)))</f>
        <v>0</v>
      </c>
    </row>
    <row r="19" customFormat="false" ht="15" hidden="false" customHeight="false" outlineLevel="0" collapsed="false">
      <c r="B19" s="14" t="s">
        <v>173</v>
      </c>
      <c r="C19" s="14" t="s">
        <v>162</v>
      </c>
      <c r="D19" s="14" t="s">
        <v>174</v>
      </c>
      <c r="E19" s="14" t="s">
        <v>60</v>
      </c>
      <c r="F19" s="26" t="n">
        <f aca="false">Accounts!E28</f>
        <v>2157</v>
      </c>
      <c r="G19" s="17" t="n">
        <f aca="false">Assumptions!$D$8</f>
        <v>148</v>
      </c>
      <c r="H19" s="17" t="n">
        <f aca="false">Assumptions!$E$8</f>
        <v>78</v>
      </c>
      <c r="I19" s="17" t="n">
        <f aca="false">ROUND(F19*G19,2)</f>
        <v>319236</v>
      </c>
      <c r="J19" s="17" t="n">
        <f aca="false">ROUND(I19*Accounts!O28,2)</f>
        <v>19154.16</v>
      </c>
      <c r="K19" s="17" t="n">
        <f aca="false">ROUND(I19*Accounts!L28,2)</f>
        <v>10885.95</v>
      </c>
      <c r="L19" s="17" t="n">
        <f aca="false">ROUND(I19-J19-K19,2)</f>
        <v>289195.89</v>
      </c>
      <c r="M19" s="17" t="n">
        <f aca="false">ROUND(L19*AA19,2)</f>
        <v>10121.86</v>
      </c>
      <c r="N19" s="17" t="n">
        <f aca="false">ROUND(L19*Accounts!R28,2)</f>
        <v>5783.92</v>
      </c>
      <c r="O19" s="17" t="n">
        <f aca="false">ROUND(L19*Accounts!S28,2)</f>
        <v>4337.94</v>
      </c>
      <c r="P19" s="17" t="n">
        <f aca="false">ROUND(L19*Accounts!T28,2)</f>
        <v>7229.9</v>
      </c>
      <c r="Q19" s="17" t="n">
        <f aca="false">ROUND(L19*Accounts!U28,2)</f>
        <v>4337.94</v>
      </c>
      <c r="R19" s="17" t="n">
        <f aca="false">ROUND(L19*Accounts!V28,2)</f>
        <v>2313.57</v>
      </c>
      <c r="S19" s="17" t="n">
        <f aca="false">ROUND(L19*Accounts!W28,2)</f>
        <v>0</v>
      </c>
      <c r="T19" s="17" t="n">
        <f aca="false">ROUND(L19-SUM(M19:S19),2)</f>
        <v>255070.76</v>
      </c>
      <c r="U19" s="17" t="n">
        <f aca="false">ROUND(F19*H19,2)</f>
        <v>168246</v>
      </c>
      <c r="V19" s="17" t="n">
        <f aca="false">ROUND(L19*Assumptions!$C$25,2)</f>
        <v>5783.92</v>
      </c>
      <c r="W19" s="17" t="n">
        <f aca="false">ROUND(T19-U19-V19,2)</f>
        <v>81040.84</v>
      </c>
      <c r="X19" s="28" t="n">
        <f aca="false">T19/I19</f>
        <v>0.799003746444637</v>
      </c>
      <c r="Y19" s="17" t="n">
        <f aca="false">T19/F19</f>
        <v>118.252554473806</v>
      </c>
      <c r="Z19" s="26" t="n">
        <f aca="false">Accounts!H28</f>
        <v>13146</v>
      </c>
      <c r="AA19" s="28" t="n">
        <f aca="false">IF(Z19&gt;=Assumptions!$B$44,Assumptions!$C$44,IF(Z19&gt;=Assumptions!$B$45,Assumptions!$C$45,IF(Z19&gt;=Assumptions!$B$46,Assumptions!$C$46,Assumptions!$C$47)))</f>
        <v>0.035</v>
      </c>
      <c r="AB19" s="26" t="n">
        <f aca="false">IF(Z19&gt;=Assumptions!$B$44,Assumptions!$B$44,IF(Z19&gt;=Assumptions!$B$45,Assumptions!$B$45,IF(Z19&gt;=Assumptions!$B$46,Assumptions!$B$46,0)))</f>
        <v>10000</v>
      </c>
    </row>
    <row r="20" customFormat="false" ht="15" hidden="false" customHeight="false" outlineLevel="0" collapsed="false">
      <c r="B20" s="14" t="s">
        <v>183</v>
      </c>
      <c r="C20" s="14" t="s">
        <v>162</v>
      </c>
      <c r="D20" s="14" t="s">
        <v>184</v>
      </c>
      <c r="E20" s="14" t="s">
        <v>60</v>
      </c>
      <c r="F20" s="26" t="n">
        <f aca="false">Accounts!E37</f>
        <v>211</v>
      </c>
      <c r="G20" s="17" t="n">
        <f aca="false">Assumptions!$D$8</f>
        <v>148</v>
      </c>
      <c r="H20" s="17" t="n">
        <f aca="false">Assumptions!$E$8</f>
        <v>78</v>
      </c>
      <c r="I20" s="17" t="n">
        <f aca="false">ROUND(F20*G20,2)</f>
        <v>31228</v>
      </c>
      <c r="J20" s="17" t="n">
        <f aca="false">ROUND(I20*Accounts!O37,2)</f>
        <v>1249.12</v>
      </c>
      <c r="K20" s="17" t="n">
        <f aca="false">ROUND(I20*Accounts!L37,2)</f>
        <v>484.03</v>
      </c>
      <c r="L20" s="17" t="n">
        <f aca="false">ROUND(I20-J20-K20,2)</f>
        <v>29494.85</v>
      </c>
      <c r="M20" s="17" t="n">
        <f aca="false">ROUND(L20*AA20,2)</f>
        <v>589.9</v>
      </c>
      <c r="N20" s="17" t="n">
        <f aca="false">ROUND(L20*Accounts!R37,2)</f>
        <v>589.9</v>
      </c>
      <c r="O20" s="17" t="n">
        <f aca="false">ROUND(L20*Accounts!S37,2)</f>
        <v>442.42</v>
      </c>
      <c r="P20" s="17" t="n">
        <f aca="false">ROUND(L20*Accounts!T37,2)</f>
        <v>737.37</v>
      </c>
      <c r="Q20" s="17" t="n">
        <f aca="false">ROUND(L20*Accounts!U37,2)</f>
        <v>0</v>
      </c>
      <c r="R20" s="17" t="n">
        <f aca="false">ROUND(L20*Accounts!V37,2)</f>
        <v>235.96</v>
      </c>
      <c r="S20" s="17" t="n">
        <f aca="false">ROUND(L20*Accounts!W37,2)</f>
        <v>294.95</v>
      </c>
      <c r="T20" s="17" t="n">
        <f aca="false">ROUND(L20-SUM(M20:S20),2)</f>
        <v>26604.35</v>
      </c>
      <c r="U20" s="17" t="n">
        <f aca="false">ROUND(F20*H20,2)</f>
        <v>16458</v>
      </c>
      <c r="V20" s="17" t="n">
        <f aca="false">ROUND(L20*Assumptions!$C$25,2)</f>
        <v>589.9</v>
      </c>
      <c r="W20" s="17" t="n">
        <f aca="false">ROUND(T20-U20-V20,2)</f>
        <v>9556.45</v>
      </c>
      <c r="X20" s="28" t="n">
        <f aca="false">T20/I20</f>
        <v>0.851938965031382</v>
      </c>
      <c r="Y20" s="17" t="n">
        <f aca="false">T20/F20</f>
        <v>126.086966824645</v>
      </c>
      <c r="Z20" s="26" t="n">
        <f aca="false">Accounts!H37</f>
        <v>3542</v>
      </c>
      <c r="AA20" s="28" t="n">
        <f aca="false">IF(Z20&gt;=Assumptions!$B$44,Assumptions!$C$44,IF(Z20&gt;=Assumptions!$B$45,Assumptions!$C$45,IF(Z20&gt;=Assumptions!$B$46,Assumptions!$C$46,Assumptions!$C$47)))</f>
        <v>0.02</v>
      </c>
      <c r="AB20" s="26" t="n">
        <f aca="false">IF(Z20&gt;=Assumptions!$B$44,Assumptions!$B$44,IF(Z20&gt;=Assumptions!$B$45,Assumptions!$B$45,IF(Z20&gt;=Assumptions!$B$46,Assumptions!$B$46,0)))</f>
        <v>3000</v>
      </c>
    </row>
    <row r="21" customFormat="false" ht="15" hidden="false" customHeight="false" outlineLevel="0" collapsed="false">
      <c r="B21" s="14" t="s">
        <v>164</v>
      </c>
      <c r="C21" s="14" t="s">
        <v>162</v>
      </c>
      <c r="D21" s="14" t="s">
        <v>163</v>
      </c>
      <c r="E21" s="14" t="s">
        <v>60</v>
      </c>
      <c r="F21" s="26" t="n">
        <f aca="false">Accounts!E19</f>
        <v>1959</v>
      </c>
      <c r="G21" s="17" t="n">
        <f aca="false">Assumptions!$D$8</f>
        <v>148</v>
      </c>
      <c r="H21" s="17" t="n">
        <f aca="false">Assumptions!$E$8</f>
        <v>78</v>
      </c>
      <c r="I21" s="17" t="n">
        <f aca="false">ROUND(F21*G21,2)</f>
        <v>289932</v>
      </c>
      <c r="J21" s="17" t="n">
        <f aca="false">ROUND(I21*Accounts!O19,2)</f>
        <v>11597.28</v>
      </c>
      <c r="K21" s="17" t="n">
        <f aca="false">ROUND(I21*Accounts!L19,2)</f>
        <v>32356.41</v>
      </c>
      <c r="L21" s="17" t="n">
        <f aca="false">ROUND(I21-J21-K21,2)</f>
        <v>245978.31</v>
      </c>
      <c r="M21" s="17" t="n">
        <f aca="false">ROUND(L21*AA21,2)</f>
        <v>8609.24</v>
      </c>
      <c r="N21" s="17" t="n">
        <f aca="false">ROUND(L21*Accounts!R19,2)</f>
        <v>4919.57</v>
      </c>
      <c r="O21" s="17" t="n">
        <f aca="false">ROUND(L21*Accounts!S19,2)</f>
        <v>3689.67</v>
      </c>
      <c r="P21" s="17" t="n">
        <f aca="false">ROUND(L21*Accounts!T19,2)</f>
        <v>6149.46</v>
      </c>
      <c r="Q21" s="17" t="n">
        <f aca="false">ROUND(L21*Accounts!U19,2)</f>
        <v>3689.67</v>
      </c>
      <c r="R21" s="17" t="n">
        <f aca="false">ROUND(L21*Accounts!V19,2)</f>
        <v>1967.83</v>
      </c>
      <c r="S21" s="17" t="n">
        <f aca="false">ROUND(L21*Accounts!W19,2)</f>
        <v>0</v>
      </c>
      <c r="T21" s="17" t="n">
        <f aca="false">ROUND(L21-SUM(M21:S21),2)</f>
        <v>216952.87</v>
      </c>
      <c r="U21" s="17" t="n">
        <f aca="false">ROUND(F21*H21,2)</f>
        <v>152802</v>
      </c>
      <c r="V21" s="17" t="n">
        <f aca="false">ROUND(L21*Assumptions!$C$25,2)</f>
        <v>4919.57</v>
      </c>
      <c r="W21" s="17" t="n">
        <f aca="false">ROUND(T21-U21-V21,2)</f>
        <v>59231.3</v>
      </c>
      <c r="X21" s="28" t="n">
        <f aca="false">T21/I21</f>
        <v>0.74828880565098</v>
      </c>
      <c r="Y21" s="17" t="n">
        <f aca="false">T21/F21</f>
        <v>110.746743236345</v>
      </c>
      <c r="Z21" s="26" t="n">
        <f aca="false">Accounts!H19</f>
        <v>13041</v>
      </c>
      <c r="AA21" s="28" t="n">
        <f aca="false">IF(Z21&gt;=Assumptions!$B$44,Assumptions!$C$44,IF(Z21&gt;=Assumptions!$B$45,Assumptions!$C$45,IF(Z21&gt;=Assumptions!$B$46,Assumptions!$C$46,Assumptions!$C$47)))</f>
        <v>0.035</v>
      </c>
      <c r="AB21" s="26" t="n">
        <f aca="false">IF(Z21&gt;=Assumptions!$B$44,Assumptions!$B$44,IF(Z21&gt;=Assumptions!$B$45,Assumptions!$B$45,IF(Z21&gt;=Assumptions!$B$46,Assumptions!$B$46,0)))</f>
        <v>10000</v>
      </c>
    </row>
    <row r="22" customFormat="false" ht="15" hidden="false" customHeight="false" outlineLevel="0" collapsed="false">
      <c r="B22" s="14" t="s">
        <v>175</v>
      </c>
      <c r="C22" s="14" t="s">
        <v>162</v>
      </c>
      <c r="D22" s="14" t="s">
        <v>174</v>
      </c>
      <c r="E22" s="14" t="s">
        <v>60</v>
      </c>
      <c r="F22" s="26" t="n">
        <f aca="false">Accounts!E29</f>
        <v>1854</v>
      </c>
      <c r="G22" s="17" t="n">
        <f aca="false">Assumptions!$D$8</f>
        <v>148</v>
      </c>
      <c r="H22" s="17" t="n">
        <f aca="false">Assumptions!$E$8</f>
        <v>78</v>
      </c>
      <c r="I22" s="17" t="n">
        <f aca="false">ROUND(F22*G22,2)</f>
        <v>274392</v>
      </c>
      <c r="J22" s="17" t="n">
        <f aca="false">ROUND(I22*Accounts!O29,2)</f>
        <v>10975.68</v>
      </c>
      <c r="K22" s="17" t="n">
        <f aca="false">ROUND(I22*Accounts!L29,2)</f>
        <v>13609.84</v>
      </c>
      <c r="L22" s="17" t="n">
        <f aca="false">ROUND(I22-J22-K22,2)</f>
        <v>249806.48</v>
      </c>
      <c r="M22" s="17" t="n">
        <f aca="false">ROUND(L22*AA22,2)</f>
        <v>8743.23</v>
      </c>
      <c r="N22" s="17" t="n">
        <f aca="false">ROUND(L22*Accounts!R29,2)</f>
        <v>4996.13</v>
      </c>
      <c r="O22" s="17" t="n">
        <f aca="false">ROUND(L22*Accounts!S29,2)</f>
        <v>3747.1</v>
      </c>
      <c r="P22" s="17" t="n">
        <f aca="false">ROUND(L22*Accounts!T29,2)</f>
        <v>6245.16</v>
      </c>
      <c r="Q22" s="17" t="n">
        <f aca="false">ROUND(L22*Accounts!U29,2)</f>
        <v>0</v>
      </c>
      <c r="R22" s="17" t="n">
        <f aca="false">ROUND(L22*Accounts!V29,2)</f>
        <v>1998.45</v>
      </c>
      <c r="S22" s="17" t="n">
        <f aca="false">ROUND(L22*Accounts!W29,2)</f>
        <v>2498.06</v>
      </c>
      <c r="T22" s="17" t="n">
        <f aca="false">ROUND(L22-SUM(M22:S22),2)</f>
        <v>221578.35</v>
      </c>
      <c r="U22" s="17" t="n">
        <f aca="false">ROUND(F22*H22,2)</f>
        <v>144612</v>
      </c>
      <c r="V22" s="17" t="n">
        <f aca="false">ROUND(L22*Assumptions!$C$25,2)</f>
        <v>4996.13</v>
      </c>
      <c r="W22" s="17" t="n">
        <f aca="false">ROUND(T22-U22-V22,2)</f>
        <v>71970.22</v>
      </c>
      <c r="X22" s="28" t="n">
        <f aca="false">T22/I22</f>
        <v>0.807524818507828</v>
      </c>
      <c r="Y22" s="17" t="n">
        <f aca="false">T22/F22</f>
        <v>119.513673139159</v>
      </c>
      <c r="Z22" s="26" t="n">
        <f aca="false">Accounts!H29</f>
        <v>16145</v>
      </c>
      <c r="AA22" s="28" t="n">
        <f aca="false">IF(Z22&gt;=Assumptions!$B$44,Assumptions!$C$44,IF(Z22&gt;=Assumptions!$B$45,Assumptions!$C$45,IF(Z22&gt;=Assumptions!$B$46,Assumptions!$C$46,Assumptions!$C$47)))</f>
        <v>0.035</v>
      </c>
      <c r="AB22" s="26" t="n">
        <f aca="false">IF(Z22&gt;=Assumptions!$B$44,Assumptions!$B$44,IF(Z22&gt;=Assumptions!$B$45,Assumptions!$B$45,IF(Z22&gt;=Assumptions!$B$46,Assumptions!$B$46,0)))</f>
        <v>10000</v>
      </c>
    </row>
    <row r="23" customFormat="false" ht="15" hidden="false" customHeight="false" outlineLevel="0" collapsed="false">
      <c r="B23" s="14" t="s">
        <v>185</v>
      </c>
      <c r="C23" s="14" t="s">
        <v>162</v>
      </c>
      <c r="D23" s="14" t="s">
        <v>184</v>
      </c>
      <c r="E23" s="14" t="s">
        <v>60</v>
      </c>
      <c r="F23" s="26" t="n">
        <f aca="false">Accounts!E38</f>
        <v>975</v>
      </c>
      <c r="G23" s="17" t="n">
        <f aca="false">Assumptions!$D$8</f>
        <v>148</v>
      </c>
      <c r="H23" s="17" t="n">
        <f aca="false">Assumptions!$E$8</f>
        <v>78</v>
      </c>
      <c r="I23" s="17" t="n">
        <f aca="false">ROUND(F23*G23,2)</f>
        <v>144300</v>
      </c>
      <c r="J23" s="17" t="n">
        <f aca="false">ROUND(I23*Accounts!O38,2)</f>
        <v>5772</v>
      </c>
      <c r="K23" s="17" t="n">
        <f aca="false">ROUND(I23*Accounts!L38,2)</f>
        <v>9841.26</v>
      </c>
      <c r="L23" s="17" t="n">
        <f aca="false">ROUND(I23-J23-K23,2)</f>
        <v>128686.74</v>
      </c>
      <c r="M23" s="17" t="n">
        <f aca="false">ROUND(L23*AA23,2)</f>
        <v>2573.73</v>
      </c>
      <c r="N23" s="17" t="n">
        <f aca="false">ROUND(L23*Accounts!R38,2)</f>
        <v>2573.73</v>
      </c>
      <c r="O23" s="17" t="n">
        <f aca="false">ROUND(L23*Accounts!S38,2)</f>
        <v>1930.3</v>
      </c>
      <c r="P23" s="17" t="n">
        <f aca="false">ROUND(L23*Accounts!T38,2)</f>
        <v>3217.17</v>
      </c>
      <c r="Q23" s="17" t="n">
        <f aca="false">ROUND(L23*Accounts!U38,2)</f>
        <v>1930.3</v>
      </c>
      <c r="R23" s="17" t="n">
        <f aca="false">ROUND(L23*Accounts!V38,2)</f>
        <v>1029.49</v>
      </c>
      <c r="S23" s="17" t="n">
        <f aca="false">ROUND(L23*Accounts!W38,2)</f>
        <v>1286.87</v>
      </c>
      <c r="T23" s="17" t="n">
        <f aca="false">ROUND(L23-SUM(M23:S23),2)</f>
        <v>114145.15</v>
      </c>
      <c r="U23" s="17" t="n">
        <f aca="false">ROUND(F23*H23,2)</f>
        <v>76050</v>
      </c>
      <c r="V23" s="17" t="n">
        <f aca="false">ROUND(L23*Assumptions!$C$25,2)</f>
        <v>2573.73</v>
      </c>
      <c r="W23" s="17" t="n">
        <f aca="false">ROUND(T23-U23-V23,2)</f>
        <v>35521.42</v>
      </c>
      <c r="X23" s="28" t="n">
        <f aca="false">T23/I23</f>
        <v>0.791026680526681</v>
      </c>
      <c r="Y23" s="17" t="n">
        <f aca="false">T23/F23</f>
        <v>117.071948717949</v>
      </c>
      <c r="Z23" s="26" t="n">
        <f aca="false">Accounts!H38</f>
        <v>7835</v>
      </c>
      <c r="AA23" s="28" t="n">
        <f aca="false">IF(Z23&gt;=Assumptions!$B$44,Assumptions!$C$44,IF(Z23&gt;=Assumptions!$B$45,Assumptions!$C$45,IF(Z23&gt;=Assumptions!$B$46,Assumptions!$C$46,Assumptions!$C$47)))</f>
        <v>0.02</v>
      </c>
      <c r="AB23" s="26" t="n">
        <f aca="false">IF(Z23&gt;=Assumptions!$B$44,Assumptions!$B$44,IF(Z23&gt;=Assumptions!$B$45,Assumptions!$B$45,IF(Z23&gt;=Assumptions!$B$46,Assumptions!$B$46,0)))</f>
        <v>3000</v>
      </c>
    </row>
    <row r="24" customFormat="false" ht="15" hidden="false" customHeight="false" outlineLevel="0" collapsed="false">
      <c r="B24" s="14" t="s">
        <v>165</v>
      </c>
      <c r="C24" s="14" t="s">
        <v>162</v>
      </c>
      <c r="D24" s="14" t="s">
        <v>163</v>
      </c>
      <c r="E24" s="14" t="s">
        <v>60</v>
      </c>
      <c r="F24" s="26" t="n">
        <f aca="false">Accounts!E20</f>
        <v>731</v>
      </c>
      <c r="G24" s="17" t="n">
        <f aca="false">Assumptions!$D$8</f>
        <v>148</v>
      </c>
      <c r="H24" s="17" t="n">
        <f aca="false">Assumptions!$E$8</f>
        <v>78</v>
      </c>
      <c r="I24" s="17" t="n">
        <f aca="false">ROUND(F24*G24,2)</f>
        <v>108188</v>
      </c>
      <c r="J24" s="17" t="n">
        <f aca="false">ROUND(I24*Accounts!O20,2)</f>
        <v>4327.52</v>
      </c>
      <c r="K24" s="17" t="n">
        <f aca="false">ROUND(I24*Accounts!L20,2)</f>
        <v>5701.51</v>
      </c>
      <c r="L24" s="17" t="n">
        <f aca="false">ROUND(I24-J24-K24,2)</f>
        <v>98158.97</v>
      </c>
      <c r="M24" s="17" t="n">
        <f aca="false">ROUND(L24*AA24,2)</f>
        <v>3435.56</v>
      </c>
      <c r="N24" s="17" t="n">
        <f aca="false">ROUND(L24*Accounts!R20,2)</f>
        <v>1963.18</v>
      </c>
      <c r="O24" s="17" t="n">
        <f aca="false">ROUND(L24*Accounts!S20,2)</f>
        <v>1472.38</v>
      </c>
      <c r="P24" s="17" t="n">
        <f aca="false">ROUND(L24*Accounts!T20,2)</f>
        <v>2453.97</v>
      </c>
      <c r="Q24" s="17" t="n">
        <f aca="false">ROUND(L24*Accounts!U20,2)</f>
        <v>1472.38</v>
      </c>
      <c r="R24" s="17" t="n">
        <f aca="false">ROUND(L24*Accounts!V20,2)</f>
        <v>785.27</v>
      </c>
      <c r="S24" s="17" t="n">
        <f aca="false">ROUND(L24*Accounts!W20,2)</f>
        <v>981.59</v>
      </c>
      <c r="T24" s="17" t="n">
        <f aca="false">ROUND(L24-SUM(M24:S24),2)</f>
        <v>85594.64</v>
      </c>
      <c r="U24" s="17" t="n">
        <f aca="false">ROUND(F24*H24,2)</f>
        <v>57018</v>
      </c>
      <c r="V24" s="17" t="n">
        <f aca="false">ROUND(L24*Assumptions!$C$25,2)</f>
        <v>1963.18</v>
      </c>
      <c r="W24" s="17" t="n">
        <f aca="false">ROUND(T24-U24-V24,2)</f>
        <v>26613.46</v>
      </c>
      <c r="X24" s="28" t="n">
        <f aca="false">T24/I24</f>
        <v>0.79116574851185</v>
      </c>
      <c r="Y24" s="17" t="n">
        <f aca="false">T24/F24</f>
        <v>117.092530779754</v>
      </c>
      <c r="Z24" s="26" t="n">
        <f aca="false">Accounts!H20</f>
        <v>12871</v>
      </c>
      <c r="AA24" s="28" t="n">
        <f aca="false">IF(Z24&gt;=Assumptions!$B$44,Assumptions!$C$44,IF(Z24&gt;=Assumptions!$B$45,Assumptions!$C$45,IF(Z24&gt;=Assumptions!$B$46,Assumptions!$C$46,Assumptions!$C$47)))</f>
        <v>0.035</v>
      </c>
      <c r="AB24" s="26" t="n">
        <f aca="false">IF(Z24&gt;=Assumptions!$B$44,Assumptions!$B$44,IF(Z24&gt;=Assumptions!$B$45,Assumptions!$B$45,IF(Z24&gt;=Assumptions!$B$46,Assumptions!$B$46,0)))</f>
        <v>10000</v>
      </c>
    </row>
    <row r="25" customFormat="false" ht="15" hidden="false" customHeight="false" outlineLevel="0" collapsed="false">
      <c r="B25" s="14" t="s">
        <v>176</v>
      </c>
      <c r="C25" s="14" t="s">
        <v>162</v>
      </c>
      <c r="D25" s="14" t="s">
        <v>174</v>
      </c>
      <c r="E25" s="14" t="s">
        <v>60</v>
      </c>
      <c r="F25" s="26" t="n">
        <f aca="false">Accounts!E30</f>
        <v>34</v>
      </c>
      <c r="G25" s="17" t="n">
        <f aca="false">Assumptions!$D$8</f>
        <v>148</v>
      </c>
      <c r="H25" s="17" t="n">
        <f aca="false">Assumptions!$E$8</f>
        <v>78</v>
      </c>
      <c r="I25" s="17" t="n">
        <f aca="false">ROUND(F25*G25,2)</f>
        <v>5032</v>
      </c>
      <c r="J25" s="17" t="n">
        <f aca="false">ROUND(I25*Accounts!O30,2)</f>
        <v>201.28</v>
      </c>
      <c r="K25" s="17" t="n">
        <f aca="false">ROUND(I25*Accounts!L30,2)</f>
        <v>311.98</v>
      </c>
      <c r="L25" s="17" t="n">
        <f aca="false">ROUND(I25-J25-K25,2)</f>
        <v>4518.74</v>
      </c>
      <c r="M25" s="17" t="n">
        <f aca="false">ROUND(L25*AA25,2)</f>
        <v>0</v>
      </c>
      <c r="N25" s="17" t="n">
        <f aca="false">ROUND(L25*Accounts!R30,2)</f>
        <v>90.37</v>
      </c>
      <c r="O25" s="17" t="n">
        <f aca="false">ROUND(L25*Accounts!S30,2)</f>
        <v>67.78</v>
      </c>
      <c r="P25" s="17" t="n">
        <f aca="false">ROUND(L25*Accounts!T30,2)</f>
        <v>112.97</v>
      </c>
      <c r="Q25" s="17" t="n">
        <f aca="false">ROUND(L25*Accounts!U30,2)</f>
        <v>67.78</v>
      </c>
      <c r="R25" s="17" t="n">
        <f aca="false">ROUND(L25*Accounts!V30,2)</f>
        <v>36.15</v>
      </c>
      <c r="S25" s="17" t="n">
        <f aca="false">ROUND(L25*Accounts!W30,2)</f>
        <v>0</v>
      </c>
      <c r="T25" s="17" t="n">
        <f aca="false">ROUND(L25-SUM(M25:S25),2)</f>
        <v>4143.69</v>
      </c>
      <c r="U25" s="17" t="n">
        <f aca="false">ROUND(F25*H25,2)</f>
        <v>2652</v>
      </c>
      <c r="V25" s="17" t="n">
        <f aca="false">ROUND(L25*Assumptions!$C$25,2)</f>
        <v>90.37</v>
      </c>
      <c r="W25" s="17" t="n">
        <f aca="false">ROUND(T25-U25-V25,2)</f>
        <v>1401.32</v>
      </c>
      <c r="X25" s="28" t="n">
        <f aca="false">T25/I25</f>
        <v>0.823467806041335</v>
      </c>
      <c r="Y25" s="17" t="n">
        <f aca="false">T25/F25</f>
        <v>121.873235294118</v>
      </c>
      <c r="Z25" s="26" t="n">
        <f aca="false">Accounts!H30</f>
        <v>1574</v>
      </c>
      <c r="AA25" s="28" t="n">
        <f aca="false">IF(Z25&gt;=Assumptions!$B$44,Assumptions!$C$44,IF(Z25&gt;=Assumptions!$B$45,Assumptions!$C$45,IF(Z25&gt;=Assumptions!$B$46,Assumptions!$C$46,Assumptions!$C$47)))</f>
        <v>0</v>
      </c>
      <c r="AB25" s="26" t="n">
        <f aca="false">IF(Z25&gt;=Assumptions!$B$44,Assumptions!$B$44,IF(Z25&gt;=Assumptions!$B$45,Assumptions!$B$45,IF(Z25&gt;=Assumptions!$B$46,Assumptions!$B$46,0)))</f>
        <v>0</v>
      </c>
    </row>
    <row r="26" customFormat="false" ht="15" hidden="false" customHeight="false" outlineLevel="0" collapsed="false">
      <c r="B26" s="14" t="s">
        <v>186</v>
      </c>
      <c r="C26" s="14" t="s">
        <v>162</v>
      </c>
      <c r="D26" s="14" t="s">
        <v>184</v>
      </c>
      <c r="E26" s="14" t="s">
        <v>60</v>
      </c>
      <c r="F26" s="26" t="n">
        <f aca="false">Accounts!E39</f>
        <v>1215</v>
      </c>
      <c r="G26" s="17" t="n">
        <f aca="false">Assumptions!$D$8</f>
        <v>148</v>
      </c>
      <c r="H26" s="17" t="n">
        <f aca="false">Assumptions!$E$8</f>
        <v>78</v>
      </c>
      <c r="I26" s="17" t="n">
        <f aca="false">ROUND(F26*G26,2)</f>
        <v>179820</v>
      </c>
      <c r="J26" s="17" t="n">
        <f aca="false">ROUND(I26*Accounts!O39,2)</f>
        <v>7192.8</v>
      </c>
      <c r="K26" s="17" t="n">
        <f aca="false">ROUND(I26*Accounts!L39,2)</f>
        <v>11148.84</v>
      </c>
      <c r="L26" s="17" t="n">
        <f aca="false">ROUND(I26-J26-K26,2)</f>
        <v>161478.36</v>
      </c>
      <c r="M26" s="17" t="n">
        <f aca="false">ROUND(L26*AA26,2)</f>
        <v>3229.57</v>
      </c>
      <c r="N26" s="17" t="n">
        <f aca="false">ROUND(L26*Accounts!R39,2)</f>
        <v>3229.57</v>
      </c>
      <c r="O26" s="17" t="n">
        <f aca="false">ROUND(L26*Accounts!S39,2)</f>
        <v>2422.18</v>
      </c>
      <c r="P26" s="17" t="n">
        <f aca="false">ROUND(L26*Accounts!T39,2)</f>
        <v>4036.96</v>
      </c>
      <c r="Q26" s="17" t="n">
        <f aca="false">ROUND(L26*Accounts!U39,2)</f>
        <v>2422.18</v>
      </c>
      <c r="R26" s="17" t="n">
        <f aca="false">ROUND(L26*Accounts!V39,2)</f>
        <v>1291.83</v>
      </c>
      <c r="S26" s="17" t="n">
        <f aca="false">ROUND(L26*Accounts!W39,2)</f>
        <v>1614.78</v>
      </c>
      <c r="T26" s="17" t="n">
        <f aca="false">ROUND(L26-SUM(M26:S26),2)</f>
        <v>143231.29</v>
      </c>
      <c r="U26" s="17" t="n">
        <f aca="false">ROUND(F26*H26,2)</f>
        <v>94770</v>
      </c>
      <c r="V26" s="17" t="n">
        <f aca="false">ROUND(L26*Assumptions!$C$25,2)</f>
        <v>3229.57</v>
      </c>
      <c r="W26" s="17" t="n">
        <f aca="false">ROUND(T26-U26-V26,2)</f>
        <v>45231.72</v>
      </c>
      <c r="X26" s="28" t="n">
        <f aca="false">T26/I26</f>
        <v>0.796525914803693</v>
      </c>
      <c r="Y26" s="17" t="n">
        <f aca="false">T26/F26</f>
        <v>117.885835390947</v>
      </c>
      <c r="Z26" s="26" t="n">
        <f aca="false">Accounts!H39</f>
        <v>8304</v>
      </c>
      <c r="AA26" s="28" t="n">
        <f aca="false">IF(Z26&gt;=Assumptions!$B$44,Assumptions!$C$44,IF(Z26&gt;=Assumptions!$B$45,Assumptions!$C$45,IF(Z26&gt;=Assumptions!$B$46,Assumptions!$C$46,Assumptions!$C$47)))</f>
        <v>0.02</v>
      </c>
      <c r="AB26" s="26" t="n">
        <f aca="false">IF(Z26&gt;=Assumptions!$B$44,Assumptions!$B$44,IF(Z26&gt;=Assumptions!$B$45,Assumptions!$B$45,IF(Z26&gt;=Assumptions!$B$46,Assumptions!$B$46,0)))</f>
        <v>3000</v>
      </c>
    </row>
    <row r="27" customFormat="false" ht="15" hidden="false" customHeight="false" outlineLevel="0" collapsed="false">
      <c r="B27" s="14" t="s">
        <v>166</v>
      </c>
      <c r="C27" s="14" t="s">
        <v>162</v>
      </c>
      <c r="D27" s="14" t="s">
        <v>163</v>
      </c>
      <c r="E27" s="14" t="s">
        <v>60</v>
      </c>
      <c r="F27" s="26" t="n">
        <f aca="false">Accounts!E21</f>
        <v>164</v>
      </c>
      <c r="G27" s="17" t="n">
        <f aca="false">Assumptions!$D$8</f>
        <v>148</v>
      </c>
      <c r="H27" s="17" t="n">
        <f aca="false">Assumptions!$E$8</f>
        <v>78</v>
      </c>
      <c r="I27" s="17" t="n">
        <f aca="false">ROUND(F27*G27,2)</f>
        <v>24272</v>
      </c>
      <c r="J27" s="17" t="n">
        <f aca="false">ROUND(I27*Accounts!O21,2)</f>
        <v>970.88</v>
      </c>
      <c r="K27" s="17" t="n">
        <f aca="false">ROUND(I27*Accounts!L21,2)</f>
        <v>2483.03</v>
      </c>
      <c r="L27" s="17" t="n">
        <f aca="false">ROUND(I27-J27-K27,2)</f>
        <v>20818.09</v>
      </c>
      <c r="M27" s="17" t="n">
        <f aca="false">ROUND(L27*AA27,2)</f>
        <v>416.36</v>
      </c>
      <c r="N27" s="17" t="n">
        <f aca="false">ROUND(L27*Accounts!R21,2)</f>
        <v>416.36</v>
      </c>
      <c r="O27" s="17" t="n">
        <f aca="false">ROUND(L27*Accounts!S21,2)</f>
        <v>312.27</v>
      </c>
      <c r="P27" s="17" t="n">
        <f aca="false">ROUND(L27*Accounts!T21,2)</f>
        <v>520.45</v>
      </c>
      <c r="Q27" s="17" t="n">
        <f aca="false">ROUND(L27*Accounts!U21,2)</f>
        <v>312.27</v>
      </c>
      <c r="R27" s="17" t="n">
        <f aca="false">ROUND(L27*Accounts!V21,2)</f>
        <v>166.54</v>
      </c>
      <c r="S27" s="17" t="n">
        <f aca="false">ROUND(L27*Accounts!W21,2)</f>
        <v>208.18</v>
      </c>
      <c r="T27" s="17" t="n">
        <f aca="false">ROUND(L27-SUM(M27:S27),2)</f>
        <v>18465.66</v>
      </c>
      <c r="U27" s="17" t="n">
        <f aca="false">ROUND(F27*H27,2)</f>
        <v>12792</v>
      </c>
      <c r="V27" s="17" t="n">
        <f aca="false">ROUND(L27*Assumptions!$C$25,2)</f>
        <v>416.36</v>
      </c>
      <c r="W27" s="17" t="n">
        <f aca="false">ROUND(T27-U27-V27,2)</f>
        <v>5257.3</v>
      </c>
      <c r="X27" s="28" t="n">
        <f aca="false">T27/I27</f>
        <v>0.760780323005933</v>
      </c>
      <c r="Y27" s="17" t="n">
        <f aca="false">T27/F27</f>
        <v>112.595487804878</v>
      </c>
      <c r="Z27" s="26" t="n">
        <f aca="false">Accounts!H21</f>
        <v>4275</v>
      </c>
      <c r="AA27" s="28" t="n">
        <f aca="false">IF(Z27&gt;=Assumptions!$B$44,Assumptions!$C$44,IF(Z27&gt;=Assumptions!$B$45,Assumptions!$C$45,IF(Z27&gt;=Assumptions!$B$46,Assumptions!$C$46,Assumptions!$C$47)))</f>
        <v>0.02</v>
      </c>
      <c r="AB27" s="26" t="n">
        <f aca="false">IF(Z27&gt;=Assumptions!$B$44,Assumptions!$B$44,IF(Z27&gt;=Assumptions!$B$45,Assumptions!$B$45,IF(Z27&gt;=Assumptions!$B$46,Assumptions!$B$46,0)))</f>
        <v>3000</v>
      </c>
    </row>
    <row r="28" customFormat="false" ht="15" hidden="false" customHeight="false" outlineLevel="0" collapsed="false">
      <c r="B28" s="14" t="s">
        <v>177</v>
      </c>
      <c r="C28" s="14" t="s">
        <v>162</v>
      </c>
      <c r="D28" s="14" t="s">
        <v>174</v>
      </c>
      <c r="E28" s="14" t="s">
        <v>60</v>
      </c>
      <c r="F28" s="26" t="n">
        <f aca="false">Accounts!E31</f>
        <v>392</v>
      </c>
      <c r="G28" s="17" t="n">
        <f aca="false">Assumptions!$D$8</f>
        <v>148</v>
      </c>
      <c r="H28" s="17" t="n">
        <f aca="false">Assumptions!$E$8</f>
        <v>78</v>
      </c>
      <c r="I28" s="17" t="n">
        <f aca="false">ROUND(F28*G28,2)</f>
        <v>58016</v>
      </c>
      <c r="J28" s="17" t="n">
        <f aca="false">ROUND(I28*Accounts!O31,2)</f>
        <v>2320.64</v>
      </c>
      <c r="K28" s="17" t="n">
        <f aca="false">ROUND(I28*Accounts!L31,2)</f>
        <v>719.4</v>
      </c>
      <c r="L28" s="17" t="n">
        <f aca="false">ROUND(I28-J28-K28,2)</f>
        <v>54975.96</v>
      </c>
      <c r="M28" s="17" t="n">
        <f aca="false">ROUND(L28*AA28,2)</f>
        <v>1099.52</v>
      </c>
      <c r="N28" s="17" t="n">
        <f aca="false">ROUND(L28*Accounts!R31,2)</f>
        <v>0</v>
      </c>
      <c r="O28" s="17" t="n">
        <f aca="false">ROUND(L28*Accounts!S31,2)</f>
        <v>824.64</v>
      </c>
      <c r="P28" s="17" t="n">
        <f aca="false">ROUND(L28*Accounts!T31,2)</f>
        <v>1374.4</v>
      </c>
      <c r="Q28" s="17" t="n">
        <f aca="false">ROUND(L28*Accounts!U31,2)</f>
        <v>0</v>
      </c>
      <c r="R28" s="17" t="n">
        <f aca="false">ROUND(L28*Accounts!V31,2)</f>
        <v>439.81</v>
      </c>
      <c r="S28" s="17" t="n">
        <f aca="false">ROUND(L28*Accounts!W31,2)</f>
        <v>549.76</v>
      </c>
      <c r="T28" s="17" t="n">
        <f aca="false">ROUND(L28-SUM(M28:S28),2)</f>
        <v>50687.83</v>
      </c>
      <c r="U28" s="17" t="n">
        <f aca="false">ROUND(F28*H28,2)</f>
        <v>30576</v>
      </c>
      <c r="V28" s="17" t="n">
        <f aca="false">ROUND(L28*Assumptions!$C$25,2)</f>
        <v>1099.52</v>
      </c>
      <c r="W28" s="17" t="n">
        <f aca="false">ROUND(T28-U28-V28,2)</f>
        <v>19012.31</v>
      </c>
      <c r="X28" s="28" t="n">
        <f aca="false">T28/I28</f>
        <v>0.873687086321015</v>
      </c>
      <c r="Y28" s="17" t="n">
        <f aca="false">T28/F28</f>
        <v>129.30568877551</v>
      </c>
      <c r="Z28" s="26" t="n">
        <f aca="false">Accounts!H31</f>
        <v>3885</v>
      </c>
      <c r="AA28" s="28" t="n">
        <f aca="false">IF(Z28&gt;=Assumptions!$B$44,Assumptions!$C$44,IF(Z28&gt;=Assumptions!$B$45,Assumptions!$C$45,IF(Z28&gt;=Assumptions!$B$46,Assumptions!$C$46,Assumptions!$C$47)))</f>
        <v>0.02</v>
      </c>
      <c r="AB28" s="26" t="n">
        <f aca="false">IF(Z28&gt;=Assumptions!$B$44,Assumptions!$B$44,IF(Z28&gt;=Assumptions!$B$45,Assumptions!$B$45,IF(Z28&gt;=Assumptions!$B$46,Assumptions!$B$46,0)))</f>
        <v>3000</v>
      </c>
    </row>
    <row r="29" customFormat="false" ht="15" hidden="false" customHeight="false" outlineLevel="0" collapsed="false">
      <c r="B29" s="14" t="s">
        <v>187</v>
      </c>
      <c r="C29" s="14" t="s">
        <v>162</v>
      </c>
      <c r="D29" s="14" t="s">
        <v>184</v>
      </c>
      <c r="E29" s="14" t="s">
        <v>60</v>
      </c>
      <c r="F29" s="26" t="n">
        <f aca="false">Accounts!E40</f>
        <v>1181</v>
      </c>
      <c r="G29" s="17" t="n">
        <f aca="false">Assumptions!$D$8</f>
        <v>148</v>
      </c>
      <c r="H29" s="17" t="n">
        <f aca="false">Assumptions!$E$8</f>
        <v>78</v>
      </c>
      <c r="I29" s="17" t="n">
        <f aca="false">ROUND(F29*G29,2)</f>
        <v>174788</v>
      </c>
      <c r="J29" s="17" t="n">
        <f aca="false">ROUND(I29*Accounts!O40,2)</f>
        <v>10487.28</v>
      </c>
      <c r="K29" s="17" t="n">
        <f aca="false">ROUND(I29*Accounts!L40,2)</f>
        <v>11920.54</v>
      </c>
      <c r="L29" s="17" t="n">
        <f aca="false">ROUND(I29-J29-K29,2)</f>
        <v>152380.18</v>
      </c>
      <c r="M29" s="17" t="n">
        <f aca="false">ROUND(L29*AA29,2)</f>
        <v>5333.31</v>
      </c>
      <c r="N29" s="17" t="n">
        <f aca="false">ROUND(L29*Accounts!R40,2)</f>
        <v>3047.6</v>
      </c>
      <c r="O29" s="17" t="n">
        <f aca="false">ROUND(L29*Accounts!S40,2)</f>
        <v>2285.7</v>
      </c>
      <c r="P29" s="17" t="n">
        <f aca="false">ROUND(L29*Accounts!T40,2)</f>
        <v>3809.5</v>
      </c>
      <c r="Q29" s="17" t="n">
        <f aca="false">ROUND(L29*Accounts!U40,2)</f>
        <v>2285.7</v>
      </c>
      <c r="R29" s="17" t="n">
        <f aca="false">ROUND(L29*Accounts!V40,2)</f>
        <v>1219.04</v>
      </c>
      <c r="S29" s="17" t="n">
        <f aca="false">ROUND(L29*Accounts!W40,2)</f>
        <v>1523.8</v>
      </c>
      <c r="T29" s="17" t="n">
        <f aca="false">ROUND(L29-SUM(M29:S29),2)</f>
        <v>132875.53</v>
      </c>
      <c r="U29" s="17" t="n">
        <f aca="false">ROUND(F29*H29,2)</f>
        <v>92118</v>
      </c>
      <c r="V29" s="17" t="n">
        <f aca="false">ROUND(L29*Assumptions!$C$25,2)</f>
        <v>3047.6</v>
      </c>
      <c r="W29" s="17" t="n">
        <f aca="false">ROUND(T29-U29-V29,2)</f>
        <v>37709.93</v>
      </c>
      <c r="X29" s="28" t="n">
        <f aca="false">T29/I29</f>
        <v>0.760209682586905</v>
      </c>
      <c r="Y29" s="17" t="n">
        <f aca="false">T29/F29</f>
        <v>112.511033022862</v>
      </c>
      <c r="Z29" s="26" t="n">
        <f aca="false">Accounts!H40</f>
        <v>10172</v>
      </c>
      <c r="AA29" s="28" t="n">
        <f aca="false">IF(Z29&gt;=Assumptions!$B$44,Assumptions!$C$44,IF(Z29&gt;=Assumptions!$B$45,Assumptions!$C$45,IF(Z29&gt;=Assumptions!$B$46,Assumptions!$C$46,Assumptions!$C$47)))</f>
        <v>0.035</v>
      </c>
      <c r="AB29" s="26" t="n">
        <f aca="false">IF(Z29&gt;=Assumptions!$B$44,Assumptions!$B$44,IF(Z29&gt;=Assumptions!$B$45,Assumptions!$B$45,IF(Z29&gt;=Assumptions!$B$46,Assumptions!$B$46,0)))</f>
        <v>10000</v>
      </c>
    </row>
    <row r="30" customFormat="false" ht="15" hidden="false" customHeight="false" outlineLevel="0" collapsed="false">
      <c r="B30" s="14" t="s">
        <v>167</v>
      </c>
      <c r="C30" s="14" t="s">
        <v>162</v>
      </c>
      <c r="D30" s="14" t="s">
        <v>163</v>
      </c>
      <c r="E30" s="14" t="s">
        <v>60</v>
      </c>
      <c r="F30" s="26" t="n">
        <f aca="false">Accounts!E22</f>
        <v>291</v>
      </c>
      <c r="G30" s="17" t="n">
        <f aca="false">Assumptions!$D$8</f>
        <v>148</v>
      </c>
      <c r="H30" s="17" t="n">
        <f aca="false">Assumptions!$E$8</f>
        <v>78</v>
      </c>
      <c r="I30" s="17" t="n">
        <f aca="false">ROUND(F30*G30,2)</f>
        <v>43068</v>
      </c>
      <c r="J30" s="17" t="n">
        <f aca="false">ROUND(I30*Accounts!O22,2)</f>
        <v>2584.08</v>
      </c>
      <c r="K30" s="17" t="n">
        <f aca="false">ROUND(I30*Accounts!L22,2)</f>
        <v>2269.68</v>
      </c>
      <c r="L30" s="17" t="n">
        <f aca="false">ROUND(I30-J30-K30,2)</f>
        <v>38214.24</v>
      </c>
      <c r="M30" s="17" t="n">
        <f aca="false">ROUND(L30*AA30,2)</f>
        <v>1337.5</v>
      </c>
      <c r="N30" s="17" t="n">
        <f aca="false">ROUND(L30*Accounts!R22,2)</f>
        <v>764.28</v>
      </c>
      <c r="O30" s="17" t="n">
        <f aca="false">ROUND(L30*Accounts!S22,2)</f>
        <v>573.21</v>
      </c>
      <c r="P30" s="17" t="n">
        <f aca="false">ROUND(L30*Accounts!T22,2)</f>
        <v>955.36</v>
      </c>
      <c r="Q30" s="17" t="n">
        <f aca="false">ROUND(L30*Accounts!U22,2)</f>
        <v>0</v>
      </c>
      <c r="R30" s="17" t="n">
        <f aca="false">ROUND(L30*Accounts!V22,2)</f>
        <v>305.71</v>
      </c>
      <c r="S30" s="17" t="n">
        <f aca="false">ROUND(L30*Accounts!W22,2)</f>
        <v>382.14</v>
      </c>
      <c r="T30" s="17" t="n">
        <f aca="false">ROUND(L30-SUM(M30:S30),2)</f>
        <v>33896.04</v>
      </c>
      <c r="U30" s="17" t="n">
        <f aca="false">ROUND(F30*H30,2)</f>
        <v>22698</v>
      </c>
      <c r="V30" s="17" t="n">
        <f aca="false">ROUND(L30*Assumptions!$C$25,2)</f>
        <v>764.28</v>
      </c>
      <c r="W30" s="17" t="n">
        <f aca="false">ROUND(T30-U30-V30,2)</f>
        <v>10433.76</v>
      </c>
      <c r="X30" s="28" t="n">
        <f aca="false">T30/I30</f>
        <v>0.787035385901365</v>
      </c>
      <c r="Y30" s="17" t="n">
        <f aca="false">T30/F30</f>
        <v>116.481237113402</v>
      </c>
      <c r="Z30" s="26" t="n">
        <f aca="false">Accounts!H22</f>
        <v>14370</v>
      </c>
      <c r="AA30" s="28" t="n">
        <f aca="false">IF(Z30&gt;=Assumptions!$B$44,Assumptions!$C$44,IF(Z30&gt;=Assumptions!$B$45,Assumptions!$C$45,IF(Z30&gt;=Assumptions!$B$46,Assumptions!$C$46,Assumptions!$C$47)))</f>
        <v>0.035</v>
      </c>
      <c r="AB30" s="26" t="n">
        <f aca="false">IF(Z30&gt;=Assumptions!$B$44,Assumptions!$B$44,IF(Z30&gt;=Assumptions!$B$45,Assumptions!$B$45,IF(Z30&gt;=Assumptions!$B$46,Assumptions!$B$46,0)))</f>
        <v>10000</v>
      </c>
    </row>
    <row r="31" customFormat="false" ht="15" hidden="false" customHeight="false" outlineLevel="0" collapsed="false">
      <c r="B31" s="14" t="s">
        <v>178</v>
      </c>
      <c r="C31" s="14" t="s">
        <v>162</v>
      </c>
      <c r="D31" s="14" t="s">
        <v>174</v>
      </c>
      <c r="E31" s="14" t="s">
        <v>60</v>
      </c>
      <c r="F31" s="26" t="n">
        <f aca="false">Accounts!E32</f>
        <v>644</v>
      </c>
      <c r="G31" s="17" t="n">
        <f aca="false">Assumptions!$D$8</f>
        <v>148</v>
      </c>
      <c r="H31" s="17" t="n">
        <f aca="false">Assumptions!$E$8</f>
        <v>78</v>
      </c>
      <c r="I31" s="17" t="n">
        <f aca="false">ROUND(F31*G31,2)</f>
        <v>95312</v>
      </c>
      <c r="J31" s="17" t="n">
        <f aca="false">ROUND(I31*Accounts!O32,2)</f>
        <v>3812.48</v>
      </c>
      <c r="K31" s="17" t="n">
        <f aca="false">ROUND(I31*Accounts!L32,2)</f>
        <v>2659.2</v>
      </c>
      <c r="L31" s="17" t="n">
        <f aca="false">ROUND(I31-J31-K31,2)</f>
        <v>88840.32</v>
      </c>
      <c r="M31" s="17" t="n">
        <f aca="false">ROUND(L31*AA31,2)</f>
        <v>1776.81</v>
      </c>
      <c r="N31" s="17" t="n">
        <f aca="false">ROUND(L31*Accounts!R32,2)</f>
        <v>1776.81</v>
      </c>
      <c r="O31" s="17" t="n">
        <f aca="false">ROUND(L31*Accounts!S32,2)</f>
        <v>1332.6</v>
      </c>
      <c r="P31" s="17" t="n">
        <f aca="false">ROUND(L31*Accounts!T32,2)</f>
        <v>2221.01</v>
      </c>
      <c r="Q31" s="17" t="n">
        <f aca="false">ROUND(L31*Accounts!U32,2)</f>
        <v>0</v>
      </c>
      <c r="R31" s="17" t="n">
        <f aca="false">ROUND(L31*Accounts!V32,2)</f>
        <v>710.72</v>
      </c>
      <c r="S31" s="17" t="n">
        <f aca="false">ROUND(L31*Accounts!W32,2)</f>
        <v>888.4</v>
      </c>
      <c r="T31" s="17" t="n">
        <f aca="false">ROUND(L31-SUM(M31:S31),2)</f>
        <v>80133.97</v>
      </c>
      <c r="U31" s="17" t="n">
        <f aca="false">ROUND(F31*H31,2)</f>
        <v>50232</v>
      </c>
      <c r="V31" s="17" t="n">
        <f aca="false">ROUND(L31*Assumptions!$C$25,2)</f>
        <v>1776.81</v>
      </c>
      <c r="W31" s="17" t="n">
        <f aca="false">ROUND(T31-U31-V31,2)</f>
        <v>28125.16</v>
      </c>
      <c r="X31" s="28" t="n">
        <f aca="false">T31/I31</f>
        <v>0.840754259694477</v>
      </c>
      <c r="Y31" s="17" t="n">
        <f aca="false">T31/F31</f>
        <v>124.431630434783</v>
      </c>
      <c r="Z31" s="26" t="n">
        <f aca="false">Accounts!H32</f>
        <v>8469</v>
      </c>
      <c r="AA31" s="28" t="n">
        <f aca="false">IF(Z31&gt;=Assumptions!$B$44,Assumptions!$C$44,IF(Z31&gt;=Assumptions!$B$45,Assumptions!$C$45,IF(Z31&gt;=Assumptions!$B$46,Assumptions!$C$46,Assumptions!$C$47)))</f>
        <v>0.02</v>
      </c>
      <c r="AB31" s="26" t="n">
        <f aca="false">IF(Z31&gt;=Assumptions!$B$44,Assumptions!$B$44,IF(Z31&gt;=Assumptions!$B$45,Assumptions!$B$45,IF(Z31&gt;=Assumptions!$B$46,Assumptions!$B$46,0)))</f>
        <v>3000</v>
      </c>
    </row>
    <row r="32" customFormat="false" ht="15" hidden="false" customHeight="false" outlineLevel="0" collapsed="false">
      <c r="B32" s="14" t="s">
        <v>188</v>
      </c>
      <c r="C32" s="14" t="s">
        <v>162</v>
      </c>
      <c r="D32" s="14" t="s">
        <v>184</v>
      </c>
      <c r="E32" s="14" t="s">
        <v>60</v>
      </c>
      <c r="F32" s="26" t="n">
        <f aca="false">Accounts!E41</f>
        <v>185</v>
      </c>
      <c r="G32" s="17" t="n">
        <f aca="false">Assumptions!$D$8</f>
        <v>148</v>
      </c>
      <c r="H32" s="17" t="n">
        <f aca="false">Assumptions!$E$8</f>
        <v>78</v>
      </c>
      <c r="I32" s="17" t="n">
        <f aca="false">ROUND(F32*G32,2)</f>
        <v>27380</v>
      </c>
      <c r="J32" s="17" t="n">
        <f aca="false">ROUND(I32*Accounts!O41,2)</f>
        <v>1095.2</v>
      </c>
      <c r="K32" s="17" t="n">
        <f aca="false">ROUND(I32*Accounts!L41,2)</f>
        <v>1442.93</v>
      </c>
      <c r="L32" s="17" t="n">
        <f aca="false">ROUND(I32-J32-K32,2)</f>
        <v>24841.87</v>
      </c>
      <c r="M32" s="17" t="n">
        <f aca="false">ROUND(L32*AA32,2)</f>
        <v>496.84</v>
      </c>
      <c r="N32" s="17" t="n">
        <f aca="false">ROUND(L32*Accounts!R41,2)</f>
        <v>496.84</v>
      </c>
      <c r="O32" s="17" t="n">
        <f aca="false">ROUND(L32*Accounts!S41,2)</f>
        <v>372.63</v>
      </c>
      <c r="P32" s="17" t="n">
        <f aca="false">ROUND(L32*Accounts!T41,2)</f>
        <v>621.05</v>
      </c>
      <c r="Q32" s="17" t="n">
        <f aca="false">ROUND(L32*Accounts!U41,2)</f>
        <v>372.63</v>
      </c>
      <c r="R32" s="17" t="n">
        <f aca="false">ROUND(L32*Accounts!V41,2)</f>
        <v>198.73</v>
      </c>
      <c r="S32" s="17" t="n">
        <f aca="false">ROUND(L32*Accounts!W41,2)</f>
        <v>248.42</v>
      </c>
      <c r="T32" s="17" t="n">
        <f aca="false">ROUND(L32-SUM(M32:S32),2)</f>
        <v>22034.73</v>
      </c>
      <c r="U32" s="17" t="n">
        <f aca="false">ROUND(F32*H32,2)</f>
        <v>14430</v>
      </c>
      <c r="V32" s="17" t="n">
        <f aca="false">ROUND(L32*Assumptions!$C$25,2)</f>
        <v>496.84</v>
      </c>
      <c r="W32" s="17" t="n">
        <f aca="false">ROUND(T32-U32-V32,2)</f>
        <v>7107.89</v>
      </c>
      <c r="X32" s="28" t="n">
        <f aca="false">T32/I32</f>
        <v>0.80477465303141</v>
      </c>
      <c r="Y32" s="17" t="n">
        <f aca="false">T32/F32</f>
        <v>119.106648648649</v>
      </c>
      <c r="Z32" s="26" t="n">
        <f aca="false">Accounts!H41</f>
        <v>8078</v>
      </c>
      <c r="AA32" s="28" t="n">
        <f aca="false">IF(Z32&gt;=Assumptions!$B$44,Assumptions!$C$44,IF(Z32&gt;=Assumptions!$B$45,Assumptions!$C$45,IF(Z32&gt;=Assumptions!$B$46,Assumptions!$C$46,Assumptions!$C$47)))</f>
        <v>0.02</v>
      </c>
      <c r="AB32" s="26" t="n">
        <f aca="false">IF(Z32&gt;=Assumptions!$B$44,Assumptions!$B$44,IF(Z32&gt;=Assumptions!$B$45,Assumptions!$B$45,IF(Z32&gt;=Assumptions!$B$46,Assumptions!$B$46,0)))</f>
        <v>3000</v>
      </c>
    </row>
    <row r="33" customFormat="false" ht="15" hidden="false" customHeight="false" outlineLevel="0" collapsed="false">
      <c r="B33" s="14" t="s">
        <v>168</v>
      </c>
      <c r="C33" s="14" t="s">
        <v>162</v>
      </c>
      <c r="D33" s="14" t="s">
        <v>163</v>
      </c>
      <c r="E33" s="14" t="s">
        <v>60</v>
      </c>
      <c r="F33" s="26" t="n">
        <f aca="false">Accounts!E23</f>
        <v>80</v>
      </c>
      <c r="G33" s="17" t="n">
        <f aca="false">Assumptions!$D$8</f>
        <v>148</v>
      </c>
      <c r="H33" s="17" t="n">
        <f aca="false">Assumptions!$E$8</f>
        <v>78</v>
      </c>
      <c r="I33" s="17" t="n">
        <f aca="false">ROUND(F33*G33,2)</f>
        <v>11840</v>
      </c>
      <c r="J33" s="17" t="n">
        <f aca="false">ROUND(I33*Accounts!O23,2)</f>
        <v>473.6</v>
      </c>
      <c r="K33" s="17" t="n">
        <f aca="false">ROUND(I33*Accounts!L23,2)</f>
        <v>734.08</v>
      </c>
      <c r="L33" s="17" t="n">
        <f aca="false">ROUND(I33-J33-K33,2)</f>
        <v>10632.32</v>
      </c>
      <c r="M33" s="17" t="n">
        <f aca="false">ROUND(L33*AA33,2)</f>
        <v>0</v>
      </c>
      <c r="N33" s="17" t="n">
        <f aca="false">ROUND(L33*Accounts!R23,2)</f>
        <v>212.65</v>
      </c>
      <c r="O33" s="17" t="n">
        <f aca="false">ROUND(L33*Accounts!S23,2)</f>
        <v>159.48</v>
      </c>
      <c r="P33" s="17" t="n">
        <f aca="false">ROUND(L33*Accounts!T23,2)</f>
        <v>265.81</v>
      </c>
      <c r="Q33" s="17" t="n">
        <f aca="false">ROUND(L33*Accounts!U23,2)</f>
        <v>0</v>
      </c>
      <c r="R33" s="17" t="n">
        <f aca="false">ROUND(L33*Accounts!V23,2)</f>
        <v>85.06</v>
      </c>
      <c r="S33" s="17" t="n">
        <f aca="false">ROUND(L33*Accounts!W23,2)</f>
        <v>0</v>
      </c>
      <c r="T33" s="17" t="n">
        <f aca="false">ROUND(L33-SUM(M33:S33),2)</f>
        <v>9909.32</v>
      </c>
      <c r="U33" s="17" t="n">
        <f aca="false">ROUND(F33*H33,2)</f>
        <v>6240</v>
      </c>
      <c r="V33" s="17" t="n">
        <f aca="false">ROUND(L33*Assumptions!$C$25,2)</f>
        <v>212.65</v>
      </c>
      <c r="W33" s="17" t="n">
        <f aca="false">ROUND(T33-U33-V33,2)</f>
        <v>3456.67</v>
      </c>
      <c r="X33" s="28" t="n">
        <f aca="false">T33/I33</f>
        <v>0.836935810810811</v>
      </c>
      <c r="Y33" s="17" t="n">
        <f aca="false">T33/F33</f>
        <v>123.8665</v>
      </c>
      <c r="Z33" s="26" t="n">
        <f aca="false">Accounts!H23</f>
        <v>2825</v>
      </c>
      <c r="AA33" s="28" t="n">
        <f aca="false">IF(Z33&gt;=Assumptions!$B$44,Assumptions!$C$44,IF(Z33&gt;=Assumptions!$B$45,Assumptions!$C$45,IF(Z33&gt;=Assumptions!$B$46,Assumptions!$C$46,Assumptions!$C$47)))</f>
        <v>0</v>
      </c>
      <c r="AB33" s="26" t="n">
        <f aca="false">IF(Z33&gt;=Assumptions!$B$44,Assumptions!$B$44,IF(Z33&gt;=Assumptions!$B$45,Assumptions!$B$45,IF(Z33&gt;=Assumptions!$B$46,Assumptions!$B$46,0)))</f>
        <v>0</v>
      </c>
    </row>
    <row r="34" customFormat="false" ht="15" hidden="false" customHeight="false" outlineLevel="0" collapsed="false">
      <c r="B34" s="14" t="s">
        <v>179</v>
      </c>
      <c r="C34" s="14" t="s">
        <v>162</v>
      </c>
      <c r="D34" s="14" t="s">
        <v>174</v>
      </c>
      <c r="E34" s="14" t="s">
        <v>60</v>
      </c>
      <c r="F34" s="26" t="n">
        <f aca="false">Accounts!E33</f>
        <v>764</v>
      </c>
      <c r="G34" s="17" t="n">
        <f aca="false">Assumptions!$D$8</f>
        <v>148</v>
      </c>
      <c r="H34" s="17" t="n">
        <f aca="false">Assumptions!$E$8</f>
        <v>78</v>
      </c>
      <c r="I34" s="17" t="n">
        <f aca="false">ROUND(F34*G34,2)</f>
        <v>113072</v>
      </c>
      <c r="J34" s="17" t="n">
        <f aca="false">ROUND(I34*Accounts!O33,2)</f>
        <v>4522.88</v>
      </c>
      <c r="K34" s="17" t="n">
        <f aca="false">ROUND(I34*Accounts!L33,2)</f>
        <v>1051.57</v>
      </c>
      <c r="L34" s="17" t="n">
        <f aca="false">ROUND(I34-J34-K34,2)</f>
        <v>107497.55</v>
      </c>
      <c r="M34" s="17" t="n">
        <f aca="false">ROUND(L34*AA34,2)</f>
        <v>2149.95</v>
      </c>
      <c r="N34" s="17" t="n">
        <f aca="false">ROUND(L34*Accounts!R33,2)</f>
        <v>2149.95</v>
      </c>
      <c r="O34" s="17" t="n">
        <f aca="false">ROUND(L34*Accounts!S33,2)</f>
        <v>1612.46</v>
      </c>
      <c r="P34" s="17" t="n">
        <f aca="false">ROUND(L34*Accounts!T33,2)</f>
        <v>2687.44</v>
      </c>
      <c r="Q34" s="17" t="n">
        <f aca="false">ROUND(L34*Accounts!U33,2)</f>
        <v>0</v>
      </c>
      <c r="R34" s="17" t="n">
        <f aca="false">ROUND(L34*Accounts!V33,2)</f>
        <v>859.98</v>
      </c>
      <c r="S34" s="17" t="n">
        <f aca="false">ROUND(L34*Accounts!W33,2)</f>
        <v>0</v>
      </c>
      <c r="T34" s="17" t="n">
        <f aca="false">ROUND(L34-SUM(M34:S34),2)</f>
        <v>98037.77</v>
      </c>
      <c r="U34" s="17" t="n">
        <f aca="false">ROUND(F34*H34,2)</f>
        <v>59592</v>
      </c>
      <c r="V34" s="17" t="n">
        <f aca="false">ROUND(L34*Assumptions!$C$25,2)</f>
        <v>2149.95</v>
      </c>
      <c r="W34" s="17" t="n">
        <f aca="false">ROUND(T34-U34-V34,2)</f>
        <v>36295.82</v>
      </c>
      <c r="X34" s="28" t="n">
        <f aca="false">T34/I34</f>
        <v>0.867038435686996</v>
      </c>
      <c r="Y34" s="17" t="n">
        <f aca="false">T34/F34</f>
        <v>128.321688481675</v>
      </c>
      <c r="Z34" s="26" t="n">
        <f aca="false">Accounts!H33</f>
        <v>7107</v>
      </c>
      <c r="AA34" s="28" t="n">
        <f aca="false">IF(Z34&gt;=Assumptions!$B$44,Assumptions!$C$44,IF(Z34&gt;=Assumptions!$B$45,Assumptions!$C$45,IF(Z34&gt;=Assumptions!$B$46,Assumptions!$C$46,Assumptions!$C$47)))</f>
        <v>0.02</v>
      </c>
      <c r="AB34" s="26" t="n">
        <f aca="false">IF(Z34&gt;=Assumptions!$B$44,Assumptions!$B$44,IF(Z34&gt;=Assumptions!$B$45,Assumptions!$B$45,IF(Z34&gt;=Assumptions!$B$46,Assumptions!$B$46,0)))</f>
        <v>3000</v>
      </c>
    </row>
    <row r="35" customFormat="false" ht="15" hidden="false" customHeight="false" outlineLevel="0" collapsed="false">
      <c r="B35" s="14" t="s">
        <v>189</v>
      </c>
      <c r="C35" s="14" t="s">
        <v>162</v>
      </c>
      <c r="D35" s="14" t="s">
        <v>184</v>
      </c>
      <c r="E35" s="14" t="s">
        <v>60</v>
      </c>
      <c r="F35" s="26" t="n">
        <f aca="false">Accounts!E42</f>
        <v>827</v>
      </c>
      <c r="G35" s="17" t="n">
        <f aca="false">Assumptions!$D$8</f>
        <v>148</v>
      </c>
      <c r="H35" s="17" t="n">
        <f aca="false">Assumptions!$E$8</f>
        <v>78</v>
      </c>
      <c r="I35" s="17" t="n">
        <f aca="false">ROUND(F35*G35,2)</f>
        <v>122396</v>
      </c>
      <c r="J35" s="17" t="n">
        <f aca="false">ROUND(I35*Accounts!O42,2)</f>
        <v>4895.84</v>
      </c>
      <c r="K35" s="17" t="n">
        <f aca="false">ROUND(I35*Accounts!L42,2)</f>
        <v>11382.83</v>
      </c>
      <c r="L35" s="17" t="n">
        <f aca="false">ROUND(I35-J35-K35,2)</f>
        <v>106117.33</v>
      </c>
      <c r="M35" s="17" t="n">
        <f aca="false">ROUND(L35*AA35,2)</f>
        <v>2122.35</v>
      </c>
      <c r="N35" s="17" t="n">
        <f aca="false">ROUND(L35*Accounts!R42,2)</f>
        <v>2122.35</v>
      </c>
      <c r="O35" s="17" t="n">
        <f aca="false">ROUND(L35*Accounts!S42,2)</f>
        <v>1591.76</v>
      </c>
      <c r="P35" s="17" t="n">
        <f aca="false">ROUND(L35*Accounts!T42,2)</f>
        <v>2652.93</v>
      </c>
      <c r="Q35" s="17" t="n">
        <f aca="false">ROUND(L35*Accounts!U42,2)</f>
        <v>1591.76</v>
      </c>
      <c r="R35" s="17" t="n">
        <f aca="false">ROUND(L35*Accounts!V42,2)</f>
        <v>848.94</v>
      </c>
      <c r="S35" s="17" t="n">
        <f aca="false">ROUND(L35*Accounts!W42,2)</f>
        <v>0</v>
      </c>
      <c r="T35" s="17" t="n">
        <f aca="false">ROUND(L35-SUM(M35:S35),2)</f>
        <v>95187.24</v>
      </c>
      <c r="U35" s="17" t="n">
        <f aca="false">ROUND(F35*H35,2)</f>
        <v>64506</v>
      </c>
      <c r="V35" s="17" t="n">
        <f aca="false">ROUND(L35*Assumptions!$C$25,2)</f>
        <v>2122.35</v>
      </c>
      <c r="W35" s="17" t="n">
        <f aca="false">ROUND(T35-U35-V35,2)</f>
        <v>28558.89</v>
      </c>
      <c r="X35" s="28" t="n">
        <f aca="false">T35/I35</f>
        <v>0.777698944409948</v>
      </c>
      <c r="Y35" s="17" t="n">
        <f aca="false">T35/F35</f>
        <v>115.099443772672</v>
      </c>
      <c r="Z35" s="26" t="n">
        <f aca="false">Accounts!H42</f>
        <v>5743</v>
      </c>
      <c r="AA35" s="28" t="n">
        <f aca="false">IF(Z35&gt;=Assumptions!$B$44,Assumptions!$C$44,IF(Z35&gt;=Assumptions!$B$45,Assumptions!$C$45,IF(Z35&gt;=Assumptions!$B$46,Assumptions!$C$46,Assumptions!$C$47)))</f>
        <v>0.02</v>
      </c>
      <c r="AB35" s="26" t="n">
        <f aca="false">IF(Z35&gt;=Assumptions!$B$44,Assumptions!$B$44,IF(Z35&gt;=Assumptions!$B$45,Assumptions!$B$45,IF(Z35&gt;=Assumptions!$B$46,Assumptions!$B$46,0)))</f>
        <v>3000</v>
      </c>
    </row>
    <row r="36" customFormat="false" ht="15" hidden="false" customHeight="false" outlineLevel="0" collapsed="false">
      <c r="B36" s="14" t="s">
        <v>169</v>
      </c>
      <c r="C36" s="14" t="s">
        <v>162</v>
      </c>
      <c r="D36" s="14" t="s">
        <v>163</v>
      </c>
      <c r="E36" s="14" t="s">
        <v>60</v>
      </c>
      <c r="F36" s="26" t="n">
        <f aca="false">Accounts!E24</f>
        <v>857</v>
      </c>
      <c r="G36" s="17" t="n">
        <f aca="false">Assumptions!$D$8</f>
        <v>148</v>
      </c>
      <c r="H36" s="17" t="n">
        <f aca="false">Assumptions!$E$8</f>
        <v>78</v>
      </c>
      <c r="I36" s="17" t="n">
        <f aca="false">ROUND(F36*G36,2)</f>
        <v>126836</v>
      </c>
      <c r="J36" s="17" t="n">
        <f aca="false">ROUND(I36*Accounts!O24,2)</f>
        <v>5073.44</v>
      </c>
      <c r="K36" s="17" t="n">
        <f aca="false">ROUND(I36*Accounts!L24,2)</f>
        <v>11402.56</v>
      </c>
      <c r="L36" s="17" t="n">
        <f aca="false">ROUND(I36-J36-K36,2)</f>
        <v>110360</v>
      </c>
      <c r="M36" s="17" t="n">
        <f aca="false">ROUND(L36*AA36,2)</f>
        <v>3862.6</v>
      </c>
      <c r="N36" s="17" t="n">
        <f aca="false">ROUND(L36*Accounts!R24,2)</f>
        <v>2207.2</v>
      </c>
      <c r="O36" s="17" t="n">
        <f aca="false">ROUND(L36*Accounts!S24,2)</f>
        <v>1655.4</v>
      </c>
      <c r="P36" s="17" t="n">
        <f aca="false">ROUND(L36*Accounts!T24,2)</f>
        <v>2759</v>
      </c>
      <c r="Q36" s="17" t="n">
        <f aca="false">ROUND(L36*Accounts!U24,2)</f>
        <v>1655.4</v>
      </c>
      <c r="R36" s="17" t="n">
        <f aca="false">ROUND(L36*Accounts!V24,2)</f>
        <v>882.88</v>
      </c>
      <c r="S36" s="17" t="n">
        <f aca="false">ROUND(L36*Accounts!W24,2)</f>
        <v>1103.6</v>
      </c>
      <c r="T36" s="17" t="n">
        <f aca="false">ROUND(L36-SUM(M36:S36),2)</f>
        <v>96233.92</v>
      </c>
      <c r="U36" s="17" t="n">
        <f aca="false">ROUND(F36*H36,2)</f>
        <v>66846</v>
      </c>
      <c r="V36" s="17" t="n">
        <f aca="false">ROUND(L36*Assumptions!$C$25,2)</f>
        <v>2207.2</v>
      </c>
      <c r="W36" s="17" t="n">
        <f aca="false">ROUND(T36-U36-V36,2)</f>
        <v>27180.72</v>
      </c>
      <c r="X36" s="28" t="n">
        <f aca="false">T36/I36</f>
        <v>0.758727175249929</v>
      </c>
      <c r="Y36" s="17" t="n">
        <f aca="false">T36/F36</f>
        <v>112.29162193699</v>
      </c>
      <c r="Z36" s="26" t="n">
        <f aca="false">Accounts!H24</f>
        <v>11908</v>
      </c>
      <c r="AA36" s="28" t="n">
        <f aca="false">IF(Z36&gt;=Assumptions!$B$44,Assumptions!$C$44,IF(Z36&gt;=Assumptions!$B$45,Assumptions!$C$45,IF(Z36&gt;=Assumptions!$B$46,Assumptions!$C$46,Assumptions!$C$47)))</f>
        <v>0.035</v>
      </c>
      <c r="AB36" s="26" t="n">
        <f aca="false">IF(Z36&gt;=Assumptions!$B$44,Assumptions!$B$44,IF(Z36&gt;=Assumptions!$B$45,Assumptions!$B$45,IF(Z36&gt;=Assumptions!$B$46,Assumptions!$B$46,0)))</f>
        <v>10000</v>
      </c>
    </row>
    <row r="37" customFormat="false" ht="15" hidden="false" customHeight="false" outlineLevel="0" collapsed="false">
      <c r="B37" s="14" t="s">
        <v>180</v>
      </c>
      <c r="C37" s="14" t="s">
        <v>162</v>
      </c>
      <c r="D37" s="14" t="s">
        <v>174</v>
      </c>
      <c r="E37" s="14" t="s">
        <v>60</v>
      </c>
      <c r="F37" s="26" t="n">
        <f aca="false">Accounts!E34</f>
        <v>466</v>
      </c>
      <c r="G37" s="17" t="n">
        <f aca="false">Assumptions!$D$8</f>
        <v>148</v>
      </c>
      <c r="H37" s="17" t="n">
        <f aca="false">Assumptions!$E$8</f>
        <v>78</v>
      </c>
      <c r="I37" s="17" t="n">
        <f aca="false">ROUND(F37*G37,2)</f>
        <v>68968</v>
      </c>
      <c r="J37" s="17" t="n">
        <f aca="false">ROUND(I37*Accounts!O34,2)</f>
        <v>2758.72</v>
      </c>
      <c r="K37" s="17" t="n">
        <f aca="false">ROUND(I37*Accounts!L34,2)</f>
        <v>5345.02</v>
      </c>
      <c r="L37" s="17" t="n">
        <f aca="false">ROUND(I37-J37-K37,2)</f>
        <v>60864.26</v>
      </c>
      <c r="M37" s="17" t="n">
        <f aca="false">ROUND(L37*AA37,2)</f>
        <v>1217.29</v>
      </c>
      <c r="N37" s="17" t="n">
        <f aca="false">ROUND(L37*Accounts!R34,2)</f>
        <v>1217.29</v>
      </c>
      <c r="O37" s="17" t="n">
        <f aca="false">ROUND(L37*Accounts!S34,2)</f>
        <v>912.96</v>
      </c>
      <c r="P37" s="17" t="n">
        <f aca="false">ROUND(L37*Accounts!T34,2)</f>
        <v>1521.61</v>
      </c>
      <c r="Q37" s="17" t="n">
        <f aca="false">ROUND(L37*Accounts!U34,2)</f>
        <v>912.96</v>
      </c>
      <c r="R37" s="17" t="n">
        <f aca="false">ROUND(L37*Accounts!V34,2)</f>
        <v>486.91</v>
      </c>
      <c r="S37" s="17" t="n">
        <f aca="false">ROUND(L37*Accounts!W34,2)</f>
        <v>608.64</v>
      </c>
      <c r="T37" s="17" t="n">
        <f aca="false">ROUND(L37-SUM(M37:S37),2)</f>
        <v>53986.6</v>
      </c>
      <c r="U37" s="17" t="n">
        <f aca="false">ROUND(F37*H37,2)</f>
        <v>36348</v>
      </c>
      <c r="V37" s="17" t="n">
        <f aca="false">ROUND(L37*Assumptions!$C$25,2)</f>
        <v>1217.29</v>
      </c>
      <c r="W37" s="17" t="n">
        <f aca="false">ROUND(T37-U37-V37,2)</f>
        <v>16421.31</v>
      </c>
      <c r="X37" s="28" t="n">
        <f aca="false">T37/I37</f>
        <v>0.78277752000928</v>
      </c>
      <c r="Y37" s="17" t="n">
        <f aca="false">T37/F37</f>
        <v>115.851072961373</v>
      </c>
      <c r="Z37" s="26" t="n">
        <f aca="false">Accounts!H34</f>
        <v>4318</v>
      </c>
      <c r="AA37" s="28" t="n">
        <f aca="false">IF(Z37&gt;=Assumptions!$B$44,Assumptions!$C$44,IF(Z37&gt;=Assumptions!$B$45,Assumptions!$C$45,IF(Z37&gt;=Assumptions!$B$46,Assumptions!$C$46,Assumptions!$C$47)))</f>
        <v>0.02</v>
      </c>
      <c r="AB37" s="26" t="n">
        <f aca="false">IF(Z37&gt;=Assumptions!$B$44,Assumptions!$B$44,IF(Z37&gt;=Assumptions!$B$45,Assumptions!$B$45,IF(Z37&gt;=Assumptions!$B$46,Assumptions!$B$46,0)))</f>
        <v>3000</v>
      </c>
    </row>
    <row r="38" customFormat="false" ht="15" hidden="false" customHeight="false" outlineLevel="0" collapsed="false">
      <c r="B38" s="14" t="s">
        <v>190</v>
      </c>
      <c r="C38" s="14" t="s">
        <v>162</v>
      </c>
      <c r="D38" s="14" t="s">
        <v>184</v>
      </c>
      <c r="E38" s="14" t="s">
        <v>60</v>
      </c>
      <c r="F38" s="26" t="n">
        <f aca="false">Accounts!E43</f>
        <v>168</v>
      </c>
      <c r="G38" s="17" t="n">
        <f aca="false">Assumptions!$D$8</f>
        <v>148</v>
      </c>
      <c r="H38" s="17" t="n">
        <f aca="false">Assumptions!$E$8</f>
        <v>78</v>
      </c>
      <c r="I38" s="17" t="n">
        <f aca="false">ROUND(F38*G38,2)</f>
        <v>24864</v>
      </c>
      <c r="J38" s="17" t="n">
        <f aca="false">ROUND(I38*Accounts!O43,2)</f>
        <v>994.56</v>
      </c>
      <c r="K38" s="17" t="n">
        <f aca="false">ROUND(I38*Accounts!L43,2)</f>
        <v>2235.27</v>
      </c>
      <c r="L38" s="17" t="n">
        <f aca="false">ROUND(I38-J38-K38,2)</f>
        <v>21634.17</v>
      </c>
      <c r="M38" s="17" t="n">
        <f aca="false">ROUND(L38*AA38,2)</f>
        <v>432.68</v>
      </c>
      <c r="N38" s="17" t="n">
        <f aca="false">ROUND(L38*Accounts!R43,2)</f>
        <v>432.68</v>
      </c>
      <c r="O38" s="17" t="n">
        <f aca="false">ROUND(L38*Accounts!S43,2)</f>
        <v>324.51</v>
      </c>
      <c r="P38" s="17" t="n">
        <f aca="false">ROUND(L38*Accounts!T43,2)</f>
        <v>540.85</v>
      </c>
      <c r="Q38" s="17" t="n">
        <f aca="false">ROUND(L38*Accounts!U43,2)</f>
        <v>324.51</v>
      </c>
      <c r="R38" s="17" t="n">
        <f aca="false">ROUND(L38*Accounts!V43,2)</f>
        <v>173.07</v>
      </c>
      <c r="S38" s="17" t="n">
        <f aca="false">ROUND(L38*Accounts!W43,2)</f>
        <v>216.34</v>
      </c>
      <c r="T38" s="17" t="n">
        <f aca="false">ROUND(L38-SUM(M38:S38),2)</f>
        <v>19189.53</v>
      </c>
      <c r="U38" s="17" t="n">
        <f aca="false">ROUND(F38*H38,2)</f>
        <v>13104</v>
      </c>
      <c r="V38" s="17" t="n">
        <f aca="false">ROUND(L38*Assumptions!$C$25,2)</f>
        <v>432.68</v>
      </c>
      <c r="W38" s="17" t="n">
        <f aca="false">ROUND(T38-U38-V38,2)</f>
        <v>5652.85</v>
      </c>
      <c r="X38" s="28" t="n">
        <f aca="false">T38/I38</f>
        <v>0.771779681467182</v>
      </c>
      <c r="Y38" s="17" t="n">
        <f aca="false">T38/F38</f>
        <v>114.223392857143</v>
      </c>
      <c r="Z38" s="26" t="n">
        <f aca="false">Accounts!H43</f>
        <v>9860</v>
      </c>
      <c r="AA38" s="28" t="n">
        <f aca="false">IF(Z38&gt;=Assumptions!$B$44,Assumptions!$C$44,IF(Z38&gt;=Assumptions!$B$45,Assumptions!$C$45,IF(Z38&gt;=Assumptions!$B$46,Assumptions!$C$46,Assumptions!$C$47)))</f>
        <v>0.02</v>
      </c>
      <c r="AB38" s="26" t="n">
        <f aca="false">IF(Z38&gt;=Assumptions!$B$44,Assumptions!$B$44,IF(Z38&gt;=Assumptions!$B$45,Assumptions!$B$45,IF(Z38&gt;=Assumptions!$B$46,Assumptions!$B$46,0)))</f>
        <v>3000</v>
      </c>
    </row>
    <row r="39" customFormat="false" ht="15" hidden="false" customHeight="false" outlineLevel="0" collapsed="false">
      <c r="B39" s="14" t="s">
        <v>170</v>
      </c>
      <c r="C39" s="14" t="s">
        <v>162</v>
      </c>
      <c r="D39" s="14" t="s">
        <v>163</v>
      </c>
      <c r="E39" s="14" t="s">
        <v>60</v>
      </c>
      <c r="F39" s="26" t="n">
        <f aca="false">Accounts!E25</f>
        <v>2107</v>
      </c>
      <c r="G39" s="17" t="n">
        <f aca="false">Assumptions!$D$8</f>
        <v>148</v>
      </c>
      <c r="H39" s="17" t="n">
        <f aca="false">Assumptions!$E$8</f>
        <v>78</v>
      </c>
      <c r="I39" s="17" t="n">
        <f aca="false">ROUND(F39*G39,2)</f>
        <v>311836</v>
      </c>
      <c r="J39" s="17" t="n">
        <f aca="false">ROUND(I39*Accounts!O25,2)</f>
        <v>12473.44</v>
      </c>
      <c r="K39" s="17" t="n">
        <f aca="false">ROUND(I39*Accounts!L25,2)</f>
        <v>16433.76</v>
      </c>
      <c r="L39" s="17" t="n">
        <f aca="false">ROUND(I39-J39-K39,2)</f>
        <v>282928.8</v>
      </c>
      <c r="M39" s="17" t="n">
        <f aca="false">ROUND(L39*AA39,2)</f>
        <v>9902.51</v>
      </c>
      <c r="N39" s="17" t="n">
        <f aca="false">ROUND(L39*Accounts!R25,2)</f>
        <v>5658.58</v>
      </c>
      <c r="O39" s="17" t="n">
        <f aca="false">ROUND(L39*Accounts!S25,2)</f>
        <v>4243.93</v>
      </c>
      <c r="P39" s="17" t="n">
        <f aca="false">ROUND(L39*Accounts!T25,2)</f>
        <v>7073.22</v>
      </c>
      <c r="Q39" s="17" t="n">
        <f aca="false">ROUND(L39*Accounts!U25,2)</f>
        <v>4243.93</v>
      </c>
      <c r="R39" s="17" t="n">
        <f aca="false">ROUND(L39*Accounts!V25,2)</f>
        <v>2263.43</v>
      </c>
      <c r="S39" s="17" t="n">
        <f aca="false">ROUND(L39*Accounts!W25,2)</f>
        <v>0</v>
      </c>
      <c r="T39" s="17" t="n">
        <f aca="false">ROUND(L39-SUM(M39:S39),2)</f>
        <v>249543.2</v>
      </c>
      <c r="U39" s="17" t="n">
        <f aca="false">ROUND(F39*H39,2)</f>
        <v>164346</v>
      </c>
      <c r="V39" s="17" t="n">
        <f aca="false">ROUND(L39*Assumptions!$C$25,2)</f>
        <v>5658.58</v>
      </c>
      <c r="W39" s="17" t="n">
        <f aca="false">ROUND(T39-U39-V39,2)</f>
        <v>79538.62</v>
      </c>
      <c r="X39" s="28" t="n">
        <f aca="false">T39/I39</f>
        <v>0.80023858694955</v>
      </c>
      <c r="Y39" s="17" t="n">
        <f aca="false">T39/F39</f>
        <v>118.435310868533</v>
      </c>
      <c r="Z39" s="26" t="n">
        <f aca="false">Accounts!H25</f>
        <v>17004</v>
      </c>
      <c r="AA39" s="28" t="n">
        <f aca="false">IF(Z39&gt;=Assumptions!$B$44,Assumptions!$C$44,IF(Z39&gt;=Assumptions!$B$45,Assumptions!$C$45,IF(Z39&gt;=Assumptions!$B$46,Assumptions!$C$46,Assumptions!$C$47)))</f>
        <v>0.035</v>
      </c>
      <c r="AB39" s="26" t="n">
        <f aca="false">IF(Z39&gt;=Assumptions!$B$44,Assumptions!$B$44,IF(Z39&gt;=Assumptions!$B$45,Assumptions!$B$45,IF(Z39&gt;=Assumptions!$B$46,Assumptions!$B$46,0)))</f>
        <v>10000</v>
      </c>
    </row>
    <row r="40" customFormat="false" ht="15" hidden="false" customHeight="false" outlineLevel="0" collapsed="false">
      <c r="B40" s="14" t="s">
        <v>181</v>
      </c>
      <c r="C40" s="14" t="s">
        <v>162</v>
      </c>
      <c r="D40" s="14" t="s">
        <v>174</v>
      </c>
      <c r="E40" s="14" t="s">
        <v>60</v>
      </c>
      <c r="F40" s="26" t="n">
        <f aca="false">Accounts!E35</f>
        <v>1719</v>
      </c>
      <c r="G40" s="17" t="n">
        <f aca="false">Assumptions!$D$8</f>
        <v>148</v>
      </c>
      <c r="H40" s="17" t="n">
        <f aca="false">Assumptions!$E$8</f>
        <v>78</v>
      </c>
      <c r="I40" s="17" t="n">
        <f aca="false">ROUND(F40*G40,2)</f>
        <v>254412</v>
      </c>
      <c r="J40" s="17" t="n">
        <f aca="false">ROUND(I40*Accounts!O35,2)</f>
        <v>10176.48</v>
      </c>
      <c r="K40" s="17" t="n">
        <f aca="false">ROUND(I40*Accounts!L35,2)</f>
        <v>9464.13</v>
      </c>
      <c r="L40" s="17" t="n">
        <f aca="false">ROUND(I40-J40-K40,2)</f>
        <v>234771.39</v>
      </c>
      <c r="M40" s="17" t="n">
        <f aca="false">ROUND(L40*AA40,2)</f>
        <v>4695.43</v>
      </c>
      <c r="N40" s="17" t="n">
        <f aca="false">ROUND(L40*Accounts!R35,2)</f>
        <v>4695.43</v>
      </c>
      <c r="O40" s="17" t="n">
        <f aca="false">ROUND(L40*Accounts!S35,2)</f>
        <v>3521.57</v>
      </c>
      <c r="P40" s="17" t="n">
        <f aca="false">ROUND(L40*Accounts!T35,2)</f>
        <v>5869.28</v>
      </c>
      <c r="Q40" s="17" t="n">
        <f aca="false">ROUND(L40*Accounts!U35,2)</f>
        <v>3521.57</v>
      </c>
      <c r="R40" s="17" t="n">
        <f aca="false">ROUND(L40*Accounts!V35,2)</f>
        <v>1878.17</v>
      </c>
      <c r="S40" s="17" t="n">
        <f aca="false">ROUND(L40*Accounts!W35,2)</f>
        <v>2347.71</v>
      </c>
      <c r="T40" s="17" t="n">
        <f aca="false">ROUND(L40-SUM(M40:S40),2)</f>
        <v>208242.23</v>
      </c>
      <c r="U40" s="17" t="n">
        <f aca="false">ROUND(F40*H40,2)</f>
        <v>134082</v>
      </c>
      <c r="V40" s="17" t="n">
        <f aca="false">ROUND(L40*Assumptions!$C$25,2)</f>
        <v>4695.43</v>
      </c>
      <c r="W40" s="17" t="n">
        <f aca="false">ROUND(T40-U40-V40,2)</f>
        <v>69464.8</v>
      </c>
      <c r="X40" s="28" t="n">
        <f aca="false">T40/I40</f>
        <v>0.818523615238275</v>
      </c>
      <c r="Y40" s="17" t="n">
        <f aca="false">T40/F40</f>
        <v>121.141495055265</v>
      </c>
      <c r="Z40" s="26" t="n">
        <f aca="false">Accounts!H35</f>
        <v>8650</v>
      </c>
      <c r="AA40" s="28" t="n">
        <f aca="false">IF(Z40&gt;=Assumptions!$B$44,Assumptions!$C$44,IF(Z40&gt;=Assumptions!$B$45,Assumptions!$C$45,IF(Z40&gt;=Assumptions!$B$46,Assumptions!$C$46,Assumptions!$C$47)))</f>
        <v>0.02</v>
      </c>
      <c r="AB40" s="26" t="n">
        <f aca="false">IF(Z40&gt;=Assumptions!$B$44,Assumptions!$B$44,IF(Z40&gt;=Assumptions!$B$45,Assumptions!$B$45,IF(Z40&gt;=Assumptions!$B$46,Assumptions!$B$46,0)))</f>
        <v>3000</v>
      </c>
    </row>
    <row r="41" customFormat="false" ht="15" hidden="false" customHeight="false" outlineLevel="0" collapsed="false">
      <c r="B41" s="14" t="s">
        <v>191</v>
      </c>
      <c r="C41" s="14" t="s">
        <v>162</v>
      </c>
      <c r="D41" s="14" t="s">
        <v>184</v>
      </c>
      <c r="E41" s="14" t="s">
        <v>60</v>
      </c>
      <c r="F41" s="26" t="n">
        <f aca="false">Accounts!E44</f>
        <v>1008</v>
      </c>
      <c r="G41" s="17" t="n">
        <f aca="false">Assumptions!$D$8</f>
        <v>148</v>
      </c>
      <c r="H41" s="17" t="n">
        <f aca="false">Assumptions!$E$8</f>
        <v>78</v>
      </c>
      <c r="I41" s="17" t="n">
        <f aca="false">ROUND(F41*G41,2)</f>
        <v>149184</v>
      </c>
      <c r="J41" s="17" t="n">
        <f aca="false">ROUND(I41*Accounts!O44,2)</f>
        <v>5967.36</v>
      </c>
      <c r="K41" s="17" t="n">
        <f aca="false">ROUND(I41*Accounts!L44,2)</f>
        <v>924.94</v>
      </c>
      <c r="L41" s="17" t="n">
        <f aca="false">ROUND(I41-J41-K41,2)</f>
        <v>142291.7</v>
      </c>
      <c r="M41" s="17" t="n">
        <f aca="false">ROUND(L41*AA41,2)</f>
        <v>4980.21</v>
      </c>
      <c r="N41" s="17" t="n">
        <f aca="false">ROUND(L41*Accounts!R44,2)</f>
        <v>0</v>
      </c>
      <c r="O41" s="17" t="n">
        <f aca="false">ROUND(L41*Accounts!S44,2)</f>
        <v>2134.38</v>
      </c>
      <c r="P41" s="17" t="n">
        <f aca="false">ROUND(L41*Accounts!T44,2)</f>
        <v>3557.29</v>
      </c>
      <c r="Q41" s="17" t="n">
        <f aca="false">ROUND(L41*Accounts!U44,2)</f>
        <v>2134.38</v>
      </c>
      <c r="R41" s="17" t="n">
        <f aca="false">ROUND(L41*Accounts!V44,2)</f>
        <v>1138.33</v>
      </c>
      <c r="S41" s="17" t="n">
        <f aca="false">ROUND(L41*Accounts!W44,2)</f>
        <v>1422.92</v>
      </c>
      <c r="T41" s="17" t="n">
        <f aca="false">ROUND(L41-SUM(M41:S41),2)</f>
        <v>126924.19</v>
      </c>
      <c r="U41" s="17" t="n">
        <f aca="false">ROUND(F41*H41,2)</f>
        <v>78624</v>
      </c>
      <c r="V41" s="17" t="n">
        <f aca="false">ROUND(L41*Assumptions!$C$25,2)</f>
        <v>2845.83</v>
      </c>
      <c r="W41" s="17" t="n">
        <f aca="false">ROUND(T41-U41-V41,2)</f>
        <v>45454.36</v>
      </c>
      <c r="X41" s="28" t="n">
        <f aca="false">T41/I41</f>
        <v>0.850789561883312</v>
      </c>
      <c r="Y41" s="17" t="n">
        <f aca="false">T41/F41</f>
        <v>125.91685515873</v>
      </c>
      <c r="Z41" s="26" t="n">
        <f aca="false">Accounts!H44</f>
        <v>15594</v>
      </c>
      <c r="AA41" s="28" t="n">
        <f aca="false">IF(Z41&gt;=Assumptions!$B$44,Assumptions!$C$44,IF(Z41&gt;=Assumptions!$B$45,Assumptions!$C$45,IF(Z41&gt;=Assumptions!$B$46,Assumptions!$C$46,Assumptions!$C$47)))</f>
        <v>0.035</v>
      </c>
      <c r="AB41" s="26" t="n">
        <f aca="false">IF(Z41&gt;=Assumptions!$B$44,Assumptions!$B$44,IF(Z41&gt;=Assumptions!$B$45,Assumptions!$B$45,IF(Z41&gt;=Assumptions!$B$46,Assumptions!$B$46,0)))</f>
        <v>10000</v>
      </c>
    </row>
    <row r="42" customFormat="false" ht="15" hidden="false" customHeight="false" outlineLevel="0" collapsed="false">
      <c r="B42" s="14" t="s">
        <v>171</v>
      </c>
      <c r="C42" s="14" t="s">
        <v>162</v>
      </c>
      <c r="D42" s="14" t="s">
        <v>163</v>
      </c>
      <c r="E42" s="14" t="s">
        <v>60</v>
      </c>
      <c r="F42" s="26" t="n">
        <f aca="false">Accounts!E26</f>
        <v>306</v>
      </c>
      <c r="G42" s="17" t="n">
        <f aca="false">Assumptions!$D$8</f>
        <v>148</v>
      </c>
      <c r="H42" s="17" t="n">
        <f aca="false">Assumptions!$E$8</f>
        <v>78</v>
      </c>
      <c r="I42" s="17" t="n">
        <f aca="false">ROUND(F42*G42,2)</f>
        <v>45288</v>
      </c>
      <c r="J42" s="17" t="n">
        <f aca="false">ROUND(I42*Accounts!O26,2)</f>
        <v>2717.28</v>
      </c>
      <c r="K42" s="17" t="n">
        <f aca="false">ROUND(I42*Accounts!L26,2)</f>
        <v>1123.14</v>
      </c>
      <c r="L42" s="17" t="n">
        <f aca="false">ROUND(I42-J42-K42,2)</f>
        <v>41447.58</v>
      </c>
      <c r="M42" s="17" t="n">
        <f aca="false">ROUND(L42*AA42,2)</f>
        <v>1450.67</v>
      </c>
      <c r="N42" s="17" t="n">
        <f aca="false">ROUND(L42*Accounts!R26,2)</f>
        <v>828.95</v>
      </c>
      <c r="O42" s="17" t="n">
        <f aca="false">ROUND(L42*Accounts!S26,2)</f>
        <v>621.71</v>
      </c>
      <c r="P42" s="17" t="n">
        <f aca="false">ROUND(L42*Accounts!T26,2)</f>
        <v>1036.19</v>
      </c>
      <c r="Q42" s="17" t="n">
        <f aca="false">ROUND(L42*Accounts!U26,2)</f>
        <v>621.71</v>
      </c>
      <c r="R42" s="17" t="n">
        <f aca="false">ROUND(L42*Accounts!V26,2)</f>
        <v>331.58</v>
      </c>
      <c r="S42" s="17" t="n">
        <f aca="false">ROUND(L42*Accounts!W26,2)</f>
        <v>414.48</v>
      </c>
      <c r="T42" s="17" t="n">
        <f aca="false">ROUND(L42-SUM(M42:S42),2)</f>
        <v>36142.29</v>
      </c>
      <c r="U42" s="17" t="n">
        <f aca="false">ROUND(F42*H42,2)</f>
        <v>23868</v>
      </c>
      <c r="V42" s="17" t="n">
        <f aca="false">ROUND(L42*Assumptions!$C$25,2)</f>
        <v>828.95</v>
      </c>
      <c r="W42" s="17" t="n">
        <f aca="false">ROUND(T42-U42-V42,2)</f>
        <v>11445.34</v>
      </c>
      <c r="X42" s="28" t="n">
        <f aca="false">T42/I42</f>
        <v>0.798054451510334</v>
      </c>
      <c r="Y42" s="17" t="n">
        <f aca="false">T42/F42</f>
        <v>118.112058823529</v>
      </c>
      <c r="Z42" s="26" t="n">
        <f aca="false">Accounts!H26</f>
        <v>13579</v>
      </c>
      <c r="AA42" s="28" t="n">
        <f aca="false">IF(Z42&gt;=Assumptions!$B$44,Assumptions!$C$44,IF(Z42&gt;=Assumptions!$B$45,Assumptions!$C$45,IF(Z42&gt;=Assumptions!$B$46,Assumptions!$C$46,Assumptions!$C$47)))</f>
        <v>0.035</v>
      </c>
      <c r="AB42" s="26" t="n">
        <f aca="false">IF(Z42&gt;=Assumptions!$B$44,Assumptions!$B$44,IF(Z42&gt;=Assumptions!$B$45,Assumptions!$B$45,IF(Z42&gt;=Assumptions!$B$46,Assumptions!$B$46,0)))</f>
        <v>10000</v>
      </c>
    </row>
    <row r="43" customFormat="false" ht="15" hidden="false" customHeight="false" outlineLevel="0" collapsed="false">
      <c r="B43" s="14" t="s">
        <v>182</v>
      </c>
      <c r="C43" s="14" t="s">
        <v>162</v>
      </c>
      <c r="D43" s="14" t="s">
        <v>174</v>
      </c>
      <c r="E43" s="14" t="s">
        <v>60</v>
      </c>
      <c r="F43" s="26" t="n">
        <f aca="false">Accounts!E36</f>
        <v>364</v>
      </c>
      <c r="G43" s="17" t="n">
        <f aca="false">Assumptions!$D$8</f>
        <v>148</v>
      </c>
      <c r="H43" s="17" t="n">
        <f aca="false">Assumptions!$E$8</f>
        <v>78</v>
      </c>
      <c r="I43" s="17" t="n">
        <f aca="false">ROUND(F43*G43,2)</f>
        <v>53872</v>
      </c>
      <c r="J43" s="17" t="n">
        <f aca="false">ROUND(I43*Accounts!O36,2)</f>
        <v>2154.88</v>
      </c>
      <c r="K43" s="17" t="n">
        <f aca="false">ROUND(I43*Accounts!L36,2)</f>
        <v>3841.07</v>
      </c>
      <c r="L43" s="17" t="n">
        <f aca="false">ROUND(I43-J43-K43,2)</f>
        <v>47876.05</v>
      </c>
      <c r="M43" s="17" t="n">
        <f aca="false">ROUND(L43*AA43,2)</f>
        <v>957.52</v>
      </c>
      <c r="N43" s="17" t="n">
        <f aca="false">ROUND(L43*Accounts!R36,2)</f>
        <v>957.52</v>
      </c>
      <c r="O43" s="17" t="n">
        <f aca="false">ROUND(L43*Accounts!S36,2)</f>
        <v>718.14</v>
      </c>
      <c r="P43" s="17" t="n">
        <f aca="false">ROUND(L43*Accounts!T36,2)</f>
        <v>0</v>
      </c>
      <c r="Q43" s="17" t="n">
        <f aca="false">ROUND(L43*Accounts!U36,2)</f>
        <v>718.14</v>
      </c>
      <c r="R43" s="17" t="n">
        <f aca="false">ROUND(L43*Accounts!V36,2)</f>
        <v>383.01</v>
      </c>
      <c r="S43" s="17" t="n">
        <f aca="false">ROUND(L43*Accounts!W36,2)</f>
        <v>0</v>
      </c>
      <c r="T43" s="17" t="n">
        <f aca="false">ROUND(L43-SUM(M43:S43),2)</f>
        <v>44141.72</v>
      </c>
      <c r="U43" s="17" t="n">
        <f aca="false">ROUND(F43*H43,2)</f>
        <v>28392</v>
      </c>
      <c r="V43" s="17" t="n">
        <f aca="false">ROUND(L43*Assumptions!$C$25,2)</f>
        <v>957.52</v>
      </c>
      <c r="W43" s="17" t="n">
        <f aca="false">ROUND(T43-U43-V43,2)</f>
        <v>14792.2</v>
      </c>
      <c r="X43" s="28" t="n">
        <f aca="false">T43/I43</f>
        <v>0.819381496881497</v>
      </c>
      <c r="Y43" s="17" t="n">
        <f aca="false">T43/F43</f>
        <v>121.268461538462</v>
      </c>
      <c r="Z43" s="26" t="n">
        <f aca="false">Accounts!H36</f>
        <v>4836</v>
      </c>
      <c r="AA43" s="28" t="n">
        <f aca="false">IF(Z43&gt;=Assumptions!$B$44,Assumptions!$C$44,IF(Z43&gt;=Assumptions!$B$45,Assumptions!$C$45,IF(Z43&gt;=Assumptions!$B$46,Assumptions!$C$46,Assumptions!$C$47)))</f>
        <v>0.02</v>
      </c>
      <c r="AB43" s="26" t="n">
        <f aca="false">IF(Z43&gt;=Assumptions!$B$44,Assumptions!$B$44,IF(Z43&gt;=Assumptions!$B$45,Assumptions!$B$45,IF(Z43&gt;=Assumptions!$B$46,Assumptions!$B$46,0)))</f>
        <v>3000</v>
      </c>
    </row>
    <row r="44" customFormat="false" ht="15" hidden="false" customHeight="false" outlineLevel="0" collapsed="false">
      <c r="B44" s="14" t="s">
        <v>192</v>
      </c>
      <c r="C44" s="14" t="s">
        <v>162</v>
      </c>
      <c r="D44" s="14" t="s">
        <v>184</v>
      </c>
      <c r="E44" s="14" t="s">
        <v>60</v>
      </c>
      <c r="F44" s="26" t="n">
        <f aca="false">Accounts!E45</f>
        <v>1192</v>
      </c>
      <c r="G44" s="17" t="n">
        <f aca="false">Assumptions!$D$8</f>
        <v>148</v>
      </c>
      <c r="H44" s="17" t="n">
        <f aca="false">Assumptions!$E$8</f>
        <v>78</v>
      </c>
      <c r="I44" s="17" t="n">
        <f aca="false">ROUND(F44*G44,2)</f>
        <v>176416</v>
      </c>
      <c r="J44" s="17" t="n">
        <f aca="false">ROUND(I44*Accounts!O45,2)</f>
        <v>7056.64</v>
      </c>
      <c r="K44" s="17" t="n">
        <f aca="false">ROUND(I44*Accounts!L45,2)</f>
        <v>9844.01</v>
      </c>
      <c r="L44" s="17" t="n">
        <f aca="false">ROUND(I44-J44-K44,2)</f>
        <v>159515.35</v>
      </c>
      <c r="M44" s="17" t="n">
        <f aca="false">ROUND(L44*AA44,2)</f>
        <v>3190.31</v>
      </c>
      <c r="N44" s="17" t="n">
        <f aca="false">ROUND(L44*Accounts!R45,2)</f>
        <v>3190.31</v>
      </c>
      <c r="O44" s="17" t="n">
        <f aca="false">ROUND(L44*Accounts!S45,2)</f>
        <v>2392.73</v>
      </c>
      <c r="P44" s="17" t="n">
        <f aca="false">ROUND(L44*Accounts!T45,2)</f>
        <v>3987.88</v>
      </c>
      <c r="Q44" s="17" t="n">
        <f aca="false">ROUND(L44*Accounts!U45,2)</f>
        <v>0</v>
      </c>
      <c r="R44" s="17" t="n">
        <f aca="false">ROUND(L44*Accounts!V45,2)</f>
        <v>1276.12</v>
      </c>
      <c r="S44" s="17" t="n">
        <f aca="false">ROUND(L44*Accounts!W45,2)</f>
        <v>1595.15</v>
      </c>
      <c r="T44" s="17" t="n">
        <f aca="false">ROUND(L44-SUM(M44:S44),2)</f>
        <v>143882.85</v>
      </c>
      <c r="U44" s="17" t="n">
        <f aca="false">ROUND(F44*H44,2)</f>
        <v>92976</v>
      </c>
      <c r="V44" s="17" t="n">
        <f aca="false">ROUND(L44*Assumptions!$C$25,2)</f>
        <v>3190.31</v>
      </c>
      <c r="W44" s="17" t="n">
        <f aca="false">ROUND(T44-U44-V44,2)</f>
        <v>47716.54</v>
      </c>
      <c r="X44" s="28" t="n">
        <f aca="false">T44/I44</f>
        <v>0.815588438690368</v>
      </c>
      <c r="Y44" s="17" t="n">
        <f aca="false">T44/F44</f>
        <v>120.707088926175</v>
      </c>
      <c r="Z44" s="26" t="n">
        <f aca="false">Accounts!H45</f>
        <v>7930</v>
      </c>
      <c r="AA44" s="28" t="n">
        <f aca="false">IF(Z44&gt;=Assumptions!$B$44,Assumptions!$C$44,IF(Z44&gt;=Assumptions!$B$45,Assumptions!$C$45,IF(Z44&gt;=Assumptions!$B$46,Assumptions!$C$46,Assumptions!$C$47)))</f>
        <v>0.02</v>
      </c>
      <c r="AB44" s="26" t="n">
        <f aca="false">IF(Z44&gt;=Assumptions!$B$44,Assumptions!$B$44,IF(Z44&gt;=Assumptions!$B$45,Assumptions!$B$45,IF(Z44&gt;=Assumptions!$B$46,Assumptions!$B$46,0)))</f>
        <v>3000</v>
      </c>
    </row>
    <row r="45" customFormat="false" ht="15" hidden="false" customHeight="false" outlineLevel="0" collapsed="false">
      <c r="B45" s="14" t="s">
        <v>172</v>
      </c>
      <c r="C45" s="14" t="s">
        <v>162</v>
      </c>
      <c r="D45" s="14" t="s">
        <v>163</v>
      </c>
      <c r="E45" s="14" t="s">
        <v>60</v>
      </c>
      <c r="F45" s="26" t="n">
        <f aca="false">Accounts!E27</f>
        <v>122</v>
      </c>
      <c r="G45" s="17" t="n">
        <f aca="false">Assumptions!$D$8</f>
        <v>148</v>
      </c>
      <c r="H45" s="17" t="n">
        <f aca="false">Assumptions!$E$8</f>
        <v>78</v>
      </c>
      <c r="I45" s="17" t="n">
        <f aca="false">ROUND(F45*G45,2)</f>
        <v>18056</v>
      </c>
      <c r="J45" s="17" t="n">
        <f aca="false">ROUND(I45*Accounts!O27,2)</f>
        <v>722.24</v>
      </c>
      <c r="K45" s="17" t="n">
        <f aca="false">ROUND(I45*Accounts!L27,2)</f>
        <v>1623.23</v>
      </c>
      <c r="L45" s="17" t="n">
        <f aca="false">ROUND(I45-J45-K45,2)</f>
        <v>15710.53</v>
      </c>
      <c r="M45" s="17" t="n">
        <f aca="false">ROUND(L45*AA45,2)</f>
        <v>314.21</v>
      </c>
      <c r="N45" s="17" t="n">
        <f aca="false">ROUND(L45*Accounts!R27,2)</f>
        <v>314.21</v>
      </c>
      <c r="O45" s="17" t="n">
        <f aca="false">ROUND(L45*Accounts!S27,2)</f>
        <v>235.66</v>
      </c>
      <c r="P45" s="17" t="n">
        <f aca="false">ROUND(L45*Accounts!T27,2)</f>
        <v>392.76</v>
      </c>
      <c r="Q45" s="17" t="n">
        <f aca="false">ROUND(L45*Accounts!U27,2)</f>
        <v>235.66</v>
      </c>
      <c r="R45" s="17" t="n">
        <f aca="false">ROUND(L45*Accounts!V27,2)</f>
        <v>125.68</v>
      </c>
      <c r="S45" s="17" t="n">
        <f aca="false">ROUND(L45*Accounts!W27,2)</f>
        <v>157.11</v>
      </c>
      <c r="T45" s="17" t="n">
        <f aca="false">ROUND(L45-SUM(M45:S45),2)</f>
        <v>13935.24</v>
      </c>
      <c r="U45" s="17" t="n">
        <f aca="false">ROUND(F45*H45,2)</f>
        <v>9516</v>
      </c>
      <c r="V45" s="17" t="n">
        <f aca="false">ROUND(L45*Assumptions!$C$25,2)</f>
        <v>314.21</v>
      </c>
      <c r="W45" s="17" t="n">
        <f aca="false">ROUND(T45-U45-V45,2)</f>
        <v>4105.03</v>
      </c>
      <c r="X45" s="28" t="n">
        <f aca="false">T45/I45</f>
        <v>0.771778910057599</v>
      </c>
      <c r="Y45" s="17" t="n">
        <f aca="false">T45/F45</f>
        <v>114.223278688525</v>
      </c>
      <c r="Z45" s="26" t="n">
        <f aca="false">Accounts!H27</f>
        <v>8144</v>
      </c>
      <c r="AA45" s="28" t="n">
        <f aca="false">IF(Z45&gt;=Assumptions!$B$44,Assumptions!$C$44,IF(Z45&gt;=Assumptions!$B$45,Assumptions!$C$45,IF(Z45&gt;=Assumptions!$B$46,Assumptions!$C$46,Assumptions!$C$47)))</f>
        <v>0.02</v>
      </c>
      <c r="AB45" s="26" t="n">
        <f aca="false">IF(Z45&gt;=Assumptions!$B$44,Assumptions!$B$44,IF(Z45&gt;=Assumptions!$B$45,Assumptions!$B$45,IF(Z45&gt;=Assumptions!$B$46,Assumptions!$B$46,0)))</f>
        <v>3000</v>
      </c>
    </row>
    <row r="46" customFormat="false" ht="15" hidden="false" customHeight="false" outlineLevel="0" collapsed="false">
      <c r="B46" s="14" t="s">
        <v>193</v>
      </c>
      <c r="C46" s="14" t="s">
        <v>194</v>
      </c>
      <c r="D46" s="14" t="s">
        <v>163</v>
      </c>
      <c r="E46" s="14" t="s">
        <v>60</v>
      </c>
      <c r="F46" s="26" t="n">
        <f aca="false">Accounts!E46</f>
        <v>1375</v>
      </c>
      <c r="G46" s="17" t="n">
        <f aca="false">Assumptions!$D$8</f>
        <v>148</v>
      </c>
      <c r="H46" s="17" t="n">
        <f aca="false">Assumptions!$E$8</f>
        <v>78</v>
      </c>
      <c r="I46" s="17" t="n">
        <f aca="false">ROUND(F46*G46,2)</f>
        <v>203500</v>
      </c>
      <c r="J46" s="17" t="n">
        <f aca="false">ROUND(I46*Accounts!O46,2)</f>
        <v>8140</v>
      </c>
      <c r="K46" s="17" t="n">
        <f aca="false">ROUND(I46*Accounts!L46,2)</f>
        <v>14509.55</v>
      </c>
      <c r="L46" s="17" t="n">
        <f aca="false">ROUND(I46-J46-K46,2)</f>
        <v>180850.45</v>
      </c>
      <c r="M46" s="17" t="n">
        <f aca="false">ROUND(L46*AA46,2)</f>
        <v>3617.01</v>
      </c>
      <c r="N46" s="17" t="n">
        <f aca="false">ROUND(L46*Accounts!R46,2)</f>
        <v>3617.01</v>
      </c>
      <c r="O46" s="17" t="n">
        <f aca="false">ROUND(L46*Accounts!S46,2)</f>
        <v>0</v>
      </c>
      <c r="P46" s="17" t="n">
        <f aca="false">ROUND(L46*Accounts!T46,2)</f>
        <v>0</v>
      </c>
      <c r="Q46" s="17" t="n">
        <f aca="false">ROUND(L46*Accounts!U46,2)</f>
        <v>0</v>
      </c>
      <c r="R46" s="17" t="n">
        <f aca="false">ROUND(L46*Accounts!V46,2)</f>
        <v>1085.1</v>
      </c>
      <c r="S46" s="17" t="n">
        <f aca="false">ROUND(L46*Accounts!W46,2)</f>
        <v>0</v>
      </c>
      <c r="T46" s="17" t="n">
        <f aca="false">ROUND(L46-SUM(M46:S46),2)</f>
        <v>172531.33</v>
      </c>
      <c r="U46" s="17" t="n">
        <f aca="false">ROUND(F46*H46,2)</f>
        <v>107250</v>
      </c>
      <c r="V46" s="17" t="n">
        <f aca="false">ROUND(L46*Assumptions!$C$25,2)</f>
        <v>3617.01</v>
      </c>
      <c r="W46" s="17" t="n">
        <f aca="false">ROUND(T46-U46-V46,2)</f>
        <v>61664.32</v>
      </c>
      <c r="X46" s="28" t="n">
        <f aca="false">T46/I46</f>
        <v>0.847819803439803</v>
      </c>
      <c r="Y46" s="17" t="n">
        <f aca="false">T46/F46</f>
        <v>125.477330909091</v>
      </c>
      <c r="Z46" s="26" t="n">
        <f aca="false">Accounts!H46</f>
        <v>7398</v>
      </c>
      <c r="AA46" s="28" t="n">
        <f aca="false">IF(Z46&gt;=Assumptions!$B$44,Assumptions!$C$44,IF(Z46&gt;=Assumptions!$B$45,Assumptions!$C$45,IF(Z46&gt;=Assumptions!$B$46,Assumptions!$C$46,Assumptions!$C$47)))</f>
        <v>0.02</v>
      </c>
      <c r="AB46" s="26" t="n">
        <f aca="false">IF(Z46&gt;=Assumptions!$B$44,Assumptions!$B$44,IF(Z46&gt;=Assumptions!$B$45,Assumptions!$B$45,IF(Z46&gt;=Assumptions!$B$46,Assumptions!$B$46,0)))</f>
        <v>3000</v>
      </c>
    </row>
    <row r="47" customFormat="false" ht="15" hidden="false" customHeight="false" outlineLevel="0" collapsed="false">
      <c r="B47" s="14" t="s">
        <v>210</v>
      </c>
      <c r="C47" s="14" t="s">
        <v>194</v>
      </c>
      <c r="D47" s="14" t="s">
        <v>184</v>
      </c>
      <c r="E47" s="14" t="s">
        <v>60</v>
      </c>
      <c r="F47" s="26" t="n">
        <f aca="false">Accounts!E62</f>
        <v>516</v>
      </c>
      <c r="G47" s="17" t="n">
        <f aca="false">Assumptions!$D$8</f>
        <v>148</v>
      </c>
      <c r="H47" s="17" t="n">
        <f aca="false">Assumptions!$E$8</f>
        <v>78</v>
      </c>
      <c r="I47" s="17" t="n">
        <f aca="false">ROUND(F47*G47,2)</f>
        <v>76368</v>
      </c>
      <c r="J47" s="17" t="n">
        <f aca="false">ROUND(I47*Accounts!O62,2)</f>
        <v>3054.72</v>
      </c>
      <c r="K47" s="17" t="n">
        <f aca="false">ROUND(I47*Accounts!L62,2)</f>
        <v>1183.7</v>
      </c>
      <c r="L47" s="17" t="n">
        <f aca="false">ROUND(I47-J47-K47,2)</f>
        <v>72129.58</v>
      </c>
      <c r="M47" s="17" t="n">
        <f aca="false">ROUND(L47*AA47,2)</f>
        <v>0</v>
      </c>
      <c r="N47" s="17" t="n">
        <f aca="false">ROUND(L47*Accounts!R62,2)</f>
        <v>0</v>
      </c>
      <c r="O47" s="17" t="n">
        <f aca="false">ROUND(L47*Accounts!S62,2)</f>
        <v>0</v>
      </c>
      <c r="P47" s="17" t="n">
        <f aca="false">ROUND(L47*Accounts!T62,2)</f>
        <v>0</v>
      </c>
      <c r="Q47" s="17" t="n">
        <f aca="false">ROUND(L47*Accounts!U62,2)</f>
        <v>0</v>
      </c>
      <c r="R47" s="17" t="n">
        <f aca="false">ROUND(L47*Accounts!V62,2)</f>
        <v>432.78</v>
      </c>
      <c r="S47" s="17" t="n">
        <f aca="false">ROUND(L47*Accounts!W62,2)</f>
        <v>0</v>
      </c>
      <c r="T47" s="17" t="n">
        <f aca="false">ROUND(L47-SUM(M47:S47),2)</f>
        <v>71696.8</v>
      </c>
      <c r="U47" s="17" t="n">
        <f aca="false">ROUND(F47*H47,2)</f>
        <v>40248</v>
      </c>
      <c r="V47" s="17" t="n">
        <f aca="false">ROUND(L47*Assumptions!$C$25,2)</f>
        <v>1442.59</v>
      </c>
      <c r="W47" s="17" t="n">
        <f aca="false">ROUND(T47-U47-V47,2)</f>
        <v>30006.21</v>
      </c>
      <c r="X47" s="28" t="n">
        <f aca="false">T47/I47</f>
        <v>0.938833019065577</v>
      </c>
      <c r="Y47" s="17" t="n">
        <f aca="false">T47/F47</f>
        <v>138.947286821705</v>
      </c>
      <c r="Z47" s="26" t="n">
        <f aca="false">Accounts!H62</f>
        <v>1999</v>
      </c>
      <c r="AA47" s="28" t="n">
        <f aca="false">IF(Z47&gt;=Assumptions!$B$44,Assumptions!$C$44,IF(Z47&gt;=Assumptions!$B$45,Assumptions!$C$45,IF(Z47&gt;=Assumptions!$B$46,Assumptions!$C$46,Assumptions!$C$47)))</f>
        <v>0</v>
      </c>
      <c r="AB47" s="26" t="n">
        <f aca="false">IF(Z47&gt;=Assumptions!$B$44,Assumptions!$B$44,IF(Z47&gt;=Assumptions!$B$45,Assumptions!$B$45,IF(Z47&gt;=Assumptions!$B$46,Assumptions!$B$46,0)))</f>
        <v>0</v>
      </c>
    </row>
    <row r="48" customFormat="false" ht="15" hidden="false" customHeight="false" outlineLevel="0" collapsed="false">
      <c r="B48" s="14" t="s">
        <v>217</v>
      </c>
      <c r="C48" s="14" t="s">
        <v>194</v>
      </c>
      <c r="D48" s="14" t="s">
        <v>218</v>
      </c>
      <c r="E48" s="14" t="s">
        <v>60</v>
      </c>
      <c r="F48" s="26" t="n">
        <f aca="false">Accounts!E70</f>
        <v>975</v>
      </c>
      <c r="G48" s="17" t="n">
        <f aca="false">Assumptions!$D$8</f>
        <v>148</v>
      </c>
      <c r="H48" s="17" t="n">
        <f aca="false">Assumptions!$E$8</f>
        <v>78</v>
      </c>
      <c r="I48" s="17" t="n">
        <f aca="false">ROUND(F48*G48,2)</f>
        <v>144300</v>
      </c>
      <c r="J48" s="17" t="n">
        <f aca="false">ROUND(I48*Accounts!O70,2)</f>
        <v>2886</v>
      </c>
      <c r="K48" s="17" t="n">
        <f aca="false">ROUND(I48*Accounts!L70,2)</f>
        <v>4920.63</v>
      </c>
      <c r="L48" s="17" t="n">
        <f aca="false">ROUND(I48-J48-K48,2)</f>
        <v>136493.37</v>
      </c>
      <c r="M48" s="17" t="n">
        <f aca="false">ROUND(L48*AA48,2)</f>
        <v>2729.87</v>
      </c>
      <c r="N48" s="17" t="n">
        <f aca="false">ROUND(L48*Accounts!R70,2)</f>
        <v>0</v>
      </c>
      <c r="O48" s="17" t="n">
        <f aca="false">ROUND(L48*Accounts!S70,2)</f>
        <v>2047.4</v>
      </c>
      <c r="P48" s="17" t="n">
        <f aca="false">ROUND(L48*Accounts!T70,2)</f>
        <v>0</v>
      </c>
      <c r="Q48" s="17" t="n">
        <f aca="false">ROUND(L48*Accounts!U70,2)</f>
        <v>0</v>
      </c>
      <c r="R48" s="17" t="n">
        <f aca="false">ROUND(L48*Accounts!V70,2)</f>
        <v>818.96</v>
      </c>
      <c r="S48" s="17" t="n">
        <f aca="false">ROUND(L48*Accounts!W70,2)</f>
        <v>682.47</v>
      </c>
      <c r="T48" s="17" t="n">
        <f aca="false">ROUND(L48-SUM(M48:S48),2)</f>
        <v>130214.67</v>
      </c>
      <c r="U48" s="17" t="n">
        <f aca="false">ROUND(F48*H48,2)</f>
        <v>76050</v>
      </c>
      <c r="V48" s="17" t="n">
        <f aca="false">ROUND(L48*Assumptions!$C$25,2)</f>
        <v>2729.87</v>
      </c>
      <c r="W48" s="17" t="n">
        <f aca="false">ROUND(T48-U48-V48,2)</f>
        <v>51434.8</v>
      </c>
      <c r="X48" s="28" t="n">
        <f aca="false">T48/I48</f>
        <v>0.902388565488566</v>
      </c>
      <c r="Y48" s="17" t="n">
        <f aca="false">T48/F48</f>
        <v>133.553507692308</v>
      </c>
      <c r="Z48" s="26" t="n">
        <f aca="false">Accounts!H70</f>
        <v>5628</v>
      </c>
      <c r="AA48" s="28" t="n">
        <f aca="false">IF(Z48&gt;=Assumptions!$B$44,Assumptions!$C$44,IF(Z48&gt;=Assumptions!$B$45,Assumptions!$C$45,IF(Z48&gt;=Assumptions!$B$46,Assumptions!$C$46,Assumptions!$C$47)))</f>
        <v>0.02</v>
      </c>
      <c r="AB48" s="26" t="n">
        <f aca="false">IF(Z48&gt;=Assumptions!$B$44,Assumptions!$B$44,IF(Z48&gt;=Assumptions!$B$45,Assumptions!$B$45,IF(Z48&gt;=Assumptions!$B$46,Assumptions!$B$46,0)))</f>
        <v>3000</v>
      </c>
    </row>
    <row r="49" customFormat="false" ht="15" hidden="false" customHeight="false" outlineLevel="0" collapsed="false">
      <c r="B49" s="14" t="s">
        <v>226</v>
      </c>
      <c r="C49" s="14" t="s">
        <v>194</v>
      </c>
      <c r="D49" s="14" t="s">
        <v>227</v>
      </c>
      <c r="E49" s="14" t="s">
        <v>60</v>
      </c>
      <c r="F49" s="26" t="n">
        <f aca="false">Accounts!E78</f>
        <v>496</v>
      </c>
      <c r="G49" s="17" t="n">
        <f aca="false">Assumptions!$D$8</f>
        <v>148</v>
      </c>
      <c r="H49" s="17" t="n">
        <f aca="false">Assumptions!$E$8</f>
        <v>78</v>
      </c>
      <c r="I49" s="17" t="n">
        <f aca="false">ROUND(F49*G49,2)</f>
        <v>73408</v>
      </c>
      <c r="J49" s="17" t="n">
        <f aca="false">ROUND(I49*Accounts!O78,2)</f>
        <v>1468.16</v>
      </c>
      <c r="K49" s="17" t="n">
        <f aca="false">ROUND(I49*Accounts!L78,2)</f>
        <v>7054.51</v>
      </c>
      <c r="L49" s="17" t="n">
        <f aca="false">ROUND(I49-J49-K49,2)</f>
        <v>64885.33</v>
      </c>
      <c r="M49" s="17" t="n">
        <f aca="false">ROUND(L49*AA49,2)</f>
        <v>0</v>
      </c>
      <c r="N49" s="17" t="n">
        <f aca="false">ROUND(L49*Accounts!R78,2)</f>
        <v>1297.71</v>
      </c>
      <c r="O49" s="17" t="n">
        <f aca="false">ROUND(L49*Accounts!S78,2)</f>
        <v>973.28</v>
      </c>
      <c r="P49" s="17" t="n">
        <f aca="false">ROUND(L49*Accounts!T78,2)</f>
        <v>0</v>
      </c>
      <c r="Q49" s="17" t="n">
        <f aca="false">ROUND(L49*Accounts!U78,2)</f>
        <v>0</v>
      </c>
      <c r="R49" s="17" t="n">
        <f aca="false">ROUND(L49*Accounts!V78,2)</f>
        <v>389.31</v>
      </c>
      <c r="S49" s="17" t="n">
        <f aca="false">ROUND(L49*Accounts!W78,2)</f>
        <v>0</v>
      </c>
      <c r="T49" s="17" t="n">
        <f aca="false">ROUND(L49-SUM(M49:S49),2)</f>
        <v>62225.03</v>
      </c>
      <c r="U49" s="17" t="n">
        <f aca="false">ROUND(F49*H49,2)</f>
        <v>38688</v>
      </c>
      <c r="V49" s="17" t="n">
        <f aca="false">ROUND(L49*Assumptions!$C$25,2)</f>
        <v>1297.71</v>
      </c>
      <c r="W49" s="17" t="n">
        <f aca="false">ROUND(T49-U49-V49,2)</f>
        <v>22239.32</v>
      </c>
      <c r="X49" s="28" t="n">
        <f aca="false">T49/I49</f>
        <v>0.847660064298169</v>
      </c>
      <c r="Y49" s="17" t="n">
        <f aca="false">T49/F49</f>
        <v>125.453689516129</v>
      </c>
      <c r="Z49" s="26" t="n">
        <f aca="false">Accounts!H78</f>
        <v>2647</v>
      </c>
      <c r="AA49" s="28" t="n">
        <f aca="false">IF(Z49&gt;=Assumptions!$B$44,Assumptions!$C$44,IF(Z49&gt;=Assumptions!$B$45,Assumptions!$C$45,IF(Z49&gt;=Assumptions!$B$46,Assumptions!$C$46,Assumptions!$C$47)))</f>
        <v>0</v>
      </c>
      <c r="AB49" s="26" t="n">
        <f aca="false">IF(Z49&gt;=Assumptions!$B$44,Assumptions!$B$44,IF(Z49&gt;=Assumptions!$B$45,Assumptions!$B$45,IF(Z49&gt;=Assumptions!$B$46,Assumptions!$B$46,0)))</f>
        <v>0</v>
      </c>
    </row>
    <row r="50" customFormat="false" ht="15" hidden="false" customHeight="false" outlineLevel="0" collapsed="false">
      <c r="B50" s="14" t="s">
        <v>234</v>
      </c>
      <c r="C50" s="14" t="s">
        <v>194</v>
      </c>
      <c r="D50" s="14" t="s">
        <v>235</v>
      </c>
      <c r="E50" s="14" t="s">
        <v>60</v>
      </c>
      <c r="F50" s="26" t="n">
        <f aca="false">Accounts!E85</f>
        <v>596</v>
      </c>
      <c r="G50" s="17" t="n">
        <f aca="false">Assumptions!$D$8</f>
        <v>148</v>
      </c>
      <c r="H50" s="17" t="n">
        <f aca="false">Assumptions!$E$8</f>
        <v>78</v>
      </c>
      <c r="I50" s="17" t="n">
        <f aca="false">ROUND(F50*G50,2)</f>
        <v>88208</v>
      </c>
      <c r="J50" s="17" t="n">
        <f aca="false">ROUND(I50*Accounts!O85,2)</f>
        <v>3528.32</v>
      </c>
      <c r="K50" s="17" t="n">
        <f aca="false">ROUND(I50*Accounts!L85,2)</f>
        <v>0</v>
      </c>
      <c r="L50" s="17" t="n">
        <f aca="false">ROUND(I50-J50-K50,2)</f>
        <v>84679.68</v>
      </c>
      <c r="M50" s="17" t="n">
        <f aca="false">ROUND(L50*AA50,2)</f>
        <v>1693.59</v>
      </c>
      <c r="N50" s="17" t="n">
        <f aca="false">ROUND(L50*Accounts!R85,2)</f>
        <v>0</v>
      </c>
      <c r="O50" s="17" t="n">
        <f aca="false">ROUND(L50*Accounts!S85,2)</f>
        <v>0</v>
      </c>
      <c r="P50" s="17" t="n">
        <f aca="false">ROUND(L50*Accounts!T85,2)</f>
        <v>0</v>
      </c>
      <c r="Q50" s="17" t="n">
        <f aca="false">ROUND(L50*Accounts!U85,2)</f>
        <v>0</v>
      </c>
      <c r="R50" s="17" t="n">
        <f aca="false">ROUND(L50*Accounts!V85,2)</f>
        <v>508.08</v>
      </c>
      <c r="S50" s="17" t="n">
        <f aca="false">ROUND(L50*Accounts!W85,2)</f>
        <v>423.4</v>
      </c>
      <c r="T50" s="17" t="n">
        <f aca="false">ROUND(L50-SUM(M50:S50),2)</f>
        <v>82054.61</v>
      </c>
      <c r="U50" s="17" t="n">
        <f aca="false">ROUND(F50*H50,2)</f>
        <v>46488</v>
      </c>
      <c r="V50" s="17" t="n">
        <f aca="false">ROUND(L50*Assumptions!$C$25,2)</f>
        <v>1693.59</v>
      </c>
      <c r="W50" s="17" t="n">
        <f aca="false">ROUND(T50-U50-V50,2)</f>
        <v>33873.02</v>
      </c>
      <c r="X50" s="28" t="n">
        <f aca="false">T50/I50</f>
        <v>0.930240000906947</v>
      </c>
      <c r="Y50" s="17" t="n">
        <f aca="false">T50/F50</f>
        <v>137.675520134228</v>
      </c>
      <c r="Z50" s="26" t="n">
        <f aca="false">Accounts!H85</f>
        <v>3298</v>
      </c>
      <c r="AA50" s="28" t="n">
        <f aca="false">IF(Z50&gt;=Assumptions!$B$44,Assumptions!$C$44,IF(Z50&gt;=Assumptions!$B$45,Assumptions!$C$45,IF(Z50&gt;=Assumptions!$B$46,Assumptions!$C$46,Assumptions!$C$47)))</f>
        <v>0.02</v>
      </c>
      <c r="AB50" s="26" t="n">
        <f aca="false">IF(Z50&gt;=Assumptions!$B$44,Assumptions!$B$44,IF(Z50&gt;=Assumptions!$B$45,Assumptions!$B$45,IF(Z50&gt;=Assumptions!$B$46,Assumptions!$B$46,0)))</f>
        <v>3000</v>
      </c>
    </row>
    <row r="51" customFormat="false" ht="15" hidden="false" customHeight="false" outlineLevel="0" collapsed="false">
      <c r="B51" s="14" t="s">
        <v>242</v>
      </c>
      <c r="C51" s="14" t="s">
        <v>194</v>
      </c>
      <c r="D51" s="14" t="s">
        <v>243</v>
      </c>
      <c r="E51" s="14" t="s">
        <v>60</v>
      </c>
      <c r="F51" s="26" t="n">
        <f aca="false">Accounts!E92</f>
        <v>627</v>
      </c>
      <c r="G51" s="17" t="n">
        <f aca="false">Assumptions!$D$8</f>
        <v>148</v>
      </c>
      <c r="H51" s="17" t="n">
        <f aca="false">Assumptions!$E$8</f>
        <v>78</v>
      </c>
      <c r="I51" s="17" t="n">
        <f aca="false">ROUND(F51*G51,2)</f>
        <v>92796</v>
      </c>
      <c r="J51" s="17" t="n">
        <f aca="false">ROUND(I51*Accounts!O92,2)</f>
        <v>3711.84</v>
      </c>
      <c r="K51" s="17" t="n">
        <f aca="false">ROUND(I51*Accounts!L92,2)</f>
        <v>0</v>
      </c>
      <c r="L51" s="17" t="n">
        <f aca="false">ROUND(I51-J51-K51,2)</f>
        <v>89084.16</v>
      </c>
      <c r="M51" s="17" t="n">
        <f aca="false">ROUND(L51*AA51,2)</f>
        <v>0</v>
      </c>
      <c r="N51" s="17" t="n">
        <f aca="false">ROUND(L51*Accounts!R92,2)</f>
        <v>1781.68</v>
      </c>
      <c r="O51" s="17" t="n">
        <f aca="false">ROUND(L51*Accounts!S92,2)</f>
        <v>0</v>
      </c>
      <c r="P51" s="17" t="n">
        <f aca="false">ROUND(L51*Accounts!T92,2)</f>
        <v>0</v>
      </c>
      <c r="Q51" s="17" t="n">
        <f aca="false">ROUND(L51*Accounts!U92,2)</f>
        <v>0</v>
      </c>
      <c r="R51" s="17" t="n">
        <f aca="false">ROUND(L51*Accounts!V92,2)</f>
        <v>534.5</v>
      </c>
      <c r="S51" s="17" t="n">
        <f aca="false">ROUND(L51*Accounts!W92,2)</f>
        <v>0</v>
      </c>
      <c r="T51" s="17" t="n">
        <f aca="false">ROUND(L51-SUM(M51:S51),2)</f>
        <v>86767.98</v>
      </c>
      <c r="U51" s="17" t="n">
        <f aca="false">ROUND(F51*H51,2)</f>
        <v>48906</v>
      </c>
      <c r="V51" s="17" t="n">
        <f aca="false">ROUND(L51*Assumptions!$C$25,2)</f>
        <v>1781.68</v>
      </c>
      <c r="W51" s="17" t="n">
        <f aca="false">ROUND(T51-U51-V51,2)</f>
        <v>36080.3</v>
      </c>
      <c r="X51" s="28" t="n">
        <f aca="false">T51/I51</f>
        <v>0.935040087934825</v>
      </c>
      <c r="Y51" s="17" t="n">
        <f aca="false">T51/F51</f>
        <v>138.385933014354</v>
      </c>
      <c r="Z51" s="26" t="n">
        <f aca="false">Accounts!H92</f>
        <v>1278</v>
      </c>
      <c r="AA51" s="28" t="n">
        <f aca="false">IF(Z51&gt;=Assumptions!$B$44,Assumptions!$C$44,IF(Z51&gt;=Assumptions!$B$45,Assumptions!$C$45,IF(Z51&gt;=Assumptions!$B$46,Assumptions!$C$46,Assumptions!$C$47)))</f>
        <v>0</v>
      </c>
      <c r="AB51" s="26" t="n">
        <f aca="false">IF(Z51&gt;=Assumptions!$B$44,Assumptions!$B$44,IF(Z51&gt;=Assumptions!$B$45,Assumptions!$B$45,IF(Z51&gt;=Assumptions!$B$46,Assumptions!$B$46,0)))</f>
        <v>0</v>
      </c>
    </row>
    <row r="52" customFormat="false" ht="15" hidden="false" customHeight="false" outlineLevel="0" collapsed="false">
      <c r="B52" s="14" t="s">
        <v>250</v>
      </c>
      <c r="C52" s="14" t="s">
        <v>194</v>
      </c>
      <c r="D52" s="14" t="s">
        <v>251</v>
      </c>
      <c r="E52" s="14" t="s">
        <v>60</v>
      </c>
      <c r="F52" s="26" t="n">
        <f aca="false">Accounts!E99</f>
        <v>276</v>
      </c>
      <c r="G52" s="17" t="n">
        <f aca="false">Assumptions!$D$8</f>
        <v>148</v>
      </c>
      <c r="H52" s="17" t="n">
        <f aca="false">Assumptions!$E$8</f>
        <v>78</v>
      </c>
      <c r="I52" s="17" t="n">
        <f aca="false">ROUND(F52*G52,2)</f>
        <v>40848</v>
      </c>
      <c r="J52" s="17" t="n">
        <f aca="false">ROUND(I52*Accounts!O99,2)</f>
        <v>816.96</v>
      </c>
      <c r="K52" s="17" t="n">
        <f aca="false">ROUND(I52*Accounts!L99,2)</f>
        <v>2152.69</v>
      </c>
      <c r="L52" s="17" t="n">
        <f aca="false">ROUND(I52-J52-K52,2)</f>
        <v>37878.35</v>
      </c>
      <c r="M52" s="17" t="n">
        <f aca="false">ROUND(L52*AA52,2)</f>
        <v>0</v>
      </c>
      <c r="N52" s="17" t="n">
        <f aca="false">ROUND(L52*Accounts!R99,2)</f>
        <v>757.57</v>
      </c>
      <c r="O52" s="17" t="n">
        <f aca="false">ROUND(L52*Accounts!S99,2)</f>
        <v>568.18</v>
      </c>
      <c r="P52" s="17" t="n">
        <f aca="false">ROUND(L52*Accounts!T99,2)</f>
        <v>0</v>
      </c>
      <c r="Q52" s="17" t="n">
        <f aca="false">ROUND(L52*Accounts!U99,2)</f>
        <v>0</v>
      </c>
      <c r="R52" s="17" t="n">
        <f aca="false">ROUND(L52*Accounts!V99,2)</f>
        <v>227.27</v>
      </c>
      <c r="S52" s="17" t="n">
        <f aca="false">ROUND(L52*Accounts!W99,2)</f>
        <v>0</v>
      </c>
      <c r="T52" s="17" t="n">
        <f aca="false">ROUND(L52-SUM(M52:S52),2)</f>
        <v>36325.33</v>
      </c>
      <c r="U52" s="17" t="n">
        <f aca="false">ROUND(F52*H52,2)</f>
        <v>21528</v>
      </c>
      <c r="V52" s="17" t="n">
        <f aca="false">ROUND(L52*Assumptions!$C$25,2)</f>
        <v>757.57</v>
      </c>
      <c r="W52" s="17" t="n">
        <f aca="false">ROUND(T52-U52-V52,2)</f>
        <v>14039.76</v>
      </c>
      <c r="X52" s="28" t="n">
        <f aca="false">T52/I52</f>
        <v>0.889280503329416</v>
      </c>
      <c r="Y52" s="17" t="n">
        <f aca="false">T52/F52</f>
        <v>131.613514492754</v>
      </c>
      <c r="Z52" s="26" t="n">
        <f aca="false">Accounts!H99</f>
        <v>1335</v>
      </c>
      <c r="AA52" s="28" t="n">
        <f aca="false">IF(Z52&gt;=Assumptions!$B$44,Assumptions!$C$44,IF(Z52&gt;=Assumptions!$B$45,Assumptions!$C$45,IF(Z52&gt;=Assumptions!$B$46,Assumptions!$C$46,Assumptions!$C$47)))</f>
        <v>0</v>
      </c>
      <c r="AB52" s="26" t="n">
        <f aca="false">IF(Z52&gt;=Assumptions!$B$44,Assumptions!$B$44,IF(Z52&gt;=Assumptions!$B$45,Assumptions!$B$45,IF(Z52&gt;=Assumptions!$B$46,Assumptions!$B$46,0)))</f>
        <v>0</v>
      </c>
    </row>
    <row r="53" customFormat="false" ht="15" hidden="false" customHeight="false" outlineLevel="0" collapsed="false">
      <c r="B53" s="14" t="s">
        <v>203</v>
      </c>
      <c r="C53" s="14" t="s">
        <v>194</v>
      </c>
      <c r="D53" s="14" t="s">
        <v>174</v>
      </c>
      <c r="E53" s="14" t="s">
        <v>60</v>
      </c>
      <c r="F53" s="26" t="n">
        <f aca="false">Accounts!E55</f>
        <v>893</v>
      </c>
      <c r="G53" s="17" t="n">
        <f aca="false">Assumptions!$D$8</f>
        <v>148</v>
      </c>
      <c r="H53" s="17" t="n">
        <f aca="false">Assumptions!$E$8</f>
        <v>78</v>
      </c>
      <c r="I53" s="17" t="n">
        <f aca="false">ROUND(F53*G53,2)</f>
        <v>132164</v>
      </c>
      <c r="J53" s="17" t="n">
        <f aca="false">ROUND(I53*Accounts!O55,2)</f>
        <v>5286.56</v>
      </c>
      <c r="K53" s="17" t="n">
        <f aca="false">ROUND(I53*Accounts!L55,2)</f>
        <v>0</v>
      </c>
      <c r="L53" s="17" t="n">
        <f aca="false">ROUND(I53-J53-K53,2)</f>
        <v>126877.44</v>
      </c>
      <c r="M53" s="17" t="n">
        <f aca="false">ROUND(L53*AA53,2)</f>
        <v>2537.55</v>
      </c>
      <c r="N53" s="17" t="n">
        <f aca="false">ROUND(L53*Accounts!R55,2)</f>
        <v>2537.55</v>
      </c>
      <c r="O53" s="17" t="n">
        <f aca="false">ROUND(L53*Accounts!S55,2)</f>
        <v>0</v>
      </c>
      <c r="P53" s="17" t="n">
        <f aca="false">ROUND(L53*Accounts!T55,2)</f>
        <v>0</v>
      </c>
      <c r="Q53" s="17" t="n">
        <f aca="false">ROUND(L53*Accounts!U55,2)</f>
        <v>0</v>
      </c>
      <c r="R53" s="17" t="n">
        <f aca="false">ROUND(L53*Accounts!V55,2)</f>
        <v>761.26</v>
      </c>
      <c r="S53" s="17" t="n">
        <f aca="false">ROUND(L53*Accounts!W55,2)</f>
        <v>634.39</v>
      </c>
      <c r="T53" s="17" t="n">
        <f aca="false">ROUND(L53-SUM(M53:S53),2)</f>
        <v>120406.69</v>
      </c>
      <c r="U53" s="17" t="n">
        <f aca="false">ROUND(F53*H53,2)</f>
        <v>69654</v>
      </c>
      <c r="V53" s="17" t="n">
        <f aca="false">ROUND(L53*Assumptions!$C$25,2)</f>
        <v>2537.55</v>
      </c>
      <c r="W53" s="17" t="n">
        <f aca="false">ROUND(T53-U53-V53,2)</f>
        <v>48215.14</v>
      </c>
      <c r="X53" s="28" t="n">
        <f aca="false">T53/I53</f>
        <v>0.91103999576284</v>
      </c>
      <c r="Y53" s="17" t="n">
        <f aca="false">T53/F53</f>
        <v>134.8339193729</v>
      </c>
      <c r="Z53" s="26" t="n">
        <f aca="false">Accounts!H55</f>
        <v>4235</v>
      </c>
      <c r="AA53" s="28" t="n">
        <f aca="false">IF(Z53&gt;=Assumptions!$B$44,Assumptions!$C$44,IF(Z53&gt;=Assumptions!$B$45,Assumptions!$C$45,IF(Z53&gt;=Assumptions!$B$46,Assumptions!$C$46,Assumptions!$C$47)))</f>
        <v>0.02</v>
      </c>
      <c r="AB53" s="26" t="n">
        <f aca="false">IF(Z53&gt;=Assumptions!$B$44,Assumptions!$B$44,IF(Z53&gt;=Assumptions!$B$45,Assumptions!$B$45,IF(Z53&gt;=Assumptions!$B$46,Assumptions!$B$46,0)))</f>
        <v>3000</v>
      </c>
    </row>
    <row r="54" customFormat="false" ht="15" hidden="false" customHeight="false" outlineLevel="0" collapsed="false">
      <c r="B54" s="14" t="s">
        <v>211</v>
      </c>
      <c r="C54" s="14" t="s">
        <v>194</v>
      </c>
      <c r="D54" s="14" t="s">
        <v>184</v>
      </c>
      <c r="E54" s="14" t="s">
        <v>60</v>
      </c>
      <c r="F54" s="26" t="n">
        <f aca="false">Accounts!E63</f>
        <v>765</v>
      </c>
      <c r="G54" s="17" t="n">
        <f aca="false">Assumptions!$D$8</f>
        <v>148</v>
      </c>
      <c r="H54" s="17" t="n">
        <f aca="false">Assumptions!$E$8</f>
        <v>78</v>
      </c>
      <c r="I54" s="17" t="n">
        <f aca="false">ROUND(F54*G54,2)</f>
        <v>113220</v>
      </c>
      <c r="J54" s="17" t="n">
        <f aca="false">ROUND(I54*Accounts!O63,2)</f>
        <v>4528.8</v>
      </c>
      <c r="K54" s="17" t="n">
        <f aca="false">ROUND(I54*Accounts!L63,2)</f>
        <v>1052.95</v>
      </c>
      <c r="L54" s="17" t="n">
        <f aca="false">ROUND(I54-J54-K54,2)</f>
        <v>107638.25</v>
      </c>
      <c r="M54" s="17" t="n">
        <f aca="false">ROUND(L54*AA54,2)</f>
        <v>2152.77</v>
      </c>
      <c r="N54" s="17" t="n">
        <f aca="false">ROUND(L54*Accounts!R63,2)</f>
        <v>0</v>
      </c>
      <c r="O54" s="17" t="n">
        <f aca="false">ROUND(L54*Accounts!S63,2)</f>
        <v>0</v>
      </c>
      <c r="P54" s="17" t="n">
        <f aca="false">ROUND(L54*Accounts!T63,2)</f>
        <v>0</v>
      </c>
      <c r="Q54" s="17" t="n">
        <f aca="false">ROUND(L54*Accounts!U63,2)</f>
        <v>0</v>
      </c>
      <c r="R54" s="17" t="n">
        <f aca="false">ROUND(L54*Accounts!V63,2)</f>
        <v>645.83</v>
      </c>
      <c r="S54" s="17" t="n">
        <f aca="false">ROUND(L54*Accounts!W63,2)</f>
        <v>0</v>
      </c>
      <c r="T54" s="17" t="n">
        <f aca="false">ROUND(L54-SUM(M54:S54),2)</f>
        <v>104839.65</v>
      </c>
      <c r="U54" s="17" t="n">
        <f aca="false">ROUND(F54*H54,2)</f>
        <v>59670</v>
      </c>
      <c r="V54" s="17" t="n">
        <f aca="false">ROUND(L54*Assumptions!$C$25,2)</f>
        <v>2152.77</v>
      </c>
      <c r="W54" s="17" t="n">
        <f aca="false">ROUND(T54-U54-V54,2)</f>
        <v>43016.88</v>
      </c>
      <c r="X54" s="28" t="n">
        <f aca="false">T54/I54</f>
        <v>0.925981717011129</v>
      </c>
      <c r="Y54" s="17" t="n">
        <f aca="false">T54/F54</f>
        <v>137.045294117647</v>
      </c>
      <c r="Z54" s="26" t="n">
        <f aca="false">Accounts!H63</f>
        <v>4445</v>
      </c>
      <c r="AA54" s="28" t="n">
        <f aca="false">IF(Z54&gt;=Assumptions!$B$44,Assumptions!$C$44,IF(Z54&gt;=Assumptions!$B$45,Assumptions!$C$45,IF(Z54&gt;=Assumptions!$B$46,Assumptions!$C$46,Assumptions!$C$47)))</f>
        <v>0.02</v>
      </c>
      <c r="AB54" s="26" t="n">
        <f aca="false">IF(Z54&gt;=Assumptions!$B$44,Assumptions!$B$44,IF(Z54&gt;=Assumptions!$B$45,Assumptions!$B$45,IF(Z54&gt;=Assumptions!$B$46,Assumptions!$B$46,0)))</f>
        <v>3000</v>
      </c>
    </row>
    <row r="55" customFormat="false" ht="15" hidden="false" customHeight="false" outlineLevel="0" collapsed="false">
      <c r="B55" s="14" t="s">
        <v>228</v>
      </c>
      <c r="C55" s="14" t="s">
        <v>194</v>
      </c>
      <c r="D55" s="14" t="s">
        <v>227</v>
      </c>
      <c r="E55" s="14" t="s">
        <v>60</v>
      </c>
      <c r="F55" s="26" t="n">
        <f aca="false">Accounts!E79</f>
        <v>328</v>
      </c>
      <c r="G55" s="17" t="n">
        <f aca="false">Assumptions!$D$8</f>
        <v>148</v>
      </c>
      <c r="H55" s="17" t="n">
        <f aca="false">Assumptions!$E$8</f>
        <v>78</v>
      </c>
      <c r="I55" s="17" t="n">
        <f aca="false">ROUND(F55*G55,2)</f>
        <v>48544</v>
      </c>
      <c r="J55" s="17" t="n">
        <f aca="false">ROUND(I55*Accounts!O79,2)</f>
        <v>970.88</v>
      </c>
      <c r="K55" s="17" t="n">
        <f aca="false">ROUND(I55*Accounts!L79,2)</f>
        <v>2257.3</v>
      </c>
      <c r="L55" s="17" t="n">
        <f aca="false">ROUND(I55-J55-K55,2)</f>
        <v>45315.82</v>
      </c>
      <c r="M55" s="17" t="n">
        <f aca="false">ROUND(L55*AA55,2)</f>
        <v>0</v>
      </c>
      <c r="N55" s="17" t="n">
        <f aca="false">ROUND(L55*Accounts!R79,2)</f>
        <v>906.32</v>
      </c>
      <c r="O55" s="17" t="n">
        <f aca="false">ROUND(L55*Accounts!S79,2)</f>
        <v>0</v>
      </c>
      <c r="P55" s="17" t="n">
        <f aca="false">ROUND(L55*Accounts!T79,2)</f>
        <v>0</v>
      </c>
      <c r="Q55" s="17" t="n">
        <f aca="false">ROUND(L55*Accounts!U79,2)</f>
        <v>0</v>
      </c>
      <c r="R55" s="17" t="n">
        <f aca="false">ROUND(L55*Accounts!V79,2)</f>
        <v>271.89</v>
      </c>
      <c r="S55" s="17" t="n">
        <f aca="false">ROUND(L55*Accounts!W79,2)</f>
        <v>226.58</v>
      </c>
      <c r="T55" s="17" t="n">
        <f aca="false">ROUND(L55-SUM(M55:S55),2)</f>
        <v>43911.03</v>
      </c>
      <c r="U55" s="17" t="n">
        <f aca="false">ROUND(F55*H55,2)</f>
        <v>25584</v>
      </c>
      <c r="V55" s="17" t="n">
        <f aca="false">ROUND(L55*Assumptions!$C$25,2)</f>
        <v>906.32</v>
      </c>
      <c r="W55" s="17" t="n">
        <f aca="false">ROUND(T55-U55-V55,2)</f>
        <v>17420.71</v>
      </c>
      <c r="X55" s="28" t="n">
        <f aca="false">T55/I55</f>
        <v>0.904561428806856</v>
      </c>
      <c r="Y55" s="17" t="n">
        <f aca="false">T55/F55</f>
        <v>133.875091463415</v>
      </c>
      <c r="Z55" s="26" t="n">
        <f aca="false">Accounts!H79</f>
        <v>2694</v>
      </c>
      <c r="AA55" s="28" t="n">
        <f aca="false">IF(Z55&gt;=Assumptions!$B$44,Assumptions!$C$44,IF(Z55&gt;=Assumptions!$B$45,Assumptions!$C$45,IF(Z55&gt;=Assumptions!$B$46,Assumptions!$C$46,Assumptions!$C$47)))</f>
        <v>0</v>
      </c>
      <c r="AB55" s="26" t="n">
        <f aca="false">IF(Z55&gt;=Assumptions!$B$44,Assumptions!$B$44,IF(Z55&gt;=Assumptions!$B$45,Assumptions!$B$45,IF(Z55&gt;=Assumptions!$B$46,Assumptions!$B$46,0)))</f>
        <v>0</v>
      </c>
    </row>
    <row r="56" customFormat="false" ht="15" hidden="false" customHeight="false" outlineLevel="0" collapsed="false">
      <c r="B56" s="14" t="s">
        <v>236</v>
      </c>
      <c r="C56" s="14" t="s">
        <v>194</v>
      </c>
      <c r="D56" s="14" t="s">
        <v>235</v>
      </c>
      <c r="E56" s="14" t="s">
        <v>60</v>
      </c>
      <c r="F56" s="26" t="n">
        <f aca="false">Accounts!E86</f>
        <v>269</v>
      </c>
      <c r="G56" s="17" t="n">
        <f aca="false">Assumptions!$D$8</f>
        <v>148</v>
      </c>
      <c r="H56" s="17" t="n">
        <f aca="false">Assumptions!$E$8</f>
        <v>78</v>
      </c>
      <c r="I56" s="17" t="n">
        <f aca="false">ROUND(F56*G56,2)</f>
        <v>39812</v>
      </c>
      <c r="J56" s="17" t="n">
        <f aca="false">ROUND(I56*Accounts!O86,2)</f>
        <v>1592.48</v>
      </c>
      <c r="K56" s="17" t="n">
        <f aca="false">ROUND(I56*Accounts!L86,2)</f>
        <v>1727.84</v>
      </c>
      <c r="L56" s="17" t="n">
        <f aca="false">ROUND(I56-J56-K56,2)</f>
        <v>36491.68</v>
      </c>
      <c r="M56" s="17" t="n">
        <f aca="false">ROUND(L56*AA56,2)</f>
        <v>0</v>
      </c>
      <c r="N56" s="17" t="n">
        <f aca="false">ROUND(L56*Accounts!R86,2)</f>
        <v>729.83</v>
      </c>
      <c r="O56" s="17" t="n">
        <f aca="false">ROUND(L56*Accounts!S86,2)</f>
        <v>0</v>
      </c>
      <c r="P56" s="17" t="n">
        <f aca="false">ROUND(L56*Accounts!T86,2)</f>
        <v>0</v>
      </c>
      <c r="Q56" s="17" t="n">
        <f aca="false">ROUND(L56*Accounts!U86,2)</f>
        <v>0</v>
      </c>
      <c r="R56" s="17" t="n">
        <f aca="false">ROUND(L56*Accounts!V86,2)</f>
        <v>218.95</v>
      </c>
      <c r="S56" s="17" t="n">
        <f aca="false">ROUND(L56*Accounts!W86,2)</f>
        <v>0</v>
      </c>
      <c r="T56" s="17" t="n">
        <f aca="false">ROUND(L56-SUM(M56:S56),2)</f>
        <v>35542.9</v>
      </c>
      <c r="U56" s="17" t="n">
        <f aca="false">ROUND(F56*H56,2)</f>
        <v>20982</v>
      </c>
      <c r="V56" s="17" t="n">
        <f aca="false">ROUND(L56*Assumptions!$C$25,2)</f>
        <v>729.83</v>
      </c>
      <c r="W56" s="17" t="n">
        <f aca="false">ROUND(T56-U56-V56,2)</f>
        <v>13831.07</v>
      </c>
      <c r="X56" s="28" t="n">
        <f aca="false">T56/I56</f>
        <v>0.89276851200643</v>
      </c>
      <c r="Y56" s="17" t="n">
        <f aca="false">T56/F56</f>
        <v>132.129739776952</v>
      </c>
      <c r="Z56" s="26" t="n">
        <f aca="false">Accounts!H86</f>
        <v>1774</v>
      </c>
      <c r="AA56" s="28" t="n">
        <f aca="false">IF(Z56&gt;=Assumptions!$B$44,Assumptions!$C$44,IF(Z56&gt;=Assumptions!$B$45,Assumptions!$C$45,IF(Z56&gt;=Assumptions!$B$46,Assumptions!$C$46,Assumptions!$C$47)))</f>
        <v>0</v>
      </c>
      <c r="AB56" s="26" t="n">
        <f aca="false">IF(Z56&gt;=Assumptions!$B$44,Assumptions!$B$44,IF(Z56&gt;=Assumptions!$B$45,Assumptions!$B$45,IF(Z56&gt;=Assumptions!$B$46,Assumptions!$B$46,0)))</f>
        <v>0</v>
      </c>
    </row>
    <row r="57" customFormat="false" ht="15" hidden="false" customHeight="false" outlineLevel="0" collapsed="false">
      <c r="B57" s="14" t="s">
        <v>244</v>
      </c>
      <c r="C57" s="14" t="s">
        <v>194</v>
      </c>
      <c r="D57" s="14" t="s">
        <v>243</v>
      </c>
      <c r="E57" s="14" t="s">
        <v>60</v>
      </c>
      <c r="F57" s="26" t="n">
        <f aca="false">Accounts!E93</f>
        <v>383</v>
      </c>
      <c r="G57" s="17" t="n">
        <f aca="false">Assumptions!$D$8</f>
        <v>148</v>
      </c>
      <c r="H57" s="17" t="n">
        <f aca="false">Assumptions!$E$8</f>
        <v>78</v>
      </c>
      <c r="I57" s="17" t="n">
        <f aca="false">ROUND(F57*G57,2)</f>
        <v>56684</v>
      </c>
      <c r="J57" s="17" t="n">
        <f aca="false">ROUND(I57*Accounts!O93,2)</f>
        <v>2267.36</v>
      </c>
      <c r="K57" s="17" t="n">
        <f aca="false">ROUND(I57*Accounts!L93,2)</f>
        <v>5095.89</v>
      </c>
      <c r="L57" s="17" t="n">
        <f aca="false">ROUND(I57-J57-K57,2)</f>
        <v>49320.75</v>
      </c>
      <c r="M57" s="17" t="n">
        <f aca="false">ROUND(L57*AA57,2)</f>
        <v>0</v>
      </c>
      <c r="N57" s="17" t="n">
        <f aca="false">ROUND(L57*Accounts!R93,2)</f>
        <v>0</v>
      </c>
      <c r="O57" s="17" t="n">
        <f aca="false">ROUND(L57*Accounts!S93,2)</f>
        <v>0</v>
      </c>
      <c r="P57" s="17" t="n">
        <f aca="false">ROUND(L57*Accounts!T93,2)</f>
        <v>0</v>
      </c>
      <c r="Q57" s="17" t="n">
        <f aca="false">ROUND(L57*Accounts!U93,2)</f>
        <v>0</v>
      </c>
      <c r="R57" s="17" t="n">
        <f aca="false">ROUND(L57*Accounts!V93,2)</f>
        <v>295.92</v>
      </c>
      <c r="S57" s="17" t="n">
        <f aca="false">ROUND(L57*Accounts!W93,2)</f>
        <v>246.6</v>
      </c>
      <c r="T57" s="17" t="n">
        <f aca="false">ROUND(L57-SUM(M57:S57),2)</f>
        <v>48778.23</v>
      </c>
      <c r="U57" s="17" t="n">
        <f aca="false">ROUND(F57*H57,2)</f>
        <v>29874</v>
      </c>
      <c r="V57" s="17" t="n">
        <f aca="false">ROUND(L57*Assumptions!$C$25,2)</f>
        <v>986.42</v>
      </c>
      <c r="W57" s="17" t="n">
        <f aca="false">ROUND(T57-U57-V57,2)</f>
        <v>17917.81</v>
      </c>
      <c r="X57" s="28" t="n">
        <f aca="false">T57/I57</f>
        <v>0.860529073459883</v>
      </c>
      <c r="Y57" s="17" t="n">
        <f aca="false">T57/F57</f>
        <v>127.358302872063</v>
      </c>
      <c r="Z57" s="26" t="n">
        <f aca="false">Accounts!H93</f>
        <v>1912</v>
      </c>
      <c r="AA57" s="28" t="n">
        <f aca="false">IF(Z57&gt;=Assumptions!$B$44,Assumptions!$C$44,IF(Z57&gt;=Assumptions!$B$45,Assumptions!$C$45,IF(Z57&gt;=Assumptions!$B$46,Assumptions!$C$46,Assumptions!$C$47)))</f>
        <v>0</v>
      </c>
      <c r="AB57" s="26" t="n">
        <f aca="false">IF(Z57&gt;=Assumptions!$B$44,Assumptions!$B$44,IF(Z57&gt;=Assumptions!$B$45,Assumptions!$B$45,IF(Z57&gt;=Assumptions!$B$46,Assumptions!$B$46,0)))</f>
        <v>0</v>
      </c>
    </row>
    <row r="58" customFormat="false" ht="15" hidden="false" customHeight="false" outlineLevel="0" collapsed="false">
      <c r="B58" s="14" t="s">
        <v>252</v>
      </c>
      <c r="C58" s="14" t="s">
        <v>194</v>
      </c>
      <c r="D58" s="14" t="s">
        <v>251</v>
      </c>
      <c r="E58" s="14" t="s">
        <v>60</v>
      </c>
      <c r="F58" s="26" t="n">
        <f aca="false">Accounts!E100</f>
        <v>177</v>
      </c>
      <c r="G58" s="17" t="n">
        <f aca="false">Assumptions!$D$8</f>
        <v>148</v>
      </c>
      <c r="H58" s="17" t="n">
        <f aca="false">Assumptions!$E$8</f>
        <v>78</v>
      </c>
      <c r="I58" s="17" t="n">
        <f aca="false">ROUND(F58*G58,2)</f>
        <v>26196</v>
      </c>
      <c r="J58" s="17" t="n">
        <f aca="false">ROUND(I58*Accounts!O100,2)</f>
        <v>523.92</v>
      </c>
      <c r="K58" s="17" t="n">
        <f aca="false">ROUND(I58*Accounts!L100,2)</f>
        <v>1705.36</v>
      </c>
      <c r="L58" s="17" t="n">
        <f aca="false">ROUND(I58-J58-K58,2)</f>
        <v>23966.72</v>
      </c>
      <c r="M58" s="17" t="n">
        <f aca="false">ROUND(L58*AA58,2)</f>
        <v>0</v>
      </c>
      <c r="N58" s="17" t="n">
        <f aca="false">ROUND(L58*Accounts!R100,2)</f>
        <v>0</v>
      </c>
      <c r="O58" s="17" t="n">
        <f aca="false">ROUND(L58*Accounts!S100,2)</f>
        <v>0</v>
      </c>
      <c r="P58" s="17" t="n">
        <f aca="false">ROUND(L58*Accounts!T100,2)</f>
        <v>0</v>
      </c>
      <c r="Q58" s="17" t="n">
        <f aca="false">ROUND(L58*Accounts!U100,2)</f>
        <v>0</v>
      </c>
      <c r="R58" s="17" t="n">
        <f aca="false">ROUND(L58*Accounts!V100,2)</f>
        <v>143.8</v>
      </c>
      <c r="S58" s="17" t="n">
        <f aca="false">ROUND(L58*Accounts!W100,2)</f>
        <v>119.83</v>
      </c>
      <c r="T58" s="17" t="n">
        <f aca="false">ROUND(L58-SUM(M58:S58),2)</f>
        <v>23703.09</v>
      </c>
      <c r="U58" s="17" t="n">
        <f aca="false">ROUND(F58*H58,2)</f>
        <v>13806</v>
      </c>
      <c r="V58" s="17" t="n">
        <f aca="false">ROUND(L58*Assumptions!$C$25,2)</f>
        <v>479.33</v>
      </c>
      <c r="W58" s="17" t="n">
        <f aca="false">ROUND(T58-U58-V58,2)</f>
        <v>9417.76</v>
      </c>
      <c r="X58" s="28" t="n">
        <f aca="false">T58/I58</f>
        <v>0.904836234539624</v>
      </c>
      <c r="Y58" s="17" t="n">
        <f aca="false">T58/F58</f>
        <v>133.915762711864</v>
      </c>
      <c r="Z58" s="26" t="n">
        <f aca="false">Accounts!H100</f>
        <v>1331</v>
      </c>
      <c r="AA58" s="28" t="n">
        <f aca="false">IF(Z58&gt;=Assumptions!$B$44,Assumptions!$C$44,IF(Z58&gt;=Assumptions!$B$45,Assumptions!$C$45,IF(Z58&gt;=Assumptions!$B$46,Assumptions!$C$46,Assumptions!$C$47)))</f>
        <v>0</v>
      </c>
      <c r="AB58" s="26" t="n">
        <f aca="false">IF(Z58&gt;=Assumptions!$B$44,Assumptions!$B$44,IF(Z58&gt;=Assumptions!$B$45,Assumptions!$B$45,IF(Z58&gt;=Assumptions!$B$46,Assumptions!$B$46,0)))</f>
        <v>0</v>
      </c>
    </row>
    <row r="59" customFormat="false" ht="15" hidden="false" customHeight="false" outlineLevel="0" collapsed="false">
      <c r="B59" s="14" t="s">
        <v>196</v>
      </c>
      <c r="C59" s="14" t="s">
        <v>194</v>
      </c>
      <c r="D59" s="14" t="s">
        <v>163</v>
      </c>
      <c r="E59" s="14" t="s">
        <v>60</v>
      </c>
      <c r="F59" s="26" t="n">
        <f aca="false">Accounts!E48</f>
        <v>1553</v>
      </c>
      <c r="G59" s="17" t="n">
        <f aca="false">Assumptions!$D$8</f>
        <v>148</v>
      </c>
      <c r="H59" s="17" t="n">
        <f aca="false">Assumptions!$E$8</f>
        <v>78</v>
      </c>
      <c r="I59" s="17" t="n">
        <f aca="false">ROUND(F59*G59,2)</f>
        <v>229844</v>
      </c>
      <c r="J59" s="17" t="n">
        <f aca="false">ROUND(I59*Accounts!O48,2)</f>
        <v>9193.76</v>
      </c>
      <c r="K59" s="17" t="n">
        <f aca="false">ROUND(I59*Accounts!L48,2)</f>
        <v>21375.49</v>
      </c>
      <c r="L59" s="17" t="n">
        <f aca="false">ROUND(I59-J59-K59,2)</f>
        <v>199274.75</v>
      </c>
      <c r="M59" s="17" t="n">
        <f aca="false">ROUND(L59*AA59,2)</f>
        <v>3985.5</v>
      </c>
      <c r="N59" s="17" t="n">
        <f aca="false">ROUND(L59*Accounts!R48,2)</f>
        <v>0</v>
      </c>
      <c r="O59" s="17" t="n">
        <f aca="false">ROUND(L59*Accounts!S48,2)</f>
        <v>2989.12</v>
      </c>
      <c r="P59" s="17" t="n">
        <f aca="false">ROUND(L59*Accounts!T48,2)</f>
        <v>0</v>
      </c>
      <c r="Q59" s="17" t="n">
        <f aca="false">ROUND(L59*Accounts!U48,2)</f>
        <v>0</v>
      </c>
      <c r="R59" s="17" t="n">
        <f aca="false">ROUND(L59*Accounts!V48,2)</f>
        <v>1195.65</v>
      </c>
      <c r="S59" s="17" t="n">
        <f aca="false">ROUND(L59*Accounts!W48,2)</f>
        <v>996.37</v>
      </c>
      <c r="T59" s="17" t="n">
        <f aca="false">ROUND(L59-SUM(M59:S59),2)</f>
        <v>190108.11</v>
      </c>
      <c r="U59" s="17" t="n">
        <f aca="false">ROUND(F59*H59,2)</f>
        <v>121134</v>
      </c>
      <c r="V59" s="17" t="n">
        <f aca="false">ROUND(L59*Assumptions!$C$25,2)</f>
        <v>3985.5</v>
      </c>
      <c r="W59" s="17" t="n">
        <f aca="false">ROUND(T59-U59-V59,2)</f>
        <v>64988.61</v>
      </c>
      <c r="X59" s="28" t="n">
        <f aca="false">T59/I59</f>
        <v>0.827118001775117</v>
      </c>
      <c r="Y59" s="17" t="n">
        <f aca="false">T59/F59</f>
        <v>122.413464262717</v>
      </c>
      <c r="Z59" s="26" t="n">
        <f aca="false">Accounts!H48</f>
        <v>3686</v>
      </c>
      <c r="AA59" s="28" t="n">
        <f aca="false">IF(Z59&gt;=Assumptions!$B$44,Assumptions!$C$44,IF(Z59&gt;=Assumptions!$B$45,Assumptions!$C$45,IF(Z59&gt;=Assumptions!$B$46,Assumptions!$C$46,Assumptions!$C$47)))</f>
        <v>0.02</v>
      </c>
      <c r="AB59" s="26" t="n">
        <f aca="false">IF(Z59&gt;=Assumptions!$B$44,Assumptions!$B$44,IF(Z59&gt;=Assumptions!$B$45,Assumptions!$B$45,IF(Z59&gt;=Assumptions!$B$46,Assumptions!$B$46,0)))</f>
        <v>3000</v>
      </c>
    </row>
    <row r="60" customFormat="false" ht="15" hidden="false" customHeight="false" outlineLevel="0" collapsed="false">
      <c r="B60" s="14" t="s">
        <v>212</v>
      </c>
      <c r="C60" s="14" t="s">
        <v>194</v>
      </c>
      <c r="D60" s="14" t="s">
        <v>184</v>
      </c>
      <c r="E60" s="14" t="s">
        <v>60</v>
      </c>
      <c r="F60" s="26" t="n">
        <f aca="false">Accounts!E64</f>
        <v>397</v>
      </c>
      <c r="G60" s="17" t="n">
        <f aca="false">Assumptions!$D$8</f>
        <v>148</v>
      </c>
      <c r="H60" s="17" t="n">
        <f aca="false">Assumptions!$E$8</f>
        <v>78</v>
      </c>
      <c r="I60" s="17" t="n">
        <f aca="false">ROUND(F60*G60,2)</f>
        <v>58756</v>
      </c>
      <c r="J60" s="17" t="n">
        <f aca="false">ROUND(I60*Accounts!O64,2)</f>
        <v>2350.24</v>
      </c>
      <c r="K60" s="17" t="n">
        <f aca="false">ROUND(I60*Accounts!L64,2)</f>
        <v>1821.44</v>
      </c>
      <c r="L60" s="17" t="n">
        <f aca="false">ROUND(I60-J60-K60,2)</f>
        <v>54584.32</v>
      </c>
      <c r="M60" s="17" t="n">
        <f aca="false">ROUND(L60*AA60,2)</f>
        <v>0</v>
      </c>
      <c r="N60" s="17" t="n">
        <f aca="false">ROUND(L60*Accounts!R64,2)</f>
        <v>0</v>
      </c>
      <c r="O60" s="17" t="n">
        <f aca="false">ROUND(L60*Accounts!S64,2)</f>
        <v>818.76</v>
      </c>
      <c r="P60" s="17" t="n">
        <f aca="false">ROUND(L60*Accounts!T64,2)</f>
        <v>0</v>
      </c>
      <c r="Q60" s="17" t="n">
        <f aca="false">ROUND(L60*Accounts!U64,2)</f>
        <v>0</v>
      </c>
      <c r="R60" s="17" t="n">
        <f aca="false">ROUND(L60*Accounts!V64,2)</f>
        <v>327.51</v>
      </c>
      <c r="S60" s="17" t="n">
        <f aca="false">ROUND(L60*Accounts!W64,2)</f>
        <v>272.92</v>
      </c>
      <c r="T60" s="17" t="n">
        <f aca="false">ROUND(L60-SUM(M60:S60),2)</f>
        <v>53165.13</v>
      </c>
      <c r="U60" s="17" t="n">
        <f aca="false">ROUND(F60*H60,2)</f>
        <v>30966</v>
      </c>
      <c r="V60" s="17" t="n">
        <f aca="false">ROUND(L60*Assumptions!$C$25,2)</f>
        <v>1091.69</v>
      </c>
      <c r="W60" s="17" t="n">
        <f aca="false">ROUND(T60-U60-V60,2)</f>
        <v>21107.44</v>
      </c>
      <c r="X60" s="28" t="n">
        <f aca="false">T60/I60</f>
        <v>0.904845973177207</v>
      </c>
      <c r="Y60" s="17" t="n">
        <f aca="false">T60/F60</f>
        <v>133.917204030227</v>
      </c>
      <c r="Z60" s="26" t="n">
        <f aca="false">Accounts!H64</f>
        <v>2528</v>
      </c>
      <c r="AA60" s="28" t="n">
        <f aca="false">IF(Z60&gt;=Assumptions!$B$44,Assumptions!$C$44,IF(Z60&gt;=Assumptions!$B$45,Assumptions!$C$45,IF(Z60&gt;=Assumptions!$B$46,Assumptions!$C$46,Assumptions!$C$47)))</f>
        <v>0</v>
      </c>
      <c r="AB60" s="26" t="n">
        <f aca="false">IF(Z60&gt;=Assumptions!$B$44,Assumptions!$B$44,IF(Z60&gt;=Assumptions!$B$45,Assumptions!$B$45,IF(Z60&gt;=Assumptions!$B$46,Assumptions!$B$46,0)))</f>
        <v>0</v>
      </c>
    </row>
    <row r="61" customFormat="false" ht="15" hidden="false" customHeight="false" outlineLevel="0" collapsed="false">
      <c r="B61" s="14" t="s">
        <v>220</v>
      </c>
      <c r="C61" s="14" t="s">
        <v>194</v>
      </c>
      <c r="D61" s="14" t="s">
        <v>218</v>
      </c>
      <c r="E61" s="14" t="s">
        <v>60</v>
      </c>
      <c r="F61" s="26" t="n">
        <f aca="false">Accounts!E72</f>
        <v>541</v>
      </c>
      <c r="G61" s="17" t="n">
        <f aca="false">Assumptions!$D$8</f>
        <v>148</v>
      </c>
      <c r="H61" s="17" t="n">
        <f aca="false">Assumptions!$E$8</f>
        <v>78</v>
      </c>
      <c r="I61" s="17" t="n">
        <f aca="false">ROUND(F61*G61,2)</f>
        <v>80068</v>
      </c>
      <c r="J61" s="17" t="n">
        <f aca="false">ROUND(I61*Accounts!O72,2)</f>
        <v>3202.72</v>
      </c>
      <c r="K61" s="17" t="n">
        <f aca="false">ROUND(I61*Accounts!L72,2)</f>
        <v>0</v>
      </c>
      <c r="L61" s="17" t="n">
        <f aca="false">ROUND(I61-J61-K61,2)</f>
        <v>76865.28</v>
      </c>
      <c r="M61" s="17" t="n">
        <f aca="false">ROUND(L61*AA61,2)</f>
        <v>0</v>
      </c>
      <c r="N61" s="17" t="n">
        <f aca="false">ROUND(L61*Accounts!R72,2)</f>
        <v>0</v>
      </c>
      <c r="O61" s="17" t="n">
        <f aca="false">ROUND(L61*Accounts!S72,2)</f>
        <v>0</v>
      </c>
      <c r="P61" s="17" t="n">
        <f aca="false">ROUND(L61*Accounts!T72,2)</f>
        <v>0</v>
      </c>
      <c r="Q61" s="17" t="n">
        <f aca="false">ROUND(L61*Accounts!U72,2)</f>
        <v>0</v>
      </c>
      <c r="R61" s="17" t="n">
        <f aca="false">ROUND(L61*Accounts!V72,2)</f>
        <v>461.19</v>
      </c>
      <c r="S61" s="17" t="n">
        <f aca="false">ROUND(L61*Accounts!W72,2)</f>
        <v>0</v>
      </c>
      <c r="T61" s="17" t="n">
        <f aca="false">ROUND(L61-SUM(M61:S61),2)</f>
        <v>76404.09</v>
      </c>
      <c r="U61" s="17" t="n">
        <f aca="false">ROUND(F61*H61,2)</f>
        <v>42198</v>
      </c>
      <c r="V61" s="17" t="n">
        <f aca="false">ROUND(L61*Assumptions!$C$25,2)</f>
        <v>1537.31</v>
      </c>
      <c r="W61" s="17" t="n">
        <f aca="false">ROUND(T61-U61-V61,2)</f>
        <v>32668.78</v>
      </c>
      <c r="X61" s="28" t="n">
        <f aca="false">T61/I61</f>
        <v>0.954240020982165</v>
      </c>
      <c r="Y61" s="17" t="n">
        <f aca="false">T61/F61</f>
        <v>141.22752310536</v>
      </c>
      <c r="Z61" s="26" t="n">
        <f aca="false">Accounts!H72</f>
        <v>1616</v>
      </c>
      <c r="AA61" s="28" t="n">
        <f aca="false">IF(Z61&gt;=Assumptions!$B$44,Assumptions!$C$44,IF(Z61&gt;=Assumptions!$B$45,Assumptions!$C$45,IF(Z61&gt;=Assumptions!$B$46,Assumptions!$C$46,Assumptions!$C$47)))</f>
        <v>0</v>
      </c>
      <c r="AB61" s="26" t="n">
        <f aca="false">IF(Z61&gt;=Assumptions!$B$44,Assumptions!$B$44,IF(Z61&gt;=Assumptions!$B$45,Assumptions!$B$45,IF(Z61&gt;=Assumptions!$B$46,Assumptions!$B$46,0)))</f>
        <v>0</v>
      </c>
    </row>
    <row r="62" customFormat="false" ht="15" hidden="false" customHeight="false" outlineLevel="0" collapsed="false">
      <c r="B62" s="14" t="s">
        <v>229</v>
      </c>
      <c r="C62" s="14" t="s">
        <v>194</v>
      </c>
      <c r="D62" s="14" t="s">
        <v>227</v>
      </c>
      <c r="E62" s="14" t="s">
        <v>60</v>
      </c>
      <c r="F62" s="26" t="n">
        <f aca="false">Accounts!E80</f>
        <v>331</v>
      </c>
      <c r="G62" s="17" t="n">
        <f aca="false">Assumptions!$D$8</f>
        <v>148</v>
      </c>
      <c r="H62" s="17" t="n">
        <f aca="false">Assumptions!$E$8</f>
        <v>78</v>
      </c>
      <c r="I62" s="17" t="n">
        <f aca="false">ROUND(F62*G62,2)</f>
        <v>48988</v>
      </c>
      <c r="J62" s="17" t="n">
        <f aca="false">ROUND(I62*Accounts!O80,2)</f>
        <v>1959.52</v>
      </c>
      <c r="K62" s="17" t="n">
        <f aca="false">ROUND(I62*Accounts!L80,2)</f>
        <v>3644.71</v>
      </c>
      <c r="L62" s="17" t="n">
        <f aca="false">ROUND(I62-J62-K62,2)</f>
        <v>43383.77</v>
      </c>
      <c r="M62" s="17" t="n">
        <f aca="false">ROUND(L62*AA62,2)</f>
        <v>0</v>
      </c>
      <c r="N62" s="17" t="n">
        <f aca="false">ROUND(L62*Accounts!R80,2)</f>
        <v>0</v>
      </c>
      <c r="O62" s="17" t="n">
        <f aca="false">ROUND(L62*Accounts!S80,2)</f>
        <v>650.76</v>
      </c>
      <c r="P62" s="17" t="n">
        <f aca="false">ROUND(L62*Accounts!T80,2)</f>
        <v>0</v>
      </c>
      <c r="Q62" s="17" t="n">
        <f aca="false">ROUND(L62*Accounts!U80,2)</f>
        <v>0</v>
      </c>
      <c r="R62" s="17" t="n">
        <f aca="false">ROUND(L62*Accounts!V80,2)</f>
        <v>260.3</v>
      </c>
      <c r="S62" s="17" t="n">
        <f aca="false">ROUND(L62*Accounts!W80,2)</f>
        <v>0</v>
      </c>
      <c r="T62" s="17" t="n">
        <f aca="false">ROUND(L62-SUM(M62:S62),2)</f>
        <v>42472.71</v>
      </c>
      <c r="U62" s="17" t="n">
        <f aca="false">ROUND(F62*H62,2)</f>
        <v>25818</v>
      </c>
      <c r="V62" s="17" t="n">
        <f aca="false">ROUND(L62*Assumptions!$C$25,2)</f>
        <v>867.68</v>
      </c>
      <c r="W62" s="17" t="n">
        <f aca="false">ROUND(T62-U62-V62,2)</f>
        <v>15787.03</v>
      </c>
      <c r="X62" s="28" t="n">
        <f aca="false">T62/I62</f>
        <v>0.867002327100514</v>
      </c>
      <c r="Y62" s="17" t="n">
        <f aca="false">T62/F62</f>
        <v>128.316344410876</v>
      </c>
      <c r="Z62" s="26" t="n">
        <f aca="false">Accounts!H80</f>
        <v>2505</v>
      </c>
      <c r="AA62" s="28" t="n">
        <f aca="false">IF(Z62&gt;=Assumptions!$B$44,Assumptions!$C$44,IF(Z62&gt;=Assumptions!$B$45,Assumptions!$C$45,IF(Z62&gt;=Assumptions!$B$46,Assumptions!$C$46,Assumptions!$C$47)))</f>
        <v>0</v>
      </c>
      <c r="AB62" s="26" t="n">
        <f aca="false">IF(Z62&gt;=Assumptions!$B$44,Assumptions!$B$44,IF(Z62&gt;=Assumptions!$B$45,Assumptions!$B$45,IF(Z62&gt;=Assumptions!$B$46,Assumptions!$B$46,0)))</f>
        <v>0</v>
      </c>
    </row>
    <row r="63" customFormat="false" ht="15" hidden="false" customHeight="false" outlineLevel="0" collapsed="false">
      <c r="B63" s="14" t="s">
        <v>237</v>
      </c>
      <c r="C63" s="14" t="s">
        <v>194</v>
      </c>
      <c r="D63" s="14" t="s">
        <v>235</v>
      </c>
      <c r="E63" s="14" t="s">
        <v>60</v>
      </c>
      <c r="F63" s="26" t="n">
        <f aca="false">Accounts!E87</f>
        <v>567</v>
      </c>
      <c r="G63" s="17" t="n">
        <f aca="false">Assumptions!$D$8</f>
        <v>148</v>
      </c>
      <c r="H63" s="17" t="n">
        <f aca="false">Assumptions!$E$8</f>
        <v>78</v>
      </c>
      <c r="I63" s="17" t="n">
        <f aca="false">ROUND(F63*G63,2)</f>
        <v>83916</v>
      </c>
      <c r="J63" s="17" t="n">
        <f aca="false">ROUND(I63*Accounts!O87,2)</f>
        <v>1678.32</v>
      </c>
      <c r="K63" s="17" t="n">
        <f aca="false">ROUND(I63*Accounts!L87,2)</f>
        <v>5723.07</v>
      </c>
      <c r="L63" s="17" t="n">
        <f aca="false">ROUND(I63-J63-K63,2)</f>
        <v>76514.61</v>
      </c>
      <c r="M63" s="17" t="n">
        <f aca="false">ROUND(L63*AA63,2)</f>
        <v>1530.29</v>
      </c>
      <c r="N63" s="17" t="n">
        <f aca="false">ROUND(L63*Accounts!R87,2)</f>
        <v>0</v>
      </c>
      <c r="O63" s="17" t="n">
        <f aca="false">ROUND(L63*Accounts!S87,2)</f>
        <v>1147.72</v>
      </c>
      <c r="P63" s="17" t="n">
        <f aca="false">ROUND(L63*Accounts!T87,2)</f>
        <v>0</v>
      </c>
      <c r="Q63" s="17" t="n">
        <f aca="false">ROUND(L63*Accounts!U87,2)</f>
        <v>0</v>
      </c>
      <c r="R63" s="17" t="n">
        <f aca="false">ROUND(L63*Accounts!V87,2)</f>
        <v>459.09</v>
      </c>
      <c r="S63" s="17" t="n">
        <f aca="false">ROUND(L63*Accounts!W87,2)</f>
        <v>0</v>
      </c>
      <c r="T63" s="17" t="n">
        <f aca="false">ROUND(L63-SUM(M63:S63),2)</f>
        <v>73377.51</v>
      </c>
      <c r="U63" s="17" t="n">
        <f aca="false">ROUND(F63*H63,2)</f>
        <v>44226</v>
      </c>
      <c r="V63" s="17" t="n">
        <f aca="false">ROUND(L63*Assumptions!$C$25,2)</f>
        <v>1530.29</v>
      </c>
      <c r="W63" s="17" t="n">
        <f aca="false">ROUND(T63-U63-V63,2)</f>
        <v>27621.22</v>
      </c>
      <c r="X63" s="28" t="n">
        <f aca="false">T63/I63</f>
        <v>0.874416201916202</v>
      </c>
      <c r="Y63" s="17" t="n">
        <f aca="false">T63/F63</f>
        <v>129.413597883598</v>
      </c>
      <c r="Z63" s="26" t="n">
        <f aca="false">Accounts!H87</f>
        <v>3394</v>
      </c>
      <c r="AA63" s="28" t="n">
        <f aca="false">IF(Z63&gt;=Assumptions!$B$44,Assumptions!$C$44,IF(Z63&gt;=Assumptions!$B$45,Assumptions!$C$45,IF(Z63&gt;=Assumptions!$B$46,Assumptions!$C$46,Assumptions!$C$47)))</f>
        <v>0.02</v>
      </c>
      <c r="AB63" s="26" t="n">
        <f aca="false">IF(Z63&gt;=Assumptions!$B$44,Assumptions!$B$44,IF(Z63&gt;=Assumptions!$B$45,Assumptions!$B$45,IF(Z63&gt;=Assumptions!$B$46,Assumptions!$B$46,0)))</f>
        <v>3000</v>
      </c>
    </row>
    <row r="64" customFormat="false" ht="15" hidden="false" customHeight="false" outlineLevel="0" collapsed="false">
      <c r="B64" s="14" t="s">
        <v>245</v>
      </c>
      <c r="C64" s="14" t="s">
        <v>194</v>
      </c>
      <c r="D64" s="14" t="s">
        <v>243</v>
      </c>
      <c r="E64" s="14" t="s">
        <v>60</v>
      </c>
      <c r="F64" s="26" t="n">
        <f aca="false">Accounts!E94</f>
        <v>230</v>
      </c>
      <c r="G64" s="17" t="n">
        <f aca="false">Assumptions!$D$8</f>
        <v>148</v>
      </c>
      <c r="H64" s="17" t="n">
        <f aca="false">Assumptions!$E$8</f>
        <v>78</v>
      </c>
      <c r="I64" s="17" t="n">
        <f aca="false">ROUND(F64*G64,2)</f>
        <v>34040</v>
      </c>
      <c r="J64" s="17" t="n">
        <f aca="false">ROUND(I64*Accounts!O94,2)</f>
        <v>680.8</v>
      </c>
      <c r="K64" s="17" t="n">
        <f aca="false">ROUND(I64*Accounts!L94,2)</f>
        <v>844.19</v>
      </c>
      <c r="L64" s="17" t="n">
        <f aca="false">ROUND(I64-J64-K64,2)</f>
        <v>32515.01</v>
      </c>
      <c r="M64" s="17" t="n">
        <f aca="false">ROUND(L64*AA64,2)</f>
        <v>0</v>
      </c>
      <c r="N64" s="17" t="n">
        <f aca="false">ROUND(L64*Accounts!R94,2)</f>
        <v>650.3</v>
      </c>
      <c r="O64" s="17" t="n">
        <f aca="false">ROUND(L64*Accounts!S94,2)</f>
        <v>487.73</v>
      </c>
      <c r="P64" s="17" t="n">
        <f aca="false">ROUND(L64*Accounts!T94,2)</f>
        <v>0</v>
      </c>
      <c r="Q64" s="17" t="n">
        <f aca="false">ROUND(L64*Accounts!U94,2)</f>
        <v>0</v>
      </c>
      <c r="R64" s="17" t="n">
        <f aca="false">ROUND(L64*Accounts!V94,2)</f>
        <v>195.09</v>
      </c>
      <c r="S64" s="17" t="n">
        <f aca="false">ROUND(L64*Accounts!W94,2)</f>
        <v>162.58</v>
      </c>
      <c r="T64" s="17" t="n">
        <f aca="false">ROUND(L64-SUM(M64:S64),2)</f>
        <v>31019.31</v>
      </c>
      <c r="U64" s="17" t="n">
        <f aca="false">ROUND(F64*H64,2)</f>
        <v>17940</v>
      </c>
      <c r="V64" s="17" t="n">
        <f aca="false">ROUND(L64*Assumptions!$C$25,2)</f>
        <v>650.3</v>
      </c>
      <c r="W64" s="17" t="n">
        <f aca="false">ROUND(T64-U64-V64,2)</f>
        <v>12429.01</v>
      </c>
      <c r="X64" s="28" t="n">
        <f aca="false">T64/I64</f>
        <v>0.911260575793185</v>
      </c>
      <c r="Y64" s="17" t="n">
        <f aca="false">T64/F64</f>
        <v>134.866565217391</v>
      </c>
      <c r="Z64" s="26" t="n">
        <f aca="false">Accounts!H94</f>
        <v>1229</v>
      </c>
      <c r="AA64" s="28" t="n">
        <f aca="false">IF(Z64&gt;=Assumptions!$B$44,Assumptions!$C$44,IF(Z64&gt;=Assumptions!$B$45,Assumptions!$C$45,IF(Z64&gt;=Assumptions!$B$46,Assumptions!$C$46,Assumptions!$C$47)))</f>
        <v>0</v>
      </c>
      <c r="AB64" s="26" t="n">
        <f aca="false">IF(Z64&gt;=Assumptions!$B$44,Assumptions!$B$44,IF(Z64&gt;=Assumptions!$B$45,Assumptions!$B$45,IF(Z64&gt;=Assumptions!$B$46,Assumptions!$B$46,0)))</f>
        <v>0</v>
      </c>
    </row>
    <row r="65" customFormat="false" ht="15" hidden="false" customHeight="false" outlineLevel="0" collapsed="false">
      <c r="B65" s="14" t="s">
        <v>253</v>
      </c>
      <c r="C65" s="14" t="s">
        <v>194</v>
      </c>
      <c r="D65" s="14" t="s">
        <v>251</v>
      </c>
      <c r="E65" s="14" t="s">
        <v>60</v>
      </c>
      <c r="F65" s="26" t="n">
        <f aca="false">Accounts!E101</f>
        <v>273</v>
      </c>
      <c r="G65" s="17" t="n">
        <f aca="false">Assumptions!$D$8</f>
        <v>148</v>
      </c>
      <c r="H65" s="17" t="n">
        <f aca="false">Assumptions!$E$8</f>
        <v>78</v>
      </c>
      <c r="I65" s="17" t="n">
        <f aca="false">ROUND(F65*G65,2)</f>
        <v>40404</v>
      </c>
      <c r="J65" s="17" t="n">
        <f aca="false">ROUND(I65*Accounts!O101,2)</f>
        <v>1616.16</v>
      </c>
      <c r="K65" s="17" t="n">
        <f aca="false">ROUND(I65*Accounts!L101,2)</f>
        <v>4008.08</v>
      </c>
      <c r="L65" s="17" t="n">
        <f aca="false">ROUND(I65-J65-K65,2)</f>
        <v>34779.76</v>
      </c>
      <c r="M65" s="17" t="n">
        <f aca="false">ROUND(L65*AA65,2)</f>
        <v>695.6</v>
      </c>
      <c r="N65" s="17" t="n">
        <f aca="false">ROUND(L65*Accounts!R101,2)</f>
        <v>0</v>
      </c>
      <c r="O65" s="17" t="n">
        <f aca="false">ROUND(L65*Accounts!S101,2)</f>
        <v>0</v>
      </c>
      <c r="P65" s="17" t="n">
        <f aca="false">ROUND(L65*Accounts!T101,2)</f>
        <v>0</v>
      </c>
      <c r="Q65" s="17" t="n">
        <f aca="false">ROUND(L65*Accounts!U101,2)</f>
        <v>0</v>
      </c>
      <c r="R65" s="17" t="n">
        <f aca="false">ROUND(L65*Accounts!V101,2)</f>
        <v>208.68</v>
      </c>
      <c r="S65" s="17" t="n">
        <f aca="false">ROUND(L65*Accounts!W101,2)</f>
        <v>173.9</v>
      </c>
      <c r="T65" s="17" t="n">
        <f aca="false">ROUND(L65-SUM(M65:S65),2)</f>
        <v>33701.58</v>
      </c>
      <c r="U65" s="17" t="n">
        <f aca="false">ROUND(F65*H65,2)</f>
        <v>21294</v>
      </c>
      <c r="V65" s="17" t="n">
        <f aca="false">ROUND(L65*Assumptions!$C$25,2)</f>
        <v>695.6</v>
      </c>
      <c r="W65" s="17" t="n">
        <f aca="false">ROUND(T65-U65-V65,2)</f>
        <v>11711.98</v>
      </c>
      <c r="X65" s="28" t="n">
        <f aca="false">T65/I65</f>
        <v>0.834114939114939</v>
      </c>
      <c r="Y65" s="17" t="n">
        <f aca="false">T65/F65</f>
        <v>123.449010989011</v>
      </c>
      <c r="Z65" s="26" t="n">
        <f aca="false">Accounts!H101</f>
        <v>3251</v>
      </c>
      <c r="AA65" s="28" t="n">
        <f aca="false">IF(Z65&gt;=Assumptions!$B$44,Assumptions!$C$44,IF(Z65&gt;=Assumptions!$B$45,Assumptions!$C$45,IF(Z65&gt;=Assumptions!$B$46,Assumptions!$C$46,Assumptions!$C$47)))</f>
        <v>0.02</v>
      </c>
      <c r="AB65" s="26" t="n">
        <f aca="false">IF(Z65&gt;=Assumptions!$B$44,Assumptions!$B$44,IF(Z65&gt;=Assumptions!$B$45,Assumptions!$B$45,IF(Z65&gt;=Assumptions!$B$46,Assumptions!$B$46,0)))</f>
        <v>3000</v>
      </c>
    </row>
    <row r="66" customFormat="false" ht="15" hidden="false" customHeight="false" outlineLevel="0" collapsed="false">
      <c r="B66" s="14" t="s">
        <v>197</v>
      </c>
      <c r="C66" s="14" t="s">
        <v>194</v>
      </c>
      <c r="D66" s="14" t="s">
        <v>163</v>
      </c>
      <c r="E66" s="14" t="s">
        <v>60</v>
      </c>
      <c r="F66" s="26" t="n">
        <f aca="false">Accounts!E49</f>
        <v>171</v>
      </c>
      <c r="G66" s="17" t="n">
        <f aca="false">Assumptions!$D$8</f>
        <v>148</v>
      </c>
      <c r="H66" s="17" t="n">
        <f aca="false">Assumptions!$E$8</f>
        <v>78</v>
      </c>
      <c r="I66" s="17" t="n">
        <f aca="false">ROUND(F66*G66,2)</f>
        <v>25308</v>
      </c>
      <c r="J66" s="17" t="n">
        <f aca="false">ROUND(I66*Accounts!O49,2)</f>
        <v>506.16</v>
      </c>
      <c r="K66" s="17" t="n">
        <f aca="false">ROUND(I66*Accounts!L49,2)</f>
        <v>156.91</v>
      </c>
      <c r="L66" s="17" t="n">
        <f aca="false">ROUND(I66-J66-K66,2)</f>
        <v>24644.93</v>
      </c>
      <c r="M66" s="17" t="n">
        <f aca="false">ROUND(L66*AA66,2)</f>
        <v>0</v>
      </c>
      <c r="N66" s="17" t="n">
        <f aca="false">ROUND(L66*Accounts!R49,2)</f>
        <v>492.9</v>
      </c>
      <c r="O66" s="17" t="n">
        <f aca="false">ROUND(L66*Accounts!S49,2)</f>
        <v>0</v>
      </c>
      <c r="P66" s="17" t="n">
        <f aca="false">ROUND(L66*Accounts!T49,2)</f>
        <v>0</v>
      </c>
      <c r="Q66" s="17" t="n">
        <f aca="false">ROUND(L66*Accounts!U49,2)</f>
        <v>0</v>
      </c>
      <c r="R66" s="17" t="n">
        <f aca="false">ROUND(L66*Accounts!V49,2)</f>
        <v>147.87</v>
      </c>
      <c r="S66" s="17" t="n">
        <f aca="false">ROUND(L66*Accounts!W49,2)</f>
        <v>0</v>
      </c>
      <c r="T66" s="17" t="n">
        <f aca="false">ROUND(L66-SUM(M66:S66),2)</f>
        <v>24004.16</v>
      </c>
      <c r="U66" s="17" t="n">
        <f aca="false">ROUND(F66*H66,2)</f>
        <v>13338</v>
      </c>
      <c r="V66" s="17" t="n">
        <f aca="false">ROUND(L66*Assumptions!$C$25,2)</f>
        <v>492.9</v>
      </c>
      <c r="W66" s="17" t="n">
        <f aca="false">ROUND(T66-U66-V66,2)</f>
        <v>10173.26</v>
      </c>
      <c r="X66" s="28" t="n">
        <f aca="false">T66/I66</f>
        <v>0.948481112691639</v>
      </c>
      <c r="Y66" s="17" t="n">
        <f aca="false">T66/F66</f>
        <v>140.375204678363</v>
      </c>
      <c r="Z66" s="26" t="n">
        <f aca="false">Accounts!H49</f>
        <v>851</v>
      </c>
      <c r="AA66" s="28" t="n">
        <f aca="false">IF(Z66&gt;=Assumptions!$B$44,Assumptions!$C$44,IF(Z66&gt;=Assumptions!$B$45,Assumptions!$C$45,IF(Z66&gt;=Assumptions!$B$46,Assumptions!$C$46,Assumptions!$C$47)))</f>
        <v>0</v>
      </c>
      <c r="AB66" s="26" t="n">
        <f aca="false">IF(Z66&gt;=Assumptions!$B$44,Assumptions!$B$44,IF(Z66&gt;=Assumptions!$B$45,Assumptions!$B$45,IF(Z66&gt;=Assumptions!$B$46,Assumptions!$B$46,0)))</f>
        <v>0</v>
      </c>
    </row>
    <row r="67" customFormat="false" ht="15" hidden="false" customHeight="false" outlineLevel="0" collapsed="false">
      <c r="B67" s="14" t="s">
        <v>213</v>
      </c>
      <c r="C67" s="14" t="s">
        <v>194</v>
      </c>
      <c r="D67" s="14" t="s">
        <v>184</v>
      </c>
      <c r="E67" s="14" t="s">
        <v>60</v>
      </c>
      <c r="F67" s="26" t="n">
        <f aca="false">Accounts!E65</f>
        <v>643</v>
      </c>
      <c r="G67" s="17" t="n">
        <f aca="false">Assumptions!$D$8</f>
        <v>148</v>
      </c>
      <c r="H67" s="17" t="n">
        <f aca="false">Assumptions!$E$8</f>
        <v>78</v>
      </c>
      <c r="I67" s="17" t="n">
        <f aca="false">ROUND(F67*G67,2)</f>
        <v>95164</v>
      </c>
      <c r="J67" s="17" t="n">
        <f aca="false">ROUND(I67*Accounts!O65,2)</f>
        <v>1903.28</v>
      </c>
      <c r="K67" s="17" t="n">
        <f aca="false">ROUND(I67*Accounts!L65,2)</f>
        <v>0</v>
      </c>
      <c r="L67" s="17" t="n">
        <f aca="false">ROUND(I67-J67-K67,2)</f>
        <v>93260.72</v>
      </c>
      <c r="M67" s="17" t="n">
        <f aca="false">ROUND(L67*AA67,2)</f>
        <v>1865.21</v>
      </c>
      <c r="N67" s="17" t="n">
        <f aca="false">ROUND(L67*Accounts!R65,2)</f>
        <v>0</v>
      </c>
      <c r="O67" s="17" t="n">
        <f aca="false">ROUND(L67*Accounts!S65,2)</f>
        <v>0</v>
      </c>
      <c r="P67" s="17" t="n">
        <f aca="false">ROUND(L67*Accounts!T65,2)</f>
        <v>0</v>
      </c>
      <c r="Q67" s="17" t="n">
        <f aca="false">ROUND(L67*Accounts!U65,2)</f>
        <v>0</v>
      </c>
      <c r="R67" s="17" t="n">
        <f aca="false">ROUND(L67*Accounts!V65,2)</f>
        <v>559.56</v>
      </c>
      <c r="S67" s="17" t="n">
        <f aca="false">ROUND(L67*Accounts!W65,2)</f>
        <v>0</v>
      </c>
      <c r="T67" s="17" t="n">
        <f aca="false">ROUND(L67-SUM(M67:S67),2)</f>
        <v>90835.95</v>
      </c>
      <c r="U67" s="17" t="n">
        <f aca="false">ROUND(F67*H67,2)</f>
        <v>50154</v>
      </c>
      <c r="V67" s="17" t="n">
        <f aca="false">ROUND(L67*Assumptions!$C$25,2)</f>
        <v>1865.21</v>
      </c>
      <c r="W67" s="17" t="n">
        <f aca="false">ROUND(T67-U67-V67,2)</f>
        <v>38816.74</v>
      </c>
      <c r="X67" s="28" t="n">
        <f aca="false">T67/I67</f>
        <v>0.954520091631289</v>
      </c>
      <c r="Y67" s="17" t="n">
        <f aca="false">T67/F67</f>
        <v>141.268973561431</v>
      </c>
      <c r="Z67" s="26" t="n">
        <f aca="false">Accounts!H65</f>
        <v>3732</v>
      </c>
      <c r="AA67" s="28" t="n">
        <f aca="false">IF(Z67&gt;=Assumptions!$B$44,Assumptions!$C$44,IF(Z67&gt;=Assumptions!$B$45,Assumptions!$C$45,IF(Z67&gt;=Assumptions!$B$46,Assumptions!$C$46,Assumptions!$C$47)))</f>
        <v>0.02</v>
      </c>
      <c r="AB67" s="26" t="n">
        <f aca="false">IF(Z67&gt;=Assumptions!$B$44,Assumptions!$B$44,IF(Z67&gt;=Assumptions!$B$45,Assumptions!$B$45,IF(Z67&gt;=Assumptions!$B$46,Assumptions!$B$46,0)))</f>
        <v>3000</v>
      </c>
    </row>
    <row r="68" customFormat="false" ht="15" hidden="false" customHeight="false" outlineLevel="0" collapsed="false">
      <c r="B68" s="14" t="s">
        <v>221</v>
      </c>
      <c r="C68" s="14" t="s">
        <v>194</v>
      </c>
      <c r="D68" s="14" t="s">
        <v>218</v>
      </c>
      <c r="E68" s="14" t="s">
        <v>60</v>
      </c>
      <c r="F68" s="26" t="n">
        <f aca="false">Accounts!E73</f>
        <v>274</v>
      </c>
      <c r="G68" s="17" t="n">
        <f aca="false">Assumptions!$D$8</f>
        <v>148</v>
      </c>
      <c r="H68" s="17" t="n">
        <f aca="false">Assumptions!$E$8</f>
        <v>78</v>
      </c>
      <c r="I68" s="17" t="n">
        <f aca="false">ROUND(F68*G68,2)</f>
        <v>40552</v>
      </c>
      <c r="J68" s="17" t="n">
        <f aca="false">ROUND(I68*Accounts!O73,2)</f>
        <v>811.04</v>
      </c>
      <c r="K68" s="17" t="n">
        <f aca="false">ROUND(I68*Accounts!L73,2)</f>
        <v>1634.25</v>
      </c>
      <c r="L68" s="17" t="n">
        <f aca="false">ROUND(I68-J68-K68,2)</f>
        <v>38106.71</v>
      </c>
      <c r="M68" s="17" t="n">
        <f aca="false">ROUND(L68*AA68,2)</f>
        <v>0</v>
      </c>
      <c r="N68" s="17" t="n">
        <f aca="false">ROUND(L68*Accounts!R73,2)</f>
        <v>0</v>
      </c>
      <c r="O68" s="17" t="n">
        <f aca="false">ROUND(L68*Accounts!S73,2)</f>
        <v>571.6</v>
      </c>
      <c r="P68" s="17" t="n">
        <f aca="false">ROUND(L68*Accounts!T73,2)</f>
        <v>0</v>
      </c>
      <c r="Q68" s="17" t="n">
        <f aca="false">ROUND(L68*Accounts!U73,2)</f>
        <v>0</v>
      </c>
      <c r="R68" s="17" t="n">
        <f aca="false">ROUND(L68*Accounts!V73,2)</f>
        <v>228.64</v>
      </c>
      <c r="S68" s="17" t="n">
        <f aca="false">ROUND(L68*Accounts!W73,2)</f>
        <v>190.53</v>
      </c>
      <c r="T68" s="17" t="n">
        <f aca="false">ROUND(L68-SUM(M68:S68),2)</f>
        <v>37115.94</v>
      </c>
      <c r="U68" s="17" t="n">
        <f aca="false">ROUND(F68*H68,2)</f>
        <v>21372</v>
      </c>
      <c r="V68" s="17" t="n">
        <f aca="false">ROUND(L68*Assumptions!$C$25,2)</f>
        <v>762.13</v>
      </c>
      <c r="W68" s="17" t="n">
        <f aca="false">ROUND(T68-U68-V68,2)</f>
        <v>14981.81</v>
      </c>
      <c r="X68" s="28" t="n">
        <f aca="false">T68/I68</f>
        <v>0.915267804300651</v>
      </c>
      <c r="Y68" s="17" t="n">
        <f aca="false">T68/F68</f>
        <v>135.459635036496</v>
      </c>
      <c r="Z68" s="26" t="n">
        <f aca="false">Accounts!H73</f>
        <v>2802</v>
      </c>
      <c r="AA68" s="28" t="n">
        <f aca="false">IF(Z68&gt;=Assumptions!$B$44,Assumptions!$C$44,IF(Z68&gt;=Assumptions!$B$45,Assumptions!$C$45,IF(Z68&gt;=Assumptions!$B$46,Assumptions!$C$46,Assumptions!$C$47)))</f>
        <v>0</v>
      </c>
      <c r="AB68" s="26" t="n">
        <f aca="false">IF(Z68&gt;=Assumptions!$B$44,Assumptions!$B$44,IF(Z68&gt;=Assumptions!$B$45,Assumptions!$B$45,IF(Z68&gt;=Assumptions!$B$46,Assumptions!$B$46,0)))</f>
        <v>0</v>
      </c>
    </row>
    <row r="69" customFormat="false" ht="15" hidden="false" customHeight="false" outlineLevel="0" collapsed="false">
      <c r="B69" s="14" t="s">
        <v>230</v>
      </c>
      <c r="C69" s="14" t="s">
        <v>194</v>
      </c>
      <c r="D69" s="14" t="s">
        <v>227</v>
      </c>
      <c r="E69" s="14" t="s">
        <v>60</v>
      </c>
      <c r="F69" s="26" t="n">
        <f aca="false">Accounts!E81</f>
        <v>600</v>
      </c>
      <c r="G69" s="17" t="n">
        <f aca="false">Assumptions!$D$8</f>
        <v>148</v>
      </c>
      <c r="H69" s="17" t="n">
        <f aca="false">Assumptions!$E$8</f>
        <v>78</v>
      </c>
      <c r="I69" s="17" t="n">
        <f aca="false">ROUND(F69*G69,2)</f>
        <v>88800</v>
      </c>
      <c r="J69" s="17" t="n">
        <f aca="false">ROUND(I69*Accounts!O81,2)</f>
        <v>3552</v>
      </c>
      <c r="K69" s="17" t="n">
        <f aca="false">ROUND(I69*Accounts!L81,2)</f>
        <v>5780.88</v>
      </c>
      <c r="L69" s="17" t="n">
        <f aca="false">ROUND(I69-J69-K69,2)</f>
        <v>79467.12</v>
      </c>
      <c r="M69" s="17" t="n">
        <f aca="false">ROUND(L69*AA69,2)</f>
        <v>1589.34</v>
      </c>
      <c r="N69" s="17" t="n">
        <f aca="false">ROUND(L69*Accounts!R81,2)</f>
        <v>0</v>
      </c>
      <c r="O69" s="17" t="n">
        <f aca="false">ROUND(L69*Accounts!S81,2)</f>
        <v>1192.01</v>
      </c>
      <c r="P69" s="17" t="n">
        <f aca="false">ROUND(L69*Accounts!T81,2)</f>
        <v>0</v>
      </c>
      <c r="Q69" s="17" t="n">
        <f aca="false">ROUND(L69*Accounts!U81,2)</f>
        <v>0</v>
      </c>
      <c r="R69" s="17" t="n">
        <f aca="false">ROUND(L69*Accounts!V81,2)</f>
        <v>476.8</v>
      </c>
      <c r="S69" s="17" t="n">
        <f aca="false">ROUND(L69*Accounts!W81,2)</f>
        <v>0</v>
      </c>
      <c r="T69" s="17" t="n">
        <f aca="false">ROUND(L69-SUM(M69:S69),2)</f>
        <v>76208.97</v>
      </c>
      <c r="U69" s="17" t="n">
        <f aca="false">ROUND(F69*H69,2)</f>
        <v>46800</v>
      </c>
      <c r="V69" s="17" t="n">
        <f aca="false">ROUND(L69*Assumptions!$C$25,2)</f>
        <v>1589.34</v>
      </c>
      <c r="W69" s="17" t="n">
        <f aca="false">ROUND(T69-U69-V69,2)</f>
        <v>27819.63</v>
      </c>
      <c r="X69" s="28" t="n">
        <f aca="false">T69/I69</f>
        <v>0.858209121621622</v>
      </c>
      <c r="Y69" s="17" t="n">
        <f aca="false">T69/F69</f>
        <v>127.01495</v>
      </c>
      <c r="Z69" s="26" t="n">
        <f aca="false">Accounts!H81</f>
        <v>4698</v>
      </c>
      <c r="AA69" s="28" t="n">
        <f aca="false">IF(Z69&gt;=Assumptions!$B$44,Assumptions!$C$44,IF(Z69&gt;=Assumptions!$B$45,Assumptions!$C$45,IF(Z69&gt;=Assumptions!$B$46,Assumptions!$C$46,Assumptions!$C$47)))</f>
        <v>0.02</v>
      </c>
      <c r="AB69" s="26" t="n">
        <f aca="false">IF(Z69&gt;=Assumptions!$B$44,Assumptions!$B$44,IF(Z69&gt;=Assumptions!$B$45,Assumptions!$B$45,IF(Z69&gt;=Assumptions!$B$46,Assumptions!$B$46,0)))</f>
        <v>3000</v>
      </c>
    </row>
    <row r="70" customFormat="false" ht="15" hidden="false" customHeight="false" outlineLevel="0" collapsed="false">
      <c r="B70" s="14" t="s">
        <v>238</v>
      </c>
      <c r="C70" s="14" t="s">
        <v>194</v>
      </c>
      <c r="D70" s="14" t="s">
        <v>235</v>
      </c>
      <c r="E70" s="14" t="s">
        <v>60</v>
      </c>
      <c r="F70" s="26" t="n">
        <f aca="false">Accounts!E88</f>
        <v>885</v>
      </c>
      <c r="G70" s="17" t="n">
        <f aca="false">Assumptions!$D$8</f>
        <v>148</v>
      </c>
      <c r="H70" s="17" t="n">
        <f aca="false">Assumptions!$E$8</f>
        <v>78</v>
      </c>
      <c r="I70" s="17" t="n">
        <f aca="false">ROUND(F70*G70,2)</f>
        <v>130980</v>
      </c>
      <c r="J70" s="17" t="n">
        <f aca="false">ROUND(I70*Accounts!O88,2)</f>
        <v>5239.2</v>
      </c>
      <c r="K70" s="17" t="n">
        <f aca="false">ROUND(I70*Accounts!L88,2)</f>
        <v>2436.23</v>
      </c>
      <c r="L70" s="17" t="n">
        <f aca="false">ROUND(I70-J70-K70,2)</f>
        <v>123304.57</v>
      </c>
      <c r="M70" s="17" t="n">
        <f aca="false">ROUND(L70*AA70,2)</f>
        <v>0</v>
      </c>
      <c r="N70" s="17" t="n">
        <f aca="false">ROUND(L70*Accounts!R88,2)</f>
        <v>0</v>
      </c>
      <c r="O70" s="17" t="n">
        <f aca="false">ROUND(L70*Accounts!S88,2)</f>
        <v>1849.57</v>
      </c>
      <c r="P70" s="17" t="n">
        <f aca="false">ROUND(L70*Accounts!T88,2)</f>
        <v>0</v>
      </c>
      <c r="Q70" s="17" t="n">
        <f aca="false">ROUND(L70*Accounts!U88,2)</f>
        <v>0</v>
      </c>
      <c r="R70" s="17" t="n">
        <f aca="false">ROUND(L70*Accounts!V88,2)</f>
        <v>739.83</v>
      </c>
      <c r="S70" s="17" t="n">
        <f aca="false">ROUND(L70*Accounts!W88,2)</f>
        <v>0</v>
      </c>
      <c r="T70" s="17" t="n">
        <f aca="false">ROUND(L70-SUM(M70:S70),2)</f>
        <v>120715.17</v>
      </c>
      <c r="U70" s="17" t="n">
        <f aca="false">ROUND(F70*H70,2)</f>
        <v>69030</v>
      </c>
      <c r="V70" s="17" t="n">
        <f aca="false">ROUND(L70*Assumptions!$C$25,2)</f>
        <v>2466.09</v>
      </c>
      <c r="W70" s="17" t="n">
        <f aca="false">ROUND(T70-U70-V70,2)</f>
        <v>49219.08</v>
      </c>
      <c r="X70" s="28" t="n">
        <f aca="false">T70/I70</f>
        <v>0.921630554283097</v>
      </c>
      <c r="Y70" s="17" t="n">
        <f aca="false">T70/F70</f>
        <v>136.401322033898</v>
      </c>
      <c r="Z70" s="26" t="n">
        <f aca="false">Accounts!H88</f>
        <v>2932</v>
      </c>
      <c r="AA70" s="28" t="n">
        <f aca="false">IF(Z70&gt;=Assumptions!$B$44,Assumptions!$C$44,IF(Z70&gt;=Assumptions!$B$45,Assumptions!$C$45,IF(Z70&gt;=Assumptions!$B$46,Assumptions!$C$46,Assumptions!$C$47)))</f>
        <v>0</v>
      </c>
      <c r="AB70" s="26" t="n">
        <f aca="false">IF(Z70&gt;=Assumptions!$B$44,Assumptions!$B$44,IF(Z70&gt;=Assumptions!$B$45,Assumptions!$B$45,IF(Z70&gt;=Assumptions!$B$46,Assumptions!$B$46,0)))</f>
        <v>0</v>
      </c>
    </row>
    <row r="71" customFormat="false" ht="15" hidden="false" customHeight="false" outlineLevel="0" collapsed="false">
      <c r="B71" s="14" t="s">
        <v>246</v>
      </c>
      <c r="C71" s="14" t="s">
        <v>194</v>
      </c>
      <c r="D71" s="14" t="s">
        <v>243</v>
      </c>
      <c r="E71" s="14" t="s">
        <v>60</v>
      </c>
      <c r="F71" s="26" t="n">
        <f aca="false">Accounts!E95</f>
        <v>293</v>
      </c>
      <c r="G71" s="17" t="n">
        <f aca="false">Assumptions!$D$8</f>
        <v>148</v>
      </c>
      <c r="H71" s="17" t="n">
        <f aca="false">Assumptions!$E$8</f>
        <v>78</v>
      </c>
      <c r="I71" s="17" t="n">
        <f aca="false">ROUND(F71*G71,2)</f>
        <v>43364</v>
      </c>
      <c r="J71" s="17" t="n">
        <f aca="false">ROUND(I71*Accounts!O95,2)</f>
        <v>867.28</v>
      </c>
      <c r="K71" s="17" t="n">
        <f aca="false">ROUND(I71*Accounts!L95,2)</f>
        <v>1882</v>
      </c>
      <c r="L71" s="17" t="n">
        <f aca="false">ROUND(I71-J71-K71,2)</f>
        <v>40614.72</v>
      </c>
      <c r="M71" s="17" t="n">
        <f aca="false">ROUND(L71*AA71,2)</f>
        <v>0</v>
      </c>
      <c r="N71" s="17" t="n">
        <f aca="false">ROUND(L71*Accounts!R95,2)</f>
        <v>0</v>
      </c>
      <c r="O71" s="17" t="n">
        <f aca="false">ROUND(L71*Accounts!S95,2)</f>
        <v>0</v>
      </c>
      <c r="P71" s="17" t="n">
        <f aca="false">ROUND(L71*Accounts!T95,2)</f>
        <v>0</v>
      </c>
      <c r="Q71" s="17" t="n">
        <f aca="false">ROUND(L71*Accounts!U95,2)</f>
        <v>0</v>
      </c>
      <c r="R71" s="17" t="n">
        <f aca="false">ROUND(L71*Accounts!V95,2)</f>
        <v>243.69</v>
      </c>
      <c r="S71" s="17" t="n">
        <f aca="false">ROUND(L71*Accounts!W95,2)</f>
        <v>203.07</v>
      </c>
      <c r="T71" s="17" t="n">
        <f aca="false">ROUND(L71-SUM(M71:S71),2)</f>
        <v>40167.96</v>
      </c>
      <c r="U71" s="17" t="n">
        <f aca="false">ROUND(F71*H71,2)</f>
        <v>22854</v>
      </c>
      <c r="V71" s="17" t="n">
        <f aca="false">ROUND(L71*Assumptions!$C$25,2)</f>
        <v>812.29</v>
      </c>
      <c r="W71" s="17" t="n">
        <f aca="false">ROUND(T71-U71-V71,2)</f>
        <v>16501.67</v>
      </c>
      <c r="X71" s="28" t="n">
        <f aca="false">T71/I71</f>
        <v>0.92629738953971</v>
      </c>
      <c r="Y71" s="17" t="n">
        <f aca="false">T71/F71</f>
        <v>137.092013651877</v>
      </c>
      <c r="Z71" s="26" t="n">
        <f aca="false">Accounts!H95</f>
        <v>1143</v>
      </c>
      <c r="AA71" s="28" t="n">
        <f aca="false">IF(Z71&gt;=Assumptions!$B$44,Assumptions!$C$44,IF(Z71&gt;=Assumptions!$B$45,Assumptions!$C$45,IF(Z71&gt;=Assumptions!$B$46,Assumptions!$C$46,Assumptions!$C$47)))</f>
        <v>0</v>
      </c>
      <c r="AB71" s="26" t="n">
        <f aca="false">IF(Z71&gt;=Assumptions!$B$44,Assumptions!$B$44,IF(Z71&gt;=Assumptions!$B$45,Assumptions!$B$45,IF(Z71&gt;=Assumptions!$B$46,Assumptions!$B$46,0)))</f>
        <v>0</v>
      </c>
    </row>
    <row r="72" customFormat="false" ht="15" hidden="false" customHeight="false" outlineLevel="0" collapsed="false">
      <c r="B72" s="14" t="s">
        <v>254</v>
      </c>
      <c r="C72" s="14" t="s">
        <v>194</v>
      </c>
      <c r="D72" s="14" t="s">
        <v>251</v>
      </c>
      <c r="E72" s="14" t="s">
        <v>60</v>
      </c>
      <c r="F72" s="26" t="n">
        <f aca="false">Accounts!E102</f>
        <v>557</v>
      </c>
      <c r="G72" s="17" t="n">
        <f aca="false">Assumptions!$D$8</f>
        <v>148</v>
      </c>
      <c r="H72" s="17" t="n">
        <f aca="false">Assumptions!$E$8</f>
        <v>78</v>
      </c>
      <c r="I72" s="17" t="n">
        <f aca="false">ROUND(F72*G72,2)</f>
        <v>82436</v>
      </c>
      <c r="J72" s="17" t="n">
        <f aca="false">ROUND(I72*Accounts!O102,2)</f>
        <v>1648.72</v>
      </c>
      <c r="K72" s="17" t="n">
        <f aca="false">ROUND(I72*Accounts!L102,2)</f>
        <v>2555.52</v>
      </c>
      <c r="L72" s="17" t="n">
        <f aca="false">ROUND(I72-J72-K72,2)</f>
        <v>78231.76</v>
      </c>
      <c r="M72" s="17" t="n">
        <f aca="false">ROUND(L72*AA72,2)</f>
        <v>0</v>
      </c>
      <c r="N72" s="17" t="n">
        <f aca="false">ROUND(L72*Accounts!R102,2)</f>
        <v>1564.64</v>
      </c>
      <c r="O72" s="17" t="n">
        <f aca="false">ROUND(L72*Accounts!S102,2)</f>
        <v>1173.48</v>
      </c>
      <c r="P72" s="17" t="n">
        <f aca="false">ROUND(L72*Accounts!T102,2)</f>
        <v>0</v>
      </c>
      <c r="Q72" s="17" t="n">
        <f aca="false">ROUND(L72*Accounts!U102,2)</f>
        <v>0</v>
      </c>
      <c r="R72" s="17" t="n">
        <f aca="false">ROUND(L72*Accounts!V102,2)</f>
        <v>469.39</v>
      </c>
      <c r="S72" s="17" t="n">
        <f aca="false">ROUND(L72*Accounts!W102,2)</f>
        <v>0</v>
      </c>
      <c r="T72" s="17" t="n">
        <f aca="false">ROUND(L72-SUM(M72:S72),2)</f>
        <v>75024.25</v>
      </c>
      <c r="U72" s="17" t="n">
        <f aca="false">ROUND(F72*H72,2)</f>
        <v>43446</v>
      </c>
      <c r="V72" s="17" t="n">
        <f aca="false">ROUND(L72*Assumptions!$C$25,2)</f>
        <v>1564.64</v>
      </c>
      <c r="W72" s="17" t="n">
        <f aca="false">ROUND(T72-U72-V72,2)</f>
        <v>30013.61</v>
      </c>
      <c r="X72" s="28" t="n">
        <f aca="false">T72/I72</f>
        <v>0.910090858362851</v>
      </c>
      <c r="Y72" s="17" t="n">
        <f aca="false">T72/F72</f>
        <v>134.693447037702</v>
      </c>
      <c r="Z72" s="26" t="n">
        <f aca="false">Accounts!H102</f>
        <v>1386</v>
      </c>
      <c r="AA72" s="28" t="n">
        <f aca="false">IF(Z72&gt;=Assumptions!$B$44,Assumptions!$C$44,IF(Z72&gt;=Assumptions!$B$45,Assumptions!$C$45,IF(Z72&gt;=Assumptions!$B$46,Assumptions!$C$46,Assumptions!$C$47)))</f>
        <v>0</v>
      </c>
      <c r="AB72" s="26" t="n">
        <f aca="false">IF(Z72&gt;=Assumptions!$B$44,Assumptions!$B$44,IF(Z72&gt;=Assumptions!$B$45,Assumptions!$B$45,IF(Z72&gt;=Assumptions!$B$46,Assumptions!$B$46,0)))</f>
        <v>0</v>
      </c>
    </row>
    <row r="73" customFormat="false" ht="15" hidden="false" customHeight="false" outlineLevel="0" collapsed="false">
      <c r="B73" s="14" t="s">
        <v>198</v>
      </c>
      <c r="C73" s="14" t="s">
        <v>194</v>
      </c>
      <c r="D73" s="14" t="s">
        <v>163</v>
      </c>
      <c r="E73" s="14" t="s">
        <v>60</v>
      </c>
      <c r="F73" s="26" t="n">
        <f aca="false">Accounts!E50</f>
        <v>1812</v>
      </c>
      <c r="G73" s="17" t="n">
        <f aca="false">Assumptions!$D$8</f>
        <v>148</v>
      </c>
      <c r="H73" s="17" t="n">
        <f aca="false">Assumptions!$E$8</f>
        <v>78</v>
      </c>
      <c r="I73" s="17" t="n">
        <f aca="false">ROUND(F73*G73,2)</f>
        <v>268176</v>
      </c>
      <c r="J73" s="17" t="n">
        <f aca="false">ROUND(I73*Accounts!O50,2)</f>
        <v>10727.04</v>
      </c>
      <c r="K73" s="17" t="n">
        <f aca="false">ROUND(I73*Accounts!L50,2)</f>
        <v>7482.11</v>
      </c>
      <c r="L73" s="17" t="n">
        <f aca="false">ROUND(I73-J73-K73,2)</f>
        <v>249966.85</v>
      </c>
      <c r="M73" s="17" t="n">
        <f aca="false">ROUND(L73*AA73,2)</f>
        <v>8748.84</v>
      </c>
      <c r="N73" s="17" t="n">
        <f aca="false">ROUND(L73*Accounts!R50,2)</f>
        <v>4999.34</v>
      </c>
      <c r="O73" s="17" t="n">
        <f aca="false">ROUND(L73*Accounts!S50,2)</f>
        <v>0</v>
      </c>
      <c r="P73" s="17" t="n">
        <f aca="false">ROUND(L73*Accounts!T50,2)</f>
        <v>0</v>
      </c>
      <c r="Q73" s="17" t="n">
        <f aca="false">ROUND(L73*Accounts!U50,2)</f>
        <v>0</v>
      </c>
      <c r="R73" s="17" t="n">
        <f aca="false">ROUND(L73*Accounts!V50,2)</f>
        <v>1499.8</v>
      </c>
      <c r="S73" s="17" t="n">
        <f aca="false">ROUND(L73*Accounts!W50,2)</f>
        <v>0</v>
      </c>
      <c r="T73" s="17" t="n">
        <f aca="false">ROUND(L73-SUM(M73:S73),2)</f>
        <v>234718.87</v>
      </c>
      <c r="U73" s="17" t="n">
        <f aca="false">ROUND(F73*H73,2)</f>
        <v>141336</v>
      </c>
      <c r="V73" s="17" t="n">
        <f aca="false">ROUND(L73*Assumptions!$C$25,2)</f>
        <v>4999.34</v>
      </c>
      <c r="W73" s="17" t="n">
        <f aca="false">ROUND(T73-U73-V73,2)</f>
        <v>88383.53</v>
      </c>
      <c r="X73" s="28" t="n">
        <f aca="false">T73/I73</f>
        <v>0.87524189338345</v>
      </c>
      <c r="Y73" s="17" t="n">
        <f aca="false">T73/F73</f>
        <v>129.535800220751</v>
      </c>
      <c r="Z73" s="26" t="n">
        <f aca="false">Accounts!H50</f>
        <v>10845</v>
      </c>
      <c r="AA73" s="28" t="n">
        <f aca="false">IF(Z73&gt;=Assumptions!$B$44,Assumptions!$C$44,IF(Z73&gt;=Assumptions!$B$45,Assumptions!$C$45,IF(Z73&gt;=Assumptions!$B$46,Assumptions!$C$46,Assumptions!$C$47)))</f>
        <v>0.035</v>
      </c>
      <c r="AB73" s="26" t="n">
        <f aca="false">IF(Z73&gt;=Assumptions!$B$44,Assumptions!$B$44,IF(Z73&gt;=Assumptions!$B$45,Assumptions!$B$45,IF(Z73&gt;=Assumptions!$B$46,Assumptions!$B$46,0)))</f>
        <v>10000</v>
      </c>
    </row>
    <row r="74" customFormat="false" ht="15" hidden="false" customHeight="false" outlineLevel="0" collapsed="false">
      <c r="B74" s="14" t="s">
        <v>206</v>
      </c>
      <c r="C74" s="14" t="s">
        <v>194</v>
      </c>
      <c r="D74" s="14" t="s">
        <v>174</v>
      </c>
      <c r="E74" s="14" t="s">
        <v>60</v>
      </c>
      <c r="F74" s="26" t="n">
        <f aca="false">Accounts!E58</f>
        <v>918</v>
      </c>
      <c r="G74" s="17" t="n">
        <f aca="false">Assumptions!$D$8</f>
        <v>148</v>
      </c>
      <c r="H74" s="17" t="n">
        <f aca="false">Assumptions!$E$8</f>
        <v>78</v>
      </c>
      <c r="I74" s="17" t="n">
        <f aca="false">ROUND(F74*G74,2)</f>
        <v>135864</v>
      </c>
      <c r="J74" s="17" t="n">
        <f aca="false">ROUND(I74*Accounts!O58,2)</f>
        <v>5434.56</v>
      </c>
      <c r="K74" s="17" t="n">
        <f aca="false">ROUND(I74*Accounts!L58,2)</f>
        <v>9687.1</v>
      </c>
      <c r="L74" s="17" t="n">
        <f aca="false">ROUND(I74-J74-K74,2)</f>
        <v>120742.34</v>
      </c>
      <c r="M74" s="17" t="n">
        <f aca="false">ROUND(L74*AA74,2)</f>
        <v>2414.85</v>
      </c>
      <c r="N74" s="17" t="n">
        <f aca="false">ROUND(L74*Accounts!R58,2)</f>
        <v>0</v>
      </c>
      <c r="O74" s="17" t="n">
        <f aca="false">ROUND(L74*Accounts!S58,2)</f>
        <v>0</v>
      </c>
      <c r="P74" s="17" t="n">
        <f aca="false">ROUND(L74*Accounts!T58,2)</f>
        <v>0</v>
      </c>
      <c r="Q74" s="17" t="n">
        <f aca="false">ROUND(L74*Accounts!U58,2)</f>
        <v>0</v>
      </c>
      <c r="R74" s="17" t="n">
        <f aca="false">ROUND(L74*Accounts!V58,2)</f>
        <v>724.45</v>
      </c>
      <c r="S74" s="17" t="n">
        <f aca="false">ROUND(L74*Accounts!W58,2)</f>
        <v>0</v>
      </c>
      <c r="T74" s="17" t="n">
        <f aca="false">ROUND(L74-SUM(M74:S74),2)</f>
        <v>117603.04</v>
      </c>
      <c r="U74" s="17" t="n">
        <f aca="false">ROUND(F74*H74,2)</f>
        <v>71604</v>
      </c>
      <c r="V74" s="17" t="n">
        <f aca="false">ROUND(L74*Assumptions!$C$25,2)</f>
        <v>2414.85</v>
      </c>
      <c r="W74" s="17" t="n">
        <f aca="false">ROUND(T74-U74-V74,2)</f>
        <v>43584.19</v>
      </c>
      <c r="X74" s="28" t="n">
        <f aca="false">T74/I74</f>
        <v>0.865593829123241</v>
      </c>
      <c r="Y74" s="17" t="n">
        <f aca="false">T74/F74</f>
        <v>128.10788671024</v>
      </c>
      <c r="Z74" s="26" t="n">
        <f aca="false">Accounts!H58</f>
        <v>5719</v>
      </c>
      <c r="AA74" s="28" t="n">
        <f aca="false">IF(Z74&gt;=Assumptions!$B$44,Assumptions!$C$44,IF(Z74&gt;=Assumptions!$B$45,Assumptions!$C$45,IF(Z74&gt;=Assumptions!$B$46,Assumptions!$C$46,Assumptions!$C$47)))</f>
        <v>0.02</v>
      </c>
      <c r="AB74" s="26" t="n">
        <f aca="false">IF(Z74&gt;=Assumptions!$B$44,Assumptions!$B$44,IF(Z74&gt;=Assumptions!$B$45,Assumptions!$B$45,IF(Z74&gt;=Assumptions!$B$46,Assumptions!$B$46,0)))</f>
        <v>3000</v>
      </c>
    </row>
    <row r="75" customFormat="false" ht="15" hidden="false" customHeight="false" outlineLevel="0" collapsed="false">
      <c r="B75" s="14" t="s">
        <v>93</v>
      </c>
      <c r="C75" s="14" t="s">
        <v>194</v>
      </c>
      <c r="D75" s="14" t="s">
        <v>184</v>
      </c>
      <c r="E75" s="14" t="s">
        <v>60</v>
      </c>
      <c r="F75" s="26" t="n">
        <f aca="false">Accounts!E66</f>
        <v>1945</v>
      </c>
      <c r="G75" s="17" t="n">
        <f aca="false">Assumptions!$D$8</f>
        <v>148</v>
      </c>
      <c r="H75" s="17" t="n">
        <f aca="false">Assumptions!$E$8</f>
        <v>78</v>
      </c>
      <c r="I75" s="17" t="n">
        <f aca="false">ROUND(F75*G75,2)</f>
        <v>287860</v>
      </c>
      <c r="J75" s="17" t="n">
        <f aca="false">ROUND(I75*Accounts!O66,2)</f>
        <v>11514.4</v>
      </c>
      <c r="K75" s="17" t="n">
        <f aca="false">ROUND(I75*Accounts!L66,2)</f>
        <v>5354.2</v>
      </c>
      <c r="L75" s="17" t="n">
        <f aca="false">ROUND(I75-J75-K75,2)</f>
        <v>270991.4</v>
      </c>
      <c r="M75" s="17" t="n">
        <f aca="false">ROUND(L75*AA75,2)</f>
        <v>5419.83</v>
      </c>
      <c r="N75" s="17" t="n">
        <f aca="false">ROUND(L75*Accounts!R66,2)</f>
        <v>0</v>
      </c>
      <c r="O75" s="17" t="n">
        <f aca="false">ROUND(L75*Accounts!S66,2)</f>
        <v>4064.87</v>
      </c>
      <c r="P75" s="17" t="n">
        <f aca="false">ROUND(L75*Accounts!T66,2)</f>
        <v>0</v>
      </c>
      <c r="Q75" s="17" t="n">
        <f aca="false">ROUND(L75*Accounts!U66,2)</f>
        <v>0</v>
      </c>
      <c r="R75" s="17" t="n">
        <f aca="false">ROUND(L75*Accounts!V66,2)</f>
        <v>1625.95</v>
      </c>
      <c r="S75" s="17" t="n">
        <f aca="false">ROUND(L75*Accounts!W66,2)</f>
        <v>0</v>
      </c>
      <c r="T75" s="17" t="n">
        <f aca="false">ROUND(L75-SUM(M75:S75),2)</f>
        <v>259880.75</v>
      </c>
      <c r="U75" s="17" t="n">
        <f aca="false">ROUND(F75*H75,2)</f>
        <v>151710</v>
      </c>
      <c r="V75" s="17" t="n">
        <f aca="false">ROUND(L75*Assumptions!$C$25,2)</f>
        <v>5419.83</v>
      </c>
      <c r="W75" s="17" t="n">
        <f aca="false">ROUND(T75-U75-V75,2)</f>
        <v>102750.92</v>
      </c>
      <c r="X75" s="28" t="n">
        <f aca="false">T75/I75</f>
        <v>0.902802577641909</v>
      </c>
      <c r="Y75" s="17" t="n">
        <f aca="false">T75/F75</f>
        <v>133.614781491003</v>
      </c>
      <c r="Z75" s="26" t="n">
        <f aca="false">Accounts!H66</f>
        <v>9360</v>
      </c>
      <c r="AA75" s="28" t="n">
        <f aca="false">IF(Z75&gt;=Assumptions!$B$44,Assumptions!$C$44,IF(Z75&gt;=Assumptions!$B$45,Assumptions!$C$45,IF(Z75&gt;=Assumptions!$B$46,Assumptions!$C$46,Assumptions!$C$47)))</f>
        <v>0.02</v>
      </c>
      <c r="AB75" s="26" t="n">
        <f aca="false">IF(Z75&gt;=Assumptions!$B$44,Assumptions!$B$44,IF(Z75&gt;=Assumptions!$B$45,Assumptions!$B$45,IF(Z75&gt;=Assumptions!$B$46,Assumptions!$B$46,0)))</f>
        <v>3000</v>
      </c>
    </row>
    <row r="76" customFormat="false" ht="15" hidden="false" customHeight="false" outlineLevel="0" collapsed="false">
      <c r="B76" s="14" t="s">
        <v>231</v>
      </c>
      <c r="C76" s="14" t="s">
        <v>194</v>
      </c>
      <c r="D76" s="14" t="s">
        <v>227</v>
      </c>
      <c r="E76" s="14" t="s">
        <v>60</v>
      </c>
      <c r="F76" s="26" t="n">
        <f aca="false">Accounts!E82</f>
        <v>1283</v>
      </c>
      <c r="G76" s="17" t="n">
        <f aca="false">Assumptions!$D$8</f>
        <v>148</v>
      </c>
      <c r="H76" s="17" t="n">
        <f aca="false">Assumptions!$E$8</f>
        <v>78</v>
      </c>
      <c r="I76" s="17" t="n">
        <f aca="false">ROUND(F76*G76,2)</f>
        <v>189884</v>
      </c>
      <c r="J76" s="17" t="n">
        <f aca="false">ROUND(I76*Accounts!O82,2)</f>
        <v>7595.36</v>
      </c>
      <c r="K76" s="17" t="n">
        <f aca="false">ROUND(I76*Accounts!L82,2)</f>
        <v>10595.53</v>
      </c>
      <c r="L76" s="17" t="n">
        <f aca="false">ROUND(I76-J76-K76,2)</f>
        <v>171693.11</v>
      </c>
      <c r="M76" s="17" t="n">
        <f aca="false">ROUND(L76*AA76,2)</f>
        <v>3433.86</v>
      </c>
      <c r="N76" s="17" t="n">
        <f aca="false">ROUND(L76*Accounts!R82,2)</f>
        <v>0</v>
      </c>
      <c r="O76" s="17" t="n">
        <f aca="false">ROUND(L76*Accounts!S82,2)</f>
        <v>0</v>
      </c>
      <c r="P76" s="17" t="n">
        <f aca="false">ROUND(L76*Accounts!T82,2)</f>
        <v>0</v>
      </c>
      <c r="Q76" s="17" t="n">
        <f aca="false">ROUND(L76*Accounts!U82,2)</f>
        <v>0</v>
      </c>
      <c r="R76" s="17" t="n">
        <f aca="false">ROUND(L76*Accounts!V82,2)</f>
        <v>1030.16</v>
      </c>
      <c r="S76" s="17" t="n">
        <f aca="false">ROUND(L76*Accounts!W82,2)</f>
        <v>858.47</v>
      </c>
      <c r="T76" s="17" t="n">
        <f aca="false">ROUND(L76-SUM(M76:S76),2)</f>
        <v>166370.62</v>
      </c>
      <c r="U76" s="17" t="n">
        <f aca="false">ROUND(F76*H76,2)</f>
        <v>100074</v>
      </c>
      <c r="V76" s="17" t="n">
        <f aca="false">ROUND(L76*Assumptions!$C$25,2)</f>
        <v>3433.86</v>
      </c>
      <c r="W76" s="17" t="n">
        <f aca="false">ROUND(T76-U76-V76,2)</f>
        <v>62862.76</v>
      </c>
      <c r="X76" s="28" t="n">
        <f aca="false">T76/I76</f>
        <v>0.876169766804997</v>
      </c>
      <c r="Y76" s="17" t="n">
        <f aca="false">T76/F76</f>
        <v>129.67312548714</v>
      </c>
      <c r="Z76" s="26" t="n">
        <f aca="false">Accounts!H82</f>
        <v>3292</v>
      </c>
      <c r="AA76" s="28" t="n">
        <f aca="false">IF(Z76&gt;=Assumptions!$B$44,Assumptions!$C$44,IF(Z76&gt;=Assumptions!$B$45,Assumptions!$C$45,IF(Z76&gt;=Assumptions!$B$46,Assumptions!$C$46,Assumptions!$C$47)))</f>
        <v>0.02</v>
      </c>
      <c r="AB76" s="26" t="n">
        <f aca="false">IF(Z76&gt;=Assumptions!$B$44,Assumptions!$B$44,IF(Z76&gt;=Assumptions!$B$45,Assumptions!$B$45,IF(Z76&gt;=Assumptions!$B$46,Assumptions!$B$46,0)))</f>
        <v>3000</v>
      </c>
    </row>
    <row r="77" customFormat="false" ht="15" hidden="false" customHeight="false" outlineLevel="0" collapsed="false">
      <c r="B77" s="14" t="s">
        <v>239</v>
      </c>
      <c r="C77" s="14" t="s">
        <v>194</v>
      </c>
      <c r="D77" s="14" t="s">
        <v>235</v>
      </c>
      <c r="E77" s="14" t="s">
        <v>60</v>
      </c>
      <c r="F77" s="26" t="n">
        <f aca="false">Accounts!E89</f>
        <v>535</v>
      </c>
      <c r="G77" s="17" t="n">
        <f aca="false">Assumptions!$D$8</f>
        <v>148</v>
      </c>
      <c r="H77" s="17" t="n">
        <f aca="false">Assumptions!$E$8</f>
        <v>78</v>
      </c>
      <c r="I77" s="17" t="n">
        <f aca="false">ROUND(F77*G77,2)</f>
        <v>79180</v>
      </c>
      <c r="J77" s="17" t="n">
        <f aca="false">ROUND(I77*Accounts!O89,2)</f>
        <v>1583.6</v>
      </c>
      <c r="K77" s="17" t="n">
        <f aca="false">ROUND(I77*Accounts!L89,2)</f>
        <v>1472.75</v>
      </c>
      <c r="L77" s="17" t="n">
        <f aca="false">ROUND(I77-J77-K77,2)</f>
        <v>76123.65</v>
      </c>
      <c r="M77" s="17" t="n">
        <f aca="false">ROUND(L77*AA77,2)</f>
        <v>0</v>
      </c>
      <c r="N77" s="17" t="n">
        <f aca="false">ROUND(L77*Accounts!R89,2)</f>
        <v>1522.47</v>
      </c>
      <c r="O77" s="17" t="n">
        <f aca="false">ROUND(L77*Accounts!S89,2)</f>
        <v>1141.85</v>
      </c>
      <c r="P77" s="17" t="n">
        <f aca="false">ROUND(L77*Accounts!T89,2)</f>
        <v>0</v>
      </c>
      <c r="Q77" s="17" t="n">
        <f aca="false">ROUND(L77*Accounts!U89,2)</f>
        <v>0</v>
      </c>
      <c r="R77" s="17" t="n">
        <f aca="false">ROUND(L77*Accounts!V89,2)</f>
        <v>456.74</v>
      </c>
      <c r="S77" s="17" t="n">
        <f aca="false">ROUND(L77*Accounts!W89,2)</f>
        <v>380.62</v>
      </c>
      <c r="T77" s="17" t="n">
        <f aca="false">ROUND(L77-SUM(M77:S77),2)</f>
        <v>72621.97</v>
      </c>
      <c r="U77" s="17" t="n">
        <f aca="false">ROUND(F77*H77,2)</f>
        <v>41730</v>
      </c>
      <c r="V77" s="17" t="n">
        <f aca="false">ROUND(L77*Assumptions!$C$25,2)</f>
        <v>1522.47</v>
      </c>
      <c r="W77" s="17" t="n">
        <f aca="false">ROUND(T77-U77-V77,2)</f>
        <v>29369.5</v>
      </c>
      <c r="X77" s="28" t="n">
        <f aca="false">T77/I77</f>
        <v>0.917175675675676</v>
      </c>
      <c r="Y77" s="17" t="n">
        <f aca="false">T77/F77</f>
        <v>135.742</v>
      </c>
      <c r="Z77" s="26" t="n">
        <f aca="false">Accounts!H89</f>
        <v>2649</v>
      </c>
      <c r="AA77" s="28" t="n">
        <f aca="false">IF(Z77&gt;=Assumptions!$B$44,Assumptions!$C$44,IF(Z77&gt;=Assumptions!$B$45,Assumptions!$C$45,IF(Z77&gt;=Assumptions!$B$46,Assumptions!$C$46,Assumptions!$C$47)))</f>
        <v>0</v>
      </c>
      <c r="AB77" s="26" t="n">
        <f aca="false">IF(Z77&gt;=Assumptions!$B$44,Assumptions!$B$44,IF(Z77&gt;=Assumptions!$B$45,Assumptions!$B$45,IF(Z77&gt;=Assumptions!$B$46,Assumptions!$B$46,0)))</f>
        <v>0</v>
      </c>
    </row>
    <row r="78" customFormat="false" ht="15" hidden="false" customHeight="false" outlineLevel="0" collapsed="false">
      <c r="B78" s="14" t="s">
        <v>247</v>
      </c>
      <c r="C78" s="14" t="s">
        <v>194</v>
      </c>
      <c r="D78" s="14" t="s">
        <v>243</v>
      </c>
      <c r="E78" s="14" t="s">
        <v>60</v>
      </c>
      <c r="F78" s="26" t="n">
        <f aca="false">Accounts!E96</f>
        <v>2776</v>
      </c>
      <c r="G78" s="17" t="n">
        <f aca="false">Assumptions!$D$8</f>
        <v>148</v>
      </c>
      <c r="H78" s="17" t="n">
        <f aca="false">Assumptions!$E$8</f>
        <v>78</v>
      </c>
      <c r="I78" s="17" t="n">
        <f aca="false">ROUND(F78*G78,2)</f>
        <v>410848</v>
      </c>
      <c r="J78" s="17" t="n">
        <f aca="false">ROUND(I78*Accounts!O96,2)</f>
        <v>16433.92</v>
      </c>
      <c r="K78" s="17" t="n">
        <f aca="false">ROUND(I78*Accounts!L96,2)</f>
        <v>20378.06</v>
      </c>
      <c r="L78" s="17" t="n">
        <f aca="false">ROUND(I78-J78-K78,2)</f>
        <v>374036.02</v>
      </c>
      <c r="M78" s="17" t="n">
        <f aca="false">ROUND(L78*AA78,2)</f>
        <v>13091.26</v>
      </c>
      <c r="N78" s="17" t="n">
        <f aca="false">ROUND(L78*Accounts!R96,2)</f>
        <v>0</v>
      </c>
      <c r="O78" s="17" t="n">
        <f aca="false">ROUND(L78*Accounts!S96,2)</f>
        <v>0</v>
      </c>
      <c r="P78" s="17" t="n">
        <f aca="false">ROUND(L78*Accounts!T96,2)</f>
        <v>0</v>
      </c>
      <c r="Q78" s="17" t="n">
        <f aca="false">ROUND(L78*Accounts!U96,2)</f>
        <v>0</v>
      </c>
      <c r="R78" s="17" t="n">
        <f aca="false">ROUND(L78*Accounts!V96,2)</f>
        <v>2244.22</v>
      </c>
      <c r="S78" s="17" t="n">
        <f aca="false">ROUND(L78*Accounts!W96,2)</f>
        <v>0</v>
      </c>
      <c r="T78" s="17" t="n">
        <f aca="false">ROUND(L78-SUM(M78:S78),2)</f>
        <v>358700.54</v>
      </c>
      <c r="U78" s="17" t="n">
        <f aca="false">ROUND(F78*H78,2)</f>
        <v>216528</v>
      </c>
      <c r="V78" s="17" t="n">
        <f aca="false">ROUND(L78*Assumptions!$C$25,2)</f>
        <v>7480.72</v>
      </c>
      <c r="W78" s="17" t="n">
        <f aca="false">ROUND(T78-U78-V78,2)</f>
        <v>134691.82</v>
      </c>
      <c r="X78" s="28" t="n">
        <f aca="false">T78/I78</f>
        <v>0.873073594127269</v>
      </c>
      <c r="Y78" s="17" t="n">
        <f aca="false">T78/F78</f>
        <v>129.214891930836</v>
      </c>
      <c r="Z78" s="26" t="n">
        <f aca="false">Accounts!H96</f>
        <v>14397</v>
      </c>
      <c r="AA78" s="28" t="n">
        <f aca="false">IF(Z78&gt;=Assumptions!$B$44,Assumptions!$C$44,IF(Z78&gt;=Assumptions!$B$45,Assumptions!$C$45,IF(Z78&gt;=Assumptions!$B$46,Assumptions!$C$46,Assumptions!$C$47)))</f>
        <v>0.035</v>
      </c>
      <c r="AB78" s="26" t="n">
        <f aca="false">IF(Z78&gt;=Assumptions!$B$44,Assumptions!$B$44,IF(Z78&gt;=Assumptions!$B$45,Assumptions!$B$45,IF(Z78&gt;=Assumptions!$B$46,Assumptions!$B$46,0)))</f>
        <v>10000</v>
      </c>
    </row>
    <row r="79" customFormat="false" ht="15" hidden="false" customHeight="false" outlineLevel="0" collapsed="false">
      <c r="B79" s="14" t="s">
        <v>255</v>
      </c>
      <c r="C79" s="14" t="s">
        <v>194</v>
      </c>
      <c r="D79" s="14" t="s">
        <v>251</v>
      </c>
      <c r="E79" s="14" t="s">
        <v>60</v>
      </c>
      <c r="F79" s="26" t="n">
        <f aca="false">Accounts!E103</f>
        <v>371</v>
      </c>
      <c r="G79" s="17" t="n">
        <f aca="false">Assumptions!$D$8</f>
        <v>148</v>
      </c>
      <c r="H79" s="17" t="n">
        <f aca="false">Assumptions!$E$8</f>
        <v>78</v>
      </c>
      <c r="I79" s="17" t="n">
        <f aca="false">ROUND(F79*G79,2)</f>
        <v>54908</v>
      </c>
      <c r="J79" s="17" t="n">
        <f aca="false">ROUND(I79*Accounts!O103,2)</f>
        <v>2196.32</v>
      </c>
      <c r="K79" s="17" t="n">
        <f aca="false">ROUND(I79*Accounts!L103,2)</f>
        <v>0</v>
      </c>
      <c r="L79" s="17" t="n">
        <f aca="false">ROUND(I79-J79-K79,2)</f>
        <v>52711.68</v>
      </c>
      <c r="M79" s="17" t="n">
        <f aca="false">ROUND(L79*AA79,2)</f>
        <v>0</v>
      </c>
      <c r="N79" s="17" t="n">
        <f aca="false">ROUND(L79*Accounts!R103,2)</f>
        <v>0</v>
      </c>
      <c r="O79" s="17" t="n">
        <f aca="false">ROUND(L79*Accounts!S103,2)</f>
        <v>0</v>
      </c>
      <c r="P79" s="17" t="n">
        <f aca="false">ROUND(L79*Accounts!T103,2)</f>
        <v>0</v>
      </c>
      <c r="Q79" s="17" t="n">
        <f aca="false">ROUND(L79*Accounts!U103,2)</f>
        <v>0</v>
      </c>
      <c r="R79" s="17" t="n">
        <f aca="false">ROUND(L79*Accounts!V103,2)</f>
        <v>316.27</v>
      </c>
      <c r="S79" s="17" t="n">
        <f aca="false">ROUND(L79*Accounts!W103,2)</f>
        <v>263.56</v>
      </c>
      <c r="T79" s="17" t="n">
        <f aca="false">ROUND(L79-SUM(M79:S79),2)</f>
        <v>52131.85</v>
      </c>
      <c r="U79" s="17" t="n">
        <f aca="false">ROUND(F79*H79,2)</f>
        <v>28938</v>
      </c>
      <c r="V79" s="17" t="n">
        <f aca="false">ROUND(L79*Assumptions!$C$25,2)</f>
        <v>1054.23</v>
      </c>
      <c r="W79" s="17" t="n">
        <f aca="false">ROUND(T79-U79-V79,2)</f>
        <v>22139.62</v>
      </c>
      <c r="X79" s="28" t="n">
        <f aca="false">T79/I79</f>
        <v>0.949439972317331</v>
      </c>
      <c r="Y79" s="17" t="n">
        <f aca="false">T79/F79</f>
        <v>140.517115902965</v>
      </c>
      <c r="Z79" s="26" t="n">
        <f aca="false">Accounts!H103</f>
        <v>2084</v>
      </c>
      <c r="AA79" s="28" t="n">
        <f aca="false">IF(Z79&gt;=Assumptions!$B$44,Assumptions!$C$44,IF(Z79&gt;=Assumptions!$B$45,Assumptions!$C$45,IF(Z79&gt;=Assumptions!$B$46,Assumptions!$C$46,Assumptions!$C$47)))</f>
        <v>0</v>
      </c>
      <c r="AB79" s="26" t="n">
        <f aca="false">IF(Z79&gt;=Assumptions!$B$44,Assumptions!$B$44,IF(Z79&gt;=Assumptions!$B$45,Assumptions!$B$45,IF(Z79&gt;=Assumptions!$B$46,Assumptions!$B$46,0)))</f>
        <v>0</v>
      </c>
    </row>
    <row r="80" customFormat="false" ht="15" hidden="false" customHeight="false" outlineLevel="0" collapsed="false">
      <c r="B80" s="14" t="s">
        <v>199</v>
      </c>
      <c r="C80" s="14" t="s">
        <v>194</v>
      </c>
      <c r="D80" s="14" t="s">
        <v>163</v>
      </c>
      <c r="E80" s="14" t="s">
        <v>60</v>
      </c>
      <c r="F80" s="26" t="n">
        <f aca="false">Accounts!E51</f>
        <v>1271</v>
      </c>
      <c r="G80" s="17" t="n">
        <f aca="false">Assumptions!$D$8</f>
        <v>148</v>
      </c>
      <c r="H80" s="17" t="n">
        <f aca="false">Assumptions!$E$8</f>
        <v>78</v>
      </c>
      <c r="I80" s="17" t="n">
        <f aca="false">ROUND(F80*G80,2)</f>
        <v>188108</v>
      </c>
      <c r="J80" s="17" t="n">
        <f aca="false">ROUND(I80*Accounts!O51,2)</f>
        <v>7524.32</v>
      </c>
      <c r="K80" s="17" t="n">
        <f aca="false">ROUND(I80*Accounts!L51,2)</f>
        <v>0</v>
      </c>
      <c r="L80" s="17" t="n">
        <f aca="false">ROUND(I80-J80-K80,2)</f>
        <v>180583.68</v>
      </c>
      <c r="M80" s="17" t="n">
        <f aca="false">ROUND(L80*AA80,2)</f>
        <v>6320.43</v>
      </c>
      <c r="N80" s="17" t="n">
        <f aca="false">ROUND(L80*Accounts!R51,2)</f>
        <v>0</v>
      </c>
      <c r="O80" s="17" t="n">
        <f aca="false">ROUND(L80*Accounts!S51,2)</f>
        <v>2708.76</v>
      </c>
      <c r="P80" s="17" t="n">
        <f aca="false">ROUND(L80*Accounts!T51,2)</f>
        <v>0</v>
      </c>
      <c r="Q80" s="17" t="n">
        <f aca="false">ROUND(L80*Accounts!U51,2)</f>
        <v>0</v>
      </c>
      <c r="R80" s="17" t="n">
        <f aca="false">ROUND(L80*Accounts!V51,2)</f>
        <v>1083.5</v>
      </c>
      <c r="S80" s="17" t="n">
        <f aca="false">ROUND(L80*Accounts!W51,2)</f>
        <v>902.92</v>
      </c>
      <c r="T80" s="17" t="n">
        <f aca="false">ROUND(L80-SUM(M80:S80),2)</f>
        <v>169568.07</v>
      </c>
      <c r="U80" s="17" t="n">
        <f aca="false">ROUND(F80*H80,2)</f>
        <v>99138</v>
      </c>
      <c r="V80" s="17" t="n">
        <f aca="false">ROUND(L80*Assumptions!$C$25,2)</f>
        <v>3611.67</v>
      </c>
      <c r="W80" s="17" t="n">
        <f aca="false">ROUND(T80-U80-V80,2)</f>
        <v>66818.4</v>
      </c>
      <c r="X80" s="28" t="n">
        <f aca="false">T80/I80</f>
        <v>0.901439970655156</v>
      </c>
      <c r="Y80" s="17" t="n">
        <f aca="false">T80/F80</f>
        <v>133.413115656963</v>
      </c>
      <c r="Z80" s="26" t="n">
        <f aca="false">Accounts!H51</f>
        <v>10406</v>
      </c>
      <c r="AA80" s="28" t="n">
        <f aca="false">IF(Z80&gt;=Assumptions!$B$44,Assumptions!$C$44,IF(Z80&gt;=Assumptions!$B$45,Assumptions!$C$45,IF(Z80&gt;=Assumptions!$B$46,Assumptions!$C$46,Assumptions!$C$47)))</f>
        <v>0.035</v>
      </c>
      <c r="AB80" s="26" t="n">
        <f aca="false">IF(Z80&gt;=Assumptions!$B$44,Assumptions!$B$44,IF(Z80&gt;=Assumptions!$B$45,Assumptions!$B$45,IF(Z80&gt;=Assumptions!$B$46,Assumptions!$B$46,0)))</f>
        <v>10000</v>
      </c>
    </row>
    <row r="81" customFormat="false" ht="15" hidden="false" customHeight="false" outlineLevel="0" collapsed="false">
      <c r="B81" s="14" t="s">
        <v>207</v>
      </c>
      <c r="C81" s="14" t="s">
        <v>194</v>
      </c>
      <c r="D81" s="14" t="s">
        <v>174</v>
      </c>
      <c r="E81" s="14" t="s">
        <v>60</v>
      </c>
      <c r="F81" s="26" t="n">
        <f aca="false">Accounts!E59</f>
        <v>248</v>
      </c>
      <c r="G81" s="17" t="n">
        <f aca="false">Assumptions!$D$8</f>
        <v>148</v>
      </c>
      <c r="H81" s="17" t="n">
        <f aca="false">Assumptions!$E$8</f>
        <v>78</v>
      </c>
      <c r="I81" s="17" t="n">
        <f aca="false">ROUND(F81*G81,2)</f>
        <v>36704</v>
      </c>
      <c r="J81" s="17" t="n">
        <f aca="false">ROUND(I81*Accounts!O59,2)</f>
        <v>734.08</v>
      </c>
      <c r="K81" s="17" t="n">
        <f aca="false">ROUND(I81*Accounts!L59,2)</f>
        <v>0</v>
      </c>
      <c r="L81" s="17" t="n">
        <f aca="false">ROUND(I81-J81-K81,2)</f>
        <v>35969.92</v>
      </c>
      <c r="M81" s="17" t="n">
        <f aca="false">ROUND(L81*AA81,2)</f>
        <v>0</v>
      </c>
      <c r="N81" s="17" t="n">
        <f aca="false">ROUND(L81*Accounts!R59,2)</f>
        <v>719.4</v>
      </c>
      <c r="O81" s="17" t="n">
        <f aca="false">ROUND(L81*Accounts!S59,2)</f>
        <v>539.55</v>
      </c>
      <c r="P81" s="17" t="n">
        <f aca="false">ROUND(L81*Accounts!T59,2)</f>
        <v>0</v>
      </c>
      <c r="Q81" s="17" t="n">
        <f aca="false">ROUND(L81*Accounts!U59,2)</f>
        <v>0</v>
      </c>
      <c r="R81" s="17" t="n">
        <f aca="false">ROUND(L81*Accounts!V59,2)</f>
        <v>215.82</v>
      </c>
      <c r="S81" s="17" t="n">
        <f aca="false">ROUND(L81*Accounts!W59,2)</f>
        <v>0</v>
      </c>
      <c r="T81" s="17" t="n">
        <f aca="false">ROUND(L81-SUM(M81:S81),2)</f>
        <v>34495.15</v>
      </c>
      <c r="U81" s="17" t="n">
        <f aca="false">ROUND(F81*H81,2)</f>
        <v>19344</v>
      </c>
      <c r="V81" s="17" t="n">
        <f aca="false">ROUND(L81*Assumptions!$C$25,2)</f>
        <v>719.4</v>
      </c>
      <c r="W81" s="17" t="n">
        <f aca="false">ROUND(T81-U81-V81,2)</f>
        <v>14431.75</v>
      </c>
      <c r="X81" s="28" t="n">
        <f aca="false">T81/I81</f>
        <v>0.939819910636443</v>
      </c>
      <c r="Y81" s="17" t="n">
        <f aca="false">T81/F81</f>
        <v>139.093346774194</v>
      </c>
      <c r="Z81" s="26" t="n">
        <f aca="false">Accounts!H59</f>
        <v>1346</v>
      </c>
      <c r="AA81" s="28" t="n">
        <f aca="false">IF(Z81&gt;=Assumptions!$B$44,Assumptions!$C$44,IF(Z81&gt;=Assumptions!$B$45,Assumptions!$C$45,IF(Z81&gt;=Assumptions!$B$46,Assumptions!$C$46,Assumptions!$C$47)))</f>
        <v>0</v>
      </c>
      <c r="AB81" s="26" t="n">
        <f aca="false">IF(Z81&gt;=Assumptions!$B$44,Assumptions!$B$44,IF(Z81&gt;=Assumptions!$B$45,Assumptions!$B$45,IF(Z81&gt;=Assumptions!$B$46,Assumptions!$B$46,0)))</f>
        <v>0</v>
      </c>
    </row>
    <row r="82" customFormat="false" ht="15" hidden="false" customHeight="false" outlineLevel="0" collapsed="false">
      <c r="B82" s="14" t="s">
        <v>214</v>
      </c>
      <c r="C82" s="14" t="s">
        <v>194</v>
      </c>
      <c r="D82" s="14" t="s">
        <v>184</v>
      </c>
      <c r="E82" s="14" t="s">
        <v>60</v>
      </c>
      <c r="F82" s="26" t="n">
        <f aca="false">Accounts!E67</f>
        <v>921</v>
      </c>
      <c r="G82" s="17" t="n">
        <f aca="false">Assumptions!$D$8</f>
        <v>148</v>
      </c>
      <c r="H82" s="17" t="n">
        <f aca="false">Assumptions!$E$8</f>
        <v>78</v>
      </c>
      <c r="I82" s="17" t="n">
        <f aca="false">ROUND(F82*G82,2)</f>
        <v>136308</v>
      </c>
      <c r="J82" s="17" t="n">
        <f aca="false">ROUND(I82*Accounts!O67,2)</f>
        <v>5452.32</v>
      </c>
      <c r="K82" s="17" t="n">
        <f aca="false">ROUND(I82*Accounts!L67,2)</f>
        <v>5915.77</v>
      </c>
      <c r="L82" s="17" t="n">
        <f aca="false">ROUND(I82-J82-K82,2)</f>
        <v>124939.91</v>
      </c>
      <c r="M82" s="17" t="n">
        <f aca="false">ROUND(L82*AA82,2)</f>
        <v>0</v>
      </c>
      <c r="N82" s="17" t="n">
        <f aca="false">ROUND(L82*Accounts!R67,2)</f>
        <v>2498.8</v>
      </c>
      <c r="O82" s="17" t="n">
        <f aca="false">ROUND(L82*Accounts!S67,2)</f>
        <v>0</v>
      </c>
      <c r="P82" s="17" t="n">
        <f aca="false">ROUND(L82*Accounts!T67,2)</f>
        <v>0</v>
      </c>
      <c r="Q82" s="17" t="n">
        <f aca="false">ROUND(L82*Accounts!U67,2)</f>
        <v>0</v>
      </c>
      <c r="R82" s="17" t="n">
        <f aca="false">ROUND(L82*Accounts!V67,2)</f>
        <v>749.64</v>
      </c>
      <c r="S82" s="17" t="n">
        <f aca="false">ROUND(L82*Accounts!W67,2)</f>
        <v>0</v>
      </c>
      <c r="T82" s="17" t="n">
        <f aca="false">ROUND(L82-SUM(M82:S82),2)</f>
        <v>121691.47</v>
      </c>
      <c r="U82" s="17" t="n">
        <f aca="false">ROUND(F82*H82,2)</f>
        <v>71838</v>
      </c>
      <c r="V82" s="17" t="n">
        <f aca="false">ROUND(L82*Assumptions!$C$25,2)</f>
        <v>2498.8</v>
      </c>
      <c r="W82" s="17" t="n">
        <f aca="false">ROUND(T82-U82-V82,2)</f>
        <v>47354.67</v>
      </c>
      <c r="X82" s="28" t="n">
        <f aca="false">T82/I82</f>
        <v>0.892768362825366</v>
      </c>
      <c r="Y82" s="17" t="n">
        <f aca="false">T82/F82</f>
        <v>132.129717698154</v>
      </c>
      <c r="Z82" s="26" t="n">
        <f aca="false">Accounts!H67</f>
        <v>2438</v>
      </c>
      <c r="AA82" s="28" t="n">
        <f aca="false">IF(Z82&gt;=Assumptions!$B$44,Assumptions!$C$44,IF(Z82&gt;=Assumptions!$B$45,Assumptions!$C$45,IF(Z82&gt;=Assumptions!$B$46,Assumptions!$C$46,Assumptions!$C$47)))</f>
        <v>0</v>
      </c>
      <c r="AB82" s="26" t="n">
        <f aca="false">IF(Z82&gt;=Assumptions!$B$44,Assumptions!$B$44,IF(Z82&gt;=Assumptions!$B$45,Assumptions!$B$45,IF(Z82&gt;=Assumptions!$B$46,Assumptions!$B$46,0)))</f>
        <v>0</v>
      </c>
    </row>
    <row r="83" customFormat="false" ht="15" hidden="false" customHeight="false" outlineLevel="0" collapsed="false">
      <c r="B83" s="14" t="s">
        <v>223</v>
      </c>
      <c r="C83" s="14" t="s">
        <v>194</v>
      </c>
      <c r="D83" s="14" t="s">
        <v>218</v>
      </c>
      <c r="E83" s="14" t="s">
        <v>60</v>
      </c>
      <c r="F83" s="26" t="n">
        <f aca="false">Accounts!E75</f>
        <v>606</v>
      </c>
      <c r="G83" s="17" t="n">
        <f aca="false">Assumptions!$D$8</f>
        <v>148</v>
      </c>
      <c r="H83" s="17" t="n">
        <f aca="false">Assumptions!$E$8</f>
        <v>78</v>
      </c>
      <c r="I83" s="17" t="n">
        <f aca="false">ROUND(F83*G83,2)</f>
        <v>89688</v>
      </c>
      <c r="J83" s="17" t="n">
        <f aca="false">ROUND(I83*Accounts!O75,2)</f>
        <v>3587.52</v>
      </c>
      <c r="K83" s="17" t="n">
        <f aca="false">ROUND(I83*Accounts!L75,2)</f>
        <v>1668.2</v>
      </c>
      <c r="L83" s="17" t="n">
        <f aca="false">ROUND(I83-J83-K83,2)</f>
        <v>84432.28</v>
      </c>
      <c r="M83" s="17" t="n">
        <f aca="false">ROUND(L83*AA83,2)</f>
        <v>0</v>
      </c>
      <c r="N83" s="17" t="n">
        <f aca="false">ROUND(L83*Accounts!R75,2)</f>
        <v>0</v>
      </c>
      <c r="O83" s="17" t="n">
        <f aca="false">ROUND(L83*Accounts!S75,2)</f>
        <v>0</v>
      </c>
      <c r="P83" s="17" t="n">
        <f aca="false">ROUND(L83*Accounts!T75,2)</f>
        <v>0</v>
      </c>
      <c r="Q83" s="17" t="n">
        <f aca="false">ROUND(L83*Accounts!U75,2)</f>
        <v>0</v>
      </c>
      <c r="R83" s="17" t="n">
        <f aca="false">ROUND(L83*Accounts!V75,2)</f>
        <v>506.59</v>
      </c>
      <c r="S83" s="17" t="n">
        <f aca="false">ROUND(L83*Accounts!W75,2)</f>
        <v>422.16</v>
      </c>
      <c r="T83" s="17" t="n">
        <f aca="false">ROUND(L83-SUM(M83:S83),2)</f>
        <v>83503.53</v>
      </c>
      <c r="U83" s="17" t="n">
        <f aca="false">ROUND(F83*H83,2)</f>
        <v>47268</v>
      </c>
      <c r="V83" s="17" t="n">
        <f aca="false">ROUND(L83*Assumptions!$C$25,2)</f>
        <v>1688.65</v>
      </c>
      <c r="W83" s="17" t="n">
        <f aca="false">ROUND(T83-U83-V83,2)</f>
        <v>34546.88</v>
      </c>
      <c r="X83" s="28" t="n">
        <f aca="false">T83/I83</f>
        <v>0.931044621354027</v>
      </c>
      <c r="Y83" s="17" t="n">
        <f aca="false">T83/F83</f>
        <v>137.794603960396</v>
      </c>
      <c r="Z83" s="26" t="n">
        <f aca="false">Accounts!H75</f>
        <v>2264</v>
      </c>
      <c r="AA83" s="28" t="n">
        <f aca="false">IF(Z83&gt;=Assumptions!$B$44,Assumptions!$C$44,IF(Z83&gt;=Assumptions!$B$45,Assumptions!$C$45,IF(Z83&gt;=Assumptions!$B$46,Assumptions!$C$46,Assumptions!$C$47)))</f>
        <v>0</v>
      </c>
      <c r="AB83" s="26" t="n">
        <f aca="false">IF(Z83&gt;=Assumptions!$B$44,Assumptions!$B$44,IF(Z83&gt;=Assumptions!$B$45,Assumptions!$B$45,IF(Z83&gt;=Assumptions!$B$46,Assumptions!$B$46,0)))</f>
        <v>0</v>
      </c>
    </row>
    <row r="84" customFormat="false" ht="15" hidden="false" customHeight="false" outlineLevel="0" collapsed="false">
      <c r="B84" s="14" t="s">
        <v>232</v>
      </c>
      <c r="C84" s="14" t="s">
        <v>194</v>
      </c>
      <c r="D84" s="14" t="s">
        <v>227</v>
      </c>
      <c r="E84" s="14" t="s">
        <v>60</v>
      </c>
      <c r="F84" s="26" t="n">
        <f aca="false">Accounts!E83</f>
        <v>381</v>
      </c>
      <c r="G84" s="17" t="n">
        <f aca="false">Assumptions!$D$8</f>
        <v>148</v>
      </c>
      <c r="H84" s="17" t="n">
        <f aca="false">Assumptions!$E$8</f>
        <v>78</v>
      </c>
      <c r="I84" s="17" t="n">
        <f aca="false">ROUND(F84*G84,2)</f>
        <v>56388</v>
      </c>
      <c r="J84" s="17" t="n">
        <f aca="false">ROUND(I84*Accounts!O83,2)</f>
        <v>1127.76</v>
      </c>
      <c r="K84" s="17" t="n">
        <f aca="false">ROUND(I84*Accounts!L83,2)</f>
        <v>699.21</v>
      </c>
      <c r="L84" s="17" t="n">
        <f aca="false">ROUND(I84-J84-K84,2)</f>
        <v>54561.03</v>
      </c>
      <c r="M84" s="17" t="n">
        <f aca="false">ROUND(L84*AA84,2)</f>
        <v>0</v>
      </c>
      <c r="N84" s="17" t="n">
        <f aca="false">ROUND(L84*Accounts!R83,2)</f>
        <v>0</v>
      </c>
      <c r="O84" s="17" t="n">
        <f aca="false">ROUND(L84*Accounts!S83,2)</f>
        <v>0</v>
      </c>
      <c r="P84" s="17" t="n">
        <f aca="false">ROUND(L84*Accounts!T83,2)</f>
        <v>0</v>
      </c>
      <c r="Q84" s="17" t="n">
        <f aca="false">ROUND(L84*Accounts!U83,2)</f>
        <v>0</v>
      </c>
      <c r="R84" s="17" t="n">
        <f aca="false">ROUND(L84*Accounts!V83,2)</f>
        <v>327.37</v>
      </c>
      <c r="S84" s="17" t="n">
        <f aca="false">ROUND(L84*Accounts!W83,2)</f>
        <v>0</v>
      </c>
      <c r="T84" s="17" t="n">
        <f aca="false">ROUND(L84-SUM(M84:S84),2)</f>
        <v>54233.66</v>
      </c>
      <c r="U84" s="17" t="n">
        <f aca="false">ROUND(F84*H84,2)</f>
        <v>29718</v>
      </c>
      <c r="V84" s="17" t="n">
        <f aca="false">ROUND(L84*Assumptions!$C$25,2)</f>
        <v>1091.22</v>
      </c>
      <c r="W84" s="17" t="n">
        <f aca="false">ROUND(T84-U84-V84,2)</f>
        <v>23424.44</v>
      </c>
      <c r="X84" s="28" t="n">
        <f aca="false">T84/I84</f>
        <v>0.961794353408527</v>
      </c>
      <c r="Y84" s="17" t="n">
        <f aca="false">T84/F84</f>
        <v>142.345564304462</v>
      </c>
      <c r="Z84" s="26" t="n">
        <f aca="false">Accounts!H83</f>
        <v>783</v>
      </c>
      <c r="AA84" s="28" t="n">
        <f aca="false">IF(Z84&gt;=Assumptions!$B$44,Assumptions!$C$44,IF(Z84&gt;=Assumptions!$B$45,Assumptions!$C$45,IF(Z84&gt;=Assumptions!$B$46,Assumptions!$C$46,Assumptions!$C$47)))</f>
        <v>0</v>
      </c>
      <c r="AB84" s="26" t="n">
        <f aca="false">IF(Z84&gt;=Assumptions!$B$44,Assumptions!$B$44,IF(Z84&gt;=Assumptions!$B$45,Assumptions!$B$45,IF(Z84&gt;=Assumptions!$B$46,Assumptions!$B$46,0)))</f>
        <v>0</v>
      </c>
    </row>
    <row r="85" customFormat="false" ht="15" hidden="false" customHeight="false" outlineLevel="0" collapsed="false">
      <c r="B85" s="14" t="s">
        <v>240</v>
      </c>
      <c r="C85" s="14" t="s">
        <v>194</v>
      </c>
      <c r="D85" s="14" t="s">
        <v>235</v>
      </c>
      <c r="E85" s="14" t="s">
        <v>60</v>
      </c>
      <c r="F85" s="26" t="n">
        <f aca="false">Accounts!E90</f>
        <v>222</v>
      </c>
      <c r="G85" s="17" t="n">
        <f aca="false">Assumptions!$D$8</f>
        <v>148</v>
      </c>
      <c r="H85" s="17" t="n">
        <f aca="false">Assumptions!$E$8</f>
        <v>78</v>
      </c>
      <c r="I85" s="17" t="n">
        <f aca="false">ROUND(F85*G85,2)</f>
        <v>32856</v>
      </c>
      <c r="J85" s="17" t="n">
        <f aca="false">ROUND(I85*Accounts!O90,2)</f>
        <v>1314.24</v>
      </c>
      <c r="K85" s="17" t="n">
        <f aca="false">ROUND(I85*Accounts!L90,2)</f>
        <v>2037.07</v>
      </c>
      <c r="L85" s="17" t="n">
        <f aca="false">ROUND(I85-J85-K85,2)</f>
        <v>29504.69</v>
      </c>
      <c r="M85" s="17" t="n">
        <f aca="false">ROUND(L85*AA85,2)</f>
        <v>0</v>
      </c>
      <c r="N85" s="17" t="n">
        <f aca="false">ROUND(L85*Accounts!R90,2)</f>
        <v>590.09</v>
      </c>
      <c r="O85" s="17" t="n">
        <f aca="false">ROUND(L85*Accounts!S90,2)</f>
        <v>442.57</v>
      </c>
      <c r="P85" s="17" t="n">
        <f aca="false">ROUND(L85*Accounts!T90,2)</f>
        <v>0</v>
      </c>
      <c r="Q85" s="17" t="n">
        <f aca="false">ROUND(L85*Accounts!U90,2)</f>
        <v>0</v>
      </c>
      <c r="R85" s="17" t="n">
        <f aca="false">ROUND(L85*Accounts!V90,2)</f>
        <v>177.03</v>
      </c>
      <c r="S85" s="17" t="n">
        <f aca="false">ROUND(L85*Accounts!W90,2)</f>
        <v>147.52</v>
      </c>
      <c r="T85" s="17" t="n">
        <f aca="false">ROUND(L85-SUM(M85:S85),2)</f>
        <v>28147.48</v>
      </c>
      <c r="U85" s="17" t="n">
        <f aca="false">ROUND(F85*H85,2)</f>
        <v>17316</v>
      </c>
      <c r="V85" s="17" t="n">
        <f aca="false">ROUND(L85*Assumptions!$C$25,2)</f>
        <v>590.09</v>
      </c>
      <c r="W85" s="17" t="n">
        <f aca="false">ROUND(T85-U85-V85,2)</f>
        <v>10241.39</v>
      </c>
      <c r="X85" s="28" t="n">
        <f aca="false">T85/I85</f>
        <v>0.856692232773314</v>
      </c>
      <c r="Y85" s="17" t="n">
        <f aca="false">T85/F85</f>
        <v>126.79045045045</v>
      </c>
      <c r="Z85" s="26" t="n">
        <f aca="false">Accounts!H90</f>
        <v>1432</v>
      </c>
      <c r="AA85" s="28" t="n">
        <f aca="false">IF(Z85&gt;=Assumptions!$B$44,Assumptions!$C$44,IF(Z85&gt;=Assumptions!$B$45,Assumptions!$C$45,IF(Z85&gt;=Assumptions!$B$46,Assumptions!$C$46,Assumptions!$C$47)))</f>
        <v>0</v>
      </c>
      <c r="AB85" s="26" t="n">
        <f aca="false">IF(Z85&gt;=Assumptions!$B$44,Assumptions!$B$44,IF(Z85&gt;=Assumptions!$B$45,Assumptions!$B$45,IF(Z85&gt;=Assumptions!$B$46,Assumptions!$B$46,0)))</f>
        <v>0</v>
      </c>
    </row>
    <row r="86" customFormat="false" ht="15" hidden="false" customHeight="false" outlineLevel="0" collapsed="false">
      <c r="B86" s="14" t="s">
        <v>248</v>
      </c>
      <c r="C86" s="14" t="s">
        <v>194</v>
      </c>
      <c r="D86" s="14" t="s">
        <v>243</v>
      </c>
      <c r="E86" s="14" t="s">
        <v>60</v>
      </c>
      <c r="F86" s="26" t="n">
        <f aca="false">Accounts!E97</f>
        <v>345</v>
      </c>
      <c r="G86" s="17" t="n">
        <f aca="false">Assumptions!$D$8</f>
        <v>148</v>
      </c>
      <c r="H86" s="17" t="n">
        <f aca="false">Assumptions!$E$8</f>
        <v>78</v>
      </c>
      <c r="I86" s="17" t="n">
        <f aca="false">ROUND(F86*G86,2)</f>
        <v>51060</v>
      </c>
      <c r="J86" s="17" t="n">
        <f aca="false">ROUND(I86*Accounts!O97,2)</f>
        <v>2042.4</v>
      </c>
      <c r="K86" s="17" t="n">
        <f aca="false">ROUND(I86*Accounts!L97,2)</f>
        <v>1899.43</v>
      </c>
      <c r="L86" s="17" t="n">
        <f aca="false">ROUND(I86-J86-K86,2)</f>
        <v>47118.17</v>
      </c>
      <c r="M86" s="17" t="n">
        <f aca="false">ROUND(L86*AA86,2)</f>
        <v>0</v>
      </c>
      <c r="N86" s="17" t="n">
        <f aca="false">ROUND(L86*Accounts!R97,2)</f>
        <v>942.36</v>
      </c>
      <c r="O86" s="17" t="n">
        <f aca="false">ROUND(L86*Accounts!S97,2)</f>
        <v>0</v>
      </c>
      <c r="P86" s="17" t="n">
        <f aca="false">ROUND(L86*Accounts!T97,2)</f>
        <v>0</v>
      </c>
      <c r="Q86" s="17" t="n">
        <f aca="false">ROUND(L86*Accounts!U97,2)</f>
        <v>0</v>
      </c>
      <c r="R86" s="17" t="n">
        <f aca="false">ROUND(L86*Accounts!V97,2)</f>
        <v>282.71</v>
      </c>
      <c r="S86" s="17" t="n">
        <f aca="false">ROUND(L86*Accounts!W97,2)</f>
        <v>0</v>
      </c>
      <c r="T86" s="17" t="n">
        <f aca="false">ROUND(L86-SUM(M86:S86),2)</f>
        <v>45893.1</v>
      </c>
      <c r="U86" s="17" t="n">
        <f aca="false">ROUND(F86*H86,2)</f>
        <v>26910</v>
      </c>
      <c r="V86" s="17" t="n">
        <f aca="false">ROUND(L86*Assumptions!$C$25,2)</f>
        <v>942.36</v>
      </c>
      <c r="W86" s="17" t="n">
        <f aca="false">ROUND(T86-U86-V86,2)</f>
        <v>18040.74</v>
      </c>
      <c r="X86" s="28" t="n">
        <f aca="false">T86/I86</f>
        <v>0.898807285546416</v>
      </c>
      <c r="Y86" s="17" t="n">
        <f aca="false">T86/F86</f>
        <v>133.02347826087</v>
      </c>
      <c r="Z86" s="26" t="n">
        <f aca="false">Accounts!H97</f>
        <v>2106</v>
      </c>
      <c r="AA86" s="28" t="n">
        <f aca="false">IF(Z86&gt;=Assumptions!$B$44,Assumptions!$C$44,IF(Z86&gt;=Assumptions!$B$45,Assumptions!$C$45,IF(Z86&gt;=Assumptions!$B$46,Assumptions!$C$46,Assumptions!$C$47)))</f>
        <v>0</v>
      </c>
      <c r="AB86" s="26" t="n">
        <f aca="false">IF(Z86&gt;=Assumptions!$B$44,Assumptions!$B$44,IF(Z86&gt;=Assumptions!$B$45,Assumptions!$B$45,IF(Z86&gt;=Assumptions!$B$46,Assumptions!$B$46,0)))</f>
        <v>0</v>
      </c>
    </row>
    <row r="87" customFormat="false" ht="15" hidden="false" customHeight="false" outlineLevel="0" collapsed="false">
      <c r="B87" s="14" t="s">
        <v>256</v>
      </c>
      <c r="C87" s="14" t="s">
        <v>194</v>
      </c>
      <c r="D87" s="14" t="s">
        <v>251</v>
      </c>
      <c r="E87" s="14" t="s">
        <v>60</v>
      </c>
      <c r="F87" s="26" t="n">
        <f aca="false">Accounts!E104</f>
        <v>352</v>
      </c>
      <c r="G87" s="17" t="n">
        <f aca="false">Assumptions!$D$8</f>
        <v>148</v>
      </c>
      <c r="H87" s="17" t="n">
        <f aca="false">Assumptions!$E$8</f>
        <v>78</v>
      </c>
      <c r="I87" s="17" t="n">
        <f aca="false">ROUND(F87*G87,2)</f>
        <v>52096</v>
      </c>
      <c r="J87" s="17" t="n">
        <f aca="false">ROUND(I87*Accounts!O104,2)</f>
        <v>2083.84</v>
      </c>
      <c r="K87" s="17" t="n">
        <f aca="false">ROUND(I87*Accounts!L104,2)</f>
        <v>3391.45</v>
      </c>
      <c r="L87" s="17" t="n">
        <f aca="false">ROUND(I87-J87-K87,2)</f>
        <v>46620.71</v>
      </c>
      <c r="M87" s="17" t="n">
        <f aca="false">ROUND(L87*AA87,2)</f>
        <v>0</v>
      </c>
      <c r="N87" s="17" t="n">
        <f aca="false">ROUND(L87*Accounts!R104,2)</f>
        <v>0</v>
      </c>
      <c r="O87" s="17" t="n">
        <f aca="false">ROUND(L87*Accounts!S104,2)</f>
        <v>0</v>
      </c>
      <c r="P87" s="17" t="n">
        <f aca="false">ROUND(L87*Accounts!T104,2)</f>
        <v>0</v>
      </c>
      <c r="Q87" s="17" t="n">
        <f aca="false">ROUND(L87*Accounts!U104,2)</f>
        <v>0</v>
      </c>
      <c r="R87" s="17" t="n">
        <f aca="false">ROUND(L87*Accounts!V104,2)</f>
        <v>279.72</v>
      </c>
      <c r="S87" s="17" t="n">
        <f aca="false">ROUND(L87*Accounts!W104,2)</f>
        <v>233.1</v>
      </c>
      <c r="T87" s="17" t="n">
        <f aca="false">ROUND(L87-SUM(M87:S87),2)</f>
        <v>46107.89</v>
      </c>
      <c r="U87" s="17" t="n">
        <f aca="false">ROUND(F87*H87,2)</f>
        <v>27456</v>
      </c>
      <c r="V87" s="17" t="n">
        <f aca="false">ROUND(L87*Assumptions!$C$25,2)</f>
        <v>932.41</v>
      </c>
      <c r="W87" s="17" t="n">
        <f aca="false">ROUND(T87-U87-V87,2)</f>
        <v>17719.48</v>
      </c>
      <c r="X87" s="28" t="n">
        <f aca="false">T87/I87</f>
        <v>0.885056242321867</v>
      </c>
      <c r="Y87" s="17" t="n">
        <f aca="false">T87/F87</f>
        <v>130.988323863636</v>
      </c>
      <c r="Z87" s="26" t="n">
        <f aca="false">Accounts!H104</f>
        <v>1996</v>
      </c>
      <c r="AA87" s="28" t="n">
        <f aca="false">IF(Z87&gt;=Assumptions!$B$44,Assumptions!$C$44,IF(Z87&gt;=Assumptions!$B$45,Assumptions!$C$45,IF(Z87&gt;=Assumptions!$B$46,Assumptions!$C$46,Assumptions!$C$47)))</f>
        <v>0</v>
      </c>
      <c r="AB87" s="26" t="n">
        <f aca="false">IF(Z87&gt;=Assumptions!$B$44,Assumptions!$B$44,IF(Z87&gt;=Assumptions!$B$45,Assumptions!$B$45,IF(Z87&gt;=Assumptions!$B$46,Assumptions!$B$46,0)))</f>
        <v>0</v>
      </c>
    </row>
    <row r="88" customFormat="false" ht="15" hidden="false" customHeight="false" outlineLevel="0" collapsed="false">
      <c r="B88" s="14" t="s">
        <v>200</v>
      </c>
      <c r="C88" s="14" t="s">
        <v>194</v>
      </c>
      <c r="D88" s="14" t="s">
        <v>163</v>
      </c>
      <c r="E88" s="14" t="s">
        <v>60</v>
      </c>
      <c r="F88" s="26" t="n">
        <f aca="false">Accounts!E52</f>
        <v>264</v>
      </c>
      <c r="G88" s="17" t="n">
        <f aca="false">Assumptions!$D$8</f>
        <v>148</v>
      </c>
      <c r="H88" s="17" t="n">
        <f aca="false">Assumptions!$E$8</f>
        <v>78</v>
      </c>
      <c r="I88" s="17" t="n">
        <f aca="false">ROUND(F88*G88,2)</f>
        <v>39072</v>
      </c>
      <c r="J88" s="17" t="n">
        <f aca="false">ROUND(I88*Accounts!O52,2)</f>
        <v>781.44</v>
      </c>
      <c r="K88" s="17" t="n">
        <f aca="false">ROUND(I88*Accounts!L52,2)</f>
        <v>0</v>
      </c>
      <c r="L88" s="17" t="n">
        <f aca="false">ROUND(I88-J88-K88,2)</f>
        <v>38290.56</v>
      </c>
      <c r="M88" s="17" t="n">
        <f aca="false">ROUND(L88*AA88,2)</f>
        <v>0</v>
      </c>
      <c r="N88" s="17" t="n">
        <f aca="false">ROUND(L88*Accounts!R52,2)</f>
        <v>0</v>
      </c>
      <c r="O88" s="17" t="n">
        <f aca="false">ROUND(L88*Accounts!S52,2)</f>
        <v>0</v>
      </c>
      <c r="P88" s="17" t="n">
        <f aca="false">ROUND(L88*Accounts!T52,2)</f>
        <v>0</v>
      </c>
      <c r="Q88" s="17" t="n">
        <f aca="false">ROUND(L88*Accounts!U52,2)</f>
        <v>0</v>
      </c>
      <c r="R88" s="17" t="n">
        <f aca="false">ROUND(L88*Accounts!V52,2)</f>
        <v>229.74</v>
      </c>
      <c r="S88" s="17" t="n">
        <f aca="false">ROUND(L88*Accounts!W52,2)</f>
        <v>191.45</v>
      </c>
      <c r="T88" s="17" t="n">
        <f aca="false">ROUND(L88-SUM(M88:S88),2)</f>
        <v>37869.37</v>
      </c>
      <c r="U88" s="17" t="n">
        <f aca="false">ROUND(F88*H88,2)</f>
        <v>20592</v>
      </c>
      <c r="V88" s="17" t="n">
        <f aca="false">ROUND(L88*Assumptions!$C$25,2)</f>
        <v>765.81</v>
      </c>
      <c r="W88" s="17" t="n">
        <f aca="false">ROUND(T88-U88-V88,2)</f>
        <v>16511.56</v>
      </c>
      <c r="X88" s="28" t="n">
        <f aca="false">T88/I88</f>
        <v>0.969220157657658</v>
      </c>
      <c r="Y88" s="17" t="n">
        <f aca="false">T88/F88</f>
        <v>143.444583333333</v>
      </c>
      <c r="Z88" s="26" t="n">
        <f aca="false">Accounts!H52</f>
        <v>1862</v>
      </c>
      <c r="AA88" s="28" t="n">
        <f aca="false">IF(Z88&gt;=Assumptions!$B$44,Assumptions!$C$44,IF(Z88&gt;=Assumptions!$B$45,Assumptions!$C$45,IF(Z88&gt;=Assumptions!$B$46,Assumptions!$C$46,Assumptions!$C$47)))</f>
        <v>0</v>
      </c>
      <c r="AB88" s="26" t="n">
        <f aca="false">IF(Z88&gt;=Assumptions!$B$44,Assumptions!$B$44,IF(Z88&gt;=Assumptions!$B$45,Assumptions!$B$45,IF(Z88&gt;=Assumptions!$B$46,Assumptions!$B$46,0)))</f>
        <v>0</v>
      </c>
    </row>
    <row r="89" customFormat="false" ht="15" hidden="false" customHeight="false" outlineLevel="0" collapsed="false">
      <c r="B89" s="14" t="s">
        <v>208</v>
      </c>
      <c r="C89" s="14" t="s">
        <v>194</v>
      </c>
      <c r="D89" s="14" t="s">
        <v>174</v>
      </c>
      <c r="E89" s="14" t="s">
        <v>60</v>
      </c>
      <c r="F89" s="26" t="n">
        <f aca="false">Accounts!E60</f>
        <v>401</v>
      </c>
      <c r="G89" s="17" t="n">
        <f aca="false">Assumptions!$D$8</f>
        <v>148</v>
      </c>
      <c r="H89" s="17" t="n">
        <f aca="false">Assumptions!$E$8</f>
        <v>78</v>
      </c>
      <c r="I89" s="17" t="n">
        <f aca="false">ROUND(F89*G89,2)</f>
        <v>59348</v>
      </c>
      <c r="J89" s="17" t="n">
        <f aca="false">ROUND(I89*Accounts!O60,2)</f>
        <v>2373.92</v>
      </c>
      <c r="K89" s="17" t="n">
        <f aca="false">ROUND(I89*Accounts!L60,2)</f>
        <v>2023.77</v>
      </c>
      <c r="L89" s="17" t="n">
        <f aca="false">ROUND(I89-J89-K89,2)</f>
        <v>54950.31</v>
      </c>
      <c r="M89" s="17" t="n">
        <f aca="false">ROUND(L89*AA89,2)</f>
        <v>0</v>
      </c>
      <c r="N89" s="17" t="n">
        <f aca="false">ROUND(L89*Accounts!R60,2)</f>
        <v>0</v>
      </c>
      <c r="O89" s="17" t="n">
        <f aca="false">ROUND(L89*Accounts!S60,2)</f>
        <v>0</v>
      </c>
      <c r="P89" s="17" t="n">
        <f aca="false">ROUND(L89*Accounts!T60,2)</f>
        <v>0</v>
      </c>
      <c r="Q89" s="17" t="n">
        <f aca="false">ROUND(L89*Accounts!U60,2)</f>
        <v>0</v>
      </c>
      <c r="R89" s="17" t="n">
        <f aca="false">ROUND(L89*Accounts!V60,2)</f>
        <v>329.7</v>
      </c>
      <c r="S89" s="17" t="n">
        <f aca="false">ROUND(L89*Accounts!W60,2)</f>
        <v>0</v>
      </c>
      <c r="T89" s="17" t="n">
        <f aca="false">ROUND(L89-SUM(M89:S89),2)</f>
        <v>54620.61</v>
      </c>
      <c r="U89" s="17" t="n">
        <f aca="false">ROUND(F89*H89,2)</f>
        <v>31278</v>
      </c>
      <c r="V89" s="17" t="n">
        <f aca="false">ROUND(L89*Assumptions!$C$25,2)</f>
        <v>1099.01</v>
      </c>
      <c r="W89" s="17" t="n">
        <f aca="false">ROUND(T89-U89-V89,2)</f>
        <v>22243.6</v>
      </c>
      <c r="X89" s="28" t="n">
        <f aca="false">T89/I89</f>
        <v>0.920344577744827</v>
      </c>
      <c r="Y89" s="17" t="n">
        <f aca="false">T89/F89</f>
        <v>136.210997506234</v>
      </c>
      <c r="Z89" s="26" t="n">
        <f aca="false">Accounts!H60</f>
        <v>2764</v>
      </c>
      <c r="AA89" s="28" t="n">
        <f aca="false">IF(Z89&gt;=Assumptions!$B$44,Assumptions!$C$44,IF(Z89&gt;=Assumptions!$B$45,Assumptions!$C$45,IF(Z89&gt;=Assumptions!$B$46,Assumptions!$C$46,Assumptions!$C$47)))</f>
        <v>0</v>
      </c>
      <c r="AB89" s="26" t="n">
        <f aca="false">IF(Z89&gt;=Assumptions!$B$44,Assumptions!$B$44,IF(Z89&gt;=Assumptions!$B$45,Assumptions!$B$45,IF(Z89&gt;=Assumptions!$B$46,Assumptions!$B$46,0)))</f>
        <v>0</v>
      </c>
    </row>
    <row r="90" customFormat="false" ht="15" hidden="false" customHeight="false" outlineLevel="0" collapsed="false">
      <c r="B90" s="14" t="s">
        <v>215</v>
      </c>
      <c r="C90" s="14" t="s">
        <v>194</v>
      </c>
      <c r="D90" s="14" t="s">
        <v>184</v>
      </c>
      <c r="E90" s="14" t="s">
        <v>60</v>
      </c>
      <c r="F90" s="26" t="n">
        <f aca="false">Accounts!E68</f>
        <v>961</v>
      </c>
      <c r="G90" s="17" t="n">
        <f aca="false">Assumptions!$D$8</f>
        <v>148</v>
      </c>
      <c r="H90" s="17" t="n">
        <f aca="false">Assumptions!$E$8</f>
        <v>78</v>
      </c>
      <c r="I90" s="17" t="n">
        <f aca="false">ROUND(F90*G90,2)</f>
        <v>142228</v>
      </c>
      <c r="J90" s="17" t="n">
        <f aca="false">ROUND(I90*Accounts!O68,2)</f>
        <v>5689.12</v>
      </c>
      <c r="K90" s="17" t="n">
        <f aca="false">ROUND(I90*Accounts!L68,2)</f>
        <v>440.91</v>
      </c>
      <c r="L90" s="17" t="n">
        <f aca="false">ROUND(I90-J90-K90,2)</f>
        <v>136097.97</v>
      </c>
      <c r="M90" s="17" t="n">
        <f aca="false">ROUND(L90*AA90,2)</f>
        <v>2721.96</v>
      </c>
      <c r="N90" s="17" t="n">
        <f aca="false">ROUND(L90*Accounts!R68,2)</f>
        <v>0</v>
      </c>
      <c r="O90" s="17" t="n">
        <f aca="false">ROUND(L90*Accounts!S68,2)</f>
        <v>0</v>
      </c>
      <c r="P90" s="17" t="n">
        <f aca="false">ROUND(L90*Accounts!T68,2)</f>
        <v>0</v>
      </c>
      <c r="Q90" s="17" t="n">
        <f aca="false">ROUND(L90*Accounts!U68,2)</f>
        <v>0</v>
      </c>
      <c r="R90" s="17" t="n">
        <f aca="false">ROUND(L90*Accounts!V68,2)</f>
        <v>816.59</v>
      </c>
      <c r="S90" s="17" t="n">
        <f aca="false">ROUND(L90*Accounts!W68,2)</f>
        <v>680.49</v>
      </c>
      <c r="T90" s="17" t="n">
        <f aca="false">ROUND(L90-SUM(M90:S90),2)</f>
        <v>131878.93</v>
      </c>
      <c r="U90" s="17" t="n">
        <f aca="false">ROUND(F90*H90,2)</f>
        <v>74958</v>
      </c>
      <c r="V90" s="17" t="n">
        <f aca="false">ROUND(L90*Assumptions!$C$25,2)</f>
        <v>2721.96</v>
      </c>
      <c r="W90" s="17" t="n">
        <f aca="false">ROUND(T90-U90-V90,2)</f>
        <v>54198.97</v>
      </c>
      <c r="X90" s="28" t="n">
        <f aca="false">T90/I90</f>
        <v>0.92723605759766</v>
      </c>
      <c r="Y90" s="17" t="n">
        <f aca="false">T90/F90</f>
        <v>137.230936524454</v>
      </c>
      <c r="Z90" s="26" t="n">
        <f aca="false">Accounts!H68</f>
        <v>4226</v>
      </c>
      <c r="AA90" s="28" t="n">
        <f aca="false">IF(Z90&gt;=Assumptions!$B$44,Assumptions!$C$44,IF(Z90&gt;=Assumptions!$B$45,Assumptions!$C$45,IF(Z90&gt;=Assumptions!$B$46,Assumptions!$C$46,Assumptions!$C$47)))</f>
        <v>0.02</v>
      </c>
      <c r="AB90" s="26" t="n">
        <f aca="false">IF(Z90&gt;=Assumptions!$B$44,Assumptions!$B$44,IF(Z90&gt;=Assumptions!$B$45,Assumptions!$B$45,IF(Z90&gt;=Assumptions!$B$46,Assumptions!$B$46,0)))</f>
        <v>3000</v>
      </c>
    </row>
    <row r="91" customFormat="false" ht="15" hidden="false" customHeight="false" outlineLevel="0" collapsed="false">
      <c r="B91" s="14" t="s">
        <v>224</v>
      </c>
      <c r="C91" s="14" t="s">
        <v>194</v>
      </c>
      <c r="D91" s="14" t="s">
        <v>218</v>
      </c>
      <c r="E91" s="14" t="s">
        <v>60</v>
      </c>
      <c r="F91" s="26" t="n">
        <f aca="false">Accounts!E76</f>
        <v>765</v>
      </c>
      <c r="G91" s="17" t="n">
        <f aca="false">Assumptions!$D$8</f>
        <v>148</v>
      </c>
      <c r="H91" s="17" t="n">
        <f aca="false">Assumptions!$E$8</f>
        <v>78</v>
      </c>
      <c r="I91" s="17" t="n">
        <f aca="false">ROUND(F91*G91,2)</f>
        <v>113220</v>
      </c>
      <c r="J91" s="17" t="n">
        <f aca="false">ROUND(I91*Accounts!O76,2)</f>
        <v>4528.8</v>
      </c>
      <c r="K91" s="17" t="n">
        <f aca="false">ROUND(I91*Accounts!L76,2)</f>
        <v>5966.69</v>
      </c>
      <c r="L91" s="17" t="n">
        <f aca="false">ROUND(I91-J91-K91,2)</f>
        <v>102724.51</v>
      </c>
      <c r="M91" s="17" t="n">
        <f aca="false">ROUND(L91*AA91,2)</f>
        <v>0</v>
      </c>
      <c r="N91" s="17" t="n">
        <f aca="false">ROUND(L91*Accounts!R76,2)</f>
        <v>2054.49</v>
      </c>
      <c r="O91" s="17" t="n">
        <f aca="false">ROUND(L91*Accounts!S76,2)</f>
        <v>0</v>
      </c>
      <c r="P91" s="17" t="n">
        <f aca="false">ROUND(L91*Accounts!T76,2)</f>
        <v>0</v>
      </c>
      <c r="Q91" s="17" t="n">
        <f aca="false">ROUND(L91*Accounts!U76,2)</f>
        <v>0</v>
      </c>
      <c r="R91" s="17" t="n">
        <f aca="false">ROUND(L91*Accounts!V76,2)</f>
        <v>616.35</v>
      </c>
      <c r="S91" s="17" t="n">
        <f aca="false">ROUND(L91*Accounts!W76,2)</f>
        <v>513.62</v>
      </c>
      <c r="T91" s="17" t="n">
        <f aca="false">ROUND(L91-SUM(M91:S91),2)</f>
        <v>99540.05</v>
      </c>
      <c r="U91" s="17" t="n">
        <f aca="false">ROUND(F91*H91,2)</f>
        <v>59670</v>
      </c>
      <c r="V91" s="17" t="n">
        <f aca="false">ROUND(L91*Assumptions!$C$25,2)</f>
        <v>2054.49</v>
      </c>
      <c r="W91" s="17" t="n">
        <f aca="false">ROUND(T91-U91-V91,2)</f>
        <v>37815.56</v>
      </c>
      <c r="X91" s="28" t="n">
        <f aca="false">T91/I91</f>
        <v>0.879173732556086</v>
      </c>
      <c r="Y91" s="17" t="n">
        <f aca="false">T91/F91</f>
        <v>130.117712418301</v>
      </c>
      <c r="Z91" s="26" t="n">
        <f aca="false">Accounts!H76</f>
        <v>1690</v>
      </c>
      <c r="AA91" s="28" t="n">
        <f aca="false">IF(Z91&gt;=Assumptions!$B$44,Assumptions!$C$44,IF(Z91&gt;=Assumptions!$B$45,Assumptions!$C$45,IF(Z91&gt;=Assumptions!$B$46,Assumptions!$C$46,Assumptions!$C$47)))</f>
        <v>0</v>
      </c>
      <c r="AB91" s="26" t="n">
        <f aca="false">IF(Z91&gt;=Assumptions!$B$44,Assumptions!$B$44,IF(Z91&gt;=Assumptions!$B$45,Assumptions!$B$45,IF(Z91&gt;=Assumptions!$B$46,Assumptions!$B$46,0)))</f>
        <v>0</v>
      </c>
    </row>
    <row r="92" customFormat="false" ht="15" hidden="false" customHeight="false" outlineLevel="0" collapsed="false">
      <c r="B92" s="14" t="s">
        <v>249</v>
      </c>
      <c r="C92" s="14" t="s">
        <v>194</v>
      </c>
      <c r="D92" s="14" t="s">
        <v>243</v>
      </c>
      <c r="E92" s="14" t="s">
        <v>60</v>
      </c>
      <c r="F92" s="26" t="n">
        <f aca="false">Accounts!E98</f>
        <v>589</v>
      </c>
      <c r="G92" s="17" t="n">
        <f aca="false">Assumptions!$D$8</f>
        <v>148</v>
      </c>
      <c r="H92" s="17" t="n">
        <f aca="false">Assumptions!$E$8</f>
        <v>78</v>
      </c>
      <c r="I92" s="17" t="n">
        <f aca="false">ROUND(F92*G92,2)</f>
        <v>87172</v>
      </c>
      <c r="J92" s="17" t="n">
        <f aca="false">ROUND(I92*Accounts!O98,2)</f>
        <v>3486.88</v>
      </c>
      <c r="K92" s="17" t="n">
        <f aca="false">ROUND(I92*Accounts!L98,2)</f>
        <v>2702.33</v>
      </c>
      <c r="L92" s="17" t="n">
        <f aca="false">ROUND(I92-J92-K92,2)</f>
        <v>80982.79</v>
      </c>
      <c r="M92" s="17" t="n">
        <f aca="false">ROUND(L92*AA92,2)</f>
        <v>1619.66</v>
      </c>
      <c r="N92" s="17" t="n">
        <f aca="false">ROUND(L92*Accounts!R98,2)</f>
        <v>1619.66</v>
      </c>
      <c r="O92" s="17" t="n">
        <f aca="false">ROUND(L92*Accounts!S98,2)</f>
        <v>1214.74</v>
      </c>
      <c r="P92" s="17" t="n">
        <f aca="false">ROUND(L92*Accounts!T98,2)</f>
        <v>0</v>
      </c>
      <c r="Q92" s="17" t="n">
        <f aca="false">ROUND(L92*Accounts!U98,2)</f>
        <v>0</v>
      </c>
      <c r="R92" s="17" t="n">
        <f aca="false">ROUND(L92*Accounts!V98,2)</f>
        <v>485.9</v>
      </c>
      <c r="S92" s="17" t="n">
        <f aca="false">ROUND(L92*Accounts!W98,2)</f>
        <v>0</v>
      </c>
      <c r="T92" s="17" t="n">
        <f aca="false">ROUND(L92-SUM(M92:S92),2)</f>
        <v>76042.83</v>
      </c>
      <c r="U92" s="17" t="n">
        <f aca="false">ROUND(F92*H92,2)</f>
        <v>45942</v>
      </c>
      <c r="V92" s="17" t="n">
        <f aca="false">ROUND(L92*Assumptions!$C$25,2)</f>
        <v>1619.66</v>
      </c>
      <c r="W92" s="17" t="n">
        <f aca="false">ROUND(T92-U92-V92,2)</f>
        <v>28481.17</v>
      </c>
      <c r="X92" s="28" t="n">
        <f aca="false">T92/I92</f>
        <v>0.872330909007479</v>
      </c>
      <c r="Y92" s="17" t="n">
        <f aca="false">T92/F92</f>
        <v>129.104974533107</v>
      </c>
      <c r="Z92" s="26" t="n">
        <f aca="false">Accounts!H98</f>
        <v>3311</v>
      </c>
      <c r="AA92" s="28" t="n">
        <f aca="false">IF(Z92&gt;=Assumptions!$B$44,Assumptions!$C$44,IF(Z92&gt;=Assumptions!$B$45,Assumptions!$C$45,IF(Z92&gt;=Assumptions!$B$46,Assumptions!$C$46,Assumptions!$C$47)))</f>
        <v>0.02</v>
      </c>
      <c r="AB92" s="26" t="n">
        <f aca="false">IF(Z92&gt;=Assumptions!$B$44,Assumptions!$B$44,IF(Z92&gt;=Assumptions!$B$45,Assumptions!$B$45,IF(Z92&gt;=Assumptions!$B$46,Assumptions!$B$46,0)))</f>
        <v>3000</v>
      </c>
    </row>
    <row r="93" customFormat="false" ht="15" hidden="false" customHeight="false" outlineLevel="0" collapsed="false">
      <c r="B93" s="14" t="s">
        <v>257</v>
      </c>
      <c r="C93" s="14" t="s">
        <v>194</v>
      </c>
      <c r="D93" s="14" t="s">
        <v>251</v>
      </c>
      <c r="E93" s="14" t="s">
        <v>60</v>
      </c>
      <c r="F93" s="26" t="n">
        <f aca="false">Accounts!E105</f>
        <v>873</v>
      </c>
      <c r="G93" s="17" t="n">
        <f aca="false">Assumptions!$D$8</f>
        <v>148</v>
      </c>
      <c r="H93" s="17" t="n">
        <f aca="false">Assumptions!$E$8</f>
        <v>78</v>
      </c>
      <c r="I93" s="17" t="n">
        <f aca="false">ROUND(F93*G93,2)</f>
        <v>129204</v>
      </c>
      <c r="J93" s="17" t="n">
        <f aca="false">ROUND(I93*Accounts!O105,2)</f>
        <v>5168.16</v>
      </c>
      <c r="K93" s="17" t="n">
        <f aca="false">ROUND(I93*Accounts!L105,2)</f>
        <v>2803.73</v>
      </c>
      <c r="L93" s="17" t="n">
        <f aca="false">ROUND(I93-J93-K93,2)</f>
        <v>121232.11</v>
      </c>
      <c r="M93" s="17" t="n">
        <f aca="false">ROUND(L93*AA93,2)</f>
        <v>2424.64</v>
      </c>
      <c r="N93" s="17" t="n">
        <f aca="false">ROUND(L93*Accounts!R105,2)</f>
        <v>2424.64</v>
      </c>
      <c r="O93" s="17" t="n">
        <f aca="false">ROUND(L93*Accounts!S105,2)</f>
        <v>0</v>
      </c>
      <c r="P93" s="17" t="n">
        <f aca="false">ROUND(L93*Accounts!T105,2)</f>
        <v>0</v>
      </c>
      <c r="Q93" s="17" t="n">
        <f aca="false">ROUND(L93*Accounts!U105,2)</f>
        <v>0</v>
      </c>
      <c r="R93" s="17" t="n">
        <f aca="false">ROUND(L93*Accounts!V105,2)</f>
        <v>727.39</v>
      </c>
      <c r="S93" s="17" t="n">
        <f aca="false">ROUND(L93*Accounts!W105,2)</f>
        <v>606.16</v>
      </c>
      <c r="T93" s="17" t="n">
        <f aca="false">ROUND(L93-SUM(M93:S93),2)</f>
        <v>115049.28</v>
      </c>
      <c r="U93" s="17" t="n">
        <f aca="false">ROUND(F93*H93,2)</f>
        <v>68094</v>
      </c>
      <c r="V93" s="17" t="n">
        <f aca="false">ROUND(L93*Assumptions!$C$25,2)</f>
        <v>2424.64</v>
      </c>
      <c r="W93" s="17" t="n">
        <f aca="false">ROUND(T93-U93-V93,2)</f>
        <v>44530.64</v>
      </c>
      <c r="X93" s="28" t="n">
        <f aca="false">T93/I93</f>
        <v>0.890446735395189</v>
      </c>
      <c r="Y93" s="17" t="n">
        <f aca="false">T93/F93</f>
        <v>131.786116838488</v>
      </c>
      <c r="Z93" s="26" t="n">
        <f aca="false">Accounts!H105</f>
        <v>4605</v>
      </c>
      <c r="AA93" s="28" t="n">
        <f aca="false">IF(Z93&gt;=Assumptions!$B$44,Assumptions!$C$44,IF(Z93&gt;=Assumptions!$B$45,Assumptions!$C$45,IF(Z93&gt;=Assumptions!$B$46,Assumptions!$C$46,Assumptions!$C$47)))</f>
        <v>0.02</v>
      </c>
      <c r="AB93" s="26" t="n">
        <f aca="false">IF(Z93&gt;=Assumptions!$B$44,Assumptions!$B$44,IF(Z93&gt;=Assumptions!$B$45,Assumptions!$B$45,IF(Z93&gt;=Assumptions!$B$46,Assumptions!$B$46,0)))</f>
        <v>3000</v>
      </c>
    </row>
    <row r="94" customFormat="false" ht="15" hidden="false" customHeight="false" outlineLevel="0" collapsed="false">
      <c r="B94" s="14" t="s">
        <v>201</v>
      </c>
      <c r="C94" s="14" t="s">
        <v>194</v>
      </c>
      <c r="D94" s="14" t="s">
        <v>163</v>
      </c>
      <c r="E94" s="14" t="s">
        <v>60</v>
      </c>
      <c r="F94" s="26" t="n">
        <f aca="false">Accounts!E53</f>
        <v>604</v>
      </c>
      <c r="G94" s="17" t="n">
        <f aca="false">Assumptions!$D$8</f>
        <v>148</v>
      </c>
      <c r="H94" s="17" t="n">
        <f aca="false">Assumptions!$E$8</f>
        <v>78</v>
      </c>
      <c r="I94" s="17" t="n">
        <f aca="false">ROUND(F94*G94,2)</f>
        <v>89392</v>
      </c>
      <c r="J94" s="17" t="n">
        <f aca="false">ROUND(I94*Accounts!O53,2)</f>
        <v>3575.68</v>
      </c>
      <c r="K94" s="17" t="n">
        <f aca="false">ROUND(I94*Accounts!L53,2)</f>
        <v>5542.3</v>
      </c>
      <c r="L94" s="17" t="n">
        <f aca="false">ROUND(I94-J94-K94,2)</f>
        <v>80274.02</v>
      </c>
      <c r="M94" s="17" t="n">
        <f aca="false">ROUND(L94*AA94,2)</f>
        <v>0</v>
      </c>
      <c r="N94" s="17" t="n">
        <f aca="false">ROUND(L94*Accounts!R53,2)</f>
        <v>0</v>
      </c>
      <c r="O94" s="17" t="n">
        <f aca="false">ROUND(L94*Accounts!S53,2)</f>
        <v>0</v>
      </c>
      <c r="P94" s="17" t="n">
        <f aca="false">ROUND(L94*Accounts!T53,2)</f>
        <v>0</v>
      </c>
      <c r="Q94" s="17" t="n">
        <f aca="false">ROUND(L94*Accounts!U53,2)</f>
        <v>0</v>
      </c>
      <c r="R94" s="17" t="n">
        <f aca="false">ROUND(L94*Accounts!V53,2)</f>
        <v>481.64</v>
      </c>
      <c r="S94" s="17" t="n">
        <f aca="false">ROUND(L94*Accounts!W53,2)</f>
        <v>0</v>
      </c>
      <c r="T94" s="17" t="n">
        <f aca="false">ROUND(L94-SUM(M94:S94),2)</f>
        <v>79792.38</v>
      </c>
      <c r="U94" s="17" t="n">
        <f aca="false">ROUND(F94*H94,2)</f>
        <v>47112</v>
      </c>
      <c r="V94" s="17" t="n">
        <f aca="false">ROUND(L94*Assumptions!$C$25,2)</f>
        <v>1605.48</v>
      </c>
      <c r="W94" s="17" t="n">
        <f aca="false">ROUND(T94-U94-V94,2)</f>
        <v>31074.9</v>
      </c>
      <c r="X94" s="28" t="n">
        <f aca="false">T94/I94</f>
        <v>0.892612090567389</v>
      </c>
      <c r="Y94" s="17" t="n">
        <f aca="false">T94/F94</f>
        <v>132.106589403974</v>
      </c>
      <c r="Z94" s="26" t="n">
        <f aca="false">Accounts!H53</f>
        <v>2483</v>
      </c>
      <c r="AA94" s="28" t="n">
        <f aca="false">IF(Z94&gt;=Assumptions!$B$44,Assumptions!$C$44,IF(Z94&gt;=Assumptions!$B$45,Assumptions!$C$45,IF(Z94&gt;=Assumptions!$B$46,Assumptions!$C$46,Assumptions!$C$47)))</f>
        <v>0</v>
      </c>
      <c r="AB94" s="26" t="n">
        <f aca="false">IF(Z94&gt;=Assumptions!$B$44,Assumptions!$B$44,IF(Z94&gt;=Assumptions!$B$45,Assumptions!$B$45,IF(Z94&gt;=Assumptions!$B$46,Assumptions!$B$46,0)))</f>
        <v>0</v>
      </c>
    </row>
    <row r="95" customFormat="false" ht="15" hidden="false" customHeight="false" outlineLevel="0" collapsed="false">
      <c r="B95" s="14" t="s">
        <v>216</v>
      </c>
      <c r="C95" s="14" t="s">
        <v>194</v>
      </c>
      <c r="D95" s="14" t="s">
        <v>184</v>
      </c>
      <c r="E95" s="14" t="s">
        <v>60</v>
      </c>
      <c r="F95" s="26" t="n">
        <f aca="false">Accounts!E69</f>
        <v>776</v>
      </c>
      <c r="G95" s="17" t="n">
        <f aca="false">Assumptions!$D$8</f>
        <v>148</v>
      </c>
      <c r="H95" s="17" t="n">
        <f aca="false">Assumptions!$E$8</f>
        <v>78</v>
      </c>
      <c r="I95" s="17" t="n">
        <f aca="false">ROUND(F95*G95,2)</f>
        <v>114848</v>
      </c>
      <c r="J95" s="17" t="n">
        <f aca="false">ROUND(I95*Accounts!O69,2)</f>
        <v>4593.92</v>
      </c>
      <c r="K95" s="17" t="n">
        <f aca="false">ROUND(I95*Accounts!L69,2)</f>
        <v>7476.6</v>
      </c>
      <c r="L95" s="17" t="n">
        <f aca="false">ROUND(I95-J95-K95,2)</f>
        <v>102777.48</v>
      </c>
      <c r="M95" s="17" t="n">
        <f aca="false">ROUND(L95*AA95,2)</f>
        <v>0</v>
      </c>
      <c r="N95" s="17" t="n">
        <f aca="false">ROUND(L95*Accounts!R69,2)</f>
        <v>2055.55</v>
      </c>
      <c r="O95" s="17" t="n">
        <f aca="false">ROUND(L95*Accounts!S69,2)</f>
        <v>0</v>
      </c>
      <c r="P95" s="17" t="n">
        <f aca="false">ROUND(L95*Accounts!T69,2)</f>
        <v>0</v>
      </c>
      <c r="Q95" s="17" t="n">
        <f aca="false">ROUND(L95*Accounts!U69,2)</f>
        <v>0</v>
      </c>
      <c r="R95" s="17" t="n">
        <f aca="false">ROUND(L95*Accounts!V69,2)</f>
        <v>616.66</v>
      </c>
      <c r="S95" s="17" t="n">
        <f aca="false">ROUND(L95*Accounts!W69,2)</f>
        <v>513.89</v>
      </c>
      <c r="T95" s="17" t="n">
        <f aca="false">ROUND(L95-SUM(M95:S95),2)</f>
        <v>99591.38</v>
      </c>
      <c r="U95" s="17" t="n">
        <f aca="false">ROUND(F95*H95,2)</f>
        <v>60528</v>
      </c>
      <c r="V95" s="17" t="n">
        <f aca="false">ROUND(L95*Assumptions!$C$25,2)</f>
        <v>2055.55</v>
      </c>
      <c r="W95" s="17" t="n">
        <f aca="false">ROUND(T95-U95-V95,2)</f>
        <v>37007.83</v>
      </c>
      <c r="X95" s="28" t="n">
        <f aca="false">T95/I95</f>
        <v>0.867158156868208</v>
      </c>
      <c r="Y95" s="17" t="n">
        <f aca="false">T95/F95</f>
        <v>128.339407216495</v>
      </c>
      <c r="Z95" s="26" t="n">
        <f aca="false">Accounts!H69</f>
        <v>2100</v>
      </c>
      <c r="AA95" s="28" t="n">
        <f aca="false">IF(Z95&gt;=Assumptions!$B$44,Assumptions!$C$44,IF(Z95&gt;=Assumptions!$B$45,Assumptions!$C$45,IF(Z95&gt;=Assumptions!$B$46,Assumptions!$C$46,Assumptions!$C$47)))</f>
        <v>0</v>
      </c>
      <c r="AB95" s="26" t="n">
        <f aca="false">IF(Z95&gt;=Assumptions!$B$44,Assumptions!$B$44,IF(Z95&gt;=Assumptions!$B$45,Assumptions!$B$45,IF(Z95&gt;=Assumptions!$B$46,Assumptions!$B$46,0)))</f>
        <v>0</v>
      </c>
    </row>
    <row r="96" customFormat="false" ht="15" hidden="false" customHeight="false" outlineLevel="0" collapsed="false">
      <c r="B96" s="14" t="s">
        <v>258</v>
      </c>
      <c r="C96" s="14" t="s">
        <v>259</v>
      </c>
      <c r="D96" s="14" t="s">
        <v>218</v>
      </c>
      <c r="E96" s="14" t="s">
        <v>60</v>
      </c>
      <c r="F96" s="26" t="n">
        <f aca="false">Accounts!E106</f>
        <v>285</v>
      </c>
      <c r="G96" s="17" t="n">
        <f aca="false">Assumptions!$D$8</f>
        <v>148</v>
      </c>
      <c r="H96" s="17" t="n">
        <f aca="false">Assumptions!$E$8</f>
        <v>78</v>
      </c>
      <c r="I96" s="17" t="n">
        <f aca="false">ROUND(F96*G96,2)</f>
        <v>42180</v>
      </c>
      <c r="J96" s="17" t="n">
        <f aca="false">ROUND(I96*Accounts!O106,2)</f>
        <v>0</v>
      </c>
      <c r="K96" s="17" t="n">
        <f aca="false">ROUND(I96*Accounts!L106,2)</f>
        <v>261.52</v>
      </c>
      <c r="L96" s="17" t="n">
        <f aca="false">ROUND(I96-J96-K96,2)</f>
        <v>41918.48</v>
      </c>
      <c r="M96" s="17" t="n">
        <f aca="false">ROUND(L96*AA96,2)</f>
        <v>0</v>
      </c>
      <c r="N96" s="17" t="n">
        <f aca="false">ROUND(L96*Accounts!R106,2)</f>
        <v>0</v>
      </c>
      <c r="O96" s="17" t="n">
        <f aca="false">ROUND(L96*Accounts!S106,2)</f>
        <v>0</v>
      </c>
      <c r="P96" s="17" t="n">
        <f aca="false">ROUND(L96*Accounts!T106,2)</f>
        <v>0</v>
      </c>
      <c r="Q96" s="17" t="n">
        <f aca="false">ROUND(L96*Accounts!U106,2)</f>
        <v>0</v>
      </c>
      <c r="R96" s="17" t="n">
        <f aca="false">ROUND(L96*Accounts!V106,2)</f>
        <v>419.18</v>
      </c>
      <c r="S96" s="17" t="n">
        <f aca="false">ROUND(L96*Accounts!W106,2)</f>
        <v>0</v>
      </c>
      <c r="T96" s="17" t="n">
        <f aca="false">ROUND(L96-SUM(M96:S96),2)</f>
        <v>41499.3</v>
      </c>
      <c r="U96" s="17" t="n">
        <f aca="false">ROUND(F96*H96,2)</f>
        <v>22230</v>
      </c>
      <c r="V96" s="17" t="n">
        <f aca="false">ROUND(L96*Assumptions!$C$25,2)</f>
        <v>838.37</v>
      </c>
      <c r="W96" s="17" t="n">
        <f aca="false">ROUND(T96-U96-V96,2)</f>
        <v>18430.93</v>
      </c>
      <c r="X96" s="28" t="n">
        <f aca="false">T96/I96</f>
        <v>0.983862019914652</v>
      </c>
      <c r="Y96" s="17" t="n">
        <f aca="false">T96/F96</f>
        <v>145.611578947368</v>
      </c>
      <c r="Z96" s="26" t="n">
        <f aca="false">Accounts!H106</f>
        <v>285</v>
      </c>
      <c r="AA96" s="28" t="n">
        <f aca="false">IF(Z96&gt;=Assumptions!$B$44,Assumptions!$C$44,IF(Z96&gt;=Assumptions!$B$45,Assumptions!$C$45,IF(Z96&gt;=Assumptions!$B$46,Assumptions!$C$46,Assumptions!$C$47)))</f>
        <v>0</v>
      </c>
      <c r="AB96" s="26" t="n">
        <f aca="false">IF(Z96&gt;=Assumptions!$B$44,Assumptions!$B$44,IF(Z96&gt;=Assumptions!$B$45,Assumptions!$B$45,IF(Z96&gt;=Assumptions!$B$46,Assumptions!$B$46,0)))</f>
        <v>0</v>
      </c>
    </row>
    <row r="97" customFormat="false" ht="15" hidden="false" customHeight="false" outlineLevel="0" collapsed="false">
      <c r="B97" s="14" t="s">
        <v>275</v>
      </c>
      <c r="C97" s="14" t="s">
        <v>259</v>
      </c>
      <c r="D97" s="14" t="s">
        <v>227</v>
      </c>
      <c r="E97" s="14" t="s">
        <v>60</v>
      </c>
      <c r="F97" s="26" t="n">
        <f aca="false">Accounts!E122</f>
        <v>685</v>
      </c>
      <c r="G97" s="17" t="n">
        <f aca="false">Assumptions!$D$8</f>
        <v>148</v>
      </c>
      <c r="H97" s="17" t="n">
        <f aca="false">Assumptions!$E$8</f>
        <v>78</v>
      </c>
      <c r="I97" s="17" t="n">
        <f aca="false">ROUND(F97*G97,2)</f>
        <v>101380</v>
      </c>
      <c r="J97" s="17" t="n">
        <f aca="false">ROUND(I97*Accounts!O122,2)</f>
        <v>2027.6</v>
      </c>
      <c r="K97" s="17" t="n">
        <f aca="false">ROUND(I97*Accounts!L122,2)</f>
        <v>1571.39</v>
      </c>
      <c r="L97" s="17" t="n">
        <f aca="false">ROUND(I97-J97-K97,2)</f>
        <v>97781.01</v>
      </c>
      <c r="M97" s="17" t="n">
        <f aca="false">ROUND(L97*AA97,2)</f>
        <v>1955.62</v>
      </c>
      <c r="N97" s="17" t="n">
        <f aca="false">ROUND(L97*Accounts!R122,2)</f>
        <v>0</v>
      </c>
      <c r="O97" s="17" t="n">
        <f aca="false">ROUND(L97*Accounts!S122,2)</f>
        <v>0</v>
      </c>
      <c r="P97" s="17" t="n">
        <f aca="false">ROUND(L97*Accounts!T122,2)</f>
        <v>0</v>
      </c>
      <c r="Q97" s="17" t="n">
        <f aca="false">ROUND(L97*Accounts!U122,2)</f>
        <v>0</v>
      </c>
      <c r="R97" s="17" t="n">
        <f aca="false">ROUND(L97*Accounts!V122,2)</f>
        <v>977.81</v>
      </c>
      <c r="S97" s="17" t="n">
        <f aca="false">ROUND(L97*Accounts!W122,2)</f>
        <v>0</v>
      </c>
      <c r="T97" s="17" t="n">
        <f aca="false">ROUND(L97-SUM(M97:S97),2)</f>
        <v>94847.58</v>
      </c>
      <c r="U97" s="17" t="n">
        <f aca="false">ROUND(F97*H97,2)</f>
        <v>53430</v>
      </c>
      <c r="V97" s="17" t="n">
        <f aca="false">ROUND(L97*Assumptions!$C$25,2)</f>
        <v>1955.62</v>
      </c>
      <c r="W97" s="17" t="n">
        <f aca="false">ROUND(T97-U97-V97,2)</f>
        <v>39461.96</v>
      </c>
      <c r="X97" s="28" t="n">
        <f aca="false">T97/I97</f>
        <v>0.935565002959164</v>
      </c>
      <c r="Y97" s="17" t="n">
        <f aca="false">T97/F97</f>
        <v>138.463620437956</v>
      </c>
      <c r="Z97" s="26" t="n">
        <f aca="false">Accounts!H122</f>
        <v>3032</v>
      </c>
      <c r="AA97" s="28" t="n">
        <f aca="false">IF(Z97&gt;=Assumptions!$B$44,Assumptions!$C$44,IF(Z97&gt;=Assumptions!$B$45,Assumptions!$C$45,IF(Z97&gt;=Assumptions!$B$46,Assumptions!$C$46,Assumptions!$C$47)))</f>
        <v>0.02</v>
      </c>
      <c r="AB97" s="26" t="n">
        <f aca="false">IF(Z97&gt;=Assumptions!$B$44,Assumptions!$B$44,IF(Z97&gt;=Assumptions!$B$45,Assumptions!$B$45,IF(Z97&gt;=Assumptions!$B$46,Assumptions!$B$46,0)))</f>
        <v>3000</v>
      </c>
    </row>
    <row r="98" customFormat="false" ht="15" hidden="false" customHeight="false" outlineLevel="0" collapsed="false">
      <c r="B98" s="14" t="s">
        <v>291</v>
      </c>
      <c r="C98" s="14" t="s">
        <v>259</v>
      </c>
      <c r="D98" s="14" t="s">
        <v>235</v>
      </c>
      <c r="E98" s="14" t="s">
        <v>60</v>
      </c>
      <c r="F98" s="26" t="n">
        <f aca="false">Accounts!E138</f>
        <v>4</v>
      </c>
      <c r="G98" s="17" t="n">
        <f aca="false">Assumptions!$D$8</f>
        <v>148</v>
      </c>
      <c r="H98" s="17" t="n">
        <f aca="false">Assumptions!$E$8</f>
        <v>78</v>
      </c>
      <c r="I98" s="17" t="n">
        <f aca="false">ROUND(F98*G98,2)</f>
        <v>592</v>
      </c>
      <c r="J98" s="17" t="n">
        <f aca="false">ROUND(I98*Accounts!O138,2)</f>
        <v>0</v>
      </c>
      <c r="K98" s="17" t="n">
        <f aca="false">ROUND(I98*Accounts!L138,2)</f>
        <v>1.84</v>
      </c>
      <c r="L98" s="17" t="n">
        <f aca="false">ROUND(I98-J98-K98,2)</f>
        <v>590.16</v>
      </c>
      <c r="M98" s="17" t="n">
        <f aca="false">ROUND(L98*AA98,2)</f>
        <v>0</v>
      </c>
      <c r="N98" s="17" t="n">
        <f aca="false">ROUND(L98*Accounts!R138,2)</f>
        <v>0</v>
      </c>
      <c r="O98" s="17" t="n">
        <f aca="false">ROUND(L98*Accounts!S138,2)</f>
        <v>0</v>
      </c>
      <c r="P98" s="17" t="n">
        <f aca="false">ROUND(L98*Accounts!T138,2)</f>
        <v>0</v>
      </c>
      <c r="Q98" s="17" t="n">
        <f aca="false">ROUND(L98*Accounts!U138,2)</f>
        <v>0</v>
      </c>
      <c r="R98" s="17" t="n">
        <f aca="false">ROUND(L98*Accounts!V138,2)</f>
        <v>5.9</v>
      </c>
      <c r="S98" s="17" t="n">
        <f aca="false">ROUND(L98*Accounts!W138,2)</f>
        <v>0</v>
      </c>
      <c r="T98" s="17" t="n">
        <f aca="false">ROUND(L98-SUM(M98:S98),2)</f>
        <v>584.26</v>
      </c>
      <c r="U98" s="17" t="n">
        <f aca="false">ROUND(F98*H98,2)</f>
        <v>312</v>
      </c>
      <c r="V98" s="17" t="n">
        <f aca="false">ROUND(L98*Assumptions!$C$25,2)</f>
        <v>11.8</v>
      </c>
      <c r="W98" s="17" t="n">
        <f aca="false">ROUND(T98-U98-V98,2)</f>
        <v>260.46</v>
      </c>
      <c r="X98" s="28" t="n">
        <f aca="false">T98/I98</f>
        <v>0.986925675675676</v>
      </c>
      <c r="Y98" s="17" t="n">
        <f aca="false">T98/F98</f>
        <v>146.065</v>
      </c>
      <c r="Z98" s="26" t="n">
        <f aca="false">Accounts!H138</f>
        <v>64</v>
      </c>
      <c r="AA98" s="28" t="n">
        <f aca="false">IF(Z98&gt;=Assumptions!$B$44,Assumptions!$C$44,IF(Z98&gt;=Assumptions!$B$45,Assumptions!$C$45,IF(Z98&gt;=Assumptions!$B$46,Assumptions!$C$46,Assumptions!$C$47)))</f>
        <v>0</v>
      </c>
      <c r="AB98" s="26" t="n">
        <f aca="false">IF(Z98&gt;=Assumptions!$B$44,Assumptions!$B$44,IF(Z98&gt;=Assumptions!$B$45,Assumptions!$B$45,IF(Z98&gt;=Assumptions!$B$46,Assumptions!$B$46,0)))</f>
        <v>0</v>
      </c>
    </row>
    <row r="99" customFormat="false" ht="15" hidden="false" customHeight="false" outlineLevel="0" collapsed="false">
      <c r="B99" s="14" t="s">
        <v>307</v>
      </c>
      <c r="C99" s="14" t="s">
        <v>259</v>
      </c>
      <c r="D99" s="14" t="s">
        <v>243</v>
      </c>
      <c r="E99" s="14" t="s">
        <v>60</v>
      </c>
      <c r="F99" s="26" t="n">
        <f aca="false">Accounts!E154</f>
        <v>136</v>
      </c>
      <c r="G99" s="17" t="n">
        <f aca="false">Assumptions!$D$8</f>
        <v>148</v>
      </c>
      <c r="H99" s="17" t="n">
        <f aca="false">Assumptions!$E$8</f>
        <v>78</v>
      </c>
      <c r="I99" s="17" t="n">
        <f aca="false">ROUND(F99*G99,2)</f>
        <v>20128</v>
      </c>
      <c r="J99" s="17" t="n">
        <f aca="false">ROUND(I99*Accounts!O154,2)</f>
        <v>402.56</v>
      </c>
      <c r="K99" s="17" t="n">
        <f aca="false">ROUND(I99*Accounts!L154,2)</f>
        <v>0</v>
      </c>
      <c r="L99" s="17" t="n">
        <f aca="false">ROUND(I99-J99-K99,2)</f>
        <v>19725.44</v>
      </c>
      <c r="M99" s="17" t="n">
        <f aca="false">ROUND(L99*AA99,2)</f>
        <v>0</v>
      </c>
      <c r="N99" s="17" t="n">
        <f aca="false">ROUND(L99*Accounts!R154,2)</f>
        <v>0</v>
      </c>
      <c r="O99" s="17" t="n">
        <f aca="false">ROUND(L99*Accounts!S154,2)</f>
        <v>0</v>
      </c>
      <c r="P99" s="17" t="n">
        <f aca="false">ROUND(L99*Accounts!T154,2)</f>
        <v>0</v>
      </c>
      <c r="Q99" s="17" t="n">
        <f aca="false">ROUND(L99*Accounts!U154,2)</f>
        <v>0</v>
      </c>
      <c r="R99" s="17" t="n">
        <f aca="false">ROUND(L99*Accounts!V154,2)</f>
        <v>197.25</v>
      </c>
      <c r="S99" s="17" t="n">
        <f aca="false">ROUND(L99*Accounts!W154,2)</f>
        <v>0</v>
      </c>
      <c r="T99" s="17" t="n">
        <f aca="false">ROUND(L99-SUM(M99:S99),2)</f>
        <v>19528.19</v>
      </c>
      <c r="U99" s="17" t="n">
        <f aca="false">ROUND(F99*H99,2)</f>
        <v>10608</v>
      </c>
      <c r="V99" s="17" t="n">
        <f aca="false">ROUND(L99*Assumptions!$C$25,2)</f>
        <v>394.51</v>
      </c>
      <c r="W99" s="17" t="n">
        <f aca="false">ROUND(T99-U99-V99,2)</f>
        <v>8525.68</v>
      </c>
      <c r="X99" s="28" t="n">
        <f aca="false">T99/I99</f>
        <v>0.970200218600954</v>
      </c>
      <c r="Y99" s="17" t="n">
        <f aca="false">T99/F99</f>
        <v>143.589632352941</v>
      </c>
      <c r="Z99" s="26" t="n">
        <f aca="false">Accounts!H154</f>
        <v>1159</v>
      </c>
      <c r="AA99" s="28" t="n">
        <f aca="false">IF(Z99&gt;=Assumptions!$B$44,Assumptions!$C$44,IF(Z99&gt;=Assumptions!$B$45,Assumptions!$C$45,IF(Z99&gt;=Assumptions!$B$46,Assumptions!$C$46,Assumptions!$C$47)))</f>
        <v>0</v>
      </c>
      <c r="AB99" s="26" t="n">
        <f aca="false">IF(Z99&gt;=Assumptions!$B$44,Assumptions!$B$44,IF(Z99&gt;=Assumptions!$B$45,Assumptions!$B$45,IF(Z99&gt;=Assumptions!$B$46,Assumptions!$B$46,0)))</f>
        <v>0</v>
      </c>
    </row>
    <row r="100" customFormat="false" ht="15" hidden="false" customHeight="false" outlineLevel="0" collapsed="false">
      <c r="B100" s="14" t="s">
        <v>323</v>
      </c>
      <c r="C100" s="14" t="s">
        <v>259</v>
      </c>
      <c r="D100" s="14" t="s">
        <v>251</v>
      </c>
      <c r="E100" s="14" t="s">
        <v>60</v>
      </c>
      <c r="F100" s="26" t="n">
        <f aca="false">Accounts!E170</f>
        <v>688</v>
      </c>
      <c r="G100" s="17" t="n">
        <f aca="false">Assumptions!$D$8</f>
        <v>148</v>
      </c>
      <c r="H100" s="17" t="n">
        <f aca="false">Assumptions!$E$8</f>
        <v>78</v>
      </c>
      <c r="I100" s="17" t="n">
        <f aca="false">ROUND(F100*G100,2)</f>
        <v>101824</v>
      </c>
      <c r="J100" s="17" t="n">
        <f aca="false">ROUND(I100*Accounts!O170,2)</f>
        <v>2036.48</v>
      </c>
      <c r="K100" s="17" t="n">
        <f aca="false">ROUND(I100*Accounts!L170,2)</f>
        <v>4103.51</v>
      </c>
      <c r="L100" s="17" t="n">
        <f aca="false">ROUND(I100-J100-K100,2)</f>
        <v>95684.01</v>
      </c>
      <c r="M100" s="17" t="n">
        <f aca="false">ROUND(L100*AA100,2)</f>
        <v>1913.68</v>
      </c>
      <c r="N100" s="17" t="n">
        <f aca="false">ROUND(L100*Accounts!R170,2)</f>
        <v>0</v>
      </c>
      <c r="O100" s="17" t="n">
        <f aca="false">ROUND(L100*Accounts!S170,2)</f>
        <v>0</v>
      </c>
      <c r="P100" s="17" t="n">
        <f aca="false">ROUND(L100*Accounts!T170,2)</f>
        <v>0</v>
      </c>
      <c r="Q100" s="17" t="n">
        <f aca="false">ROUND(L100*Accounts!U170,2)</f>
        <v>0</v>
      </c>
      <c r="R100" s="17" t="n">
        <f aca="false">ROUND(L100*Accounts!V170,2)</f>
        <v>956.84</v>
      </c>
      <c r="S100" s="17" t="n">
        <f aca="false">ROUND(L100*Accounts!W170,2)</f>
        <v>0</v>
      </c>
      <c r="T100" s="17" t="n">
        <f aca="false">ROUND(L100-SUM(M100:S100),2)</f>
        <v>92813.49</v>
      </c>
      <c r="U100" s="17" t="n">
        <f aca="false">ROUND(F100*H100,2)</f>
        <v>53664</v>
      </c>
      <c r="V100" s="17" t="n">
        <f aca="false">ROUND(L100*Assumptions!$C$25,2)</f>
        <v>1913.68</v>
      </c>
      <c r="W100" s="17" t="n">
        <f aca="false">ROUND(T100-U100-V100,2)</f>
        <v>37235.81</v>
      </c>
      <c r="X100" s="28" t="n">
        <f aca="false">T100/I100</f>
        <v>0.911508976272785</v>
      </c>
      <c r="Y100" s="17" t="n">
        <f aca="false">T100/F100</f>
        <v>134.903328488372</v>
      </c>
      <c r="Z100" s="26" t="n">
        <f aca="false">Accounts!H170</f>
        <v>3616</v>
      </c>
      <c r="AA100" s="28" t="n">
        <f aca="false">IF(Z100&gt;=Assumptions!$B$44,Assumptions!$C$44,IF(Z100&gt;=Assumptions!$B$45,Assumptions!$C$45,IF(Z100&gt;=Assumptions!$B$46,Assumptions!$C$46,Assumptions!$C$47)))</f>
        <v>0.02</v>
      </c>
      <c r="AB100" s="26" t="n">
        <f aca="false">IF(Z100&gt;=Assumptions!$B$44,Assumptions!$B$44,IF(Z100&gt;=Assumptions!$B$45,Assumptions!$B$45,IF(Z100&gt;=Assumptions!$B$46,Assumptions!$B$46,0)))</f>
        <v>3000</v>
      </c>
    </row>
    <row r="101" customFormat="false" ht="15" hidden="false" customHeight="false" outlineLevel="0" collapsed="false">
      <c r="B101" s="14" t="s">
        <v>260</v>
      </c>
      <c r="C101" s="14" t="s">
        <v>259</v>
      </c>
      <c r="D101" s="14" t="s">
        <v>218</v>
      </c>
      <c r="E101" s="14" t="s">
        <v>60</v>
      </c>
      <c r="F101" s="26" t="n">
        <f aca="false">Accounts!E107</f>
        <v>96</v>
      </c>
      <c r="G101" s="17" t="n">
        <f aca="false">Assumptions!$D$8</f>
        <v>148</v>
      </c>
      <c r="H101" s="17" t="n">
        <f aca="false">Assumptions!$E$8</f>
        <v>78</v>
      </c>
      <c r="I101" s="17" t="n">
        <f aca="false">ROUND(F101*G101,2)</f>
        <v>14208</v>
      </c>
      <c r="J101" s="17" t="n">
        <f aca="false">ROUND(I101*Accounts!O107,2)</f>
        <v>0</v>
      </c>
      <c r="K101" s="17" t="n">
        <f aca="false">ROUND(I101*Accounts!L107,2)</f>
        <v>176.18</v>
      </c>
      <c r="L101" s="17" t="n">
        <f aca="false">ROUND(I101-J101-K101,2)</f>
        <v>14031.82</v>
      </c>
      <c r="M101" s="17" t="n">
        <f aca="false">ROUND(L101*AA101,2)</f>
        <v>0</v>
      </c>
      <c r="N101" s="17" t="n">
        <f aca="false">ROUND(L101*Accounts!R107,2)</f>
        <v>0</v>
      </c>
      <c r="O101" s="17" t="n">
        <f aca="false">ROUND(L101*Accounts!S107,2)</f>
        <v>0</v>
      </c>
      <c r="P101" s="17" t="n">
        <f aca="false">ROUND(L101*Accounts!T107,2)</f>
        <v>0</v>
      </c>
      <c r="Q101" s="17" t="n">
        <f aca="false">ROUND(L101*Accounts!U107,2)</f>
        <v>0</v>
      </c>
      <c r="R101" s="17" t="n">
        <f aca="false">ROUND(L101*Accounts!V107,2)</f>
        <v>140.32</v>
      </c>
      <c r="S101" s="17" t="n">
        <f aca="false">ROUND(L101*Accounts!W107,2)</f>
        <v>0</v>
      </c>
      <c r="T101" s="17" t="n">
        <f aca="false">ROUND(L101-SUM(M101:S101),2)</f>
        <v>13891.5</v>
      </c>
      <c r="U101" s="17" t="n">
        <f aca="false">ROUND(F101*H101,2)</f>
        <v>7488</v>
      </c>
      <c r="V101" s="17" t="n">
        <f aca="false">ROUND(L101*Assumptions!$C$25,2)</f>
        <v>280.64</v>
      </c>
      <c r="W101" s="17" t="n">
        <f aca="false">ROUND(T101-U101-V101,2)</f>
        <v>6122.86</v>
      </c>
      <c r="X101" s="28" t="n">
        <f aca="false">T101/I101</f>
        <v>0.977723817567568</v>
      </c>
      <c r="Y101" s="17" t="n">
        <f aca="false">T101/F101</f>
        <v>144.703125</v>
      </c>
      <c r="Z101" s="26" t="n">
        <f aca="false">Accounts!H107</f>
        <v>506</v>
      </c>
      <c r="AA101" s="28" t="n">
        <f aca="false">IF(Z101&gt;=Assumptions!$B$44,Assumptions!$C$44,IF(Z101&gt;=Assumptions!$B$45,Assumptions!$C$45,IF(Z101&gt;=Assumptions!$B$46,Assumptions!$C$46,Assumptions!$C$47)))</f>
        <v>0</v>
      </c>
      <c r="AB101" s="26" t="n">
        <f aca="false">IF(Z101&gt;=Assumptions!$B$44,Assumptions!$B$44,IF(Z101&gt;=Assumptions!$B$45,Assumptions!$B$45,IF(Z101&gt;=Assumptions!$B$46,Assumptions!$B$46,0)))</f>
        <v>0</v>
      </c>
    </row>
    <row r="102" customFormat="false" ht="15" hidden="false" customHeight="false" outlineLevel="0" collapsed="false">
      <c r="B102" s="14" t="s">
        <v>276</v>
      </c>
      <c r="C102" s="14" t="s">
        <v>259</v>
      </c>
      <c r="D102" s="14" t="s">
        <v>227</v>
      </c>
      <c r="E102" s="14" t="s">
        <v>60</v>
      </c>
      <c r="F102" s="26" t="n">
        <f aca="false">Accounts!E123</f>
        <v>627</v>
      </c>
      <c r="G102" s="17" t="n">
        <f aca="false">Assumptions!$D$8</f>
        <v>148</v>
      </c>
      <c r="H102" s="17" t="n">
        <f aca="false">Assumptions!$E$8</f>
        <v>78</v>
      </c>
      <c r="I102" s="17" t="n">
        <f aca="false">ROUND(F102*G102,2)</f>
        <v>92796</v>
      </c>
      <c r="J102" s="17" t="n">
        <f aca="false">ROUND(I102*Accounts!O123,2)</f>
        <v>1855.92</v>
      </c>
      <c r="K102" s="17" t="n">
        <f aca="false">ROUND(I102*Accounts!L123,2)</f>
        <v>2876.68</v>
      </c>
      <c r="L102" s="17" t="n">
        <f aca="false">ROUND(I102-J102-K102,2)</f>
        <v>88063.4</v>
      </c>
      <c r="M102" s="17" t="n">
        <f aca="false">ROUND(L102*AA102,2)</f>
        <v>0</v>
      </c>
      <c r="N102" s="17" t="n">
        <f aca="false">ROUND(L102*Accounts!R123,2)</f>
        <v>0</v>
      </c>
      <c r="O102" s="17" t="n">
        <f aca="false">ROUND(L102*Accounts!S123,2)</f>
        <v>0</v>
      </c>
      <c r="P102" s="17" t="n">
        <f aca="false">ROUND(L102*Accounts!T123,2)</f>
        <v>0</v>
      </c>
      <c r="Q102" s="17" t="n">
        <f aca="false">ROUND(L102*Accounts!U123,2)</f>
        <v>0</v>
      </c>
      <c r="R102" s="17" t="n">
        <f aca="false">ROUND(L102*Accounts!V123,2)</f>
        <v>880.63</v>
      </c>
      <c r="S102" s="17" t="n">
        <f aca="false">ROUND(L102*Accounts!W123,2)</f>
        <v>0</v>
      </c>
      <c r="T102" s="17" t="n">
        <f aca="false">ROUND(L102-SUM(M102:S102),2)</f>
        <v>87182.77</v>
      </c>
      <c r="U102" s="17" t="n">
        <f aca="false">ROUND(F102*H102,2)</f>
        <v>48906</v>
      </c>
      <c r="V102" s="17" t="n">
        <f aca="false">ROUND(L102*Assumptions!$C$25,2)</f>
        <v>1761.27</v>
      </c>
      <c r="W102" s="17" t="n">
        <f aca="false">ROUND(T102-U102-V102,2)</f>
        <v>36515.5</v>
      </c>
      <c r="X102" s="28" t="n">
        <f aca="false">T102/I102</f>
        <v>0.939510000431053</v>
      </c>
      <c r="Y102" s="17" t="n">
        <f aca="false">T102/F102</f>
        <v>139.047480063796</v>
      </c>
      <c r="Z102" s="26" t="n">
        <f aca="false">Accounts!H123</f>
        <v>2345</v>
      </c>
      <c r="AA102" s="28" t="n">
        <f aca="false">IF(Z102&gt;=Assumptions!$B$44,Assumptions!$C$44,IF(Z102&gt;=Assumptions!$B$45,Assumptions!$C$45,IF(Z102&gt;=Assumptions!$B$46,Assumptions!$C$46,Assumptions!$C$47)))</f>
        <v>0</v>
      </c>
      <c r="AB102" s="26" t="n">
        <f aca="false">IF(Z102&gt;=Assumptions!$B$44,Assumptions!$B$44,IF(Z102&gt;=Assumptions!$B$45,Assumptions!$B$45,IF(Z102&gt;=Assumptions!$B$46,Assumptions!$B$46,0)))</f>
        <v>0</v>
      </c>
    </row>
    <row r="103" customFormat="false" ht="15" hidden="false" customHeight="false" outlineLevel="0" collapsed="false">
      <c r="B103" s="14" t="s">
        <v>292</v>
      </c>
      <c r="C103" s="14" t="s">
        <v>259</v>
      </c>
      <c r="D103" s="14" t="s">
        <v>235</v>
      </c>
      <c r="E103" s="14" t="s">
        <v>60</v>
      </c>
      <c r="F103" s="26" t="n">
        <f aca="false">Accounts!E139</f>
        <v>332</v>
      </c>
      <c r="G103" s="17" t="n">
        <f aca="false">Assumptions!$D$8</f>
        <v>148</v>
      </c>
      <c r="H103" s="17" t="n">
        <f aca="false">Assumptions!$E$8</f>
        <v>78</v>
      </c>
      <c r="I103" s="17" t="n">
        <f aca="false">ROUND(F103*G103,2)</f>
        <v>49136</v>
      </c>
      <c r="J103" s="17" t="n">
        <f aca="false">ROUND(I103*Accounts!O139,2)</f>
        <v>982.72</v>
      </c>
      <c r="K103" s="17" t="n">
        <f aca="false">ROUND(I103*Accounts!L139,2)</f>
        <v>0</v>
      </c>
      <c r="L103" s="17" t="n">
        <f aca="false">ROUND(I103-J103-K103,2)</f>
        <v>48153.28</v>
      </c>
      <c r="M103" s="17" t="n">
        <f aca="false">ROUND(L103*AA103,2)</f>
        <v>0</v>
      </c>
      <c r="N103" s="17" t="n">
        <f aca="false">ROUND(L103*Accounts!R139,2)</f>
        <v>0</v>
      </c>
      <c r="O103" s="17" t="n">
        <f aca="false">ROUND(L103*Accounts!S139,2)</f>
        <v>0</v>
      </c>
      <c r="P103" s="17" t="n">
        <f aca="false">ROUND(L103*Accounts!T139,2)</f>
        <v>0</v>
      </c>
      <c r="Q103" s="17" t="n">
        <f aca="false">ROUND(L103*Accounts!U139,2)</f>
        <v>0</v>
      </c>
      <c r="R103" s="17" t="n">
        <f aca="false">ROUND(L103*Accounts!V139,2)</f>
        <v>481.53</v>
      </c>
      <c r="S103" s="17" t="n">
        <f aca="false">ROUND(L103*Accounts!W139,2)</f>
        <v>0</v>
      </c>
      <c r="T103" s="17" t="n">
        <f aca="false">ROUND(L103-SUM(M103:S103),2)</f>
        <v>47671.75</v>
      </c>
      <c r="U103" s="17" t="n">
        <f aca="false">ROUND(F103*H103,2)</f>
        <v>25896</v>
      </c>
      <c r="V103" s="17" t="n">
        <f aca="false">ROUND(L103*Assumptions!$C$25,2)</f>
        <v>963.07</v>
      </c>
      <c r="W103" s="17" t="n">
        <f aca="false">ROUND(T103-U103-V103,2)</f>
        <v>20812.68</v>
      </c>
      <c r="X103" s="28" t="n">
        <f aca="false">T103/I103</f>
        <v>0.970200056984696</v>
      </c>
      <c r="Y103" s="17" t="n">
        <f aca="false">T103/F103</f>
        <v>143.589608433735</v>
      </c>
      <c r="Z103" s="26" t="n">
        <f aca="false">Accounts!H139</f>
        <v>2219</v>
      </c>
      <c r="AA103" s="28" t="n">
        <f aca="false">IF(Z103&gt;=Assumptions!$B$44,Assumptions!$C$44,IF(Z103&gt;=Assumptions!$B$45,Assumptions!$C$45,IF(Z103&gt;=Assumptions!$B$46,Assumptions!$C$46,Assumptions!$C$47)))</f>
        <v>0</v>
      </c>
      <c r="AB103" s="26" t="n">
        <f aca="false">IF(Z103&gt;=Assumptions!$B$44,Assumptions!$B$44,IF(Z103&gt;=Assumptions!$B$45,Assumptions!$B$45,IF(Z103&gt;=Assumptions!$B$46,Assumptions!$B$46,0)))</f>
        <v>0</v>
      </c>
    </row>
    <row r="104" customFormat="false" ht="15" hidden="false" customHeight="false" outlineLevel="0" collapsed="false">
      <c r="B104" s="14" t="s">
        <v>308</v>
      </c>
      <c r="C104" s="14" t="s">
        <v>259</v>
      </c>
      <c r="D104" s="14" t="s">
        <v>243</v>
      </c>
      <c r="E104" s="14" t="s">
        <v>60</v>
      </c>
      <c r="F104" s="26" t="n">
        <f aca="false">Accounts!E155</f>
        <v>160</v>
      </c>
      <c r="G104" s="17" t="n">
        <f aca="false">Assumptions!$D$8</f>
        <v>148</v>
      </c>
      <c r="H104" s="17" t="n">
        <f aca="false">Assumptions!$E$8</f>
        <v>78</v>
      </c>
      <c r="I104" s="17" t="n">
        <f aca="false">ROUND(F104*G104,2)</f>
        <v>23680</v>
      </c>
      <c r="J104" s="17" t="n">
        <f aca="false">ROUND(I104*Accounts!O155,2)</f>
        <v>0</v>
      </c>
      <c r="K104" s="17" t="n">
        <f aca="false">ROUND(I104*Accounts!L155,2)</f>
        <v>513.86</v>
      </c>
      <c r="L104" s="17" t="n">
        <f aca="false">ROUND(I104-J104-K104,2)</f>
        <v>23166.14</v>
      </c>
      <c r="M104" s="17" t="n">
        <f aca="false">ROUND(L104*AA104,2)</f>
        <v>0</v>
      </c>
      <c r="N104" s="17" t="n">
        <f aca="false">ROUND(L104*Accounts!R155,2)</f>
        <v>0</v>
      </c>
      <c r="O104" s="17" t="n">
        <f aca="false">ROUND(L104*Accounts!S155,2)</f>
        <v>0</v>
      </c>
      <c r="P104" s="17" t="n">
        <f aca="false">ROUND(L104*Accounts!T155,2)</f>
        <v>0</v>
      </c>
      <c r="Q104" s="17" t="n">
        <f aca="false">ROUND(L104*Accounts!U155,2)</f>
        <v>0</v>
      </c>
      <c r="R104" s="17" t="n">
        <f aca="false">ROUND(L104*Accounts!V155,2)</f>
        <v>231.66</v>
      </c>
      <c r="S104" s="17" t="n">
        <f aca="false">ROUND(L104*Accounts!W155,2)</f>
        <v>0</v>
      </c>
      <c r="T104" s="17" t="n">
        <f aca="false">ROUND(L104-SUM(M104:S104),2)</f>
        <v>22934.48</v>
      </c>
      <c r="U104" s="17" t="n">
        <f aca="false">ROUND(F104*H104,2)</f>
        <v>12480</v>
      </c>
      <c r="V104" s="17" t="n">
        <f aca="false">ROUND(L104*Assumptions!$C$25,2)</f>
        <v>463.32</v>
      </c>
      <c r="W104" s="17" t="n">
        <f aca="false">ROUND(T104-U104-V104,2)</f>
        <v>9991.16</v>
      </c>
      <c r="X104" s="28" t="n">
        <f aca="false">T104/I104</f>
        <v>0.968516891891892</v>
      </c>
      <c r="Y104" s="17" t="n">
        <f aca="false">T104/F104</f>
        <v>143.3405</v>
      </c>
      <c r="Z104" s="26" t="n">
        <f aca="false">Accounts!H155</f>
        <v>1483</v>
      </c>
      <c r="AA104" s="28" t="n">
        <f aca="false">IF(Z104&gt;=Assumptions!$B$44,Assumptions!$C$44,IF(Z104&gt;=Assumptions!$B$45,Assumptions!$C$45,IF(Z104&gt;=Assumptions!$B$46,Assumptions!$C$46,Assumptions!$C$47)))</f>
        <v>0</v>
      </c>
      <c r="AB104" s="26" t="n">
        <f aca="false">IF(Z104&gt;=Assumptions!$B$44,Assumptions!$B$44,IF(Z104&gt;=Assumptions!$B$45,Assumptions!$B$45,IF(Z104&gt;=Assumptions!$B$46,Assumptions!$B$46,0)))</f>
        <v>0</v>
      </c>
    </row>
    <row r="105" customFormat="false" ht="15" hidden="false" customHeight="false" outlineLevel="0" collapsed="false">
      <c r="B105" s="14" t="s">
        <v>324</v>
      </c>
      <c r="C105" s="14" t="s">
        <v>259</v>
      </c>
      <c r="D105" s="14" t="s">
        <v>251</v>
      </c>
      <c r="E105" s="14" t="s">
        <v>60</v>
      </c>
      <c r="F105" s="26" t="n">
        <f aca="false">Accounts!E171</f>
        <v>147</v>
      </c>
      <c r="G105" s="17" t="n">
        <f aca="false">Assumptions!$D$8</f>
        <v>148</v>
      </c>
      <c r="H105" s="17" t="n">
        <f aca="false">Assumptions!$E$8</f>
        <v>78</v>
      </c>
      <c r="I105" s="17" t="n">
        <f aca="false">ROUND(F105*G105,2)</f>
        <v>21756</v>
      </c>
      <c r="J105" s="17" t="n">
        <f aca="false">ROUND(I105*Accounts!O171,2)</f>
        <v>0</v>
      </c>
      <c r="K105" s="17" t="n">
        <f aca="false">ROUND(I105*Accounts!L171,2)</f>
        <v>944.21</v>
      </c>
      <c r="L105" s="17" t="n">
        <f aca="false">ROUND(I105-J105-K105,2)</f>
        <v>20811.79</v>
      </c>
      <c r="M105" s="17" t="n">
        <f aca="false">ROUND(L105*AA105,2)</f>
        <v>0</v>
      </c>
      <c r="N105" s="17" t="n">
        <f aca="false">ROUND(L105*Accounts!R171,2)</f>
        <v>0</v>
      </c>
      <c r="O105" s="17" t="n">
        <f aca="false">ROUND(L105*Accounts!S171,2)</f>
        <v>0</v>
      </c>
      <c r="P105" s="17" t="n">
        <f aca="false">ROUND(L105*Accounts!T171,2)</f>
        <v>0</v>
      </c>
      <c r="Q105" s="17" t="n">
        <f aca="false">ROUND(L105*Accounts!U171,2)</f>
        <v>0</v>
      </c>
      <c r="R105" s="17" t="n">
        <f aca="false">ROUND(L105*Accounts!V171,2)</f>
        <v>208.12</v>
      </c>
      <c r="S105" s="17" t="n">
        <f aca="false">ROUND(L105*Accounts!W171,2)</f>
        <v>0</v>
      </c>
      <c r="T105" s="17" t="n">
        <f aca="false">ROUND(L105-SUM(M105:S105),2)</f>
        <v>20603.67</v>
      </c>
      <c r="U105" s="17" t="n">
        <f aca="false">ROUND(F105*H105,2)</f>
        <v>11466</v>
      </c>
      <c r="V105" s="17" t="n">
        <f aca="false">ROUND(L105*Assumptions!$C$25,2)</f>
        <v>416.24</v>
      </c>
      <c r="W105" s="17" t="n">
        <f aca="false">ROUND(T105-U105-V105,2)</f>
        <v>8721.43</v>
      </c>
      <c r="X105" s="28" t="n">
        <f aca="false">T105/I105</f>
        <v>0.947033921676779</v>
      </c>
      <c r="Y105" s="17" t="n">
        <f aca="false">T105/F105</f>
        <v>140.161020408163</v>
      </c>
      <c r="Z105" s="26" t="n">
        <f aca="false">Accounts!H171</f>
        <v>780</v>
      </c>
      <c r="AA105" s="28" t="n">
        <f aca="false">IF(Z105&gt;=Assumptions!$B$44,Assumptions!$C$44,IF(Z105&gt;=Assumptions!$B$45,Assumptions!$C$45,IF(Z105&gt;=Assumptions!$B$46,Assumptions!$C$46,Assumptions!$C$47)))</f>
        <v>0</v>
      </c>
      <c r="AB105" s="26" t="n">
        <f aca="false">IF(Z105&gt;=Assumptions!$B$44,Assumptions!$B$44,IF(Z105&gt;=Assumptions!$B$45,Assumptions!$B$45,IF(Z105&gt;=Assumptions!$B$46,Assumptions!$B$46,0)))</f>
        <v>0</v>
      </c>
    </row>
    <row r="106" customFormat="false" ht="15" hidden="false" customHeight="false" outlineLevel="0" collapsed="false">
      <c r="B106" s="14" t="s">
        <v>261</v>
      </c>
      <c r="C106" s="14" t="s">
        <v>259</v>
      </c>
      <c r="D106" s="14" t="s">
        <v>218</v>
      </c>
      <c r="E106" s="14" t="s">
        <v>60</v>
      </c>
      <c r="F106" s="26" t="n">
        <f aca="false">Accounts!E108</f>
        <v>190</v>
      </c>
      <c r="G106" s="17" t="n">
        <f aca="false">Assumptions!$D$8</f>
        <v>148</v>
      </c>
      <c r="H106" s="17" t="n">
        <f aca="false">Assumptions!$E$8</f>
        <v>78</v>
      </c>
      <c r="I106" s="17" t="n">
        <f aca="false">ROUND(F106*G106,2)</f>
        <v>28120</v>
      </c>
      <c r="J106" s="17" t="n">
        <f aca="false">ROUND(I106*Accounts!O108,2)</f>
        <v>0</v>
      </c>
      <c r="K106" s="17" t="n">
        <f aca="false">ROUND(I106*Accounts!L108,2)</f>
        <v>0</v>
      </c>
      <c r="L106" s="17" t="n">
        <f aca="false">ROUND(I106-J106-K106,2)</f>
        <v>28120</v>
      </c>
      <c r="M106" s="17" t="n">
        <f aca="false">ROUND(L106*AA106,2)</f>
        <v>0</v>
      </c>
      <c r="N106" s="17" t="n">
        <f aca="false">ROUND(L106*Accounts!R108,2)</f>
        <v>0</v>
      </c>
      <c r="O106" s="17" t="n">
        <f aca="false">ROUND(L106*Accounts!S108,2)</f>
        <v>0</v>
      </c>
      <c r="P106" s="17" t="n">
        <f aca="false">ROUND(L106*Accounts!T108,2)</f>
        <v>0</v>
      </c>
      <c r="Q106" s="17" t="n">
        <f aca="false">ROUND(L106*Accounts!U108,2)</f>
        <v>0</v>
      </c>
      <c r="R106" s="17" t="n">
        <f aca="false">ROUND(L106*Accounts!V108,2)</f>
        <v>281.2</v>
      </c>
      <c r="S106" s="17" t="n">
        <f aca="false">ROUND(L106*Accounts!W108,2)</f>
        <v>0</v>
      </c>
      <c r="T106" s="17" t="n">
        <f aca="false">ROUND(L106-SUM(M106:S106),2)</f>
        <v>27838.8</v>
      </c>
      <c r="U106" s="17" t="n">
        <f aca="false">ROUND(F106*H106,2)</f>
        <v>14820</v>
      </c>
      <c r="V106" s="17" t="n">
        <f aca="false">ROUND(L106*Assumptions!$C$25,2)</f>
        <v>562.4</v>
      </c>
      <c r="W106" s="17" t="n">
        <f aca="false">ROUND(T106-U106-V106,2)</f>
        <v>12456.4</v>
      </c>
      <c r="X106" s="28" t="n">
        <f aca="false">T106/I106</f>
        <v>0.99</v>
      </c>
      <c r="Y106" s="17" t="n">
        <f aca="false">T106/F106</f>
        <v>146.52</v>
      </c>
      <c r="Z106" s="26" t="n">
        <f aca="false">Accounts!H108</f>
        <v>419</v>
      </c>
      <c r="AA106" s="28" t="n">
        <f aca="false">IF(Z106&gt;=Assumptions!$B$44,Assumptions!$C$44,IF(Z106&gt;=Assumptions!$B$45,Assumptions!$C$45,IF(Z106&gt;=Assumptions!$B$46,Assumptions!$C$46,Assumptions!$C$47)))</f>
        <v>0</v>
      </c>
      <c r="AB106" s="26" t="n">
        <f aca="false">IF(Z106&gt;=Assumptions!$B$44,Assumptions!$B$44,IF(Z106&gt;=Assumptions!$B$45,Assumptions!$B$45,IF(Z106&gt;=Assumptions!$B$46,Assumptions!$B$46,0)))</f>
        <v>0</v>
      </c>
    </row>
    <row r="107" customFormat="false" ht="15" hidden="false" customHeight="false" outlineLevel="0" collapsed="false">
      <c r="B107" s="14" t="s">
        <v>277</v>
      </c>
      <c r="C107" s="14" t="s">
        <v>259</v>
      </c>
      <c r="D107" s="14" t="s">
        <v>227</v>
      </c>
      <c r="E107" s="14" t="s">
        <v>60</v>
      </c>
      <c r="F107" s="26" t="n">
        <f aca="false">Accounts!E124</f>
        <v>145</v>
      </c>
      <c r="G107" s="17" t="n">
        <f aca="false">Assumptions!$D$8</f>
        <v>148</v>
      </c>
      <c r="H107" s="17" t="n">
        <f aca="false">Assumptions!$E$8</f>
        <v>78</v>
      </c>
      <c r="I107" s="17" t="n">
        <f aca="false">ROUND(F107*G107,2)</f>
        <v>21460</v>
      </c>
      <c r="J107" s="17" t="n">
        <f aca="false">ROUND(I107*Accounts!O124,2)</f>
        <v>0</v>
      </c>
      <c r="K107" s="17" t="n">
        <f aca="false">ROUND(I107*Accounts!L124,2)</f>
        <v>0</v>
      </c>
      <c r="L107" s="17" t="n">
        <f aca="false">ROUND(I107-J107-K107,2)</f>
        <v>21460</v>
      </c>
      <c r="M107" s="17" t="n">
        <f aca="false">ROUND(L107*AA107,2)</f>
        <v>0</v>
      </c>
      <c r="N107" s="17" t="n">
        <f aca="false">ROUND(L107*Accounts!R124,2)</f>
        <v>0</v>
      </c>
      <c r="O107" s="17" t="n">
        <f aca="false">ROUND(L107*Accounts!S124,2)</f>
        <v>0</v>
      </c>
      <c r="P107" s="17" t="n">
        <f aca="false">ROUND(L107*Accounts!T124,2)</f>
        <v>0</v>
      </c>
      <c r="Q107" s="17" t="n">
        <f aca="false">ROUND(L107*Accounts!U124,2)</f>
        <v>0</v>
      </c>
      <c r="R107" s="17" t="n">
        <f aca="false">ROUND(L107*Accounts!V124,2)</f>
        <v>214.6</v>
      </c>
      <c r="S107" s="17" t="n">
        <f aca="false">ROUND(L107*Accounts!W124,2)</f>
        <v>0</v>
      </c>
      <c r="T107" s="17" t="n">
        <f aca="false">ROUND(L107-SUM(M107:S107),2)</f>
        <v>21245.4</v>
      </c>
      <c r="U107" s="17" t="n">
        <f aca="false">ROUND(F107*H107,2)</f>
        <v>11310</v>
      </c>
      <c r="V107" s="17" t="n">
        <f aca="false">ROUND(L107*Assumptions!$C$25,2)</f>
        <v>429.2</v>
      </c>
      <c r="W107" s="17" t="n">
        <f aca="false">ROUND(T107-U107-V107,2)</f>
        <v>9506.2</v>
      </c>
      <c r="X107" s="28" t="n">
        <f aca="false">T107/I107</f>
        <v>0.99</v>
      </c>
      <c r="Y107" s="17" t="n">
        <f aca="false">T107/F107</f>
        <v>146.52</v>
      </c>
      <c r="Z107" s="26" t="n">
        <f aca="false">Accounts!H124</f>
        <v>718</v>
      </c>
      <c r="AA107" s="28" t="n">
        <f aca="false">IF(Z107&gt;=Assumptions!$B$44,Assumptions!$C$44,IF(Z107&gt;=Assumptions!$B$45,Assumptions!$C$45,IF(Z107&gt;=Assumptions!$B$46,Assumptions!$C$46,Assumptions!$C$47)))</f>
        <v>0</v>
      </c>
      <c r="AB107" s="26" t="n">
        <f aca="false">IF(Z107&gt;=Assumptions!$B$44,Assumptions!$B$44,IF(Z107&gt;=Assumptions!$B$45,Assumptions!$B$45,IF(Z107&gt;=Assumptions!$B$46,Assumptions!$B$46,0)))</f>
        <v>0</v>
      </c>
    </row>
    <row r="108" customFormat="false" ht="15" hidden="false" customHeight="false" outlineLevel="0" collapsed="false">
      <c r="B108" s="14" t="s">
        <v>293</v>
      </c>
      <c r="C108" s="14" t="s">
        <v>259</v>
      </c>
      <c r="D108" s="14" t="s">
        <v>235</v>
      </c>
      <c r="E108" s="14" t="s">
        <v>60</v>
      </c>
      <c r="F108" s="26" t="n">
        <f aca="false">Accounts!E140</f>
        <v>249</v>
      </c>
      <c r="G108" s="17" t="n">
        <f aca="false">Assumptions!$D$8</f>
        <v>148</v>
      </c>
      <c r="H108" s="17" t="n">
        <f aca="false">Assumptions!$E$8</f>
        <v>78</v>
      </c>
      <c r="I108" s="17" t="n">
        <f aca="false">ROUND(F108*G108,2)</f>
        <v>36852</v>
      </c>
      <c r="J108" s="17" t="n">
        <f aca="false">ROUND(I108*Accounts!O140,2)</f>
        <v>737.04</v>
      </c>
      <c r="K108" s="17" t="n">
        <f aca="false">ROUND(I108*Accounts!L140,2)</f>
        <v>685.45</v>
      </c>
      <c r="L108" s="17" t="n">
        <f aca="false">ROUND(I108-J108-K108,2)</f>
        <v>35429.51</v>
      </c>
      <c r="M108" s="17" t="n">
        <f aca="false">ROUND(L108*AA108,2)</f>
        <v>0</v>
      </c>
      <c r="N108" s="17" t="n">
        <f aca="false">ROUND(L108*Accounts!R140,2)</f>
        <v>0</v>
      </c>
      <c r="O108" s="17" t="n">
        <f aca="false">ROUND(L108*Accounts!S140,2)</f>
        <v>0</v>
      </c>
      <c r="P108" s="17" t="n">
        <f aca="false">ROUND(L108*Accounts!T140,2)</f>
        <v>0</v>
      </c>
      <c r="Q108" s="17" t="n">
        <f aca="false">ROUND(L108*Accounts!U140,2)</f>
        <v>0</v>
      </c>
      <c r="R108" s="17" t="n">
        <f aca="false">ROUND(L108*Accounts!V140,2)</f>
        <v>354.3</v>
      </c>
      <c r="S108" s="17" t="n">
        <f aca="false">ROUND(L108*Accounts!W140,2)</f>
        <v>0</v>
      </c>
      <c r="T108" s="17" t="n">
        <f aca="false">ROUND(L108-SUM(M108:S108),2)</f>
        <v>35075.21</v>
      </c>
      <c r="U108" s="17" t="n">
        <f aca="false">ROUND(F108*H108,2)</f>
        <v>19422</v>
      </c>
      <c r="V108" s="17" t="n">
        <f aca="false">ROUND(L108*Assumptions!$C$25,2)</f>
        <v>708.59</v>
      </c>
      <c r="W108" s="17" t="n">
        <f aca="false">ROUND(T108-U108-V108,2)</f>
        <v>14944.62</v>
      </c>
      <c r="X108" s="28" t="n">
        <f aca="false">T108/I108</f>
        <v>0.951785791815912</v>
      </c>
      <c r="Y108" s="17" t="n">
        <f aca="false">T108/F108</f>
        <v>140.864297188755</v>
      </c>
      <c r="Z108" s="26" t="n">
        <f aca="false">Accounts!H140</f>
        <v>1087</v>
      </c>
      <c r="AA108" s="28" t="n">
        <f aca="false">IF(Z108&gt;=Assumptions!$B$44,Assumptions!$C$44,IF(Z108&gt;=Assumptions!$B$45,Assumptions!$C$45,IF(Z108&gt;=Assumptions!$B$46,Assumptions!$C$46,Assumptions!$C$47)))</f>
        <v>0</v>
      </c>
      <c r="AB108" s="26" t="n">
        <f aca="false">IF(Z108&gt;=Assumptions!$B$44,Assumptions!$B$44,IF(Z108&gt;=Assumptions!$B$45,Assumptions!$B$45,IF(Z108&gt;=Assumptions!$B$46,Assumptions!$B$46,0)))</f>
        <v>0</v>
      </c>
    </row>
    <row r="109" customFormat="false" ht="15" hidden="false" customHeight="false" outlineLevel="0" collapsed="false">
      <c r="B109" s="14" t="s">
        <v>309</v>
      </c>
      <c r="C109" s="14" t="s">
        <v>259</v>
      </c>
      <c r="D109" s="14" t="s">
        <v>243</v>
      </c>
      <c r="E109" s="14" t="s">
        <v>60</v>
      </c>
      <c r="F109" s="26" t="n">
        <f aca="false">Accounts!E156</f>
        <v>39</v>
      </c>
      <c r="G109" s="17" t="n">
        <f aca="false">Assumptions!$D$8</f>
        <v>148</v>
      </c>
      <c r="H109" s="17" t="n">
        <f aca="false">Assumptions!$E$8</f>
        <v>78</v>
      </c>
      <c r="I109" s="17" t="n">
        <f aca="false">ROUND(F109*G109,2)</f>
        <v>5772</v>
      </c>
      <c r="J109" s="17" t="n">
        <f aca="false">ROUND(I109*Accounts!O156,2)</f>
        <v>0</v>
      </c>
      <c r="K109" s="17" t="n">
        <f aca="false">ROUND(I109*Accounts!L156,2)</f>
        <v>143.15</v>
      </c>
      <c r="L109" s="17" t="n">
        <f aca="false">ROUND(I109-J109-K109,2)</f>
        <v>5628.85</v>
      </c>
      <c r="M109" s="17" t="n">
        <f aca="false">ROUND(L109*AA109,2)</f>
        <v>0</v>
      </c>
      <c r="N109" s="17" t="n">
        <f aca="false">ROUND(L109*Accounts!R156,2)</f>
        <v>0</v>
      </c>
      <c r="O109" s="17" t="n">
        <f aca="false">ROUND(L109*Accounts!S156,2)</f>
        <v>0</v>
      </c>
      <c r="P109" s="17" t="n">
        <f aca="false">ROUND(L109*Accounts!T156,2)</f>
        <v>0</v>
      </c>
      <c r="Q109" s="17" t="n">
        <f aca="false">ROUND(L109*Accounts!U156,2)</f>
        <v>0</v>
      </c>
      <c r="R109" s="17" t="n">
        <f aca="false">ROUND(L109*Accounts!V156,2)</f>
        <v>56.29</v>
      </c>
      <c r="S109" s="17" t="n">
        <f aca="false">ROUND(L109*Accounts!W156,2)</f>
        <v>0</v>
      </c>
      <c r="T109" s="17" t="n">
        <f aca="false">ROUND(L109-SUM(M109:S109),2)</f>
        <v>5572.56</v>
      </c>
      <c r="U109" s="17" t="n">
        <f aca="false">ROUND(F109*H109,2)</f>
        <v>3042</v>
      </c>
      <c r="V109" s="17" t="n">
        <f aca="false">ROUND(L109*Assumptions!$C$25,2)</f>
        <v>112.58</v>
      </c>
      <c r="W109" s="17" t="n">
        <f aca="false">ROUND(T109-U109-V109,2)</f>
        <v>2417.98</v>
      </c>
      <c r="X109" s="28" t="n">
        <f aca="false">T109/I109</f>
        <v>0.965446985446986</v>
      </c>
      <c r="Y109" s="17" t="n">
        <f aca="false">T109/F109</f>
        <v>142.886153846154</v>
      </c>
      <c r="Z109" s="26" t="n">
        <f aca="false">Accounts!H156</f>
        <v>208</v>
      </c>
      <c r="AA109" s="28" t="n">
        <f aca="false">IF(Z109&gt;=Assumptions!$B$44,Assumptions!$C$44,IF(Z109&gt;=Assumptions!$B$45,Assumptions!$C$45,IF(Z109&gt;=Assumptions!$B$46,Assumptions!$C$46,Assumptions!$C$47)))</f>
        <v>0</v>
      </c>
      <c r="AB109" s="26" t="n">
        <f aca="false">IF(Z109&gt;=Assumptions!$B$44,Assumptions!$B$44,IF(Z109&gt;=Assumptions!$B$45,Assumptions!$B$45,IF(Z109&gt;=Assumptions!$B$46,Assumptions!$B$46,0)))</f>
        <v>0</v>
      </c>
    </row>
    <row r="110" customFormat="false" ht="15" hidden="false" customHeight="false" outlineLevel="0" collapsed="false">
      <c r="B110" s="14" t="s">
        <v>262</v>
      </c>
      <c r="C110" s="14" t="s">
        <v>259</v>
      </c>
      <c r="D110" s="14" t="s">
        <v>218</v>
      </c>
      <c r="E110" s="14" t="s">
        <v>60</v>
      </c>
      <c r="F110" s="26" t="n">
        <f aca="false">Accounts!E109</f>
        <v>99</v>
      </c>
      <c r="G110" s="17" t="n">
        <f aca="false">Assumptions!$D$8</f>
        <v>148</v>
      </c>
      <c r="H110" s="17" t="n">
        <f aca="false">Assumptions!$E$8</f>
        <v>78</v>
      </c>
      <c r="I110" s="17" t="n">
        <f aca="false">ROUND(F110*G110,2)</f>
        <v>14652</v>
      </c>
      <c r="J110" s="17" t="n">
        <f aca="false">ROUND(I110*Accounts!O109,2)</f>
        <v>293.04</v>
      </c>
      <c r="K110" s="17" t="n">
        <f aca="false">ROUND(I110*Accounts!L109,2)</f>
        <v>0</v>
      </c>
      <c r="L110" s="17" t="n">
        <f aca="false">ROUND(I110-J110-K110,2)</f>
        <v>14358.96</v>
      </c>
      <c r="M110" s="17" t="n">
        <f aca="false">ROUND(L110*AA110,2)</f>
        <v>0</v>
      </c>
      <c r="N110" s="17" t="n">
        <f aca="false">ROUND(L110*Accounts!R109,2)</f>
        <v>0</v>
      </c>
      <c r="O110" s="17" t="n">
        <f aca="false">ROUND(L110*Accounts!S109,2)</f>
        <v>0</v>
      </c>
      <c r="P110" s="17" t="n">
        <f aca="false">ROUND(L110*Accounts!T109,2)</f>
        <v>0</v>
      </c>
      <c r="Q110" s="17" t="n">
        <f aca="false">ROUND(L110*Accounts!U109,2)</f>
        <v>0</v>
      </c>
      <c r="R110" s="17" t="n">
        <f aca="false">ROUND(L110*Accounts!V109,2)</f>
        <v>143.59</v>
      </c>
      <c r="S110" s="17" t="n">
        <f aca="false">ROUND(L110*Accounts!W109,2)</f>
        <v>0</v>
      </c>
      <c r="T110" s="17" t="n">
        <f aca="false">ROUND(L110-SUM(M110:S110),2)</f>
        <v>14215.37</v>
      </c>
      <c r="U110" s="17" t="n">
        <f aca="false">ROUND(F110*H110,2)</f>
        <v>7722</v>
      </c>
      <c r="V110" s="17" t="n">
        <f aca="false">ROUND(L110*Assumptions!$C$25,2)</f>
        <v>287.18</v>
      </c>
      <c r="W110" s="17" t="n">
        <f aca="false">ROUND(T110-U110-V110,2)</f>
        <v>6206.19</v>
      </c>
      <c r="X110" s="28" t="n">
        <f aca="false">T110/I110</f>
        <v>0.970199972699973</v>
      </c>
      <c r="Y110" s="17" t="n">
        <f aca="false">T110/F110</f>
        <v>143.589595959596</v>
      </c>
      <c r="Z110" s="26" t="n">
        <f aca="false">Accounts!H109</f>
        <v>99</v>
      </c>
      <c r="AA110" s="28" t="n">
        <f aca="false">IF(Z110&gt;=Assumptions!$B$44,Assumptions!$C$44,IF(Z110&gt;=Assumptions!$B$45,Assumptions!$C$45,IF(Z110&gt;=Assumptions!$B$46,Assumptions!$C$46,Assumptions!$C$47)))</f>
        <v>0</v>
      </c>
      <c r="AB110" s="26" t="n">
        <f aca="false">IF(Z110&gt;=Assumptions!$B$44,Assumptions!$B$44,IF(Z110&gt;=Assumptions!$B$45,Assumptions!$B$45,IF(Z110&gt;=Assumptions!$B$46,Assumptions!$B$46,0)))</f>
        <v>0</v>
      </c>
    </row>
    <row r="111" customFormat="false" ht="15" hidden="false" customHeight="false" outlineLevel="0" collapsed="false">
      <c r="B111" s="14" t="s">
        <v>278</v>
      </c>
      <c r="C111" s="14" t="s">
        <v>259</v>
      </c>
      <c r="D111" s="14" t="s">
        <v>227</v>
      </c>
      <c r="E111" s="14" t="s">
        <v>60</v>
      </c>
      <c r="F111" s="26" t="n">
        <f aca="false">Accounts!E125</f>
        <v>514</v>
      </c>
      <c r="G111" s="17" t="n">
        <f aca="false">Assumptions!$D$8</f>
        <v>148</v>
      </c>
      <c r="H111" s="17" t="n">
        <f aca="false">Assumptions!$E$8</f>
        <v>78</v>
      </c>
      <c r="I111" s="17" t="n">
        <f aca="false">ROUND(F111*G111,2)</f>
        <v>76072</v>
      </c>
      <c r="J111" s="17" t="n">
        <f aca="false">ROUND(I111*Accounts!O125,2)</f>
        <v>0</v>
      </c>
      <c r="K111" s="17" t="n">
        <f aca="false">ROUND(I111*Accounts!L125,2)</f>
        <v>2594.06</v>
      </c>
      <c r="L111" s="17" t="n">
        <f aca="false">ROUND(I111-J111-K111,2)</f>
        <v>73477.94</v>
      </c>
      <c r="M111" s="17" t="n">
        <f aca="false">ROUND(L111*AA111,2)</f>
        <v>1469.56</v>
      </c>
      <c r="N111" s="17" t="n">
        <f aca="false">ROUND(L111*Accounts!R125,2)</f>
        <v>0</v>
      </c>
      <c r="O111" s="17" t="n">
        <f aca="false">ROUND(L111*Accounts!S125,2)</f>
        <v>0</v>
      </c>
      <c r="P111" s="17" t="n">
        <f aca="false">ROUND(L111*Accounts!T125,2)</f>
        <v>0</v>
      </c>
      <c r="Q111" s="17" t="n">
        <f aca="false">ROUND(L111*Accounts!U125,2)</f>
        <v>0</v>
      </c>
      <c r="R111" s="17" t="n">
        <f aca="false">ROUND(L111*Accounts!V125,2)</f>
        <v>734.78</v>
      </c>
      <c r="S111" s="17" t="n">
        <f aca="false">ROUND(L111*Accounts!W125,2)</f>
        <v>0</v>
      </c>
      <c r="T111" s="17" t="n">
        <f aca="false">ROUND(L111-SUM(M111:S111),2)</f>
        <v>71273.6</v>
      </c>
      <c r="U111" s="17" t="n">
        <f aca="false">ROUND(F111*H111,2)</f>
        <v>40092</v>
      </c>
      <c r="V111" s="17" t="n">
        <f aca="false">ROUND(L111*Assumptions!$C$25,2)</f>
        <v>1469.56</v>
      </c>
      <c r="W111" s="17" t="n">
        <f aca="false">ROUND(T111-U111-V111,2)</f>
        <v>29712.04</v>
      </c>
      <c r="X111" s="28" t="n">
        <f aca="false">T111/I111</f>
        <v>0.936922915133032</v>
      </c>
      <c r="Y111" s="17" t="n">
        <f aca="false">T111/F111</f>
        <v>138.664591439689</v>
      </c>
      <c r="Z111" s="26" t="n">
        <f aca="false">Accounts!H125</f>
        <v>3596</v>
      </c>
      <c r="AA111" s="28" t="n">
        <f aca="false">IF(Z111&gt;=Assumptions!$B$44,Assumptions!$C$44,IF(Z111&gt;=Assumptions!$B$45,Assumptions!$C$45,IF(Z111&gt;=Assumptions!$B$46,Assumptions!$C$46,Assumptions!$C$47)))</f>
        <v>0.02</v>
      </c>
      <c r="AB111" s="26" t="n">
        <f aca="false">IF(Z111&gt;=Assumptions!$B$44,Assumptions!$B$44,IF(Z111&gt;=Assumptions!$B$45,Assumptions!$B$45,IF(Z111&gt;=Assumptions!$B$46,Assumptions!$B$46,0)))</f>
        <v>3000</v>
      </c>
    </row>
    <row r="112" customFormat="false" ht="15" hidden="false" customHeight="false" outlineLevel="0" collapsed="false">
      <c r="B112" s="14" t="s">
        <v>294</v>
      </c>
      <c r="C112" s="14" t="s">
        <v>259</v>
      </c>
      <c r="D112" s="14" t="s">
        <v>235</v>
      </c>
      <c r="E112" s="14" t="s">
        <v>60</v>
      </c>
      <c r="F112" s="26" t="n">
        <f aca="false">Accounts!E141</f>
        <v>28</v>
      </c>
      <c r="G112" s="17" t="n">
        <f aca="false">Assumptions!$D$8</f>
        <v>148</v>
      </c>
      <c r="H112" s="17" t="n">
        <f aca="false">Assumptions!$E$8</f>
        <v>78</v>
      </c>
      <c r="I112" s="17" t="n">
        <f aca="false">ROUND(F112*G112,2)</f>
        <v>4144</v>
      </c>
      <c r="J112" s="17" t="n">
        <f aca="false">ROUND(I112*Accounts!O141,2)</f>
        <v>0</v>
      </c>
      <c r="K112" s="17" t="n">
        <f aca="false">ROUND(I112*Accounts!L141,2)</f>
        <v>38.54</v>
      </c>
      <c r="L112" s="17" t="n">
        <f aca="false">ROUND(I112-J112-K112,2)</f>
        <v>4105.46</v>
      </c>
      <c r="M112" s="17" t="n">
        <f aca="false">ROUND(L112*AA112,2)</f>
        <v>0</v>
      </c>
      <c r="N112" s="17" t="n">
        <f aca="false">ROUND(L112*Accounts!R141,2)</f>
        <v>0</v>
      </c>
      <c r="O112" s="17" t="n">
        <f aca="false">ROUND(L112*Accounts!S141,2)</f>
        <v>0</v>
      </c>
      <c r="P112" s="17" t="n">
        <f aca="false">ROUND(L112*Accounts!T141,2)</f>
        <v>0</v>
      </c>
      <c r="Q112" s="17" t="n">
        <f aca="false">ROUND(L112*Accounts!U141,2)</f>
        <v>0</v>
      </c>
      <c r="R112" s="17" t="n">
        <f aca="false">ROUND(L112*Accounts!V141,2)</f>
        <v>41.05</v>
      </c>
      <c r="S112" s="17" t="n">
        <f aca="false">ROUND(L112*Accounts!W141,2)</f>
        <v>0</v>
      </c>
      <c r="T112" s="17" t="n">
        <f aca="false">ROUND(L112-SUM(M112:S112),2)</f>
        <v>4064.41</v>
      </c>
      <c r="U112" s="17" t="n">
        <f aca="false">ROUND(F112*H112,2)</f>
        <v>2184</v>
      </c>
      <c r="V112" s="17" t="n">
        <f aca="false">ROUND(L112*Assumptions!$C$25,2)</f>
        <v>82.11</v>
      </c>
      <c r="W112" s="17" t="n">
        <f aca="false">ROUND(T112-U112-V112,2)</f>
        <v>1798.3</v>
      </c>
      <c r="X112" s="28" t="n">
        <f aca="false">T112/I112</f>
        <v>0.980793918918919</v>
      </c>
      <c r="Y112" s="17" t="n">
        <f aca="false">T112/F112</f>
        <v>145.1575</v>
      </c>
      <c r="Z112" s="26" t="n">
        <f aca="false">Accounts!H141</f>
        <v>220</v>
      </c>
      <c r="AA112" s="28" t="n">
        <f aca="false">IF(Z112&gt;=Assumptions!$B$44,Assumptions!$C$44,IF(Z112&gt;=Assumptions!$B$45,Assumptions!$C$45,IF(Z112&gt;=Assumptions!$B$46,Assumptions!$C$46,Assumptions!$C$47)))</f>
        <v>0</v>
      </c>
      <c r="AB112" s="26" t="n">
        <f aca="false">IF(Z112&gt;=Assumptions!$B$44,Assumptions!$B$44,IF(Z112&gt;=Assumptions!$B$45,Assumptions!$B$45,IF(Z112&gt;=Assumptions!$B$46,Assumptions!$B$46,0)))</f>
        <v>0</v>
      </c>
    </row>
    <row r="113" customFormat="false" ht="15" hidden="false" customHeight="false" outlineLevel="0" collapsed="false">
      <c r="B113" s="14" t="s">
        <v>310</v>
      </c>
      <c r="C113" s="14" t="s">
        <v>259</v>
      </c>
      <c r="D113" s="14" t="s">
        <v>243</v>
      </c>
      <c r="E113" s="14" t="s">
        <v>60</v>
      </c>
      <c r="F113" s="26" t="n">
        <f aca="false">Accounts!E157</f>
        <v>41</v>
      </c>
      <c r="G113" s="17" t="n">
        <f aca="false">Assumptions!$D$8</f>
        <v>148</v>
      </c>
      <c r="H113" s="17" t="n">
        <f aca="false">Assumptions!$E$8</f>
        <v>78</v>
      </c>
      <c r="I113" s="17" t="n">
        <f aca="false">ROUND(F113*G113,2)</f>
        <v>6068</v>
      </c>
      <c r="J113" s="17" t="n">
        <f aca="false">ROUND(I113*Accounts!O157,2)</f>
        <v>0</v>
      </c>
      <c r="K113" s="17" t="n">
        <f aca="false">ROUND(I113*Accounts!L157,2)</f>
        <v>169.3</v>
      </c>
      <c r="L113" s="17" t="n">
        <f aca="false">ROUND(I113-J113-K113,2)</f>
        <v>5898.7</v>
      </c>
      <c r="M113" s="17" t="n">
        <f aca="false">ROUND(L113*AA113,2)</f>
        <v>0</v>
      </c>
      <c r="N113" s="17" t="n">
        <f aca="false">ROUND(L113*Accounts!R157,2)</f>
        <v>0</v>
      </c>
      <c r="O113" s="17" t="n">
        <f aca="false">ROUND(L113*Accounts!S157,2)</f>
        <v>0</v>
      </c>
      <c r="P113" s="17" t="n">
        <f aca="false">ROUND(L113*Accounts!T157,2)</f>
        <v>0</v>
      </c>
      <c r="Q113" s="17" t="n">
        <f aca="false">ROUND(L113*Accounts!U157,2)</f>
        <v>0</v>
      </c>
      <c r="R113" s="17" t="n">
        <f aca="false">ROUND(L113*Accounts!V157,2)</f>
        <v>58.99</v>
      </c>
      <c r="S113" s="17" t="n">
        <f aca="false">ROUND(L113*Accounts!W157,2)</f>
        <v>0</v>
      </c>
      <c r="T113" s="17" t="n">
        <f aca="false">ROUND(L113-SUM(M113:S113),2)</f>
        <v>5839.71</v>
      </c>
      <c r="U113" s="17" t="n">
        <f aca="false">ROUND(F113*H113,2)</f>
        <v>3198</v>
      </c>
      <c r="V113" s="17" t="n">
        <f aca="false">ROUND(L113*Assumptions!$C$25,2)</f>
        <v>117.97</v>
      </c>
      <c r="W113" s="17" t="n">
        <f aca="false">ROUND(T113-U113-V113,2)</f>
        <v>2523.74</v>
      </c>
      <c r="X113" s="28" t="n">
        <f aca="false">T113/I113</f>
        <v>0.962378048780488</v>
      </c>
      <c r="Y113" s="17" t="n">
        <f aca="false">T113/F113</f>
        <v>142.431951219512</v>
      </c>
      <c r="Z113" s="26" t="n">
        <f aca="false">Accounts!H157</f>
        <v>257</v>
      </c>
      <c r="AA113" s="28" t="n">
        <f aca="false">IF(Z113&gt;=Assumptions!$B$44,Assumptions!$C$44,IF(Z113&gt;=Assumptions!$B$45,Assumptions!$C$45,IF(Z113&gt;=Assumptions!$B$46,Assumptions!$C$46,Assumptions!$C$47)))</f>
        <v>0</v>
      </c>
      <c r="AB113" s="26" t="n">
        <f aca="false">IF(Z113&gt;=Assumptions!$B$44,Assumptions!$B$44,IF(Z113&gt;=Assumptions!$B$45,Assumptions!$B$45,IF(Z113&gt;=Assumptions!$B$46,Assumptions!$B$46,0)))</f>
        <v>0</v>
      </c>
    </row>
    <row r="114" customFormat="false" ht="15" hidden="false" customHeight="false" outlineLevel="0" collapsed="false">
      <c r="B114" s="14" t="s">
        <v>326</v>
      </c>
      <c r="C114" s="14" t="s">
        <v>259</v>
      </c>
      <c r="D114" s="14" t="s">
        <v>251</v>
      </c>
      <c r="E114" s="14" t="s">
        <v>60</v>
      </c>
      <c r="F114" s="26" t="n">
        <f aca="false">Accounts!E173</f>
        <v>322</v>
      </c>
      <c r="G114" s="17" t="n">
        <f aca="false">Assumptions!$D$8</f>
        <v>148</v>
      </c>
      <c r="H114" s="17" t="n">
        <f aca="false">Assumptions!$E$8</f>
        <v>78</v>
      </c>
      <c r="I114" s="17" t="n">
        <f aca="false">ROUND(F114*G114,2)</f>
        <v>47656</v>
      </c>
      <c r="J114" s="17" t="n">
        <f aca="false">ROUND(I114*Accounts!O173,2)</f>
        <v>953.12</v>
      </c>
      <c r="K114" s="17" t="n">
        <f aca="false">ROUND(I114*Accounts!L173,2)</f>
        <v>1772.8</v>
      </c>
      <c r="L114" s="17" t="n">
        <f aca="false">ROUND(I114-J114-K114,2)</f>
        <v>44930.08</v>
      </c>
      <c r="M114" s="17" t="n">
        <f aca="false">ROUND(L114*AA114,2)</f>
        <v>0</v>
      </c>
      <c r="N114" s="17" t="n">
        <f aca="false">ROUND(L114*Accounts!R173,2)</f>
        <v>0</v>
      </c>
      <c r="O114" s="17" t="n">
        <f aca="false">ROUND(L114*Accounts!S173,2)</f>
        <v>0</v>
      </c>
      <c r="P114" s="17" t="n">
        <f aca="false">ROUND(L114*Accounts!T173,2)</f>
        <v>0</v>
      </c>
      <c r="Q114" s="17" t="n">
        <f aca="false">ROUND(L114*Accounts!U173,2)</f>
        <v>0</v>
      </c>
      <c r="R114" s="17" t="n">
        <f aca="false">ROUND(L114*Accounts!V173,2)</f>
        <v>449.3</v>
      </c>
      <c r="S114" s="17" t="n">
        <f aca="false">ROUND(L114*Accounts!W173,2)</f>
        <v>0</v>
      </c>
      <c r="T114" s="17" t="n">
        <f aca="false">ROUND(L114-SUM(M114:S114),2)</f>
        <v>44480.78</v>
      </c>
      <c r="U114" s="17" t="n">
        <f aca="false">ROUND(F114*H114,2)</f>
        <v>25116</v>
      </c>
      <c r="V114" s="17" t="n">
        <f aca="false">ROUND(L114*Assumptions!$C$25,2)</f>
        <v>898.6</v>
      </c>
      <c r="W114" s="17" t="n">
        <f aca="false">ROUND(T114-U114-V114,2)</f>
        <v>18466.18</v>
      </c>
      <c r="X114" s="28" t="n">
        <f aca="false">T114/I114</f>
        <v>0.933372083263388</v>
      </c>
      <c r="Y114" s="17" t="n">
        <f aca="false">T114/F114</f>
        <v>138.139068322981</v>
      </c>
      <c r="Z114" s="26" t="n">
        <f aca="false">Accounts!H173</f>
        <v>1785</v>
      </c>
      <c r="AA114" s="28" t="n">
        <f aca="false">IF(Z114&gt;=Assumptions!$B$44,Assumptions!$C$44,IF(Z114&gt;=Assumptions!$B$45,Assumptions!$C$45,IF(Z114&gt;=Assumptions!$B$46,Assumptions!$C$46,Assumptions!$C$47)))</f>
        <v>0</v>
      </c>
      <c r="AB114" s="26" t="n">
        <f aca="false">IF(Z114&gt;=Assumptions!$B$44,Assumptions!$B$44,IF(Z114&gt;=Assumptions!$B$45,Assumptions!$B$45,IF(Z114&gt;=Assumptions!$B$46,Assumptions!$B$46,0)))</f>
        <v>0</v>
      </c>
    </row>
    <row r="115" customFormat="false" ht="15" hidden="false" customHeight="false" outlineLevel="0" collapsed="false">
      <c r="B115" s="14" t="s">
        <v>263</v>
      </c>
      <c r="C115" s="14" t="s">
        <v>259</v>
      </c>
      <c r="D115" s="14" t="s">
        <v>218</v>
      </c>
      <c r="E115" s="14" t="s">
        <v>60</v>
      </c>
      <c r="F115" s="26" t="n">
        <f aca="false">Accounts!E110</f>
        <v>143</v>
      </c>
      <c r="G115" s="17" t="n">
        <f aca="false">Assumptions!$D$8</f>
        <v>148</v>
      </c>
      <c r="H115" s="17" t="n">
        <f aca="false">Assumptions!$E$8</f>
        <v>78</v>
      </c>
      <c r="I115" s="17" t="n">
        <f aca="false">ROUND(F115*G115,2)</f>
        <v>21164</v>
      </c>
      <c r="J115" s="17" t="n">
        <f aca="false">ROUND(I115*Accounts!O110,2)</f>
        <v>423.28</v>
      </c>
      <c r="K115" s="17" t="n">
        <f aca="false">ROUND(I115*Accounts!L110,2)</f>
        <v>852.91</v>
      </c>
      <c r="L115" s="17" t="n">
        <f aca="false">ROUND(I115-J115-K115,2)</f>
        <v>19887.81</v>
      </c>
      <c r="M115" s="17" t="n">
        <f aca="false">ROUND(L115*AA115,2)</f>
        <v>0</v>
      </c>
      <c r="N115" s="17" t="n">
        <f aca="false">ROUND(L115*Accounts!R110,2)</f>
        <v>0</v>
      </c>
      <c r="O115" s="17" t="n">
        <f aca="false">ROUND(L115*Accounts!S110,2)</f>
        <v>0</v>
      </c>
      <c r="P115" s="17" t="n">
        <f aca="false">ROUND(L115*Accounts!T110,2)</f>
        <v>0</v>
      </c>
      <c r="Q115" s="17" t="n">
        <f aca="false">ROUND(L115*Accounts!U110,2)</f>
        <v>0</v>
      </c>
      <c r="R115" s="17" t="n">
        <f aca="false">ROUND(L115*Accounts!V110,2)</f>
        <v>198.88</v>
      </c>
      <c r="S115" s="17" t="n">
        <f aca="false">ROUND(L115*Accounts!W110,2)</f>
        <v>0</v>
      </c>
      <c r="T115" s="17" t="n">
        <f aca="false">ROUND(L115-SUM(M115:S115),2)</f>
        <v>19688.93</v>
      </c>
      <c r="U115" s="17" t="n">
        <f aca="false">ROUND(F115*H115,2)</f>
        <v>11154</v>
      </c>
      <c r="V115" s="17" t="n">
        <f aca="false">ROUND(L115*Assumptions!$C$25,2)</f>
        <v>397.76</v>
      </c>
      <c r="W115" s="17" t="n">
        <f aca="false">ROUND(T115-U115-V115,2)</f>
        <v>8137.17</v>
      </c>
      <c r="X115" s="28" t="n">
        <f aca="false">T115/I115</f>
        <v>0.930302872802873</v>
      </c>
      <c r="Y115" s="17" t="n">
        <f aca="false">T115/F115</f>
        <v>137.684825174825</v>
      </c>
      <c r="Z115" s="26" t="n">
        <f aca="false">Accounts!H110</f>
        <v>386</v>
      </c>
      <c r="AA115" s="28" t="n">
        <f aca="false">IF(Z115&gt;=Assumptions!$B$44,Assumptions!$C$44,IF(Z115&gt;=Assumptions!$B$45,Assumptions!$C$45,IF(Z115&gt;=Assumptions!$B$46,Assumptions!$C$46,Assumptions!$C$47)))</f>
        <v>0</v>
      </c>
      <c r="AB115" s="26" t="n">
        <f aca="false">IF(Z115&gt;=Assumptions!$B$44,Assumptions!$B$44,IF(Z115&gt;=Assumptions!$B$45,Assumptions!$B$45,IF(Z115&gt;=Assumptions!$B$46,Assumptions!$B$46,0)))</f>
        <v>0</v>
      </c>
    </row>
    <row r="116" customFormat="false" ht="15" hidden="false" customHeight="false" outlineLevel="0" collapsed="false">
      <c r="B116" s="14" t="s">
        <v>279</v>
      </c>
      <c r="C116" s="14" t="s">
        <v>259</v>
      </c>
      <c r="D116" s="14" t="s">
        <v>227</v>
      </c>
      <c r="E116" s="14" t="s">
        <v>60</v>
      </c>
      <c r="F116" s="26" t="n">
        <f aca="false">Accounts!E126</f>
        <v>269</v>
      </c>
      <c r="G116" s="17" t="n">
        <f aca="false">Assumptions!$D$8</f>
        <v>148</v>
      </c>
      <c r="H116" s="17" t="n">
        <f aca="false">Assumptions!$E$8</f>
        <v>78</v>
      </c>
      <c r="I116" s="17" t="n">
        <f aca="false">ROUND(F116*G116,2)</f>
        <v>39812</v>
      </c>
      <c r="J116" s="17" t="n">
        <f aca="false">ROUND(I116*Accounts!O126,2)</f>
        <v>796.24</v>
      </c>
      <c r="K116" s="17" t="n">
        <f aca="false">ROUND(I116*Accounts!L126,2)</f>
        <v>2344.93</v>
      </c>
      <c r="L116" s="17" t="n">
        <f aca="false">ROUND(I116-J116-K116,2)</f>
        <v>36670.83</v>
      </c>
      <c r="M116" s="17" t="n">
        <f aca="false">ROUND(L116*AA116,2)</f>
        <v>0</v>
      </c>
      <c r="N116" s="17" t="n">
        <f aca="false">ROUND(L116*Accounts!R126,2)</f>
        <v>0</v>
      </c>
      <c r="O116" s="17" t="n">
        <f aca="false">ROUND(L116*Accounts!S126,2)</f>
        <v>0</v>
      </c>
      <c r="P116" s="17" t="n">
        <f aca="false">ROUND(L116*Accounts!T126,2)</f>
        <v>0</v>
      </c>
      <c r="Q116" s="17" t="n">
        <f aca="false">ROUND(L116*Accounts!U126,2)</f>
        <v>0</v>
      </c>
      <c r="R116" s="17" t="n">
        <f aca="false">ROUND(L116*Accounts!V126,2)</f>
        <v>366.71</v>
      </c>
      <c r="S116" s="17" t="n">
        <f aca="false">ROUND(L116*Accounts!W126,2)</f>
        <v>0</v>
      </c>
      <c r="T116" s="17" t="n">
        <f aca="false">ROUND(L116-SUM(M116:S116),2)</f>
        <v>36304.12</v>
      </c>
      <c r="U116" s="17" t="n">
        <f aca="false">ROUND(F116*H116,2)</f>
        <v>20982</v>
      </c>
      <c r="V116" s="17" t="n">
        <f aca="false">ROUND(L116*Assumptions!$C$25,2)</f>
        <v>733.42</v>
      </c>
      <c r="W116" s="17" t="n">
        <f aca="false">ROUND(T116-U116-V116,2)</f>
        <v>14588.7</v>
      </c>
      <c r="X116" s="28" t="n">
        <f aca="false">T116/I116</f>
        <v>0.911888877725309</v>
      </c>
      <c r="Y116" s="17" t="n">
        <f aca="false">T116/F116</f>
        <v>134.959553903346</v>
      </c>
      <c r="Z116" s="26" t="n">
        <f aca="false">Accounts!H126</f>
        <v>1221</v>
      </c>
      <c r="AA116" s="28" t="n">
        <f aca="false">IF(Z116&gt;=Assumptions!$B$44,Assumptions!$C$44,IF(Z116&gt;=Assumptions!$B$45,Assumptions!$C$45,IF(Z116&gt;=Assumptions!$B$46,Assumptions!$C$46,Assumptions!$C$47)))</f>
        <v>0</v>
      </c>
      <c r="AB116" s="26" t="n">
        <f aca="false">IF(Z116&gt;=Assumptions!$B$44,Assumptions!$B$44,IF(Z116&gt;=Assumptions!$B$45,Assumptions!$B$45,IF(Z116&gt;=Assumptions!$B$46,Assumptions!$B$46,0)))</f>
        <v>0</v>
      </c>
    </row>
    <row r="117" customFormat="false" ht="15" hidden="false" customHeight="false" outlineLevel="0" collapsed="false">
      <c r="B117" s="14" t="s">
        <v>295</v>
      </c>
      <c r="C117" s="14" t="s">
        <v>259</v>
      </c>
      <c r="D117" s="14" t="s">
        <v>235</v>
      </c>
      <c r="E117" s="14" t="s">
        <v>60</v>
      </c>
      <c r="F117" s="26" t="n">
        <f aca="false">Accounts!E142</f>
        <v>41</v>
      </c>
      <c r="G117" s="17" t="n">
        <f aca="false">Assumptions!$D$8</f>
        <v>148</v>
      </c>
      <c r="H117" s="17" t="n">
        <f aca="false">Assumptions!$E$8</f>
        <v>78</v>
      </c>
      <c r="I117" s="17" t="n">
        <f aca="false">ROUND(F117*G117,2)</f>
        <v>6068</v>
      </c>
      <c r="J117" s="17" t="n">
        <f aca="false">ROUND(I117*Accounts!O142,2)</f>
        <v>0</v>
      </c>
      <c r="K117" s="17" t="n">
        <f aca="false">ROUND(I117*Accounts!L142,2)</f>
        <v>0</v>
      </c>
      <c r="L117" s="17" t="n">
        <f aca="false">ROUND(I117-J117-K117,2)</f>
        <v>6068</v>
      </c>
      <c r="M117" s="17" t="n">
        <f aca="false">ROUND(L117*AA117,2)</f>
        <v>0</v>
      </c>
      <c r="N117" s="17" t="n">
        <f aca="false">ROUND(L117*Accounts!R142,2)</f>
        <v>0</v>
      </c>
      <c r="O117" s="17" t="n">
        <f aca="false">ROUND(L117*Accounts!S142,2)</f>
        <v>0</v>
      </c>
      <c r="P117" s="17" t="n">
        <f aca="false">ROUND(L117*Accounts!T142,2)</f>
        <v>0</v>
      </c>
      <c r="Q117" s="17" t="n">
        <f aca="false">ROUND(L117*Accounts!U142,2)</f>
        <v>0</v>
      </c>
      <c r="R117" s="17" t="n">
        <f aca="false">ROUND(L117*Accounts!V142,2)</f>
        <v>60.68</v>
      </c>
      <c r="S117" s="17" t="n">
        <f aca="false">ROUND(L117*Accounts!W142,2)</f>
        <v>0</v>
      </c>
      <c r="T117" s="17" t="n">
        <f aca="false">ROUND(L117-SUM(M117:S117),2)</f>
        <v>6007.32</v>
      </c>
      <c r="U117" s="17" t="n">
        <f aca="false">ROUND(F117*H117,2)</f>
        <v>3198</v>
      </c>
      <c r="V117" s="17" t="n">
        <f aca="false">ROUND(L117*Assumptions!$C$25,2)</f>
        <v>121.36</v>
      </c>
      <c r="W117" s="17" t="n">
        <f aca="false">ROUND(T117-U117-V117,2)</f>
        <v>2687.96</v>
      </c>
      <c r="X117" s="28" t="n">
        <f aca="false">T117/I117</f>
        <v>0.99</v>
      </c>
      <c r="Y117" s="17" t="n">
        <f aca="false">T117/F117</f>
        <v>146.52</v>
      </c>
      <c r="Z117" s="26" t="n">
        <f aca="false">Accounts!H142</f>
        <v>984</v>
      </c>
      <c r="AA117" s="28" t="n">
        <f aca="false">IF(Z117&gt;=Assumptions!$B$44,Assumptions!$C$44,IF(Z117&gt;=Assumptions!$B$45,Assumptions!$C$45,IF(Z117&gt;=Assumptions!$B$46,Assumptions!$C$46,Assumptions!$C$47)))</f>
        <v>0</v>
      </c>
      <c r="AB117" s="26" t="n">
        <f aca="false">IF(Z117&gt;=Assumptions!$B$44,Assumptions!$B$44,IF(Z117&gt;=Assumptions!$B$45,Assumptions!$B$45,IF(Z117&gt;=Assumptions!$B$46,Assumptions!$B$46,0)))</f>
        <v>0</v>
      </c>
    </row>
    <row r="118" customFormat="false" ht="15" hidden="false" customHeight="false" outlineLevel="0" collapsed="false">
      <c r="B118" s="14" t="s">
        <v>311</v>
      </c>
      <c r="C118" s="14" t="s">
        <v>259</v>
      </c>
      <c r="D118" s="14" t="s">
        <v>243</v>
      </c>
      <c r="E118" s="14" t="s">
        <v>60</v>
      </c>
      <c r="F118" s="26" t="n">
        <f aca="false">Accounts!E158</f>
        <v>85</v>
      </c>
      <c r="G118" s="17" t="n">
        <f aca="false">Assumptions!$D$8</f>
        <v>148</v>
      </c>
      <c r="H118" s="17" t="n">
        <f aca="false">Assumptions!$E$8</f>
        <v>78</v>
      </c>
      <c r="I118" s="17" t="n">
        <f aca="false">ROUND(F118*G118,2)</f>
        <v>12580</v>
      </c>
      <c r="J118" s="17" t="n">
        <f aca="false">ROUND(I118*Accounts!O158,2)</f>
        <v>0</v>
      </c>
      <c r="K118" s="17" t="n">
        <f aca="false">ROUND(I118*Accounts!L158,2)</f>
        <v>0</v>
      </c>
      <c r="L118" s="17" t="n">
        <f aca="false">ROUND(I118-J118-K118,2)</f>
        <v>12580</v>
      </c>
      <c r="M118" s="17" t="n">
        <f aca="false">ROUND(L118*AA118,2)</f>
        <v>0</v>
      </c>
      <c r="N118" s="17" t="n">
        <f aca="false">ROUND(L118*Accounts!R158,2)</f>
        <v>0</v>
      </c>
      <c r="O118" s="17" t="n">
        <f aca="false">ROUND(L118*Accounts!S158,2)</f>
        <v>0</v>
      </c>
      <c r="P118" s="17" t="n">
        <f aca="false">ROUND(L118*Accounts!T158,2)</f>
        <v>0</v>
      </c>
      <c r="Q118" s="17" t="n">
        <f aca="false">ROUND(L118*Accounts!U158,2)</f>
        <v>0</v>
      </c>
      <c r="R118" s="17" t="n">
        <f aca="false">ROUND(L118*Accounts!V158,2)</f>
        <v>125.8</v>
      </c>
      <c r="S118" s="17" t="n">
        <f aca="false">ROUND(L118*Accounts!W158,2)</f>
        <v>0</v>
      </c>
      <c r="T118" s="17" t="n">
        <f aca="false">ROUND(L118-SUM(M118:S118),2)</f>
        <v>12454.2</v>
      </c>
      <c r="U118" s="17" t="n">
        <f aca="false">ROUND(F118*H118,2)</f>
        <v>6630</v>
      </c>
      <c r="V118" s="17" t="n">
        <f aca="false">ROUND(L118*Assumptions!$C$25,2)</f>
        <v>251.6</v>
      </c>
      <c r="W118" s="17" t="n">
        <f aca="false">ROUND(T118-U118-V118,2)</f>
        <v>5572.6</v>
      </c>
      <c r="X118" s="28" t="n">
        <f aca="false">T118/I118</f>
        <v>0.99</v>
      </c>
      <c r="Y118" s="17" t="n">
        <f aca="false">T118/F118</f>
        <v>146.52</v>
      </c>
      <c r="Z118" s="26" t="n">
        <f aca="false">Accounts!H158</f>
        <v>513</v>
      </c>
      <c r="AA118" s="28" t="n">
        <f aca="false">IF(Z118&gt;=Assumptions!$B$44,Assumptions!$C$44,IF(Z118&gt;=Assumptions!$B$45,Assumptions!$C$45,IF(Z118&gt;=Assumptions!$B$46,Assumptions!$C$46,Assumptions!$C$47)))</f>
        <v>0</v>
      </c>
      <c r="AB118" s="26" t="n">
        <f aca="false">IF(Z118&gt;=Assumptions!$B$44,Assumptions!$B$44,IF(Z118&gt;=Assumptions!$B$45,Assumptions!$B$45,IF(Z118&gt;=Assumptions!$B$46,Assumptions!$B$46,0)))</f>
        <v>0</v>
      </c>
    </row>
    <row r="119" customFormat="false" ht="15" hidden="false" customHeight="false" outlineLevel="0" collapsed="false">
      <c r="B119" s="14" t="s">
        <v>264</v>
      </c>
      <c r="C119" s="14" t="s">
        <v>259</v>
      </c>
      <c r="D119" s="14" t="s">
        <v>218</v>
      </c>
      <c r="E119" s="14" t="s">
        <v>60</v>
      </c>
      <c r="F119" s="26" t="n">
        <f aca="false">Accounts!E111</f>
        <v>151</v>
      </c>
      <c r="G119" s="17" t="n">
        <f aca="false">Assumptions!$D$8</f>
        <v>148</v>
      </c>
      <c r="H119" s="17" t="n">
        <f aca="false">Assumptions!$E$8</f>
        <v>78</v>
      </c>
      <c r="I119" s="17" t="n">
        <f aca="false">ROUND(F119*G119,2)</f>
        <v>22348</v>
      </c>
      <c r="J119" s="17" t="n">
        <f aca="false">ROUND(I119*Accounts!O111,2)</f>
        <v>446.96</v>
      </c>
      <c r="K119" s="17" t="n">
        <f aca="false">ROUND(I119*Accounts!L111,2)</f>
        <v>900.62</v>
      </c>
      <c r="L119" s="17" t="n">
        <f aca="false">ROUND(I119-J119-K119,2)</f>
        <v>21000.42</v>
      </c>
      <c r="M119" s="17" t="n">
        <f aca="false">ROUND(L119*AA119,2)</f>
        <v>0</v>
      </c>
      <c r="N119" s="17" t="n">
        <f aca="false">ROUND(L119*Accounts!R111,2)</f>
        <v>0</v>
      </c>
      <c r="O119" s="17" t="n">
        <f aca="false">ROUND(L119*Accounts!S111,2)</f>
        <v>0</v>
      </c>
      <c r="P119" s="17" t="n">
        <f aca="false">ROUND(L119*Accounts!T111,2)</f>
        <v>0</v>
      </c>
      <c r="Q119" s="17" t="n">
        <f aca="false">ROUND(L119*Accounts!U111,2)</f>
        <v>0</v>
      </c>
      <c r="R119" s="17" t="n">
        <f aca="false">ROUND(L119*Accounts!V111,2)</f>
        <v>210</v>
      </c>
      <c r="S119" s="17" t="n">
        <f aca="false">ROUND(L119*Accounts!W111,2)</f>
        <v>0</v>
      </c>
      <c r="T119" s="17" t="n">
        <f aca="false">ROUND(L119-SUM(M119:S119),2)</f>
        <v>20790.42</v>
      </c>
      <c r="U119" s="17" t="n">
        <f aca="false">ROUND(F119*H119,2)</f>
        <v>11778</v>
      </c>
      <c r="V119" s="17" t="n">
        <f aca="false">ROUND(L119*Assumptions!$C$25,2)</f>
        <v>420.01</v>
      </c>
      <c r="W119" s="17" t="n">
        <f aca="false">ROUND(T119-U119-V119,2)</f>
        <v>8592.41</v>
      </c>
      <c r="X119" s="28" t="n">
        <f aca="false">T119/I119</f>
        <v>0.930303382853052</v>
      </c>
      <c r="Y119" s="17" t="n">
        <f aca="false">T119/F119</f>
        <v>137.684900662252</v>
      </c>
      <c r="Z119" s="26" t="n">
        <f aca="false">Accounts!H111</f>
        <v>504</v>
      </c>
      <c r="AA119" s="28" t="n">
        <f aca="false">IF(Z119&gt;=Assumptions!$B$44,Assumptions!$C$44,IF(Z119&gt;=Assumptions!$B$45,Assumptions!$C$45,IF(Z119&gt;=Assumptions!$B$46,Assumptions!$C$46,Assumptions!$C$47)))</f>
        <v>0</v>
      </c>
      <c r="AB119" s="26" t="n">
        <f aca="false">IF(Z119&gt;=Assumptions!$B$44,Assumptions!$B$44,IF(Z119&gt;=Assumptions!$B$45,Assumptions!$B$45,IF(Z119&gt;=Assumptions!$B$46,Assumptions!$B$46,0)))</f>
        <v>0</v>
      </c>
    </row>
    <row r="120" customFormat="false" ht="15" hidden="false" customHeight="false" outlineLevel="0" collapsed="false">
      <c r="B120" s="14" t="s">
        <v>280</v>
      </c>
      <c r="C120" s="14" t="s">
        <v>259</v>
      </c>
      <c r="D120" s="14" t="s">
        <v>227</v>
      </c>
      <c r="E120" s="14" t="s">
        <v>60</v>
      </c>
      <c r="F120" s="26" t="n">
        <f aca="false">Accounts!E127</f>
        <v>52</v>
      </c>
      <c r="G120" s="17" t="n">
        <f aca="false">Assumptions!$D$8</f>
        <v>148</v>
      </c>
      <c r="H120" s="17" t="n">
        <f aca="false">Assumptions!$E$8</f>
        <v>78</v>
      </c>
      <c r="I120" s="17" t="n">
        <f aca="false">ROUND(F120*G120,2)</f>
        <v>7696</v>
      </c>
      <c r="J120" s="17" t="n">
        <f aca="false">ROUND(I120*Accounts!O127,2)</f>
        <v>153.92</v>
      </c>
      <c r="K120" s="17" t="n">
        <f aca="false">ROUND(I120*Accounts!L127,2)</f>
        <v>119.29</v>
      </c>
      <c r="L120" s="17" t="n">
        <f aca="false">ROUND(I120-J120-K120,2)</f>
        <v>7422.79</v>
      </c>
      <c r="M120" s="17" t="n">
        <f aca="false">ROUND(L120*AA120,2)</f>
        <v>0</v>
      </c>
      <c r="N120" s="17" t="n">
        <f aca="false">ROUND(L120*Accounts!R127,2)</f>
        <v>0</v>
      </c>
      <c r="O120" s="17" t="n">
        <f aca="false">ROUND(L120*Accounts!S127,2)</f>
        <v>0</v>
      </c>
      <c r="P120" s="17" t="n">
        <f aca="false">ROUND(L120*Accounts!T127,2)</f>
        <v>0</v>
      </c>
      <c r="Q120" s="17" t="n">
        <f aca="false">ROUND(L120*Accounts!U127,2)</f>
        <v>0</v>
      </c>
      <c r="R120" s="17" t="n">
        <f aca="false">ROUND(L120*Accounts!V127,2)</f>
        <v>74.23</v>
      </c>
      <c r="S120" s="17" t="n">
        <f aca="false">ROUND(L120*Accounts!W127,2)</f>
        <v>0</v>
      </c>
      <c r="T120" s="17" t="n">
        <f aca="false">ROUND(L120-SUM(M120:S120),2)</f>
        <v>7348.56</v>
      </c>
      <c r="U120" s="17" t="n">
        <f aca="false">ROUND(F120*H120,2)</f>
        <v>4056</v>
      </c>
      <c r="V120" s="17" t="n">
        <f aca="false">ROUND(L120*Assumptions!$C$25,2)</f>
        <v>148.46</v>
      </c>
      <c r="W120" s="17" t="n">
        <f aca="false">ROUND(T120-U120-V120,2)</f>
        <v>3144.1</v>
      </c>
      <c r="X120" s="28" t="n">
        <f aca="false">T120/I120</f>
        <v>0.95485446985447</v>
      </c>
      <c r="Y120" s="17" t="n">
        <f aca="false">T120/F120</f>
        <v>141.318461538462</v>
      </c>
      <c r="Z120" s="26" t="n">
        <f aca="false">Accounts!H127</f>
        <v>909</v>
      </c>
      <c r="AA120" s="28" t="n">
        <f aca="false">IF(Z120&gt;=Assumptions!$B$44,Assumptions!$C$44,IF(Z120&gt;=Assumptions!$B$45,Assumptions!$C$45,IF(Z120&gt;=Assumptions!$B$46,Assumptions!$C$46,Assumptions!$C$47)))</f>
        <v>0</v>
      </c>
      <c r="AB120" s="26" t="n">
        <f aca="false">IF(Z120&gt;=Assumptions!$B$44,Assumptions!$B$44,IF(Z120&gt;=Assumptions!$B$45,Assumptions!$B$45,IF(Z120&gt;=Assumptions!$B$46,Assumptions!$B$46,0)))</f>
        <v>0</v>
      </c>
    </row>
    <row r="121" customFormat="false" ht="15" hidden="false" customHeight="false" outlineLevel="0" collapsed="false">
      <c r="B121" s="14" t="s">
        <v>312</v>
      </c>
      <c r="C121" s="14" t="s">
        <v>259</v>
      </c>
      <c r="D121" s="14" t="s">
        <v>243</v>
      </c>
      <c r="E121" s="14" t="s">
        <v>60</v>
      </c>
      <c r="F121" s="26" t="n">
        <f aca="false">Accounts!E159</f>
        <v>91</v>
      </c>
      <c r="G121" s="17" t="n">
        <f aca="false">Assumptions!$D$8</f>
        <v>148</v>
      </c>
      <c r="H121" s="17" t="n">
        <f aca="false">Assumptions!$E$8</f>
        <v>78</v>
      </c>
      <c r="I121" s="17" t="n">
        <f aca="false">ROUND(F121*G121,2)</f>
        <v>13468</v>
      </c>
      <c r="J121" s="17" t="n">
        <f aca="false">ROUND(I121*Accounts!O159,2)</f>
        <v>0</v>
      </c>
      <c r="K121" s="17" t="n">
        <f aca="false">ROUND(I121*Accounts!L159,2)</f>
        <v>417.51</v>
      </c>
      <c r="L121" s="17" t="n">
        <f aca="false">ROUND(I121-J121-K121,2)</f>
        <v>13050.49</v>
      </c>
      <c r="M121" s="17" t="n">
        <f aca="false">ROUND(L121*AA121,2)</f>
        <v>0</v>
      </c>
      <c r="N121" s="17" t="n">
        <f aca="false">ROUND(L121*Accounts!R159,2)</f>
        <v>0</v>
      </c>
      <c r="O121" s="17" t="n">
        <f aca="false">ROUND(L121*Accounts!S159,2)</f>
        <v>0</v>
      </c>
      <c r="P121" s="17" t="n">
        <f aca="false">ROUND(L121*Accounts!T159,2)</f>
        <v>0</v>
      </c>
      <c r="Q121" s="17" t="n">
        <f aca="false">ROUND(L121*Accounts!U159,2)</f>
        <v>0</v>
      </c>
      <c r="R121" s="17" t="n">
        <f aca="false">ROUND(L121*Accounts!V159,2)</f>
        <v>130.5</v>
      </c>
      <c r="S121" s="17" t="n">
        <f aca="false">ROUND(L121*Accounts!W159,2)</f>
        <v>0</v>
      </c>
      <c r="T121" s="17" t="n">
        <f aca="false">ROUND(L121-SUM(M121:S121),2)</f>
        <v>12919.99</v>
      </c>
      <c r="U121" s="17" t="n">
        <f aca="false">ROUND(F121*H121,2)</f>
        <v>7098</v>
      </c>
      <c r="V121" s="17" t="n">
        <f aca="false">ROUND(L121*Assumptions!$C$25,2)</f>
        <v>261.01</v>
      </c>
      <c r="W121" s="17" t="n">
        <f aca="false">ROUND(T121-U121-V121,2)</f>
        <v>5560.98</v>
      </c>
      <c r="X121" s="28" t="n">
        <f aca="false">T121/I121</f>
        <v>0.959310216810217</v>
      </c>
      <c r="Y121" s="17" t="n">
        <f aca="false">T121/F121</f>
        <v>141.977912087912</v>
      </c>
      <c r="Z121" s="26" t="n">
        <f aca="false">Accounts!H159</f>
        <v>91</v>
      </c>
      <c r="AA121" s="28" t="n">
        <f aca="false">IF(Z121&gt;=Assumptions!$B$44,Assumptions!$C$44,IF(Z121&gt;=Assumptions!$B$45,Assumptions!$C$45,IF(Z121&gt;=Assumptions!$B$46,Assumptions!$C$46,Assumptions!$C$47)))</f>
        <v>0</v>
      </c>
      <c r="AB121" s="26" t="n">
        <f aca="false">IF(Z121&gt;=Assumptions!$B$44,Assumptions!$B$44,IF(Z121&gt;=Assumptions!$B$45,Assumptions!$B$45,IF(Z121&gt;=Assumptions!$B$46,Assumptions!$B$46,0)))</f>
        <v>0</v>
      </c>
    </row>
    <row r="122" customFormat="false" ht="15" hidden="false" customHeight="false" outlineLevel="0" collapsed="false">
      <c r="B122" s="14" t="s">
        <v>328</v>
      </c>
      <c r="C122" s="14" t="s">
        <v>259</v>
      </c>
      <c r="D122" s="14" t="s">
        <v>251</v>
      </c>
      <c r="E122" s="14" t="s">
        <v>60</v>
      </c>
      <c r="F122" s="26" t="n">
        <f aca="false">Accounts!E175</f>
        <v>328</v>
      </c>
      <c r="G122" s="17" t="n">
        <f aca="false">Assumptions!$D$8</f>
        <v>148</v>
      </c>
      <c r="H122" s="17" t="n">
        <f aca="false">Assumptions!$E$8</f>
        <v>78</v>
      </c>
      <c r="I122" s="17" t="n">
        <f aca="false">ROUND(F122*G122,2)</f>
        <v>48544</v>
      </c>
      <c r="J122" s="17" t="n">
        <f aca="false">ROUND(I122*Accounts!O175,2)</f>
        <v>0</v>
      </c>
      <c r="K122" s="17" t="n">
        <f aca="false">ROUND(I122*Accounts!L175,2)</f>
        <v>0</v>
      </c>
      <c r="L122" s="17" t="n">
        <f aca="false">ROUND(I122-J122-K122,2)</f>
        <v>48544</v>
      </c>
      <c r="M122" s="17" t="n">
        <f aca="false">ROUND(L122*AA122,2)</f>
        <v>0</v>
      </c>
      <c r="N122" s="17" t="n">
        <f aca="false">ROUND(L122*Accounts!R175,2)</f>
        <v>0</v>
      </c>
      <c r="O122" s="17" t="n">
        <f aca="false">ROUND(L122*Accounts!S175,2)</f>
        <v>0</v>
      </c>
      <c r="P122" s="17" t="n">
        <f aca="false">ROUND(L122*Accounts!T175,2)</f>
        <v>0</v>
      </c>
      <c r="Q122" s="17" t="n">
        <f aca="false">ROUND(L122*Accounts!U175,2)</f>
        <v>0</v>
      </c>
      <c r="R122" s="17" t="n">
        <f aca="false">ROUND(L122*Accounts!V175,2)</f>
        <v>485.44</v>
      </c>
      <c r="S122" s="17" t="n">
        <f aca="false">ROUND(L122*Accounts!W175,2)</f>
        <v>0</v>
      </c>
      <c r="T122" s="17" t="n">
        <f aca="false">ROUND(L122-SUM(M122:S122),2)</f>
        <v>48058.56</v>
      </c>
      <c r="U122" s="17" t="n">
        <f aca="false">ROUND(F122*H122,2)</f>
        <v>25584</v>
      </c>
      <c r="V122" s="17" t="n">
        <f aca="false">ROUND(L122*Assumptions!$C$25,2)</f>
        <v>970.88</v>
      </c>
      <c r="W122" s="17" t="n">
        <f aca="false">ROUND(T122-U122-V122,2)</f>
        <v>21503.68</v>
      </c>
      <c r="X122" s="28" t="n">
        <f aca="false">T122/I122</f>
        <v>0.99</v>
      </c>
      <c r="Y122" s="17" t="n">
        <f aca="false">T122/F122</f>
        <v>146.52</v>
      </c>
      <c r="Z122" s="26" t="n">
        <f aca="false">Accounts!H175</f>
        <v>512</v>
      </c>
      <c r="AA122" s="28" t="n">
        <f aca="false">IF(Z122&gt;=Assumptions!$B$44,Assumptions!$C$44,IF(Z122&gt;=Assumptions!$B$45,Assumptions!$C$45,IF(Z122&gt;=Assumptions!$B$46,Assumptions!$C$46,Assumptions!$C$47)))</f>
        <v>0</v>
      </c>
      <c r="AB122" s="26" t="n">
        <f aca="false">IF(Z122&gt;=Assumptions!$B$44,Assumptions!$B$44,IF(Z122&gt;=Assumptions!$B$45,Assumptions!$B$45,IF(Z122&gt;=Assumptions!$B$46,Assumptions!$B$46,0)))</f>
        <v>0</v>
      </c>
    </row>
    <row r="123" customFormat="false" ht="15" hidden="false" customHeight="false" outlineLevel="0" collapsed="false">
      <c r="B123" s="14" t="s">
        <v>265</v>
      </c>
      <c r="C123" s="14" t="s">
        <v>259</v>
      </c>
      <c r="D123" s="14" t="s">
        <v>218</v>
      </c>
      <c r="E123" s="14" t="s">
        <v>60</v>
      </c>
      <c r="F123" s="26" t="n">
        <f aca="false">Accounts!E112</f>
        <v>69</v>
      </c>
      <c r="G123" s="17" t="n">
        <f aca="false">Assumptions!$D$8</f>
        <v>148</v>
      </c>
      <c r="H123" s="17" t="n">
        <f aca="false">Assumptions!$E$8</f>
        <v>78</v>
      </c>
      <c r="I123" s="17" t="n">
        <f aca="false">ROUND(F123*G123,2)</f>
        <v>10212</v>
      </c>
      <c r="J123" s="17" t="n">
        <f aca="false">ROUND(I123*Accounts!O112,2)</f>
        <v>0</v>
      </c>
      <c r="K123" s="17" t="n">
        <f aca="false">ROUND(I123*Accounts!L112,2)</f>
        <v>0</v>
      </c>
      <c r="L123" s="17" t="n">
        <f aca="false">ROUND(I123-J123-K123,2)</f>
        <v>10212</v>
      </c>
      <c r="M123" s="17" t="n">
        <f aca="false">ROUND(L123*AA123,2)</f>
        <v>0</v>
      </c>
      <c r="N123" s="17" t="n">
        <f aca="false">ROUND(L123*Accounts!R112,2)</f>
        <v>0</v>
      </c>
      <c r="O123" s="17" t="n">
        <f aca="false">ROUND(L123*Accounts!S112,2)</f>
        <v>0</v>
      </c>
      <c r="P123" s="17" t="n">
        <f aca="false">ROUND(L123*Accounts!T112,2)</f>
        <v>0</v>
      </c>
      <c r="Q123" s="17" t="n">
        <f aca="false">ROUND(L123*Accounts!U112,2)</f>
        <v>0</v>
      </c>
      <c r="R123" s="17" t="n">
        <f aca="false">ROUND(L123*Accounts!V112,2)</f>
        <v>102.12</v>
      </c>
      <c r="S123" s="17" t="n">
        <f aca="false">ROUND(L123*Accounts!W112,2)</f>
        <v>0</v>
      </c>
      <c r="T123" s="17" t="n">
        <f aca="false">ROUND(L123-SUM(M123:S123),2)</f>
        <v>10109.88</v>
      </c>
      <c r="U123" s="17" t="n">
        <f aca="false">ROUND(F123*H123,2)</f>
        <v>5382</v>
      </c>
      <c r="V123" s="17" t="n">
        <f aca="false">ROUND(L123*Assumptions!$C$25,2)</f>
        <v>204.24</v>
      </c>
      <c r="W123" s="17" t="n">
        <f aca="false">ROUND(T123-U123-V123,2)</f>
        <v>4523.64</v>
      </c>
      <c r="X123" s="28" t="n">
        <f aca="false">T123/I123</f>
        <v>0.99</v>
      </c>
      <c r="Y123" s="17" t="n">
        <f aca="false">T123/F123</f>
        <v>146.52</v>
      </c>
      <c r="Z123" s="26" t="n">
        <f aca="false">Accounts!H112</f>
        <v>390</v>
      </c>
      <c r="AA123" s="28" t="n">
        <f aca="false">IF(Z123&gt;=Assumptions!$B$44,Assumptions!$C$44,IF(Z123&gt;=Assumptions!$B$45,Assumptions!$C$45,IF(Z123&gt;=Assumptions!$B$46,Assumptions!$C$46,Assumptions!$C$47)))</f>
        <v>0</v>
      </c>
      <c r="AB123" s="26" t="n">
        <f aca="false">IF(Z123&gt;=Assumptions!$B$44,Assumptions!$B$44,IF(Z123&gt;=Assumptions!$B$45,Assumptions!$B$45,IF(Z123&gt;=Assumptions!$B$46,Assumptions!$B$46,0)))</f>
        <v>0</v>
      </c>
    </row>
    <row r="124" customFormat="false" ht="15" hidden="false" customHeight="false" outlineLevel="0" collapsed="false">
      <c r="B124" s="14" t="s">
        <v>313</v>
      </c>
      <c r="C124" s="14" t="s">
        <v>259</v>
      </c>
      <c r="D124" s="14" t="s">
        <v>243</v>
      </c>
      <c r="E124" s="14" t="s">
        <v>60</v>
      </c>
      <c r="F124" s="26" t="n">
        <f aca="false">Accounts!E160</f>
        <v>65</v>
      </c>
      <c r="G124" s="17" t="n">
        <f aca="false">Assumptions!$D$8</f>
        <v>148</v>
      </c>
      <c r="H124" s="17" t="n">
        <f aca="false">Assumptions!$E$8</f>
        <v>78</v>
      </c>
      <c r="I124" s="17" t="n">
        <f aca="false">ROUND(F124*G124,2)</f>
        <v>9620</v>
      </c>
      <c r="J124" s="17" t="n">
        <f aca="false">ROUND(I124*Accounts!O160,2)</f>
        <v>192.4</v>
      </c>
      <c r="K124" s="17" t="n">
        <f aca="false">ROUND(I124*Accounts!L160,2)</f>
        <v>0</v>
      </c>
      <c r="L124" s="17" t="n">
        <f aca="false">ROUND(I124-J124-K124,2)</f>
        <v>9427.6</v>
      </c>
      <c r="M124" s="17" t="n">
        <f aca="false">ROUND(L124*AA124,2)</f>
        <v>0</v>
      </c>
      <c r="N124" s="17" t="n">
        <f aca="false">ROUND(L124*Accounts!R160,2)</f>
        <v>0</v>
      </c>
      <c r="O124" s="17" t="n">
        <f aca="false">ROUND(L124*Accounts!S160,2)</f>
        <v>0</v>
      </c>
      <c r="P124" s="17" t="n">
        <f aca="false">ROUND(L124*Accounts!T160,2)</f>
        <v>0</v>
      </c>
      <c r="Q124" s="17" t="n">
        <f aca="false">ROUND(L124*Accounts!U160,2)</f>
        <v>0</v>
      </c>
      <c r="R124" s="17" t="n">
        <f aca="false">ROUND(L124*Accounts!V160,2)</f>
        <v>94.28</v>
      </c>
      <c r="S124" s="17" t="n">
        <f aca="false">ROUND(L124*Accounts!W160,2)</f>
        <v>0</v>
      </c>
      <c r="T124" s="17" t="n">
        <f aca="false">ROUND(L124-SUM(M124:S124),2)</f>
        <v>9333.32</v>
      </c>
      <c r="U124" s="17" t="n">
        <f aca="false">ROUND(F124*H124,2)</f>
        <v>5070</v>
      </c>
      <c r="V124" s="17" t="n">
        <f aca="false">ROUND(L124*Assumptions!$C$25,2)</f>
        <v>188.55</v>
      </c>
      <c r="W124" s="17" t="n">
        <f aca="false">ROUND(T124-U124-V124,2)</f>
        <v>4074.77</v>
      </c>
      <c r="X124" s="28" t="n">
        <f aca="false">T124/I124</f>
        <v>0.970199584199584</v>
      </c>
      <c r="Y124" s="17" t="n">
        <f aca="false">T124/F124</f>
        <v>143.589538461538</v>
      </c>
      <c r="Z124" s="26" t="n">
        <f aca="false">Accounts!H160</f>
        <v>744</v>
      </c>
      <c r="AA124" s="28" t="n">
        <f aca="false">IF(Z124&gt;=Assumptions!$B$44,Assumptions!$C$44,IF(Z124&gt;=Assumptions!$B$45,Assumptions!$C$45,IF(Z124&gt;=Assumptions!$B$46,Assumptions!$C$46,Assumptions!$C$47)))</f>
        <v>0</v>
      </c>
      <c r="AB124" s="26" t="n">
        <f aca="false">IF(Z124&gt;=Assumptions!$B$44,Assumptions!$B$44,IF(Z124&gt;=Assumptions!$B$45,Assumptions!$B$45,IF(Z124&gt;=Assumptions!$B$46,Assumptions!$B$46,0)))</f>
        <v>0</v>
      </c>
    </row>
    <row r="125" customFormat="false" ht="15" hidden="false" customHeight="false" outlineLevel="0" collapsed="false">
      <c r="B125" s="14" t="s">
        <v>329</v>
      </c>
      <c r="C125" s="14" t="s">
        <v>259</v>
      </c>
      <c r="D125" s="14" t="s">
        <v>251</v>
      </c>
      <c r="E125" s="14" t="s">
        <v>60</v>
      </c>
      <c r="F125" s="26" t="n">
        <f aca="false">Accounts!E176</f>
        <v>240</v>
      </c>
      <c r="G125" s="17" t="n">
        <f aca="false">Assumptions!$D$8</f>
        <v>148</v>
      </c>
      <c r="H125" s="17" t="n">
        <f aca="false">Assumptions!$E$8</f>
        <v>78</v>
      </c>
      <c r="I125" s="17" t="n">
        <f aca="false">ROUND(F125*G125,2)</f>
        <v>35520</v>
      </c>
      <c r="J125" s="17" t="n">
        <f aca="false">ROUND(I125*Accounts!O176,2)</f>
        <v>710.4</v>
      </c>
      <c r="K125" s="17" t="n">
        <f aca="false">ROUND(I125*Accounts!L176,2)</f>
        <v>1211.23</v>
      </c>
      <c r="L125" s="17" t="n">
        <f aca="false">ROUND(I125-J125-K125,2)</f>
        <v>33598.37</v>
      </c>
      <c r="M125" s="17" t="n">
        <f aca="false">ROUND(L125*AA125,2)</f>
        <v>0</v>
      </c>
      <c r="N125" s="17" t="n">
        <f aca="false">ROUND(L125*Accounts!R176,2)</f>
        <v>0</v>
      </c>
      <c r="O125" s="17" t="n">
        <f aca="false">ROUND(L125*Accounts!S176,2)</f>
        <v>0</v>
      </c>
      <c r="P125" s="17" t="n">
        <f aca="false">ROUND(L125*Accounts!T176,2)</f>
        <v>0</v>
      </c>
      <c r="Q125" s="17" t="n">
        <f aca="false">ROUND(L125*Accounts!U176,2)</f>
        <v>0</v>
      </c>
      <c r="R125" s="17" t="n">
        <f aca="false">ROUND(L125*Accounts!V176,2)</f>
        <v>335.98</v>
      </c>
      <c r="S125" s="17" t="n">
        <f aca="false">ROUND(L125*Accounts!W176,2)</f>
        <v>0</v>
      </c>
      <c r="T125" s="17" t="n">
        <f aca="false">ROUND(L125-SUM(M125:S125),2)</f>
        <v>33262.39</v>
      </c>
      <c r="U125" s="17" t="n">
        <f aca="false">ROUND(F125*H125,2)</f>
        <v>18720</v>
      </c>
      <c r="V125" s="17" t="n">
        <f aca="false">ROUND(L125*Assumptions!$C$25,2)</f>
        <v>671.97</v>
      </c>
      <c r="W125" s="17" t="n">
        <f aca="false">ROUND(T125-U125-V125,2)</f>
        <v>13870.42</v>
      </c>
      <c r="X125" s="28" t="n">
        <f aca="false">T125/I125</f>
        <v>0.93644115990991</v>
      </c>
      <c r="Y125" s="17" t="n">
        <f aca="false">T125/F125</f>
        <v>138.593291666667</v>
      </c>
      <c r="Z125" s="26" t="n">
        <f aca="false">Accounts!H176</f>
        <v>1800</v>
      </c>
      <c r="AA125" s="28" t="n">
        <f aca="false">IF(Z125&gt;=Assumptions!$B$44,Assumptions!$C$44,IF(Z125&gt;=Assumptions!$B$45,Assumptions!$C$45,IF(Z125&gt;=Assumptions!$B$46,Assumptions!$C$46,Assumptions!$C$47)))</f>
        <v>0</v>
      </c>
      <c r="AB125" s="26" t="n">
        <f aca="false">IF(Z125&gt;=Assumptions!$B$44,Assumptions!$B$44,IF(Z125&gt;=Assumptions!$B$45,Assumptions!$B$45,IF(Z125&gt;=Assumptions!$B$46,Assumptions!$B$46,0)))</f>
        <v>0</v>
      </c>
    </row>
    <row r="126" customFormat="false" ht="15" hidden="false" customHeight="false" outlineLevel="0" collapsed="false">
      <c r="B126" s="14" t="s">
        <v>266</v>
      </c>
      <c r="C126" s="14" t="s">
        <v>259</v>
      </c>
      <c r="D126" s="14" t="s">
        <v>218</v>
      </c>
      <c r="E126" s="14" t="s">
        <v>60</v>
      </c>
      <c r="F126" s="26" t="n">
        <f aca="false">Accounts!E113</f>
        <v>197</v>
      </c>
      <c r="G126" s="17" t="n">
        <f aca="false">Assumptions!$D$8</f>
        <v>148</v>
      </c>
      <c r="H126" s="17" t="n">
        <f aca="false">Assumptions!$E$8</f>
        <v>78</v>
      </c>
      <c r="I126" s="17" t="n">
        <f aca="false">ROUND(F126*G126,2)</f>
        <v>29156</v>
      </c>
      <c r="J126" s="17" t="n">
        <f aca="false">ROUND(I126*Accounts!O113,2)</f>
        <v>583.12</v>
      </c>
      <c r="K126" s="17" t="n">
        <f aca="false">ROUND(I126*Accounts!L113,2)</f>
        <v>903.84</v>
      </c>
      <c r="L126" s="17" t="n">
        <f aca="false">ROUND(I126-J126-K126,2)</f>
        <v>27669.04</v>
      </c>
      <c r="M126" s="17" t="n">
        <f aca="false">ROUND(L126*AA126,2)</f>
        <v>0</v>
      </c>
      <c r="N126" s="17" t="n">
        <f aca="false">ROUND(L126*Accounts!R113,2)</f>
        <v>0</v>
      </c>
      <c r="O126" s="17" t="n">
        <f aca="false">ROUND(L126*Accounts!S113,2)</f>
        <v>0</v>
      </c>
      <c r="P126" s="17" t="n">
        <f aca="false">ROUND(L126*Accounts!T113,2)</f>
        <v>0</v>
      </c>
      <c r="Q126" s="17" t="n">
        <f aca="false">ROUND(L126*Accounts!U113,2)</f>
        <v>0</v>
      </c>
      <c r="R126" s="17" t="n">
        <f aca="false">ROUND(L126*Accounts!V113,2)</f>
        <v>276.69</v>
      </c>
      <c r="S126" s="17" t="n">
        <f aca="false">ROUND(L126*Accounts!W113,2)</f>
        <v>0</v>
      </c>
      <c r="T126" s="17" t="n">
        <f aca="false">ROUND(L126-SUM(M126:S126),2)</f>
        <v>27392.35</v>
      </c>
      <c r="U126" s="17" t="n">
        <f aca="false">ROUND(F126*H126,2)</f>
        <v>15366</v>
      </c>
      <c r="V126" s="17" t="n">
        <f aca="false">ROUND(L126*Assumptions!$C$25,2)</f>
        <v>553.38</v>
      </c>
      <c r="W126" s="17" t="n">
        <f aca="false">ROUND(T126-U126-V126,2)</f>
        <v>11472.97</v>
      </c>
      <c r="X126" s="28" t="n">
        <f aca="false">T126/I126</f>
        <v>0.939509877898203</v>
      </c>
      <c r="Y126" s="17" t="n">
        <f aca="false">T126/F126</f>
        <v>139.047461928934</v>
      </c>
      <c r="Z126" s="26" t="n">
        <f aca="false">Accounts!H113</f>
        <v>619</v>
      </c>
      <c r="AA126" s="28" t="n">
        <f aca="false">IF(Z126&gt;=Assumptions!$B$44,Assumptions!$C$44,IF(Z126&gt;=Assumptions!$B$45,Assumptions!$C$45,IF(Z126&gt;=Assumptions!$B$46,Assumptions!$C$46,Assumptions!$C$47)))</f>
        <v>0</v>
      </c>
      <c r="AB126" s="26" t="n">
        <f aca="false">IF(Z126&gt;=Assumptions!$B$44,Assumptions!$B$44,IF(Z126&gt;=Assumptions!$B$45,Assumptions!$B$45,IF(Z126&gt;=Assumptions!$B$46,Assumptions!$B$46,0)))</f>
        <v>0</v>
      </c>
    </row>
    <row r="127" customFormat="false" ht="15" hidden="false" customHeight="false" outlineLevel="0" collapsed="false">
      <c r="B127" s="14" t="s">
        <v>282</v>
      </c>
      <c r="C127" s="14" t="s">
        <v>259</v>
      </c>
      <c r="D127" s="14" t="s">
        <v>227</v>
      </c>
      <c r="E127" s="14" t="s">
        <v>60</v>
      </c>
      <c r="F127" s="26" t="n">
        <f aca="false">Accounts!E129</f>
        <v>13</v>
      </c>
      <c r="G127" s="17" t="n">
        <f aca="false">Assumptions!$D$8</f>
        <v>148</v>
      </c>
      <c r="H127" s="17" t="n">
        <f aca="false">Assumptions!$E$8</f>
        <v>78</v>
      </c>
      <c r="I127" s="17" t="n">
        <f aca="false">ROUND(F127*G127,2)</f>
        <v>1924</v>
      </c>
      <c r="J127" s="17" t="n">
        <f aca="false">ROUND(I127*Accounts!O129,2)</f>
        <v>38.48</v>
      </c>
      <c r="K127" s="17" t="n">
        <f aca="false">ROUND(I127*Accounts!L129,2)</f>
        <v>35.79</v>
      </c>
      <c r="L127" s="17" t="n">
        <f aca="false">ROUND(I127-J127-K127,2)</f>
        <v>1849.73</v>
      </c>
      <c r="M127" s="17" t="n">
        <f aca="false">ROUND(L127*AA127,2)</f>
        <v>0</v>
      </c>
      <c r="N127" s="17" t="n">
        <f aca="false">ROUND(L127*Accounts!R129,2)</f>
        <v>0</v>
      </c>
      <c r="O127" s="17" t="n">
        <f aca="false">ROUND(L127*Accounts!S129,2)</f>
        <v>0</v>
      </c>
      <c r="P127" s="17" t="n">
        <f aca="false">ROUND(L127*Accounts!T129,2)</f>
        <v>0</v>
      </c>
      <c r="Q127" s="17" t="n">
        <f aca="false">ROUND(L127*Accounts!U129,2)</f>
        <v>0</v>
      </c>
      <c r="R127" s="17" t="n">
        <f aca="false">ROUND(L127*Accounts!V129,2)</f>
        <v>18.5</v>
      </c>
      <c r="S127" s="17" t="n">
        <f aca="false">ROUND(L127*Accounts!W129,2)</f>
        <v>0</v>
      </c>
      <c r="T127" s="17" t="n">
        <f aca="false">ROUND(L127-SUM(M127:S127),2)</f>
        <v>1831.23</v>
      </c>
      <c r="U127" s="17" t="n">
        <f aca="false">ROUND(F127*H127,2)</f>
        <v>1014</v>
      </c>
      <c r="V127" s="17" t="n">
        <f aca="false">ROUND(L127*Assumptions!$C$25,2)</f>
        <v>36.99</v>
      </c>
      <c r="W127" s="17" t="n">
        <f aca="false">ROUND(T127-U127-V127,2)</f>
        <v>780.24</v>
      </c>
      <c r="X127" s="28" t="n">
        <f aca="false">T127/I127</f>
        <v>0.951782744282744</v>
      </c>
      <c r="Y127" s="17" t="n">
        <f aca="false">T127/F127</f>
        <v>140.863846153846</v>
      </c>
      <c r="Z127" s="26" t="n">
        <f aca="false">Accounts!H129</f>
        <v>174</v>
      </c>
      <c r="AA127" s="28" t="n">
        <f aca="false">IF(Z127&gt;=Assumptions!$B$44,Assumptions!$C$44,IF(Z127&gt;=Assumptions!$B$45,Assumptions!$C$45,IF(Z127&gt;=Assumptions!$B$46,Assumptions!$C$46,Assumptions!$C$47)))</f>
        <v>0</v>
      </c>
      <c r="AB127" s="26" t="n">
        <f aca="false">IF(Z127&gt;=Assumptions!$B$44,Assumptions!$B$44,IF(Z127&gt;=Assumptions!$B$45,Assumptions!$B$45,IF(Z127&gt;=Assumptions!$B$46,Assumptions!$B$46,0)))</f>
        <v>0</v>
      </c>
    </row>
    <row r="128" customFormat="false" ht="15" hidden="false" customHeight="false" outlineLevel="0" collapsed="false">
      <c r="B128" s="14" t="s">
        <v>298</v>
      </c>
      <c r="C128" s="14" t="s">
        <v>259</v>
      </c>
      <c r="D128" s="14" t="s">
        <v>235</v>
      </c>
      <c r="E128" s="14" t="s">
        <v>60</v>
      </c>
      <c r="F128" s="26" t="n">
        <f aca="false">Accounts!E145</f>
        <v>280</v>
      </c>
      <c r="G128" s="17" t="n">
        <f aca="false">Assumptions!$D$8</f>
        <v>148</v>
      </c>
      <c r="H128" s="17" t="n">
        <f aca="false">Assumptions!$E$8</f>
        <v>78</v>
      </c>
      <c r="I128" s="17" t="n">
        <f aca="false">ROUND(F128*G128,2)</f>
        <v>41440</v>
      </c>
      <c r="J128" s="17" t="n">
        <f aca="false">ROUND(I128*Accounts!O145,2)</f>
        <v>828.8</v>
      </c>
      <c r="K128" s="17" t="n">
        <f aca="false">ROUND(I128*Accounts!L145,2)</f>
        <v>1670.03</v>
      </c>
      <c r="L128" s="17" t="n">
        <f aca="false">ROUND(I128-J128-K128,2)</f>
        <v>38941.17</v>
      </c>
      <c r="M128" s="17" t="n">
        <f aca="false">ROUND(L128*AA128,2)</f>
        <v>0</v>
      </c>
      <c r="N128" s="17" t="n">
        <f aca="false">ROUND(L128*Accounts!R145,2)</f>
        <v>0</v>
      </c>
      <c r="O128" s="17" t="n">
        <f aca="false">ROUND(L128*Accounts!S145,2)</f>
        <v>0</v>
      </c>
      <c r="P128" s="17" t="n">
        <f aca="false">ROUND(L128*Accounts!T145,2)</f>
        <v>0</v>
      </c>
      <c r="Q128" s="17" t="n">
        <f aca="false">ROUND(L128*Accounts!U145,2)</f>
        <v>0</v>
      </c>
      <c r="R128" s="17" t="n">
        <f aca="false">ROUND(L128*Accounts!V145,2)</f>
        <v>389.41</v>
      </c>
      <c r="S128" s="17" t="n">
        <f aca="false">ROUND(L128*Accounts!W145,2)</f>
        <v>0</v>
      </c>
      <c r="T128" s="17" t="n">
        <f aca="false">ROUND(L128-SUM(M128:S128),2)</f>
        <v>38551.76</v>
      </c>
      <c r="U128" s="17" t="n">
        <f aca="false">ROUND(F128*H128,2)</f>
        <v>21840</v>
      </c>
      <c r="V128" s="17" t="n">
        <f aca="false">ROUND(L128*Assumptions!$C$25,2)</f>
        <v>778.82</v>
      </c>
      <c r="W128" s="17" t="n">
        <f aca="false">ROUND(T128-U128-V128,2)</f>
        <v>15932.94</v>
      </c>
      <c r="X128" s="28" t="n">
        <f aca="false">T128/I128</f>
        <v>0.930303088803089</v>
      </c>
      <c r="Y128" s="17" t="n">
        <f aca="false">T128/F128</f>
        <v>137.684857142857</v>
      </c>
      <c r="Z128" s="26" t="n">
        <f aca="false">Accounts!H145</f>
        <v>1438</v>
      </c>
      <c r="AA128" s="28" t="n">
        <f aca="false">IF(Z128&gt;=Assumptions!$B$44,Assumptions!$C$44,IF(Z128&gt;=Assumptions!$B$45,Assumptions!$C$45,IF(Z128&gt;=Assumptions!$B$46,Assumptions!$C$46,Assumptions!$C$47)))</f>
        <v>0</v>
      </c>
      <c r="AB128" s="26" t="n">
        <f aca="false">IF(Z128&gt;=Assumptions!$B$44,Assumptions!$B$44,IF(Z128&gt;=Assumptions!$B$45,Assumptions!$B$45,IF(Z128&gt;=Assumptions!$B$46,Assumptions!$B$46,0)))</f>
        <v>0</v>
      </c>
    </row>
    <row r="129" customFormat="false" ht="15" hidden="false" customHeight="false" outlineLevel="0" collapsed="false">
      <c r="B129" s="14" t="s">
        <v>314</v>
      </c>
      <c r="C129" s="14" t="s">
        <v>259</v>
      </c>
      <c r="D129" s="14" t="s">
        <v>243</v>
      </c>
      <c r="E129" s="14" t="s">
        <v>60</v>
      </c>
      <c r="F129" s="26" t="n">
        <f aca="false">Accounts!E161</f>
        <v>177</v>
      </c>
      <c r="G129" s="17" t="n">
        <f aca="false">Assumptions!$D$8</f>
        <v>148</v>
      </c>
      <c r="H129" s="17" t="n">
        <f aca="false">Assumptions!$E$8</f>
        <v>78</v>
      </c>
      <c r="I129" s="17" t="n">
        <f aca="false">ROUND(F129*G129,2)</f>
        <v>26196</v>
      </c>
      <c r="J129" s="17" t="n">
        <f aca="false">ROUND(I129*Accounts!O161,2)</f>
        <v>0</v>
      </c>
      <c r="K129" s="17" t="n">
        <f aca="false">ROUND(I129*Accounts!L161,2)</f>
        <v>406.04</v>
      </c>
      <c r="L129" s="17" t="n">
        <f aca="false">ROUND(I129-J129-K129,2)</f>
        <v>25789.96</v>
      </c>
      <c r="M129" s="17" t="n">
        <f aca="false">ROUND(L129*AA129,2)</f>
        <v>0</v>
      </c>
      <c r="N129" s="17" t="n">
        <f aca="false">ROUND(L129*Accounts!R161,2)</f>
        <v>0</v>
      </c>
      <c r="O129" s="17" t="n">
        <f aca="false">ROUND(L129*Accounts!S161,2)</f>
        <v>0</v>
      </c>
      <c r="P129" s="17" t="n">
        <f aca="false">ROUND(L129*Accounts!T161,2)</f>
        <v>0</v>
      </c>
      <c r="Q129" s="17" t="n">
        <f aca="false">ROUND(L129*Accounts!U161,2)</f>
        <v>0</v>
      </c>
      <c r="R129" s="17" t="n">
        <f aca="false">ROUND(L129*Accounts!V161,2)</f>
        <v>257.9</v>
      </c>
      <c r="S129" s="17" t="n">
        <f aca="false">ROUND(L129*Accounts!W161,2)</f>
        <v>0</v>
      </c>
      <c r="T129" s="17" t="n">
        <f aca="false">ROUND(L129-SUM(M129:S129),2)</f>
        <v>25532.06</v>
      </c>
      <c r="U129" s="17" t="n">
        <f aca="false">ROUND(F129*H129,2)</f>
        <v>13806</v>
      </c>
      <c r="V129" s="17" t="n">
        <f aca="false">ROUND(L129*Assumptions!$C$25,2)</f>
        <v>515.8</v>
      </c>
      <c r="W129" s="17" t="n">
        <f aca="false">ROUND(T129-U129-V129,2)</f>
        <v>11210.26</v>
      </c>
      <c r="X129" s="28" t="n">
        <f aca="false">T129/I129</f>
        <v>0.974654909146435</v>
      </c>
      <c r="Y129" s="17" t="n">
        <f aca="false">T129/F129</f>
        <v>144.248926553672</v>
      </c>
      <c r="Z129" s="26" t="n">
        <f aca="false">Accounts!H161</f>
        <v>462</v>
      </c>
      <c r="AA129" s="28" t="n">
        <f aca="false">IF(Z129&gt;=Assumptions!$B$44,Assumptions!$C$44,IF(Z129&gt;=Assumptions!$B$45,Assumptions!$C$45,IF(Z129&gt;=Assumptions!$B$46,Assumptions!$C$46,Assumptions!$C$47)))</f>
        <v>0</v>
      </c>
      <c r="AB129" s="26" t="n">
        <f aca="false">IF(Z129&gt;=Assumptions!$B$44,Assumptions!$B$44,IF(Z129&gt;=Assumptions!$B$45,Assumptions!$B$45,IF(Z129&gt;=Assumptions!$B$46,Assumptions!$B$46,0)))</f>
        <v>0</v>
      </c>
    </row>
    <row r="130" customFormat="false" ht="15" hidden="false" customHeight="false" outlineLevel="0" collapsed="false">
      <c r="B130" s="14" t="s">
        <v>330</v>
      </c>
      <c r="C130" s="14" t="s">
        <v>259</v>
      </c>
      <c r="D130" s="14" t="s">
        <v>251</v>
      </c>
      <c r="E130" s="14" t="s">
        <v>60</v>
      </c>
      <c r="F130" s="26" t="n">
        <f aca="false">Accounts!E177</f>
        <v>71</v>
      </c>
      <c r="G130" s="17" t="n">
        <f aca="false">Assumptions!$D$8</f>
        <v>148</v>
      </c>
      <c r="H130" s="17" t="n">
        <f aca="false">Assumptions!$E$8</f>
        <v>78</v>
      </c>
      <c r="I130" s="17" t="n">
        <f aca="false">ROUND(F130*G130,2)</f>
        <v>10508</v>
      </c>
      <c r="J130" s="17" t="n">
        <f aca="false">ROUND(I130*Accounts!O177,2)</f>
        <v>0</v>
      </c>
      <c r="K130" s="17" t="n">
        <f aca="false">ROUND(I130*Accounts!L177,2)</f>
        <v>358.32</v>
      </c>
      <c r="L130" s="17" t="n">
        <f aca="false">ROUND(I130-J130-K130,2)</f>
        <v>10149.68</v>
      </c>
      <c r="M130" s="17" t="n">
        <f aca="false">ROUND(L130*AA130,2)</f>
        <v>0</v>
      </c>
      <c r="N130" s="17" t="n">
        <f aca="false">ROUND(L130*Accounts!R177,2)</f>
        <v>0</v>
      </c>
      <c r="O130" s="17" t="n">
        <f aca="false">ROUND(L130*Accounts!S177,2)</f>
        <v>0</v>
      </c>
      <c r="P130" s="17" t="n">
        <f aca="false">ROUND(L130*Accounts!T177,2)</f>
        <v>0</v>
      </c>
      <c r="Q130" s="17" t="n">
        <f aca="false">ROUND(L130*Accounts!U177,2)</f>
        <v>0</v>
      </c>
      <c r="R130" s="17" t="n">
        <f aca="false">ROUND(L130*Accounts!V177,2)</f>
        <v>101.5</v>
      </c>
      <c r="S130" s="17" t="n">
        <f aca="false">ROUND(L130*Accounts!W177,2)</f>
        <v>0</v>
      </c>
      <c r="T130" s="17" t="n">
        <f aca="false">ROUND(L130-SUM(M130:S130),2)</f>
        <v>10048.18</v>
      </c>
      <c r="U130" s="17" t="n">
        <f aca="false">ROUND(F130*H130,2)</f>
        <v>5538</v>
      </c>
      <c r="V130" s="17" t="n">
        <f aca="false">ROUND(L130*Assumptions!$C$25,2)</f>
        <v>202.99</v>
      </c>
      <c r="W130" s="17" t="n">
        <f aca="false">ROUND(T130-U130-V130,2)</f>
        <v>4307.19</v>
      </c>
      <c r="X130" s="28" t="n">
        <f aca="false">T130/I130</f>
        <v>0.956240959269128</v>
      </c>
      <c r="Y130" s="17" t="n">
        <f aca="false">T130/F130</f>
        <v>141.523661971831</v>
      </c>
      <c r="Z130" s="26" t="n">
        <f aca="false">Accounts!H177</f>
        <v>229</v>
      </c>
      <c r="AA130" s="28" t="n">
        <f aca="false">IF(Z130&gt;=Assumptions!$B$44,Assumptions!$C$44,IF(Z130&gt;=Assumptions!$B$45,Assumptions!$C$45,IF(Z130&gt;=Assumptions!$B$46,Assumptions!$C$46,Assumptions!$C$47)))</f>
        <v>0</v>
      </c>
      <c r="AB130" s="26" t="n">
        <f aca="false">IF(Z130&gt;=Assumptions!$B$44,Assumptions!$B$44,IF(Z130&gt;=Assumptions!$B$45,Assumptions!$B$45,IF(Z130&gt;=Assumptions!$B$46,Assumptions!$B$46,0)))</f>
        <v>0</v>
      </c>
    </row>
    <row r="131" customFormat="false" ht="15" hidden="false" customHeight="false" outlineLevel="0" collapsed="false">
      <c r="B131" s="14" t="s">
        <v>267</v>
      </c>
      <c r="C131" s="14" t="s">
        <v>259</v>
      </c>
      <c r="D131" s="14" t="s">
        <v>218</v>
      </c>
      <c r="E131" s="14" t="s">
        <v>60</v>
      </c>
      <c r="F131" s="26" t="n">
        <f aca="false">Accounts!E114</f>
        <v>261</v>
      </c>
      <c r="G131" s="17" t="n">
        <f aca="false">Assumptions!$D$8</f>
        <v>148</v>
      </c>
      <c r="H131" s="17" t="n">
        <f aca="false">Assumptions!$E$8</f>
        <v>78</v>
      </c>
      <c r="I131" s="17" t="n">
        <f aca="false">ROUND(F131*G131,2)</f>
        <v>38628</v>
      </c>
      <c r="J131" s="17" t="n">
        <f aca="false">ROUND(I131*Accounts!O114,2)</f>
        <v>772.56</v>
      </c>
      <c r="K131" s="17" t="n">
        <f aca="false">ROUND(I131*Accounts!L114,2)</f>
        <v>2155.44</v>
      </c>
      <c r="L131" s="17" t="n">
        <f aca="false">ROUND(I131-J131-K131,2)</f>
        <v>35700</v>
      </c>
      <c r="M131" s="17" t="n">
        <f aca="false">ROUND(L131*AA131,2)</f>
        <v>0</v>
      </c>
      <c r="N131" s="17" t="n">
        <f aca="false">ROUND(L131*Accounts!R114,2)</f>
        <v>0</v>
      </c>
      <c r="O131" s="17" t="n">
        <f aca="false">ROUND(L131*Accounts!S114,2)</f>
        <v>0</v>
      </c>
      <c r="P131" s="17" t="n">
        <f aca="false">ROUND(L131*Accounts!T114,2)</f>
        <v>0</v>
      </c>
      <c r="Q131" s="17" t="n">
        <f aca="false">ROUND(L131*Accounts!U114,2)</f>
        <v>0</v>
      </c>
      <c r="R131" s="17" t="n">
        <f aca="false">ROUND(L131*Accounts!V114,2)</f>
        <v>357</v>
      </c>
      <c r="S131" s="17" t="n">
        <f aca="false">ROUND(L131*Accounts!W114,2)</f>
        <v>0</v>
      </c>
      <c r="T131" s="17" t="n">
        <f aca="false">ROUND(L131-SUM(M131:S131),2)</f>
        <v>35343</v>
      </c>
      <c r="U131" s="17" t="n">
        <f aca="false">ROUND(F131*H131,2)</f>
        <v>20358</v>
      </c>
      <c r="V131" s="17" t="n">
        <f aca="false">ROUND(L131*Assumptions!$C$25,2)</f>
        <v>714</v>
      </c>
      <c r="W131" s="17" t="n">
        <f aca="false">ROUND(T131-U131-V131,2)</f>
        <v>14271</v>
      </c>
      <c r="X131" s="28" t="n">
        <f aca="false">T131/I131</f>
        <v>0.914958061509786</v>
      </c>
      <c r="Y131" s="17" t="n">
        <f aca="false">T131/F131</f>
        <v>135.413793103448</v>
      </c>
      <c r="Z131" s="26" t="n">
        <f aca="false">Accounts!H114</f>
        <v>1155</v>
      </c>
      <c r="AA131" s="28" t="n">
        <f aca="false">IF(Z131&gt;=Assumptions!$B$44,Assumptions!$C$44,IF(Z131&gt;=Assumptions!$B$45,Assumptions!$C$45,IF(Z131&gt;=Assumptions!$B$46,Assumptions!$C$46,Assumptions!$C$47)))</f>
        <v>0</v>
      </c>
      <c r="AB131" s="26" t="n">
        <f aca="false">IF(Z131&gt;=Assumptions!$B$44,Assumptions!$B$44,IF(Z131&gt;=Assumptions!$B$45,Assumptions!$B$45,IF(Z131&gt;=Assumptions!$B$46,Assumptions!$B$46,0)))</f>
        <v>0</v>
      </c>
    </row>
    <row r="132" customFormat="false" ht="15" hidden="false" customHeight="false" outlineLevel="0" collapsed="false">
      <c r="B132" s="14" t="s">
        <v>283</v>
      </c>
      <c r="C132" s="14" t="s">
        <v>259</v>
      </c>
      <c r="D132" s="14" t="s">
        <v>227</v>
      </c>
      <c r="E132" s="14" t="s">
        <v>60</v>
      </c>
      <c r="F132" s="26" t="n">
        <f aca="false">Accounts!E130</f>
        <v>262</v>
      </c>
      <c r="G132" s="17" t="n">
        <f aca="false">Assumptions!$D$8</f>
        <v>148</v>
      </c>
      <c r="H132" s="17" t="n">
        <f aca="false">Assumptions!$E$8</f>
        <v>78</v>
      </c>
      <c r="I132" s="17" t="n">
        <f aca="false">ROUND(F132*G132,2)</f>
        <v>38776</v>
      </c>
      <c r="J132" s="17" t="n">
        <f aca="false">ROUND(I132*Accounts!O130,2)</f>
        <v>775.52</v>
      </c>
      <c r="K132" s="17" t="n">
        <f aca="false">ROUND(I132*Accounts!L130,2)</f>
        <v>721.23</v>
      </c>
      <c r="L132" s="17" t="n">
        <f aca="false">ROUND(I132-J132-K132,2)</f>
        <v>37279.25</v>
      </c>
      <c r="M132" s="17" t="n">
        <f aca="false">ROUND(L132*AA132,2)</f>
        <v>0</v>
      </c>
      <c r="N132" s="17" t="n">
        <f aca="false">ROUND(L132*Accounts!R130,2)</f>
        <v>0</v>
      </c>
      <c r="O132" s="17" t="n">
        <f aca="false">ROUND(L132*Accounts!S130,2)</f>
        <v>0</v>
      </c>
      <c r="P132" s="17" t="n">
        <f aca="false">ROUND(L132*Accounts!T130,2)</f>
        <v>0</v>
      </c>
      <c r="Q132" s="17" t="n">
        <f aca="false">ROUND(L132*Accounts!U130,2)</f>
        <v>0</v>
      </c>
      <c r="R132" s="17" t="n">
        <f aca="false">ROUND(L132*Accounts!V130,2)</f>
        <v>372.79</v>
      </c>
      <c r="S132" s="17" t="n">
        <f aca="false">ROUND(L132*Accounts!W130,2)</f>
        <v>0</v>
      </c>
      <c r="T132" s="17" t="n">
        <f aca="false">ROUND(L132-SUM(M132:S132),2)</f>
        <v>36906.46</v>
      </c>
      <c r="U132" s="17" t="n">
        <f aca="false">ROUND(F132*H132,2)</f>
        <v>20436</v>
      </c>
      <c r="V132" s="17" t="n">
        <f aca="false">ROUND(L132*Assumptions!$C$25,2)</f>
        <v>745.59</v>
      </c>
      <c r="W132" s="17" t="n">
        <f aca="false">ROUND(T132-U132-V132,2)</f>
        <v>15724.87</v>
      </c>
      <c r="X132" s="28" t="n">
        <f aca="false">T132/I132</f>
        <v>0.951786156385393</v>
      </c>
      <c r="Y132" s="17" t="n">
        <f aca="false">T132/F132</f>
        <v>140.864351145038</v>
      </c>
      <c r="Z132" s="26" t="n">
        <f aca="false">Accounts!H130</f>
        <v>1343</v>
      </c>
      <c r="AA132" s="28" t="n">
        <f aca="false">IF(Z132&gt;=Assumptions!$B$44,Assumptions!$C$44,IF(Z132&gt;=Assumptions!$B$45,Assumptions!$C$45,IF(Z132&gt;=Assumptions!$B$46,Assumptions!$C$46,Assumptions!$C$47)))</f>
        <v>0</v>
      </c>
      <c r="AB132" s="26" t="n">
        <f aca="false">IF(Z132&gt;=Assumptions!$B$44,Assumptions!$B$44,IF(Z132&gt;=Assumptions!$B$45,Assumptions!$B$45,IF(Z132&gt;=Assumptions!$B$46,Assumptions!$B$46,0)))</f>
        <v>0</v>
      </c>
    </row>
    <row r="133" customFormat="false" ht="15" hidden="false" customHeight="false" outlineLevel="0" collapsed="false">
      <c r="B133" s="14" t="s">
        <v>331</v>
      </c>
      <c r="C133" s="14" t="s">
        <v>259</v>
      </c>
      <c r="D133" s="14" t="s">
        <v>251</v>
      </c>
      <c r="E133" s="14" t="s">
        <v>60</v>
      </c>
      <c r="F133" s="26" t="n">
        <f aca="false">Accounts!E178</f>
        <v>107</v>
      </c>
      <c r="G133" s="17" t="n">
        <f aca="false">Assumptions!$D$8</f>
        <v>148</v>
      </c>
      <c r="H133" s="17" t="n">
        <f aca="false">Assumptions!$E$8</f>
        <v>78</v>
      </c>
      <c r="I133" s="17" t="n">
        <f aca="false">ROUND(F133*G133,2)</f>
        <v>15836</v>
      </c>
      <c r="J133" s="17" t="n">
        <f aca="false">ROUND(I133*Accounts!O178,2)</f>
        <v>0</v>
      </c>
      <c r="K133" s="17" t="n">
        <f aca="false">ROUND(I133*Accounts!L178,2)</f>
        <v>343.64</v>
      </c>
      <c r="L133" s="17" t="n">
        <f aca="false">ROUND(I133-J133-K133,2)</f>
        <v>15492.36</v>
      </c>
      <c r="M133" s="17" t="n">
        <f aca="false">ROUND(L133*AA133,2)</f>
        <v>0</v>
      </c>
      <c r="N133" s="17" t="n">
        <f aca="false">ROUND(L133*Accounts!R178,2)</f>
        <v>0</v>
      </c>
      <c r="O133" s="17" t="n">
        <f aca="false">ROUND(L133*Accounts!S178,2)</f>
        <v>0</v>
      </c>
      <c r="P133" s="17" t="n">
        <f aca="false">ROUND(L133*Accounts!T178,2)</f>
        <v>0</v>
      </c>
      <c r="Q133" s="17" t="n">
        <f aca="false">ROUND(L133*Accounts!U178,2)</f>
        <v>0</v>
      </c>
      <c r="R133" s="17" t="n">
        <f aca="false">ROUND(L133*Accounts!V178,2)</f>
        <v>154.92</v>
      </c>
      <c r="S133" s="17" t="n">
        <f aca="false">ROUND(L133*Accounts!W178,2)</f>
        <v>0</v>
      </c>
      <c r="T133" s="17" t="n">
        <f aca="false">ROUND(L133-SUM(M133:S133),2)</f>
        <v>15337.44</v>
      </c>
      <c r="U133" s="17" t="n">
        <f aca="false">ROUND(F133*H133,2)</f>
        <v>8346</v>
      </c>
      <c r="V133" s="17" t="n">
        <f aca="false">ROUND(L133*Assumptions!$C$25,2)</f>
        <v>309.85</v>
      </c>
      <c r="W133" s="17" t="n">
        <f aca="false">ROUND(T133-U133-V133,2)</f>
        <v>6681.59</v>
      </c>
      <c r="X133" s="28" t="n">
        <f aca="false">T133/I133</f>
        <v>0.968517302349078</v>
      </c>
      <c r="Y133" s="17" t="n">
        <f aca="false">T133/F133</f>
        <v>143.340560747664</v>
      </c>
      <c r="Z133" s="26" t="n">
        <f aca="false">Accounts!H178</f>
        <v>107</v>
      </c>
      <c r="AA133" s="28" t="n">
        <f aca="false">IF(Z133&gt;=Assumptions!$B$44,Assumptions!$C$44,IF(Z133&gt;=Assumptions!$B$45,Assumptions!$C$45,IF(Z133&gt;=Assumptions!$B$46,Assumptions!$C$46,Assumptions!$C$47)))</f>
        <v>0</v>
      </c>
      <c r="AB133" s="26" t="n">
        <f aca="false">IF(Z133&gt;=Assumptions!$B$44,Assumptions!$B$44,IF(Z133&gt;=Assumptions!$B$45,Assumptions!$B$45,IF(Z133&gt;=Assumptions!$B$46,Assumptions!$B$46,0)))</f>
        <v>0</v>
      </c>
    </row>
    <row r="134" customFormat="false" ht="15" hidden="false" customHeight="false" outlineLevel="0" collapsed="false">
      <c r="B134" s="14" t="s">
        <v>284</v>
      </c>
      <c r="C134" s="14" t="s">
        <v>259</v>
      </c>
      <c r="D134" s="14" t="s">
        <v>227</v>
      </c>
      <c r="E134" s="14" t="s">
        <v>60</v>
      </c>
      <c r="F134" s="26" t="n">
        <f aca="false">Accounts!E131</f>
        <v>174</v>
      </c>
      <c r="G134" s="17" t="n">
        <f aca="false">Assumptions!$D$8</f>
        <v>148</v>
      </c>
      <c r="H134" s="17" t="n">
        <f aca="false">Assumptions!$E$8</f>
        <v>78</v>
      </c>
      <c r="I134" s="17" t="n">
        <f aca="false">ROUND(F134*G134,2)</f>
        <v>25752</v>
      </c>
      <c r="J134" s="17" t="n">
        <f aca="false">ROUND(I134*Accounts!O131,2)</f>
        <v>0</v>
      </c>
      <c r="K134" s="17" t="n">
        <f aca="false">ROUND(I134*Accounts!L131,2)</f>
        <v>319.32</v>
      </c>
      <c r="L134" s="17" t="n">
        <f aca="false">ROUND(I134-J134-K134,2)</f>
        <v>25432.68</v>
      </c>
      <c r="M134" s="17" t="n">
        <f aca="false">ROUND(L134*AA134,2)</f>
        <v>0</v>
      </c>
      <c r="N134" s="17" t="n">
        <f aca="false">ROUND(L134*Accounts!R131,2)</f>
        <v>0</v>
      </c>
      <c r="O134" s="17" t="n">
        <f aca="false">ROUND(L134*Accounts!S131,2)</f>
        <v>0</v>
      </c>
      <c r="P134" s="17" t="n">
        <f aca="false">ROUND(L134*Accounts!T131,2)</f>
        <v>0</v>
      </c>
      <c r="Q134" s="17" t="n">
        <f aca="false">ROUND(L134*Accounts!U131,2)</f>
        <v>0</v>
      </c>
      <c r="R134" s="17" t="n">
        <f aca="false">ROUND(L134*Accounts!V131,2)</f>
        <v>254.33</v>
      </c>
      <c r="S134" s="17" t="n">
        <f aca="false">ROUND(L134*Accounts!W131,2)</f>
        <v>0</v>
      </c>
      <c r="T134" s="17" t="n">
        <f aca="false">ROUND(L134-SUM(M134:S134),2)</f>
        <v>25178.35</v>
      </c>
      <c r="U134" s="17" t="n">
        <f aca="false">ROUND(F134*H134,2)</f>
        <v>13572</v>
      </c>
      <c r="V134" s="17" t="n">
        <f aca="false">ROUND(L134*Assumptions!$C$25,2)</f>
        <v>508.65</v>
      </c>
      <c r="W134" s="17" t="n">
        <f aca="false">ROUND(T134-U134-V134,2)</f>
        <v>11097.7</v>
      </c>
      <c r="X134" s="28" t="n">
        <f aca="false">T134/I134</f>
        <v>0.977724060267164</v>
      </c>
      <c r="Y134" s="17" t="n">
        <f aca="false">T134/F134</f>
        <v>144.70316091954</v>
      </c>
      <c r="Z134" s="26" t="n">
        <f aca="false">Accounts!H131</f>
        <v>1491</v>
      </c>
      <c r="AA134" s="28" t="n">
        <f aca="false">IF(Z134&gt;=Assumptions!$B$44,Assumptions!$C$44,IF(Z134&gt;=Assumptions!$B$45,Assumptions!$C$45,IF(Z134&gt;=Assumptions!$B$46,Assumptions!$C$46,Assumptions!$C$47)))</f>
        <v>0</v>
      </c>
      <c r="AB134" s="26" t="n">
        <f aca="false">IF(Z134&gt;=Assumptions!$B$44,Assumptions!$B$44,IF(Z134&gt;=Assumptions!$B$45,Assumptions!$B$45,IF(Z134&gt;=Assumptions!$B$46,Assumptions!$B$46,0)))</f>
        <v>0</v>
      </c>
    </row>
    <row r="135" customFormat="false" ht="15" hidden="false" customHeight="false" outlineLevel="0" collapsed="false">
      <c r="B135" s="14" t="s">
        <v>316</v>
      </c>
      <c r="C135" s="14" t="s">
        <v>259</v>
      </c>
      <c r="D135" s="14" t="s">
        <v>243</v>
      </c>
      <c r="E135" s="14" t="s">
        <v>60</v>
      </c>
      <c r="F135" s="26" t="n">
        <f aca="false">Accounts!E163</f>
        <v>125</v>
      </c>
      <c r="G135" s="17" t="n">
        <f aca="false">Assumptions!$D$8</f>
        <v>148</v>
      </c>
      <c r="H135" s="17" t="n">
        <f aca="false">Assumptions!$E$8</f>
        <v>78</v>
      </c>
      <c r="I135" s="17" t="n">
        <f aca="false">ROUND(F135*G135,2)</f>
        <v>18500</v>
      </c>
      <c r="J135" s="17" t="n">
        <f aca="false">ROUND(I135*Accounts!O163,2)</f>
        <v>0</v>
      </c>
      <c r="K135" s="17" t="n">
        <f aca="false">ROUND(I135*Accounts!L163,2)</f>
        <v>344.1</v>
      </c>
      <c r="L135" s="17" t="n">
        <f aca="false">ROUND(I135-J135-K135,2)</f>
        <v>18155.9</v>
      </c>
      <c r="M135" s="17" t="n">
        <f aca="false">ROUND(L135*AA135,2)</f>
        <v>0</v>
      </c>
      <c r="N135" s="17" t="n">
        <f aca="false">ROUND(L135*Accounts!R163,2)</f>
        <v>0</v>
      </c>
      <c r="O135" s="17" t="n">
        <f aca="false">ROUND(L135*Accounts!S163,2)</f>
        <v>0</v>
      </c>
      <c r="P135" s="17" t="n">
        <f aca="false">ROUND(L135*Accounts!T163,2)</f>
        <v>0</v>
      </c>
      <c r="Q135" s="17" t="n">
        <f aca="false">ROUND(L135*Accounts!U163,2)</f>
        <v>0</v>
      </c>
      <c r="R135" s="17" t="n">
        <f aca="false">ROUND(L135*Accounts!V163,2)</f>
        <v>181.56</v>
      </c>
      <c r="S135" s="17" t="n">
        <f aca="false">ROUND(L135*Accounts!W163,2)</f>
        <v>0</v>
      </c>
      <c r="T135" s="17" t="n">
        <f aca="false">ROUND(L135-SUM(M135:S135),2)</f>
        <v>17974.34</v>
      </c>
      <c r="U135" s="17" t="n">
        <f aca="false">ROUND(F135*H135,2)</f>
        <v>9750</v>
      </c>
      <c r="V135" s="17" t="n">
        <f aca="false">ROUND(L135*Assumptions!$C$25,2)</f>
        <v>363.12</v>
      </c>
      <c r="W135" s="17" t="n">
        <f aca="false">ROUND(T135-U135-V135,2)</f>
        <v>7861.22</v>
      </c>
      <c r="X135" s="28" t="n">
        <f aca="false">T135/I135</f>
        <v>0.971585945945946</v>
      </c>
      <c r="Y135" s="17" t="n">
        <f aca="false">T135/F135</f>
        <v>143.79472</v>
      </c>
      <c r="Z135" s="26" t="n">
        <f aca="false">Accounts!H163</f>
        <v>866</v>
      </c>
      <c r="AA135" s="28" t="n">
        <f aca="false">IF(Z135&gt;=Assumptions!$B$44,Assumptions!$C$44,IF(Z135&gt;=Assumptions!$B$45,Assumptions!$C$45,IF(Z135&gt;=Assumptions!$B$46,Assumptions!$C$46,Assumptions!$C$47)))</f>
        <v>0</v>
      </c>
      <c r="AB135" s="26" t="n">
        <f aca="false">IF(Z135&gt;=Assumptions!$B$44,Assumptions!$B$44,IF(Z135&gt;=Assumptions!$B$45,Assumptions!$B$45,IF(Z135&gt;=Assumptions!$B$46,Assumptions!$B$46,0)))</f>
        <v>0</v>
      </c>
    </row>
    <row r="136" customFormat="false" ht="15" hidden="false" customHeight="false" outlineLevel="0" collapsed="false">
      <c r="B136" s="14" t="s">
        <v>332</v>
      </c>
      <c r="C136" s="14" t="s">
        <v>259</v>
      </c>
      <c r="D136" s="14" t="s">
        <v>251</v>
      </c>
      <c r="E136" s="14" t="s">
        <v>60</v>
      </c>
      <c r="F136" s="26" t="n">
        <f aca="false">Accounts!E179</f>
        <v>148</v>
      </c>
      <c r="G136" s="17" t="n">
        <f aca="false">Assumptions!$D$8</f>
        <v>148</v>
      </c>
      <c r="H136" s="17" t="n">
        <f aca="false">Assumptions!$E$8</f>
        <v>78</v>
      </c>
      <c r="I136" s="17" t="n">
        <f aca="false">ROUND(F136*G136,2)</f>
        <v>21904</v>
      </c>
      <c r="J136" s="17" t="n">
        <f aca="false">ROUND(I136*Accounts!O179,2)</f>
        <v>438.08</v>
      </c>
      <c r="K136" s="17" t="n">
        <f aca="false">ROUND(I136*Accounts!L179,2)</f>
        <v>679.02</v>
      </c>
      <c r="L136" s="17" t="n">
        <f aca="false">ROUND(I136-J136-K136,2)</f>
        <v>20786.9</v>
      </c>
      <c r="M136" s="17" t="n">
        <f aca="false">ROUND(L136*AA136,2)</f>
        <v>0</v>
      </c>
      <c r="N136" s="17" t="n">
        <f aca="false">ROUND(L136*Accounts!R179,2)</f>
        <v>0</v>
      </c>
      <c r="O136" s="17" t="n">
        <f aca="false">ROUND(L136*Accounts!S179,2)</f>
        <v>0</v>
      </c>
      <c r="P136" s="17" t="n">
        <f aca="false">ROUND(L136*Accounts!T179,2)</f>
        <v>0</v>
      </c>
      <c r="Q136" s="17" t="n">
        <f aca="false">ROUND(L136*Accounts!U179,2)</f>
        <v>0</v>
      </c>
      <c r="R136" s="17" t="n">
        <f aca="false">ROUND(L136*Accounts!V179,2)</f>
        <v>207.87</v>
      </c>
      <c r="S136" s="17" t="n">
        <f aca="false">ROUND(L136*Accounts!W179,2)</f>
        <v>0</v>
      </c>
      <c r="T136" s="17" t="n">
        <f aca="false">ROUND(L136-SUM(M136:S136),2)</f>
        <v>20579.03</v>
      </c>
      <c r="U136" s="17" t="n">
        <f aca="false">ROUND(F136*H136,2)</f>
        <v>11544</v>
      </c>
      <c r="V136" s="17" t="n">
        <f aca="false">ROUND(L136*Assumptions!$C$25,2)</f>
        <v>415.74</v>
      </c>
      <c r="W136" s="17" t="n">
        <f aca="false">ROUND(T136-U136-V136,2)</f>
        <v>8619.29</v>
      </c>
      <c r="X136" s="28" t="n">
        <f aca="false">T136/I136</f>
        <v>0.939510135135135</v>
      </c>
      <c r="Y136" s="17" t="n">
        <f aca="false">T136/F136</f>
        <v>139.0475</v>
      </c>
      <c r="Z136" s="26" t="n">
        <f aca="false">Accounts!H179</f>
        <v>780</v>
      </c>
      <c r="AA136" s="28" t="n">
        <f aca="false">IF(Z136&gt;=Assumptions!$B$44,Assumptions!$C$44,IF(Z136&gt;=Assumptions!$B$45,Assumptions!$C$45,IF(Z136&gt;=Assumptions!$B$46,Assumptions!$C$46,Assumptions!$C$47)))</f>
        <v>0</v>
      </c>
      <c r="AB136" s="26" t="n">
        <f aca="false">IF(Z136&gt;=Assumptions!$B$44,Assumptions!$B$44,IF(Z136&gt;=Assumptions!$B$45,Assumptions!$B$45,IF(Z136&gt;=Assumptions!$B$46,Assumptions!$B$46,0)))</f>
        <v>0</v>
      </c>
    </row>
    <row r="137" customFormat="false" ht="15" hidden="false" customHeight="false" outlineLevel="0" collapsed="false">
      <c r="B137" s="14" t="s">
        <v>269</v>
      </c>
      <c r="C137" s="14" t="s">
        <v>259</v>
      </c>
      <c r="D137" s="14" t="s">
        <v>218</v>
      </c>
      <c r="E137" s="14" t="s">
        <v>60</v>
      </c>
      <c r="F137" s="26" t="n">
        <f aca="false">Accounts!E116</f>
        <v>100</v>
      </c>
      <c r="G137" s="17" t="n">
        <f aca="false">Assumptions!$D$8</f>
        <v>148</v>
      </c>
      <c r="H137" s="17" t="n">
        <f aca="false">Assumptions!$E$8</f>
        <v>78</v>
      </c>
      <c r="I137" s="17" t="n">
        <f aca="false">ROUND(F137*G137,2)</f>
        <v>14800</v>
      </c>
      <c r="J137" s="17" t="n">
        <f aca="false">ROUND(I137*Accounts!O116,2)</f>
        <v>296</v>
      </c>
      <c r="K137" s="17" t="n">
        <f aca="false">ROUND(I137*Accounts!L116,2)</f>
        <v>137.64</v>
      </c>
      <c r="L137" s="17" t="n">
        <f aca="false">ROUND(I137-J137-K137,2)</f>
        <v>14366.36</v>
      </c>
      <c r="M137" s="17" t="n">
        <f aca="false">ROUND(L137*AA137,2)</f>
        <v>0</v>
      </c>
      <c r="N137" s="17" t="n">
        <f aca="false">ROUND(L137*Accounts!R116,2)</f>
        <v>0</v>
      </c>
      <c r="O137" s="17" t="n">
        <f aca="false">ROUND(L137*Accounts!S116,2)</f>
        <v>0</v>
      </c>
      <c r="P137" s="17" t="n">
        <f aca="false">ROUND(L137*Accounts!T116,2)</f>
        <v>0</v>
      </c>
      <c r="Q137" s="17" t="n">
        <f aca="false">ROUND(L137*Accounts!U116,2)</f>
        <v>0</v>
      </c>
      <c r="R137" s="17" t="n">
        <f aca="false">ROUND(L137*Accounts!V116,2)</f>
        <v>143.66</v>
      </c>
      <c r="S137" s="17" t="n">
        <f aca="false">ROUND(L137*Accounts!W116,2)</f>
        <v>0</v>
      </c>
      <c r="T137" s="17" t="n">
        <f aca="false">ROUND(L137-SUM(M137:S137),2)</f>
        <v>14222.7</v>
      </c>
      <c r="U137" s="17" t="n">
        <f aca="false">ROUND(F137*H137,2)</f>
        <v>7800</v>
      </c>
      <c r="V137" s="17" t="n">
        <f aca="false">ROUND(L137*Assumptions!$C$25,2)</f>
        <v>287.33</v>
      </c>
      <c r="W137" s="17" t="n">
        <f aca="false">ROUND(T137-U137-V137,2)</f>
        <v>6135.37</v>
      </c>
      <c r="X137" s="28" t="n">
        <f aca="false">T137/I137</f>
        <v>0.960993243243243</v>
      </c>
      <c r="Y137" s="17" t="n">
        <f aca="false">T137/F137</f>
        <v>142.227</v>
      </c>
      <c r="Z137" s="26" t="n">
        <f aca="false">Accounts!H116</f>
        <v>745</v>
      </c>
      <c r="AA137" s="28" t="n">
        <f aca="false">IF(Z137&gt;=Assumptions!$B$44,Assumptions!$C$44,IF(Z137&gt;=Assumptions!$B$45,Assumptions!$C$45,IF(Z137&gt;=Assumptions!$B$46,Assumptions!$C$46,Assumptions!$C$47)))</f>
        <v>0</v>
      </c>
      <c r="AB137" s="26" t="n">
        <f aca="false">IF(Z137&gt;=Assumptions!$B$44,Assumptions!$B$44,IF(Z137&gt;=Assumptions!$B$45,Assumptions!$B$45,IF(Z137&gt;=Assumptions!$B$46,Assumptions!$B$46,0)))</f>
        <v>0</v>
      </c>
    </row>
    <row r="138" customFormat="false" ht="15" hidden="false" customHeight="false" outlineLevel="0" collapsed="false">
      <c r="B138" s="14" t="s">
        <v>285</v>
      </c>
      <c r="C138" s="14" t="s">
        <v>259</v>
      </c>
      <c r="D138" s="14" t="s">
        <v>227</v>
      </c>
      <c r="E138" s="14" t="s">
        <v>60</v>
      </c>
      <c r="F138" s="26" t="n">
        <f aca="false">Accounts!E132</f>
        <v>139</v>
      </c>
      <c r="G138" s="17" t="n">
        <f aca="false">Assumptions!$D$8</f>
        <v>148</v>
      </c>
      <c r="H138" s="17" t="n">
        <f aca="false">Assumptions!$E$8</f>
        <v>78</v>
      </c>
      <c r="I138" s="17" t="n">
        <f aca="false">ROUND(F138*G138,2)</f>
        <v>20572</v>
      </c>
      <c r="J138" s="17" t="n">
        <f aca="false">ROUND(I138*Accounts!O132,2)</f>
        <v>411.44</v>
      </c>
      <c r="K138" s="17" t="n">
        <f aca="false">ROUND(I138*Accounts!L132,2)</f>
        <v>0</v>
      </c>
      <c r="L138" s="17" t="n">
        <f aca="false">ROUND(I138-J138-K138,2)</f>
        <v>20160.56</v>
      </c>
      <c r="M138" s="17" t="n">
        <f aca="false">ROUND(L138*AA138,2)</f>
        <v>0</v>
      </c>
      <c r="N138" s="17" t="n">
        <f aca="false">ROUND(L138*Accounts!R132,2)</f>
        <v>0</v>
      </c>
      <c r="O138" s="17" t="n">
        <f aca="false">ROUND(L138*Accounts!S132,2)</f>
        <v>0</v>
      </c>
      <c r="P138" s="17" t="n">
        <f aca="false">ROUND(L138*Accounts!T132,2)</f>
        <v>0</v>
      </c>
      <c r="Q138" s="17" t="n">
        <f aca="false">ROUND(L138*Accounts!U132,2)</f>
        <v>0</v>
      </c>
      <c r="R138" s="17" t="n">
        <f aca="false">ROUND(L138*Accounts!V132,2)</f>
        <v>201.61</v>
      </c>
      <c r="S138" s="17" t="n">
        <f aca="false">ROUND(L138*Accounts!W132,2)</f>
        <v>0</v>
      </c>
      <c r="T138" s="17" t="n">
        <f aca="false">ROUND(L138-SUM(M138:S138),2)</f>
        <v>19958.95</v>
      </c>
      <c r="U138" s="17" t="n">
        <f aca="false">ROUND(F138*H138,2)</f>
        <v>10842</v>
      </c>
      <c r="V138" s="17" t="n">
        <f aca="false">ROUND(L138*Assumptions!$C$25,2)</f>
        <v>403.21</v>
      </c>
      <c r="W138" s="17" t="n">
        <f aca="false">ROUND(T138-U138-V138,2)</f>
        <v>8713.74</v>
      </c>
      <c r="X138" s="28" t="n">
        <f aca="false">T138/I138</f>
        <v>0.970199786117052</v>
      </c>
      <c r="Y138" s="17" t="n">
        <f aca="false">T138/F138</f>
        <v>143.589568345324</v>
      </c>
      <c r="Z138" s="26" t="n">
        <f aca="false">Accounts!H132</f>
        <v>441</v>
      </c>
      <c r="AA138" s="28" t="n">
        <f aca="false">IF(Z138&gt;=Assumptions!$B$44,Assumptions!$C$44,IF(Z138&gt;=Assumptions!$B$45,Assumptions!$C$45,IF(Z138&gt;=Assumptions!$B$46,Assumptions!$C$46,Assumptions!$C$47)))</f>
        <v>0</v>
      </c>
      <c r="AB138" s="26" t="n">
        <f aca="false">IF(Z138&gt;=Assumptions!$B$44,Assumptions!$B$44,IF(Z138&gt;=Assumptions!$B$45,Assumptions!$B$45,IF(Z138&gt;=Assumptions!$B$46,Assumptions!$B$46,0)))</f>
        <v>0</v>
      </c>
    </row>
    <row r="139" customFormat="false" ht="15" hidden="false" customHeight="false" outlineLevel="0" collapsed="false">
      <c r="B139" s="14" t="s">
        <v>301</v>
      </c>
      <c r="C139" s="14" t="s">
        <v>259</v>
      </c>
      <c r="D139" s="14" t="s">
        <v>235</v>
      </c>
      <c r="E139" s="14" t="s">
        <v>60</v>
      </c>
      <c r="F139" s="26" t="n">
        <f aca="false">Accounts!E148</f>
        <v>145</v>
      </c>
      <c r="G139" s="17" t="n">
        <f aca="false">Assumptions!$D$8</f>
        <v>148</v>
      </c>
      <c r="H139" s="17" t="n">
        <f aca="false">Assumptions!$E$8</f>
        <v>78</v>
      </c>
      <c r="I139" s="17" t="n">
        <f aca="false">ROUND(F139*G139,2)</f>
        <v>21460</v>
      </c>
      <c r="J139" s="17" t="n">
        <f aca="false">ROUND(I139*Accounts!O148,2)</f>
        <v>0</v>
      </c>
      <c r="K139" s="17" t="n">
        <f aca="false">ROUND(I139*Accounts!L148,2)</f>
        <v>798.31</v>
      </c>
      <c r="L139" s="17" t="n">
        <f aca="false">ROUND(I139-J139-K139,2)</f>
        <v>20661.69</v>
      </c>
      <c r="M139" s="17" t="n">
        <f aca="false">ROUND(L139*AA139,2)</f>
        <v>0</v>
      </c>
      <c r="N139" s="17" t="n">
        <f aca="false">ROUND(L139*Accounts!R148,2)</f>
        <v>0</v>
      </c>
      <c r="O139" s="17" t="n">
        <f aca="false">ROUND(L139*Accounts!S148,2)</f>
        <v>0</v>
      </c>
      <c r="P139" s="17" t="n">
        <f aca="false">ROUND(L139*Accounts!T148,2)</f>
        <v>0</v>
      </c>
      <c r="Q139" s="17" t="n">
        <f aca="false">ROUND(L139*Accounts!U148,2)</f>
        <v>0</v>
      </c>
      <c r="R139" s="17" t="n">
        <f aca="false">ROUND(L139*Accounts!V148,2)</f>
        <v>206.62</v>
      </c>
      <c r="S139" s="17" t="n">
        <f aca="false">ROUND(L139*Accounts!W148,2)</f>
        <v>0</v>
      </c>
      <c r="T139" s="17" t="n">
        <f aca="false">ROUND(L139-SUM(M139:S139),2)</f>
        <v>20455.07</v>
      </c>
      <c r="U139" s="17" t="n">
        <f aca="false">ROUND(F139*H139,2)</f>
        <v>11310</v>
      </c>
      <c r="V139" s="17" t="n">
        <f aca="false">ROUND(L139*Assumptions!$C$25,2)</f>
        <v>413.23</v>
      </c>
      <c r="W139" s="17" t="n">
        <f aca="false">ROUND(T139-U139-V139,2)</f>
        <v>8731.84</v>
      </c>
      <c r="X139" s="28" t="n">
        <f aca="false">T139/I139</f>
        <v>0.953171947809879</v>
      </c>
      <c r="Y139" s="17" t="n">
        <f aca="false">T139/F139</f>
        <v>141.069448275862</v>
      </c>
      <c r="Z139" s="26" t="n">
        <f aca="false">Accounts!H148</f>
        <v>864</v>
      </c>
      <c r="AA139" s="28" t="n">
        <f aca="false">IF(Z139&gt;=Assumptions!$B$44,Assumptions!$C$44,IF(Z139&gt;=Assumptions!$B$45,Assumptions!$C$45,IF(Z139&gt;=Assumptions!$B$46,Assumptions!$C$46,Assumptions!$C$47)))</f>
        <v>0</v>
      </c>
      <c r="AB139" s="26" t="n">
        <f aca="false">IF(Z139&gt;=Assumptions!$B$44,Assumptions!$B$44,IF(Z139&gt;=Assumptions!$B$45,Assumptions!$B$45,IF(Z139&gt;=Assumptions!$B$46,Assumptions!$B$46,0)))</f>
        <v>0</v>
      </c>
    </row>
    <row r="140" customFormat="false" ht="15" hidden="false" customHeight="false" outlineLevel="0" collapsed="false">
      <c r="B140" s="14" t="s">
        <v>333</v>
      </c>
      <c r="C140" s="14" t="s">
        <v>259</v>
      </c>
      <c r="D140" s="14" t="s">
        <v>251</v>
      </c>
      <c r="E140" s="14" t="s">
        <v>60</v>
      </c>
      <c r="F140" s="26" t="n">
        <f aca="false">Accounts!E180</f>
        <v>85</v>
      </c>
      <c r="G140" s="17" t="n">
        <f aca="false">Assumptions!$D$8</f>
        <v>148</v>
      </c>
      <c r="H140" s="17" t="n">
        <f aca="false">Assumptions!$E$8</f>
        <v>78</v>
      </c>
      <c r="I140" s="17" t="n">
        <f aca="false">ROUND(F140*G140,2)</f>
        <v>12580</v>
      </c>
      <c r="J140" s="17" t="n">
        <f aca="false">ROUND(I140*Accounts!O180,2)</f>
        <v>0</v>
      </c>
      <c r="K140" s="17" t="n">
        <f aca="false">ROUND(I140*Accounts!L180,2)</f>
        <v>506.97</v>
      </c>
      <c r="L140" s="17" t="n">
        <f aca="false">ROUND(I140-J140-K140,2)</f>
        <v>12073.03</v>
      </c>
      <c r="M140" s="17" t="n">
        <f aca="false">ROUND(L140*AA140,2)</f>
        <v>0</v>
      </c>
      <c r="N140" s="17" t="n">
        <f aca="false">ROUND(L140*Accounts!R180,2)</f>
        <v>0</v>
      </c>
      <c r="O140" s="17" t="n">
        <f aca="false">ROUND(L140*Accounts!S180,2)</f>
        <v>0</v>
      </c>
      <c r="P140" s="17" t="n">
        <f aca="false">ROUND(L140*Accounts!T180,2)</f>
        <v>0</v>
      </c>
      <c r="Q140" s="17" t="n">
        <f aca="false">ROUND(L140*Accounts!U180,2)</f>
        <v>0</v>
      </c>
      <c r="R140" s="17" t="n">
        <f aca="false">ROUND(L140*Accounts!V180,2)</f>
        <v>120.73</v>
      </c>
      <c r="S140" s="17" t="n">
        <f aca="false">ROUND(L140*Accounts!W180,2)</f>
        <v>0</v>
      </c>
      <c r="T140" s="17" t="n">
        <f aca="false">ROUND(L140-SUM(M140:S140),2)</f>
        <v>11952.3</v>
      </c>
      <c r="U140" s="17" t="n">
        <f aca="false">ROUND(F140*H140,2)</f>
        <v>6630</v>
      </c>
      <c r="V140" s="17" t="n">
        <f aca="false">ROUND(L140*Assumptions!$C$25,2)</f>
        <v>241.46</v>
      </c>
      <c r="W140" s="17" t="n">
        <f aca="false">ROUND(T140-U140-V140,2)</f>
        <v>5080.84</v>
      </c>
      <c r="X140" s="28" t="n">
        <f aca="false">T140/I140</f>
        <v>0.95010333863275</v>
      </c>
      <c r="Y140" s="17" t="n">
        <f aca="false">T140/F140</f>
        <v>140.615294117647</v>
      </c>
      <c r="Z140" s="26" t="n">
        <f aca="false">Accounts!H180</f>
        <v>436</v>
      </c>
      <c r="AA140" s="28" t="n">
        <f aca="false">IF(Z140&gt;=Assumptions!$B$44,Assumptions!$C$44,IF(Z140&gt;=Assumptions!$B$45,Assumptions!$C$45,IF(Z140&gt;=Assumptions!$B$46,Assumptions!$C$46,Assumptions!$C$47)))</f>
        <v>0</v>
      </c>
      <c r="AB140" s="26" t="n">
        <f aca="false">IF(Z140&gt;=Assumptions!$B$44,Assumptions!$B$44,IF(Z140&gt;=Assumptions!$B$45,Assumptions!$B$45,IF(Z140&gt;=Assumptions!$B$46,Assumptions!$B$46,0)))</f>
        <v>0</v>
      </c>
    </row>
    <row r="141" customFormat="false" ht="15" hidden="false" customHeight="false" outlineLevel="0" collapsed="false">
      <c r="B141" s="14" t="s">
        <v>286</v>
      </c>
      <c r="C141" s="14" t="s">
        <v>259</v>
      </c>
      <c r="D141" s="14" t="s">
        <v>227</v>
      </c>
      <c r="E141" s="14" t="s">
        <v>60</v>
      </c>
      <c r="F141" s="26" t="n">
        <f aca="false">Accounts!E133</f>
        <v>80</v>
      </c>
      <c r="G141" s="17" t="n">
        <f aca="false">Assumptions!$D$8</f>
        <v>148</v>
      </c>
      <c r="H141" s="17" t="n">
        <f aca="false">Assumptions!$E$8</f>
        <v>78</v>
      </c>
      <c r="I141" s="17" t="n">
        <f aca="false">ROUND(F141*G141,2)</f>
        <v>11840</v>
      </c>
      <c r="J141" s="17" t="n">
        <f aca="false">ROUND(I141*Accounts!O133,2)</f>
        <v>0</v>
      </c>
      <c r="K141" s="17" t="n">
        <f aca="false">ROUND(I141*Accounts!L133,2)</f>
        <v>0</v>
      </c>
      <c r="L141" s="17" t="n">
        <f aca="false">ROUND(I141-J141-K141,2)</f>
        <v>11840</v>
      </c>
      <c r="M141" s="17" t="n">
        <f aca="false">ROUND(L141*AA141,2)</f>
        <v>0</v>
      </c>
      <c r="N141" s="17" t="n">
        <f aca="false">ROUND(L141*Accounts!R133,2)</f>
        <v>0</v>
      </c>
      <c r="O141" s="17" t="n">
        <f aca="false">ROUND(L141*Accounts!S133,2)</f>
        <v>0</v>
      </c>
      <c r="P141" s="17" t="n">
        <f aca="false">ROUND(L141*Accounts!T133,2)</f>
        <v>0</v>
      </c>
      <c r="Q141" s="17" t="n">
        <f aca="false">ROUND(L141*Accounts!U133,2)</f>
        <v>0</v>
      </c>
      <c r="R141" s="17" t="n">
        <f aca="false">ROUND(L141*Accounts!V133,2)</f>
        <v>118.4</v>
      </c>
      <c r="S141" s="17" t="n">
        <f aca="false">ROUND(L141*Accounts!W133,2)</f>
        <v>0</v>
      </c>
      <c r="T141" s="17" t="n">
        <f aca="false">ROUND(L141-SUM(M141:S141),2)</f>
        <v>11721.6</v>
      </c>
      <c r="U141" s="17" t="n">
        <f aca="false">ROUND(F141*H141,2)</f>
        <v>6240</v>
      </c>
      <c r="V141" s="17" t="n">
        <f aca="false">ROUND(L141*Assumptions!$C$25,2)</f>
        <v>236.8</v>
      </c>
      <c r="W141" s="17" t="n">
        <f aca="false">ROUND(T141-U141-V141,2)</f>
        <v>5244.8</v>
      </c>
      <c r="X141" s="28" t="n">
        <f aca="false">T141/I141</f>
        <v>0.99</v>
      </c>
      <c r="Y141" s="17" t="n">
        <f aca="false">T141/F141</f>
        <v>146.52</v>
      </c>
      <c r="Z141" s="26" t="n">
        <f aca="false">Accounts!H133</f>
        <v>618</v>
      </c>
      <c r="AA141" s="28" t="n">
        <f aca="false">IF(Z141&gt;=Assumptions!$B$44,Assumptions!$C$44,IF(Z141&gt;=Assumptions!$B$45,Assumptions!$C$45,IF(Z141&gt;=Assumptions!$B$46,Assumptions!$C$46,Assumptions!$C$47)))</f>
        <v>0</v>
      </c>
      <c r="AB141" s="26" t="n">
        <f aca="false">IF(Z141&gt;=Assumptions!$B$44,Assumptions!$B$44,IF(Z141&gt;=Assumptions!$B$45,Assumptions!$B$45,IF(Z141&gt;=Assumptions!$B$46,Assumptions!$B$46,0)))</f>
        <v>0</v>
      </c>
    </row>
    <row r="142" customFormat="false" ht="15" hidden="false" customHeight="false" outlineLevel="0" collapsed="false">
      <c r="B142" s="14" t="s">
        <v>302</v>
      </c>
      <c r="C142" s="14" t="s">
        <v>259</v>
      </c>
      <c r="D142" s="14" t="s">
        <v>235</v>
      </c>
      <c r="E142" s="14" t="s">
        <v>60</v>
      </c>
      <c r="F142" s="26" t="n">
        <f aca="false">Accounts!E149</f>
        <v>214</v>
      </c>
      <c r="G142" s="17" t="n">
        <f aca="false">Assumptions!$D$8</f>
        <v>148</v>
      </c>
      <c r="H142" s="17" t="n">
        <f aca="false">Assumptions!$E$8</f>
        <v>78</v>
      </c>
      <c r="I142" s="17" t="n">
        <f aca="false">ROUND(F142*G142,2)</f>
        <v>31672</v>
      </c>
      <c r="J142" s="17" t="n">
        <f aca="false">ROUND(I142*Accounts!O149,2)</f>
        <v>0</v>
      </c>
      <c r="K142" s="17" t="n">
        <f aca="false">ROUND(I142*Accounts!L149,2)</f>
        <v>1374.56</v>
      </c>
      <c r="L142" s="17" t="n">
        <f aca="false">ROUND(I142-J142-K142,2)</f>
        <v>30297.44</v>
      </c>
      <c r="M142" s="17" t="n">
        <f aca="false">ROUND(L142*AA142,2)</f>
        <v>0</v>
      </c>
      <c r="N142" s="17" t="n">
        <f aca="false">ROUND(L142*Accounts!R149,2)</f>
        <v>0</v>
      </c>
      <c r="O142" s="17" t="n">
        <f aca="false">ROUND(L142*Accounts!S149,2)</f>
        <v>0</v>
      </c>
      <c r="P142" s="17" t="n">
        <f aca="false">ROUND(L142*Accounts!T149,2)</f>
        <v>0</v>
      </c>
      <c r="Q142" s="17" t="n">
        <f aca="false">ROUND(L142*Accounts!U149,2)</f>
        <v>0</v>
      </c>
      <c r="R142" s="17" t="n">
        <f aca="false">ROUND(L142*Accounts!V149,2)</f>
        <v>302.97</v>
      </c>
      <c r="S142" s="17" t="n">
        <f aca="false">ROUND(L142*Accounts!W149,2)</f>
        <v>0</v>
      </c>
      <c r="T142" s="17" t="n">
        <f aca="false">ROUND(L142-SUM(M142:S142),2)</f>
        <v>29994.47</v>
      </c>
      <c r="U142" s="17" t="n">
        <f aca="false">ROUND(F142*H142,2)</f>
        <v>16692</v>
      </c>
      <c r="V142" s="17" t="n">
        <f aca="false">ROUND(L142*Assumptions!$C$25,2)</f>
        <v>605.95</v>
      </c>
      <c r="W142" s="17" t="n">
        <f aca="false">ROUND(T142-U142-V142,2)</f>
        <v>12696.52</v>
      </c>
      <c r="X142" s="28" t="n">
        <f aca="false">T142/I142</f>
        <v>0.947034288961859</v>
      </c>
      <c r="Y142" s="17" t="n">
        <f aca="false">T142/F142</f>
        <v>140.161074766355</v>
      </c>
      <c r="Z142" s="26" t="n">
        <f aca="false">Accounts!H149</f>
        <v>497</v>
      </c>
      <c r="AA142" s="28" t="n">
        <f aca="false">IF(Z142&gt;=Assumptions!$B$44,Assumptions!$C$44,IF(Z142&gt;=Assumptions!$B$45,Assumptions!$C$45,IF(Z142&gt;=Assumptions!$B$46,Assumptions!$C$46,Assumptions!$C$47)))</f>
        <v>0</v>
      </c>
      <c r="AB142" s="26" t="n">
        <f aca="false">IF(Z142&gt;=Assumptions!$B$44,Assumptions!$B$44,IF(Z142&gt;=Assumptions!$B$45,Assumptions!$B$45,IF(Z142&gt;=Assumptions!$B$46,Assumptions!$B$46,0)))</f>
        <v>0</v>
      </c>
    </row>
    <row r="143" customFormat="false" ht="15" hidden="false" customHeight="false" outlineLevel="0" collapsed="false">
      <c r="B143" s="14" t="s">
        <v>318</v>
      </c>
      <c r="C143" s="14" t="s">
        <v>259</v>
      </c>
      <c r="D143" s="14" t="s">
        <v>243</v>
      </c>
      <c r="E143" s="14" t="s">
        <v>60</v>
      </c>
      <c r="F143" s="26" t="n">
        <f aca="false">Accounts!E165</f>
        <v>437</v>
      </c>
      <c r="G143" s="17" t="n">
        <f aca="false">Assumptions!$D$8</f>
        <v>148</v>
      </c>
      <c r="H143" s="17" t="n">
        <f aca="false">Assumptions!$E$8</f>
        <v>78</v>
      </c>
      <c r="I143" s="17" t="n">
        <f aca="false">ROUND(F143*G143,2)</f>
        <v>64676</v>
      </c>
      <c r="J143" s="17" t="n">
        <f aca="false">ROUND(I143*Accounts!O165,2)</f>
        <v>1293.52</v>
      </c>
      <c r="K143" s="17" t="n">
        <f aca="false">ROUND(I143*Accounts!L165,2)</f>
        <v>4210.41</v>
      </c>
      <c r="L143" s="17" t="n">
        <f aca="false">ROUND(I143-J143-K143,2)</f>
        <v>59172.07</v>
      </c>
      <c r="M143" s="17" t="n">
        <f aca="false">ROUND(L143*AA143,2)</f>
        <v>1183.44</v>
      </c>
      <c r="N143" s="17" t="n">
        <f aca="false">ROUND(L143*Accounts!R165,2)</f>
        <v>0</v>
      </c>
      <c r="O143" s="17" t="n">
        <f aca="false">ROUND(L143*Accounts!S165,2)</f>
        <v>0</v>
      </c>
      <c r="P143" s="17" t="n">
        <f aca="false">ROUND(L143*Accounts!T165,2)</f>
        <v>0</v>
      </c>
      <c r="Q143" s="17" t="n">
        <f aca="false">ROUND(L143*Accounts!U165,2)</f>
        <v>0</v>
      </c>
      <c r="R143" s="17" t="n">
        <f aca="false">ROUND(L143*Accounts!V165,2)</f>
        <v>591.72</v>
      </c>
      <c r="S143" s="17" t="n">
        <f aca="false">ROUND(L143*Accounts!W165,2)</f>
        <v>0</v>
      </c>
      <c r="T143" s="17" t="n">
        <f aca="false">ROUND(L143-SUM(M143:S143),2)</f>
        <v>57396.91</v>
      </c>
      <c r="U143" s="17" t="n">
        <f aca="false">ROUND(F143*H143,2)</f>
        <v>34086</v>
      </c>
      <c r="V143" s="17" t="n">
        <f aca="false">ROUND(L143*Assumptions!$C$25,2)</f>
        <v>1183.44</v>
      </c>
      <c r="W143" s="17" t="n">
        <f aca="false">ROUND(T143-U143-V143,2)</f>
        <v>22127.47</v>
      </c>
      <c r="X143" s="28" t="n">
        <f aca="false">T143/I143</f>
        <v>0.887452996474736</v>
      </c>
      <c r="Y143" s="17" t="n">
        <f aca="false">T143/F143</f>
        <v>131.343043478261</v>
      </c>
      <c r="Z143" s="26" t="n">
        <f aca="false">Accounts!H165</f>
        <v>3601</v>
      </c>
      <c r="AA143" s="28" t="n">
        <f aca="false">IF(Z143&gt;=Assumptions!$B$44,Assumptions!$C$44,IF(Z143&gt;=Assumptions!$B$45,Assumptions!$C$45,IF(Z143&gt;=Assumptions!$B$46,Assumptions!$C$46,Assumptions!$C$47)))</f>
        <v>0.02</v>
      </c>
      <c r="AB143" s="26" t="n">
        <f aca="false">IF(Z143&gt;=Assumptions!$B$44,Assumptions!$B$44,IF(Z143&gt;=Assumptions!$B$45,Assumptions!$B$45,IF(Z143&gt;=Assumptions!$B$46,Assumptions!$B$46,0)))</f>
        <v>3000</v>
      </c>
    </row>
    <row r="144" customFormat="false" ht="15" hidden="false" customHeight="false" outlineLevel="0" collapsed="false">
      <c r="B144" s="14" t="s">
        <v>334</v>
      </c>
      <c r="C144" s="14" t="s">
        <v>259</v>
      </c>
      <c r="D144" s="14" t="s">
        <v>251</v>
      </c>
      <c r="E144" s="14" t="s">
        <v>60</v>
      </c>
      <c r="F144" s="26" t="n">
        <f aca="false">Accounts!E181</f>
        <v>186</v>
      </c>
      <c r="G144" s="17" t="n">
        <f aca="false">Assumptions!$D$8</f>
        <v>148</v>
      </c>
      <c r="H144" s="17" t="n">
        <f aca="false">Assumptions!$E$8</f>
        <v>78</v>
      </c>
      <c r="I144" s="17" t="n">
        <f aca="false">ROUND(F144*G144,2)</f>
        <v>27528</v>
      </c>
      <c r="J144" s="17" t="n">
        <f aca="false">ROUND(I144*Accounts!O181,2)</f>
        <v>0</v>
      </c>
      <c r="K144" s="17" t="n">
        <f aca="false">ROUND(I144*Accounts!L181,2)</f>
        <v>768.03</v>
      </c>
      <c r="L144" s="17" t="n">
        <f aca="false">ROUND(I144-J144-K144,2)</f>
        <v>26759.97</v>
      </c>
      <c r="M144" s="17" t="n">
        <f aca="false">ROUND(L144*AA144,2)</f>
        <v>0</v>
      </c>
      <c r="N144" s="17" t="n">
        <f aca="false">ROUND(L144*Accounts!R181,2)</f>
        <v>0</v>
      </c>
      <c r="O144" s="17" t="n">
        <f aca="false">ROUND(L144*Accounts!S181,2)</f>
        <v>0</v>
      </c>
      <c r="P144" s="17" t="n">
        <f aca="false">ROUND(L144*Accounts!T181,2)</f>
        <v>0</v>
      </c>
      <c r="Q144" s="17" t="n">
        <f aca="false">ROUND(L144*Accounts!U181,2)</f>
        <v>0</v>
      </c>
      <c r="R144" s="17" t="n">
        <f aca="false">ROUND(L144*Accounts!V181,2)</f>
        <v>267.6</v>
      </c>
      <c r="S144" s="17" t="n">
        <f aca="false">ROUND(L144*Accounts!W181,2)</f>
        <v>0</v>
      </c>
      <c r="T144" s="17" t="n">
        <f aca="false">ROUND(L144-SUM(M144:S144),2)</f>
        <v>26492.37</v>
      </c>
      <c r="U144" s="17" t="n">
        <f aca="false">ROUND(F144*H144,2)</f>
        <v>14508</v>
      </c>
      <c r="V144" s="17" t="n">
        <f aca="false">ROUND(L144*Assumptions!$C$25,2)</f>
        <v>535.2</v>
      </c>
      <c r="W144" s="17" t="n">
        <f aca="false">ROUND(T144-U144-V144,2)</f>
        <v>11449.17</v>
      </c>
      <c r="X144" s="28" t="n">
        <f aca="false">T144/I144</f>
        <v>0.962379032258064</v>
      </c>
      <c r="Y144" s="17" t="n">
        <f aca="false">T144/F144</f>
        <v>142.432096774194</v>
      </c>
      <c r="Z144" s="26" t="n">
        <f aca="false">Accounts!H181</f>
        <v>1172</v>
      </c>
      <c r="AA144" s="28" t="n">
        <f aca="false">IF(Z144&gt;=Assumptions!$B$44,Assumptions!$C$44,IF(Z144&gt;=Assumptions!$B$45,Assumptions!$C$45,IF(Z144&gt;=Assumptions!$B$46,Assumptions!$C$46,Assumptions!$C$47)))</f>
        <v>0</v>
      </c>
      <c r="AB144" s="26" t="n">
        <f aca="false">IF(Z144&gt;=Assumptions!$B$44,Assumptions!$B$44,IF(Z144&gt;=Assumptions!$B$45,Assumptions!$B$45,IF(Z144&gt;=Assumptions!$B$46,Assumptions!$B$46,0)))</f>
        <v>0</v>
      </c>
    </row>
    <row r="145" customFormat="false" ht="15" hidden="false" customHeight="false" outlineLevel="0" collapsed="false">
      <c r="B145" s="14" t="s">
        <v>271</v>
      </c>
      <c r="C145" s="14" t="s">
        <v>259</v>
      </c>
      <c r="D145" s="14" t="s">
        <v>218</v>
      </c>
      <c r="E145" s="14" t="s">
        <v>60</v>
      </c>
      <c r="F145" s="26" t="n">
        <f aca="false">Accounts!E118</f>
        <v>285</v>
      </c>
      <c r="G145" s="17" t="n">
        <f aca="false">Assumptions!$D$8</f>
        <v>148</v>
      </c>
      <c r="H145" s="17" t="n">
        <f aca="false">Assumptions!$E$8</f>
        <v>78</v>
      </c>
      <c r="I145" s="17" t="n">
        <f aca="false">ROUND(F145*G145,2)</f>
        <v>42180</v>
      </c>
      <c r="J145" s="17" t="n">
        <f aca="false">ROUND(I145*Accounts!O118,2)</f>
        <v>843.6</v>
      </c>
      <c r="K145" s="17" t="n">
        <f aca="false">ROUND(I145*Accounts!L118,2)</f>
        <v>130.76</v>
      </c>
      <c r="L145" s="17" t="n">
        <f aca="false">ROUND(I145-J145-K145,2)</f>
        <v>41205.64</v>
      </c>
      <c r="M145" s="17" t="n">
        <f aca="false">ROUND(L145*AA145,2)</f>
        <v>0</v>
      </c>
      <c r="N145" s="17" t="n">
        <f aca="false">ROUND(L145*Accounts!R118,2)</f>
        <v>0</v>
      </c>
      <c r="O145" s="17" t="n">
        <f aca="false">ROUND(L145*Accounts!S118,2)</f>
        <v>0</v>
      </c>
      <c r="P145" s="17" t="n">
        <f aca="false">ROUND(L145*Accounts!T118,2)</f>
        <v>0</v>
      </c>
      <c r="Q145" s="17" t="n">
        <f aca="false">ROUND(L145*Accounts!U118,2)</f>
        <v>0</v>
      </c>
      <c r="R145" s="17" t="n">
        <f aca="false">ROUND(L145*Accounts!V118,2)</f>
        <v>412.06</v>
      </c>
      <c r="S145" s="17" t="n">
        <f aca="false">ROUND(L145*Accounts!W118,2)</f>
        <v>0</v>
      </c>
      <c r="T145" s="17" t="n">
        <f aca="false">ROUND(L145-SUM(M145:S145),2)</f>
        <v>40793.58</v>
      </c>
      <c r="U145" s="17" t="n">
        <f aca="false">ROUND(F145*H145,2)</f>
        <v>22230</v>
      </c>
      <c r="V145" s="17" t="n">
        <f aca="false">ROUND(L145*Assumptions!$C$25,2)</f>
        <v>824.11</v>
      </c>
      <c r="W145" s="17" t="n">
        <f aca="false">ROUND(T145-U145-V145,2)</f>
        <v>17739.47</v>
      </c>
      <c r="X145" s="28" t="n">
        <f aca="false">T145/I145</f>
        <v>0.967130867709815</v>
      </c>
      <c r="Y145" s="17" t="n">
        <f aca="false">T145/F145</f>
        <v>143.135368421053</v>
      </c>
      <c r="Z145" s="26" t="n">
        <f aca="false">Accounts!H118</f>
        <v>731</v>
      </c>
      <c r="AA145" s="28" t="n">
        <f aca="false">IF(Z145&gt;=Assumptions!$B$44,Assumptions!$C$44,IF(Z145&gt;=Assumptions!$B$45,Assumptions!$C$45,IF(Z145&gt;=Assumptions!$B$46,Assumptions!$C$46,Assumptions!$C$47)))</f>
        <v>0</v>
      </c>
      <c r="AB145" s="26" t="n">
        <f aca="false">IF(Z145&gt;=Assumptions!$B$44,Assumptions!$B$44,IF(Z145&gt;=Assumptions!$B$45,Assumptions!$B$45,IF(Z145&gt;=Assumptions!$B$46,Assumptions!$B$46,0)))</f>
        <v>0</v>
      </c>
    </row>
    <row r="146" customFormat="false" ht="15" hidden="false" customHeight="false" outlineLevel="0" collapsed="false">
      <c r="B146" s="14" t="s">
        <v>287</v>
      </c>
      <c r="C146" s="14" t="s">
        <v>259</v>
      </c>
      <c r="D146" s="14" t="s">
        <v>227</v>
      </c>
      <c r="E146" s="14" t="s">
        <v>60</v>
      </c>
      <c r="F146" s="26" t="n">
        <f aca="false">Accounts!E134</f>
        <v>53</v>
      </c>
      <c r="G146" s="17" t="n">
        <f aca="false">Assumptions!$D$8</f>
        <v>148</v>
      </c>
      <c r="H146" s="17" t="n">
        <f aca="false">Assumptions!$E$8</f>
        <v>78</v>
      </c>
      <c r="I146" s="17" t="n">
        <f aca="false">ROUND(F146*G146,2)</f>
        <v>7844</v>
      </c>
      <c r="J146" s="17" t="n">
        <f aca="false">ROUND(I146*Accounts!O134,2)</f>
        <v>156.88</v>
      </c>
      <c r="K146" s="17" t="n">
        <f aca="false">ROUND(I146*Accounts!L134,2)</f>
        <v>0</v>
      </c>
      <c r="L146" s="17" t="n">
        <f aca="false">ROUND(I146-J146-K146,2)</f>
        <v>7687.12</v>
      </c>
      <c r="M146" s="17" t="n">
        <f aca="false">ROUND(L146*AA146,2)</f>
        <v>0</v>
      </c>
      <c r="N146" s="17" t="n">
        <f aca="false">ROUND(L146*Accounts!R134,2)</f>
        <v>0</v>
      </c>
      <c r="O146" s="17" t="n">
        <f aca="false">ROUND(L146*Accounts!S134,2)</f>
        <v>0</v>
      </c>
      <c r="P146" s="17" t="n">
        <f aca="false">ROUND(L146*Accounts!T134,2)</f>
        <v>0</v>
      </c>
      <c r="Q146" s="17" t="n">
        <f aca="false">ROUND(L146*Accounts!U134,2)</f>
        <v>0</v>
      </c>
      <c r="R146" s="17" t="n">
        <f aca="false">ROUND(L146*Accounts!V134,2)</f>
        <v>76.87</v>
      </c>
      <c r="S146" s="17" t="n">
        <f aca="false">ROUND(L146*Accounts!W134,2)</f>
        <v>0</v>
      </c>
      <c r="T146" s="17" t="n">
        <f aca="false">ROUND(L146-SUM(M146:S146),2)</f>
        <v>7610.25</v>
      </c>
      <c r="U146" s="17" t="n">
        <f aca="false">ROUND(F146*H146,2)</f>
        <v>4134</v>
      </c>
      <c r="V146" s="17" t="n">
        <f aca="false">ROUND(L146*Assumptions!$C$25,2)</f>
        <v>153.74</v>
      </c>
      <c r="W146" s="17" t="n">
        <f aca="false">ROUND(T146-U146-V146,2)</f>
        <v>3322.51</v>
      </c>
      <c r="X146" s="28" t="n">
        <f aca="false">T146/I146</f>
        <v>0.970200152983172</v>
      </c>
      <c r="Y146" s="17" t="n">
        <f aca="false">T146/F146</f>
        <v>143.589622641509</v>
      </c>
      <c r="Z146" s="26" t="n">
        <f aca="false">Accounts!H134</f>
        <v>249</v>
      </c>
      <c r="AA146" s="28" t="n">
        <f aca="false">IF(Z146&gt;=Assumptions!$B$44,Assumptions!$C$44,IF(Z146&gt;=Assumptions!$B$45,Assumptions!$C$45,IF(Z146&gt;=Assumptions!$B$46,Assumptions!$C$46,Assumptions!$C$47)))</f>
        <v>0</v>
      </c>
      <c r="AB146" s="26" t="n">
        <f aca="false">IF(Z146&gt;=Assumptions!$B$44,Assumptions!$B$44,IF(Z146&gt;=Assumptions!$B$45,Assumptions!$B$45,IF(Z146&gt;=Assumptions!$B$46,Assumptions!$B$46,0)))</f>
        <v>0</v>
      </c>
    </row>
    <row r="147" customFormat="false" ht="15" hidden="false" customHeight="false" outlineLevel="0" collapsed="false">
      <c r="B147" s="14" t="s">
        <v>303</v>
      </c>
      <c r="C147" s="14" t="s">
        <v>259</v>
      </c>
      <c r="D147" s="14" t="s">
        <v>235</v>
      </c>
      <c r="E147" s="14" t="s">
        <v>60</v>
      </c>
      <c r="F147" s="26" t="n">
        <f aca="false">Accounts!E150</f>
        <v>105</v>
      </c>
      <c r="G147" s="17" t="n">
        <f aca="false">Assumptions!$D$8</f>
        <v>148</v>
      </c>
      <c r="H147" s="17" t="n">
        <f aca="false">Assumptions!$E$8</f>
        <v>78</v>
      </c>
      <c r="I147" s="17" t="n">
        <f aca="false">ROUND(F147*G147,2)</f>
        <v>15540</v>
      </c>
      <c r="J147" s="17" t="n">
        <f aca="false">ROUND(I147*Accounts!O150,2)</f>
        <v>0</v>
      </c>
      <c r="K147" s="17" t="n">
        <f aca="false">ROUND(I147*Accounts!L150,2)</f>
        <v>96.35</v>
      </c>
      <c r="L147" s="17" t="n">
        <f aca="false">ROUND(I147-J147-K147,2)</f>
        <v>15443.65</v>
      </c>
      <c r="M147" s="17" t="n">
        <f aca="false">ROUND(L147*AA147,2)</f>
        <v>0</v>
      </c>
      <c r="N147" s="17" t="n">
        <f aca="false">ROUND(L147*Accounts!R150,2)</f>
        <v>0</v>
      </c>
      <c r="O147" s="17" t="n">
        <f aca="false">ROUND(L147*Accounts!S150,2)</f>
        <v>0</v>
      </c>
      <c r="P147" s="17" t="n">
        <f aca="false">ROUND(L147*Accounts!T150,2)</f>
        <v>0</v>
      </c>
      <c r="Q147" s="17" t="n">
        <f aca="false">ROUND(L147*Accounts!U150,2)</f>
        <v>0</v>
      </c>
      <c r="R147" s="17" t="n">
        <f aca="false">ROUND(L147*Accounts!V150,2)</f>
        <v>154.44</v>
      </c>
      <c r="S147" s="17" t="n">
        <f aca="false">ROUND(L147*Accounts!W150,2)</f>
        <v>0</v>
      </c>
      <c r="T147" s="17" t="n">
        <f aca="false">ROUND(L147-SUM(M147:S147),2)</f>
        <v>15289.21</v>
      </c>
      <c r="U147" s="17" t="n">
        <f aca="false">ROUND(F147*H147,2)</f>
        <v>8190</v>
      </c>
      <c r="V147" s="17" t="n">
        <f aca="false">ROUND(L147*Assumptions!$C$25,2)</f>
        <v>308.87</v>
      </c>
      <c r="W147" s="17" t="n">
        <f aca="false">ROUND(T147-U147-V147,2)</f>
        <v>6790.34</v>
      </c>
      <c r="X147" s="28" t="n">
        <f aca="false">T147/I147</f>
        <v>0.983861647361647</v>
      </c>
      <c r="Y147" s="17" t="n">
        <f aca="false">T147/F147</f>
        <v>145.611523809524</v>
      </c>
      <c r="Z147" s="26" t="n">
        <f aca="false">Accounts!H150</f>
        <v>1233</v>
      </c>
      <c r="AA147" s="28" t="n">
        <f aca="false">IF(Z147&gt;=Assumptions!$B$44,Assumptions!$C$44,IF(Z147&gt;=Assumptions!$B$45,Assumptions!$C$45,IF(Z147&gt;=Assumptions!$B$46,Assumptions!$C$46,Assumptions!$C$47)))</f>
        <v>0</v>
      </c>
      <c r="AB147" s="26" t="n">
        <f aca="false">IF(Z147&gt;=Assumptions!$B$44,Assumptions!$B$44,IF(Z147&gt;=Assumptions!$B$45,Assumptions!$B$45,IF(Z147&gt;=Assumptions!$B$46,Assumptions!$B$46,0)))</f>
        <v>0</v>
      </c>
    </row>
    <row r="148" customFormat="false" ht="15" hidden="false" customHeight="false" outlineLevel="0" collapsed="false">
      <c r="B148" s="14" t="s">
        <v>335</v>
      </c>
      <c r="C148" s="14" t="s">
        <v>259</v>
      </c>
      <c r="D148" s="14" t="s">
        <v>251</v>
      </c>
      <c r="E148" s="14" t="s">
        <v>60</v>
      </c>
      <c r="F148" s="26" t="n">
        <f aca="false">Accounts!E182</f>
        <v>265</v>
      </c>
      <c r="G148" s="17" t="n">
        <f aca="false">Assumptions!$D$8</f>
        <v>148</v>
      </c>
      <c r="H148" s="17" t="n">
        <f aca="false">Assumptions!$E$8</f>
        <v>78</v>
      </c>
      <c r="I148" s="17" t="n">
        <f aca="false">ROUND(F148*G148,2)</f>
        <v>39220</v>
      </c>
      <c r="J148" s="17" t="n">
        <f aca="false">ROUND(I148*Accounts!O182,2)</f>
        <v>784.4</v>
      </c>
      <c r="K148" s="17" t="n">
        <f aca="false">ROUND(I148*Accounts!L182,2)</f>
        <v>1215.82</v>
      </c>
      <c r="L148" s="17" t="n">
        <f aca="false">ROUND(I148-J148-K148,2)</f>
        <v>37219.78</v>
      </c>
      <c r="M148" s="17" t="n">
        <f aca="false">ROUND(L148*AA148,2)</f>
        <v>0</v>
      </c>
      <c r="N148" s="17" t="n">
        <f aca="false">ROUND(L148*Accounts!R182,2)</f>
        <v>0</v>
      </c>
      <c r="O148" s="17" t="n">
        <f aca="false">ROUND(L148*Accounts!S182,2)</f>
        <v>0</v>
      </c>
      <c r="P148" s="17" t="n">
        <f aca="false">ROUND(L148*Accounts!T182,2)</f>
        <v>0</v>
      </c>
      <c r="Q148" s="17" t="n">
        <f aca="false">ROUND(L148*Accounts!U182,2)</f>
        <v>0</v>
      </c>
      <c r="R148" s="17" t="n">
        <f aca="false">ROUND(L148*Accounts!V182,2)</f>
        <v>372.2</v>
      </c>
      <c r="S148" s="17" t="n">
        <f aca="false">ROUND(L148*Accounts!W182,2)</f>
        <v>0</v>
      </c>
      <c r="T148" s="17" t="n">
        <f aca="false">ROUND(L148-SUM(M148:S148),2)</f>
        <v>36847.58</v>
      </c>
      <c r="U148" s="17" t="n">
        <f aca="false">ROUND(F148*H148,2)</f>
        <v>20670</v>
      </c>
      <c r="V148" s="17" t="n">
        <f aca="false">ROUND(L148*Assumptions!$C$25,2)</f>
        <v>744.4</v>
      </c>
      <c r="W148" s="17" t="n">
        <f aca="false">ROUND(T148-U148-V148,2)</f>
        <v>15433.18</v>
      </c>
      <c r="X148" s="28" t="n">
        <f aca="false">T148/I148</f>
        <v>0.93950994390617</v>
      </c>
      <c r="Y148" s="17" t="n">
        <f aca="false">T148/F148</f>
        <v>139.047471698113</v>
      </c>
      <c r="Z148" s="26" t="n">
        <f aca="false">Accounts!H182</f>
        <v>537</v>
      </c>
      <c r="AA148" s="28" t="n">
        <f aca="false">IF(Z148&gt;=Assumptions!$B$44,Assumptions!$C$44,IF(Z148&gt;=Assumptions!$B$45,Assumptions!$C$45,IF(Z148&gt;=Assumptions!$B$46,Assumptions!$C$46,Assumptions!$C$47)))</f>
        <v>0</v>
      </c>
      <c r="AB148" s="26" t="n">
        <f aca="false">IF(Z148&gt;=Assumptions!$B$44,Assumptions!$B$44,IF(Z148&gt;=Assumptions!$B$45,Assumptions!$B$45,IF(Z148&gt;=Assumptions!$B$46,Assumptions!$B$46,0)))</f>
        <v>0</v>
      </c>
    </row>
    <row r="149" customFormat="false" ht="15" hidden="false" customHeight="false" outlineLevel="0" collapsed="false">
      <c r="B149" s="14" t="s">
        <v>304</v>
      </c>
      <c r="C149" s="14" t="s">
        <v>259</v>
      </c>
      <c r="D149" s="14" t="s">
        <v>235</v>
      </c>
      <c r="E149" s="14" t="s">
        <v>60</v>
      </c>
      <c r="F149" s="26" t="n">
        <f aca="false">Accounts!E151</f>
        <v>31</v>
      </c>
      <c r="G149" s="17" t="n">
        <f aca="false">Assumptions!$D$8</f>
        <v>148</v>
      </c>
      <c r="H149" s="17" t="n">
        <f aca="false">Assumptions!$E$8</f>
        <v>78</v>
      </c>
      <c r="I149" s="17" t="n">
        <f aca="false">ROUND(F149*G149,2)</f>
        <v>4588</v>
      </c>
      <c r="J149" s="17" t="n">
        <f aca="false">ROUND(I149*Accounts!O151,2)</f>
        <v>91.76</v>
      </c>
      <c r="K149" s="17" t="n">
        <f aca="false">ROUND(I149*Accounts!L151,2)</f>
        <v>42.67</v>
      </c>
      <c r="L149" s="17" t="n">
        <f aca="false">ROUND(I149-J149-K149,2)</f>
        <v>4453.57</v>
      </c>
      <c r="M149" s="17" t="n">
        <f aca="false">ROUND(L149*AA149,2)</f>
        <v>0</v>
      </c>
      <c r="N149" s="17" t="n">
        <f aca="false">ROUND(L149*Accounts!R151,2)</f>
        <v>0</v>
      </c>
      <c r="O149" s="17" t="n">
        <f aca="false">ROUND(L149*Accounts!S151,2)</f>
        <v>0</v>
      </c>
      <c r="P149" s="17" t="n">
        <f aca="false">ROUND(L149*Accounts!T151,2)</f>
        <v>0</v>
      </c>
      <c r="Q149" s="17" t="n">
        <f aca="false">ROUND(L149*Accounts!U151,2)</f>
        <v>0</v>
      </c>
      <c r="R149" s="17" t="n">
        <f aca="false">ROUND(L149*Accounts!V151,2)</f>
        <v>44.54</v>
      </c>
      <c r="S149" s="17" t="n">
        <f aca="false">ROUND(L149*Accounts!W151,2)</f>
        <v>0</v>
      </c>
      <c r="T149" s="17" t="n">
        <f aca="false">ROUND(L149-SUM(M149:S149),2)</f>
        <v>4409.03</v>
      </c>
      <c r="U149" s="17" t="n">
        <f aca="false">ROUND(F149*H149,2)</f>
        <v>2418</v>
      </c>
      <c r="V149" s="17" t="n">
        <f aca="false">ROUND(L149*Assumptions!$C$25,2)</f>
        <v>89.07</v>
      </c>
      <c r="W149" s="17" t="n">
        <f aca="false">ROUND(T149-U149-V149,2)</f>
        <v>1901.96</v>
      </c>
      <c r="X149" s="28" t="n">
        <f aca="false">T149/I149</f>
        <v>0.960991717523976</v>
      </c>
      <c r="Y149" s="17" t="n">
        <f aca="false">T149/F149</f>
        <v>142.226774193548</v>
      </c>
      <c r="Z149" s="26" t="n">
        <f aca="false">Accounts!H151</f>
        <v>1480</v>
      </c>
      <c r="AA149" s="28" t="n">
        <f aca="false">IF(Z149&gt;=Assumptions!$B$44,Assumptions!$C$44,IF(Z149&gt;=Assumptions!$B$45,Assumptions!$C$45,IF(Z149&gt;=Assumptions!$B$46,Assumptions!$C$46,Assumptions!$C$47)))</f>
        <v>0</v>
      </c>
      <c r="AB149" s="26" t="n">
        <f aca="false">IF(Z149&gt;=Assumptions!$B$44,Assumptions!$B$44,IF(Z149&gt;=Assumptions!$B$45,Assumptions!$B$45,IF(Z149&gt;=Assumptions!$B$46,Assumptions!$B$46,0)))</f>
        <v>0</v>
      </c>
    </row>
    <row r="150" customFormat="false" ht="15" hidden="false" customHeight="false" outlineLevel="0" collapsed="false">
      <c r="B150" s="14" t="s">
        <v>320</v>
      </c>
      <c r="C150" s="14" t="s">
        <v>259</v>
      </c>
      <c r="D150" s="14" t="s">
        <v>243</v>
      </c>
      <c r="E150" s="14" t="s">
        <v>60</v>
      </c>
      <c r="F150" s="26" t="n">
        <f aca="false">Accounts!E167</f>
        <v>57</v>
      </c>
      <c r="G150" s="17" t="n">
        <f aca="false">Assumptions!$D$8</f>
        <v>148</v>
      </c>
      <c r="H150" s="17" t="n">
        <f aca="false">Assumptions!$E$8</f>
        <v>78</v>
      </c>
      <c r="I150" s="17" t="n">
        <f aca="false">ROUND(F150*G150,2)</f>
        <v>8436</v>
      </c>
      <c r="J150" s="17" t="n">
        <f aca="false">ROUND(I150*Accounts!O167,2)</f>
        <v>168.72</v>
      </c>
      <c r="K150" s="17" t="n">
        <f aca="false">ROUND(I150*Accounts!L167,2)</f>
        <v>235.36</v>
      </c>
      <c r="L150" s="17" t="n">
        <f aca="false">ROUND(I150-J150-K150,2)</f>
        <v>8031.92</v>
      </c>
      <c r="M150" s="17" t="n">
        <f aca="false">ROUND(L150*AA150,2)</f>
        <v>0</v>
      </c>
      <c r="N150" s="17" t="n">
        <f aca="false">ROUND(L150*Accounts!R167,2)</f>
        <v>0</v>
      </c>
      <c r="O150" s="17" t="n">
        <f aca="false">ROUND(L150*Accounts!S167,2)</f>
        <v>0</v>
      </c>
      <c r="P150" s="17" t="n">
        <f aca="false">ROUND(L150*Accounts!T167,2)</f>
        <v>0</v>
      </c>
      <c r="Q150" s="17" t="n">
        <f aca="false">ROUND(L150*Accounts!U167,2)</f>
        <v>0</v>
      </c>
      <c r="R150" s="17" t="n">
        <f aca="false">ROUND(L150*Accounts!V167,2)</f>
        <v>80.32</v>
      </c>
      <c r="S150" s="17" t="n">
        <f aca="false">ROUND(L150*Accounts!W167,2)</f>
        <v>0</v>
      </c>
      <c r="T150" s="17" t="n">
        <f aca="false">ROUND(L150-SUM(M150:S150),2)</f>
        <v>7951.6</v>
      </c>
      <c r="U150" s="17" t="n">
        <f aca="false">ROUND(F150*H150,2)</f>
        <v>4446</v>
      </c>
      <c r="V150" s="17" t="n">
        <f aca="false">ROUND(L150*Assumptions!$C$25,2)</f>
        <v>160.64</v>
      </c>
      <c r="W150" s="17" t="n">
        <f aca="false">ROUND(T150-U150-V150,2)</f>
        <v>3344.96</v>
      </c>
      <c r="X150" s="28" t="n">
        <f aca="false">T150/I150</f>
        <v>0.94257942152679</v>
      </c>
      <c r="Y150" s="17" t="n">
        <f aca="false">T150/F150</f>
        <v>139.501754385965</v>
      </c>
      <c r="Z150" s="26" t="n">
        <f aca="false">Accounts!H167</f>
        <v>2608</v>
      </c>
      <c r="AA150" s="28" t="n">
        <f aca="false">IF(Z150&gt;=Assumptions!$B$44,Assumptions!$C$44,IF(Z150&gt;=Assumptions!$B$45,Assumptions!$C$45,IF(Z150&gt;=Assumptions!$B$46,Assumptions!$C$46,Assumptions!$C$47)))</f>
        <v>0</v>
      </c>
      <c r="AB150" s="26" t="n">
        <f aca="false">IF(Z150&gt;=Assumptions!$B$44,Assumptions!$B$44,IF(Z150&gt;=Assumptions!$B$45,Assumptions!$B$45,IF(Z150&gt;=Assumptions!$B$46,Assumptions!$B$46,0)))</f>
        <v>0</v>
      </c>
    </row>
    <row r="151" customFormat="false" ht="15" hidden="false" customHeight="false" outlineLevel="0" collapsed="false">
      <c r="B151" s="14" t="s">
        <v>336</v>
      </c>
      <c r="C151" s="14" t="s">
        <v>259</v>
      </c>
      <c r="D151" s="14" t="s">
        <v>251</v>
      </c>
      <c r="E151" s="14" t="s">
        <v>60</v>
      </c>
      <c r="F151" s="26" t="n">
        <f aca="false">Accounts!E183</f>
        <v>611</v>
      </c>
      <c r="G151" s="17" t="n">
        <f aca="false">Assumptions!$D$8</f>
        <v>148</v>
      </c>
      <c r="H151" s="17" t="n">
        <f aca="false">Assumptions!$E$8</f>
        <v>78</v>
      </c>
      <c r="I151" s="17" t="n">
        <f aca="false">ROUND(F151*G151,2)</f>
        <v>90428</v>
      </c>
      <c r="J151" s="17" t="n">
        <f aca="false">ROUND(I151*Accounts!O183,2)</f>
        <v>1808.56</v>
      </c>
      <c r="K151" s="17" t="n">
        <f aca="false">ROUND(I151*Accounts!L183,2)</f>
        <v>5045.88</v>
      </c>
      <c r="L151" s="17" t="n">
        <f aca="false">ROUND(I151-J151-K151,2)</f>
        <v>83573.56</v>
      </c>
      <c r="M151" s="17" t="n">
        <f aca="false">ROUND(L151*AA151,2)</f>
        <v>0</v>
      </c>
      <c r="N151" s="17" t="n">
        <f aca="false">ROUND(L151*Accounts!R183,2)</f>
        <v>0</v>
      </c>
      <c r="O151" s="17" t="n">
        <f aca="false">ROUND(L151*Accounts!S183,2)</f>
        <v>0</v>
      </c>
      <c r="P151" s="17" t="n">
        <f aca="false">ROUND(L151*Accounts!T183,2)</f>
        <v>0</v>
      </c>
      <c r="Q151" s="17" t="n">
        <f aca="false">ROUND(L151*Accounts!U183,2)</f>
        <v>0</v>
      </c>
      <c r="R151" s="17" t="n">
        <f aca="false">ROUND(L151*Accounts!V183,2)</f>
        <v>835.74</v>
      </c>
      <c r="S151" s="17" t="n">
        <f aca="false">ROUND(L151*Accounts!W183,2)</f>
        <v>0</v>
      </c>
      <c r="T151" s="17" t="n">
        <f aca="false">ROUND(L151-SUM(M151:S151),2)</f>
        <v>82737.82</v>
      </c>
      <c r="U151" s="17" t="n">
        <f aca="false">ROUND(F151*H151,2)</f>
        <v>47658</v>
      </c>
      <c r="V151" s="17" t="n">
        <f aca="false">ROUND(L151*Assumptions!$C$25,2)</f>
        <v>1671.47</v>
      </c>
      <c r="W151" s="17" t="n">
        <f aca="false">ROUND(T151-U151-V151,2)</f>
        <v>33408.35</v>
      </c>
      <c r="X151" s="28" t="n">
        <f aca="false">T151/I151</f>
        <v>0.914957977617552</v>
      </c>
      <c r="Y151" s="17" t="n">
        <f aca="false">T151/F151</f>
        <v>135.413780687398</v>
      </c>
      <c r="Z151" s="26" t="n">
        <f aca="false">Accounts!H183</f>
        <v>2848</v>
      </c>
      <c r="AA151" s="28" t="n">
        <f aca="false">IF(Z151&gt;=Assumptions!$B$44,Assumptions!$C$44,IF(Z151&gt;=Assumptions!$B$45,Assumptions!$C$45,IF(Z151&gt;=Assumptions!$B$46,Assumptions!$C$46,Assumptions!$C$47)))</f>
        <v>0</v>
      </c>
      <c r="AB151" s="26" t="n">
        <f aca="false">IF(Z151&gt;=Assumptions!$B$44,Assumptions!$B$44,IF(Z151&gt;=Assumptions!$B$45,Assumptions!$B$45,IF(Z151&gt;=Assumptions!$B$46,Assumptions!$B$46,0)))</f>
        <v>0</v>
      </c>
    </row>
    <row r="152" customFormat="false" ht="15" hidden="false" customHeight="false" outlineLevel="0" collapsed="false">
      <c r="B152" s="14" t="s">
        <v>289</v>
      </c>
      <c r="C152" s="14" t="s">
        <v>259</v>
      </c>
      <c r="D152" s="14" t="s">
        <v>227</v>
      </c>
      <c r="E152" s="14" t="s">
        <v>60</v>
      </c>
      <c r="F152" s="26" t="n">
        <f aca="false">Accounts!E136</f>
        <v>420</v>
      </c>
      <c r="G152" s="17" t="n">
        <f aca="false">Assumptions!$D$8</f>
        <v>148</v>
      </c>
      <c r="H152" s="17" t="n">
        <f aca="false">Assumptions!$E$8</f>
        <v>78</v>
      </c>
      <c r="I152" s="17" t="n">
        <f aca="false">ROUND(F152*G152,2)</f>
        <v>62160</v>
      </c>
      <c r="J152" s="17" t="n">
        <f aca="false">ROUND(I152*Accounts!O136,2)</f>
        <v>1243.2</v>
      </c>
      <c r="K152" s="17" t="n">
        <f aca="false">ROUND(I152*Accounts!L136,2)</f>
        <v>192.7</v>
      </c>
      <c r="L152" s="17" t="n">
        <f aca="false">ROUND(I152-J152-K152,2)</f>
        <v>60724.1</v>
      </c>
      <c r="M152" s="17" t="n">
        <f aca="false">ROUND(L152*AA152,2)</f>
        <v>0</v>
      </c>
      <c r="N152" s="17" t="n">
        <f aca="false">ROUND(L152*Accounts!R136,2)</f>
        <v>0</v>
      </c>
      <c r="O152" s="17" t="n">
        <f aca="false">ROUND(L152*Accounts!S136,2)</f>
        <v>0</v>
      </c>
      <c r="P152" s="17" t="n">
        <f aca="false">ROUND(L152*Accounts!T136,2)</f>
        <v>0</v>
      </c>
      <c r="Q152" s="17" t="n">
        <f aca="false">ROUND(L152*Accounts!U136,2)</f>
        <v>0</v>
      </c>
      <c r="R152" s="17" t="n">
        <f aca="false">ROUND(L152*Accounts!V136,2)</f>
        <v>607.24</v>
      </c>
      <c r="S152" s="17" t="n">
        <f aca="false">ROUND(L152*Accounts!W136,2)</f>
        <v>0</v>
      </c>
      <c r="T152" s="17" t="n">
        <f aca="false">ROUND(L152-SUM(M152:S152),2)</f>
        <v>60116.86</v>
      </c>
      <c r="U152" s="17" t="n">
        <f aca="false">ROUND(F152*H152,2)</f>
        <v>32760</v>
      </c>
      <c r="V152" s="17" t="n">
        <f aca="false">ROUND(L152*Assumptions!$C$25,2)</f>
        <v>1214.48</v>
      </c>
      <c r="W152" s="17" t="n">
        <f aca="false">ROUND(T152-U152-V152,2)</f>
        <v>26142.38</v>
      </c>
      <c r="X152" s="28" t="n">
        <f aca="false">T152/I152</f>
        <v>0.967130952380952</v>
      </c>
      <c r="Y152" s="17" t="n">
        <f aca="false">T152/F152</f>
        <v>143.135380952381</v>
      </c>
      <c r="Z152" s="26" t="n">
        <f aca="false">Accounts!H136</f>
        <v>905</v>
      </c>
      <c r="AA152" s="28" t="n">
        <f aca="false">IF(Z152&gt;=Assumptions!$B$44,Assumptions!$C$44,IF(Z152&gt;=Assumptions!$B$45,Assumptions!$C$45,IF(Z152&gt;=Assumptions!$B$46,Assumptions!$C$46,Assumptions!$C$47)))</f>
        <v>0</v>
      </c>
      <c r="AB152" s="26" t="n">
        <f aca="false">IF(Z152&gt;=Assumptions!$B$44,Assumptions!$B$44,IF(Z152&gt;=Assumptions!$B$45,Assumptions!$B$45,IF(Z152&gt;=Assumptions!$B$46,Assumptions!$B$46,0)))</f>
        <v>0</v>
      </c>
    </row>
    <row r="153" customFormat="false" ht="15" hidden="false" customHeight="false" outlineLevel="0" collapsed="false">
      <c r="B153" s="14" t="s">
        <v>305</v>
      </c>
      <c r="C153" s="14" t="s">
        <v>259</v>
      </c>
      <c r="D153" s="14" t="s">
        <v>235</v>
      </c>
      <c r="E153" s="14" t="s">
        <v>60</v>
      </c>
      <c r="F153" s="26" t="n">
        <f aca="false">Accounts!E152</f>
        <v>161</v>
      </c>
      <c r="G153" s="17" t="n">
        <f aca="false">Assumptions!$D$8</f>
        <v>148</v>
      </c>
      <c r="H153" s="17" t="n">
        <f aca="false">Assumptions!$E$8</f>
        <v>78</v>
      </c>
      <c r="I153" s="17" t="n">
        <f aca="false">ROUND(F153*G153,2)</f>
        <v>23828</v>
      </c>
      <c r="J153" s="17" t="n">
        <f aca="false">ROUND(I153*Accounts!O152,2)</f>
        <v>0</v>
      </c>
      <c r="K153" s="17" t="n">
        <f aca="false">ROUND(I153*Accounts!L152,2)</f>
        <v>0</v>
      </c>
      <c r="L153" s="17" t="n">
        <f aca="false">ROUND(I153-J153-K153,2)</f>
        <v>23828</v>
      </c>
      <c r="M153" s="17" t="n">
        <f aca="false">ROUND(L153*AA153,2)</f>
        <v>0</v>
      </c>
      <c r="N153" s="17" t="n">
        <f aca="false">ROUND(L153*Accounts!R152,2)</f>
        <v>0</v>
      </c>
      <c r="O153" s="17" t="n">
        <f aca="false">ROUND(L153*Accounts!S152,2)</f>
        <v>0</v>
      </c>
      <c r="P153" s="17" t="n">
        <f aca="false">ROUND(L153*Accounts!T152,2)</f>
        <v>0</v>
      </c>
      <c r="Q153" s="17" t="n">
        <f aca="false">ROUND(L153*Accounts!U152,2)</f>
        <v>0</v>
      </c>
      <c r="R153" s="17" t="n">
        <f aca="false">ROUND(L153*Accounts!V152,2)</f>
        <v>238.28</v>
      </c>
      <c r="S153" s="17" t="n">
        <f aca="false">ROUND(L153*Accounts!W152,2)</f>
        <v>0</v>
      </c>
      <c r="T153" s="17" t="n">
        <f aca="false">ROUND(L153-SUM(M153:S153),2)</f>
        <v>23589.72</v>
      </c>
      <c r="U153" s="17" t="n">
        <f aca="false">ROUND(F153*H153,2)</f>
        <v>12558</v>
      </c>
      <c r="V153" s="17" t="n">
        <f aca="false">ROUND(L153*Assumptions!$C$25,2)</f>
        <v>476.56</v>
      </c>
      <c r="W153" s="17" t="n">
        <f aca="false">ROUND(T153-U153-V153,2)</f>
        <v>10555.16</v>
      </c>
      <c r="X153" s="28" t="n">
        <f aca="false">T153/I153</f>
        <v>0.99</v>
      </c>
      <c r="Y153" s="17" t="n">
        <f aca="false">T153/F153</f>
        <v>146.52</v>
      </c>
      <c r="Z153" s="26" t="n">
        <f aca="false">Accounts!H152</f>
        <v>792</v>
      </c>
      <c r="AA153" s="28" t="n">
        <f aca="false">IF(Z153&gt;=Assumptions!$B$44,Assumptions!$C$44,IF(Z153&gt;=Assumptions!$B$45,Assumptions!$C$45,IF(Z153&gt;=Assumptions!$B$46,Assumptions!$C$46,Assumptions!$C$47)))</f>
        <v>0</v>
      </c>
      <c r="AB153" s="26" t="n">
        <f aca="false">IF(Z153&gt;=Assumptions!$B$44,Assumptions!$B$44,IF(Z153&gt;=Assumptions!$B$45,Assumptions!$B$45,IF(Z153&gt;=Assumptions!$B$46,Assumptions!$B$46,0)))</f>
        <v>0</v>
      </c>
    </row>
    <row r="154" customFormat="false" ht="15" hidden="false" customHeight="false" outlineLevel="0" collapsed="false">
      <c r="B154" s="14" t="s">
        <v>321</v>
      </c>
      <c r="C154" s="14" t="s">
        <v>259</v>
      </c>
      <c r="D154" s="14" t="s">
        <v>243</v>
      </c>
      <c r="E154" s="14" t="s">
        <v>60</v>
      </c>
      <c r="F154" s="26" t="n">
        <f aca="false">Accounts!E168</f>
        <v>9</v>
      </c>
      <c r="G154" s="17" t="n">
        <f aca="false">Assumptions!$D$8</f>
        <v>148</v>
      </c>
      <c r="H154" s="17" t="n">
        <f aca="false">Assumptions!$E$8</f>
        <v>78</v>
      </c>
      <c r="I154" s="17" t="n">
        <f aca="false">ROUND(F154*G154,2)</f>
        <v>1332</v>
      </c>
      <c r="J154" s="17" t="n">
        <f aca="false">ROUND(I154*Accounts!O168,2)</f>
        <v>0</v>
      </c>
      <c r="K154" s="17" t="n">
        <f aca="false">ROUND(I154*Accounts!L168,2)</f>
        <v>12.39</v>
      </c>
      <c r="L154" s="17" t="n">
        <f aca="false">ROUND(I154-J154-K154,2)</f>
        <v>1319.61</v>
      </c>
      <c r="M154" s="17" t="n">
        <f aca="false">ROUND(L154*AA154,2)</f>
        <v>0</v>
      </c>
      <c r="N154" s="17" t="n">
        <f aca="false">ROUND(L154*Accounts!R168,2)</f>
        <v>0</v>
      </c>
      <c r="O154" s="17" t="n">
        <f aca="false">ROUND(L154*Accounts!S168,2)</f>
        <v>0</v>
      </c>
      <c r="P154" s="17" t="n">
        <f aca="false">ROUND(L154*Accounts!T168,2)</f>
        <v>0</v>
      </c>
      <c r="Q154" s="17" t="n">
        <f aca="false">ROUND(L154*Accounts!U168,2)</f>
        <v>0</v>
      </c>
      <c r="R154" s="17" t="n">
        <f aca="false">ROUND(L154*Accounts!V168,2)</f>
        <v>13.2</v>
      </c>
      <c r="S154" s="17" t="n">
        <f aca="false">ROUND(L154*Accounts!W168,2)</f>
        <v>0</v>
      </c>
      <c r="T154" s="17" t="n">
        <f aca="false">ROUND(L154-SUM(M154:S154),2)</f>
        <v>1306.41</v>
      </c>
      <c r="U154" s="17" t="n">
        <f aca="false">ROUND(F154*H154,2)</f>
        <v>702</v>
      </c>
      <c r="V154" s="17" t="n">
        <f aca="false">ROUND(L154*Assumptions!$C$25,2)</f>
        <v>26.39</v>
      </c>
      <c r="W154" s="17" t="n">
        <f aca="false">ROUND(T154-U154-V154,2)</f>
        <v>578.02</v>
      </c>
      <c r="X154" s="28" t="n">
        <f aca="false">T154/I154</f>
        <v>0.980788288288288</v>
      </c>
      <c r="Y154" s="17" t="n">
        <f aca="false">T154/F154</f>
        <v>145.156666666667</v>
      </c>
      <c r="Z154" s="26" t="n">
        <f aca="false">Accounts!H168</f>
        <v>94</v>
      </c>
      <c r="AA154" s="28" t="n">
        <f aca="false">IF(Z154&gt;=Assumptions!$B$44,Assumptions!$C$44,IF(Z154&gt;=Assumptions!$B$45,Assumptions!$C$45,IF(Z154&gt;=Assumptions!$B$46,Assumptions!$C$46,Assumptions!$C$47)))</f>
        <v>0</v>
      </c>
      <c r="AB154" s="26" t="n">
        <f aca="false">IF(Z154&gt;=Assumptions!$B$44,Assumptions!$B$44,IF(Z154&gt;=Assumptions!$B$45,Assumptions!$B$45,IF(Z154&gt;=Assumptions!$B$46,Assumptions!$B$46,0)))</f>
        <v>0</v>
      </c>
    </row>
    <row r="155" customFormat="false" ht="15" hidden="false" customHeight="false" outlineLevel="0" collapsed="false">
      <c r="B155" s="14" t="s">
        <v>337</v>
      </c>
      <c r="C155" s="14" t="s">
        <v>259</v>
      </c>
      <c r="D155" s="14" t="s">
        <v>251</v>
      </c>
      <c r="E155" s="14" t="s">
        <v>60</v>
      </c>
      <c r="F155" s="26" t="n">
        <f aca="false">Accounts!E184</f>
        <v>164</v>
      </c>
      <c r="G155" s="17" t="n">
        <f aca="false">Assumptions!$D$8</f>
        <v>148</v>
      </c>
      <c r="H155" s="17" t="n">
        <f aca="false">Assumptions!$E$8</f>
        <v>78</v>
      </c>
      <c r="I155" s="17" t="n">
        <f aca="false">ROUND(F155*G155,2)</f>
        <v>24272</v>
      </c>
      <c r="J155" s="17" t="n">
        <f aca="false">ROUND(I155*Accounts!O184,2)</f>
        <v>485.44</v>
      </c>
      <c r="K155" s="17" t="n">
        <f aca="false">ROUND(I155*Accounts!L184,2)</f>
        <v>1053.4</v>
      </c>
      <c r="L155" s="17" t="n">
        <f aca="false">ROUND(I155-J155-K155,2)</f>
        <v>22733.16</v>
      </c>
      <c r="M155" s="17" t="n">
        <f aca="false">ROUND(L155*AA155,2)</f>
        <v>0</v>
      </c>
      <c r="N155" s="17" t="n">
        <f aca="false">ROUND(L155*Accounts!R184,2)</f>
        <v>0</v>
      </c>
      <c r="O155" s="17" t="n">
        <f aca="false">ROUND(L155*Accounts!S184,2)</f>
        <v>0</v>
      </c>
      <c r="P155" s="17" t="n">
        <f aca="false">ROUND(L155*Accounts!T184,2)</f>
        <v>0</v>
      </c>
      <c r="Q155" s="17" t="n">
        <f aca="false">ROUND(L155*Accounts!U184,2)</f>
        <v>0</v>
      </c>
      <c r="R155" s="17" t="n">
        <f aca="false">ROUND(L155*Accounts!V184,2)</f>
        <v>227.33</v>
      </c>
      <c r="S155" s="17" t="n">
        <f aca="false">ROUND(L155*Accounts!W184,2)</f>
        <v>0</v>
      </c>
      <c r="T155" s="17" t="n">
        <f aca="false">ROUND(L155-SUM(M155:S155),2)</f>
        <v>22505.83</v>
      </c>
      <c r="U155" s="17" t="n">
        <f aca="false">ROUND(F155*H155,2)</f>
        <v>12792</v>
      </c>
      <c r="V155" s="17" t="n">
        <f aca="false">ROUND(L155*Assumptions!$C$25,2)</f>
        <v>454.66</v>
      </c>
      <c r="W155" s="17" t="n">
        <f aca="false">ROUND(T155-U155-V155,2)</f>
        <v>9259.17</v>
      </c>
      <c r="X155" s="28" t="n">
        <f aca="false">T155/I155</f>
        <v>0.927234261700725</v>
      </c>
      <c r="Y155" s="17" t="n">
        <f aca="false">T155/F155</f>
        <v>137.230670731707</v>
      </c>
      <c r="Z155" s="26" t="n">
        <f aca="false">Accounts!H184</f>
        <v>1695</v>
      </c>
      <c r="AA155" s="28" t="n">
        <f aca="false">IF(Z155&gt;=Assumptions!$B$44,Assumptions!$C$44,IF(Z155&gt;=Assumptions!$B$45,Assumptions!$C$45,IF(Z155&gt;=Assumptions!$B$46,Assumptions!$C$46,Assumptions!$C$47)))</f>
        <v>0</v>
      </c>
      <c r="AB155" s="26" t="n">
        <f aca="false">IF(Z155&gt;=Assumptions!$B$44,Assumptions!$B$44,IF(Z155&gt;=Assumptions!$B$45,Assumptions!$B$45,IF(Z155&gt;=Assumptions!$B$46,Assumptions!$B$46,0)))</f>
        <v>0</v>
      </c>
    </row>
    <row r="156" customFormat="false" ht="15" hidden="false" customHeight="false" outlineLevel="0" collapsed="false">
      <c r="B156" s="14" t="s">
        <v>274</v>
      </c>
      <c r="C156" s="14" t="s">
        <v>259</v>
      </c>
      <c r="D156" s="14" t="s">
        <v>218</v>
      </c>
      <c r="E156" s="14" t="s">
        <v>60</v>
      </c>
      <c r="F156" s="26" t="n">
        <f aca="false">Accounts!E121</f>
        <v>21</v>
      </c>
      <c r="G156" s="17" t="n">
        <f aca="false">Assumptions!$D$8</f>
        <v>148</v>
      </c>
      <c r="H156" s="17" t="n">
        <f aca="false">Assumptions!$E$8</f>
        <v>78</v>
      </c>
      <c r="I156" s="17" t="n">
        <f aca="false">ROUND(F156*G156,2)</f>
        <v>3108</v>
      </c>
      <c r="J156" s="17" t="n">
        <f aca="false">ROUND(I156*Accounts!O121,2)</f>
        <v>0</v>
      </c>
      <c r="K156" s="17" t="n">
        <f aca="false">ROUND(I156*Accounts!L121,2)</f>
        <v>19.27</v>
      </c>
      <c r="L156" s="17" t="n">
        <f aca="false">ROUND(I156-J156-K156,2)</f>
        <v>3088.73</v>
      </c>
      <c r="M156" s="17" t="n">
        <f aca="false">ROUND(L156*AA156,2)</f>
        <v>0</v>
      </c>
      <c r="N156" s="17" t="n">
        <f aca="false">ROUND(L156*Accounts!R121,2)</f>
        <v>0</v>
      </c>
      <c r="O156" s="17" t="n">
        <f aca="false">ROUND(L156*Accounts!S121,2)</f>
        <v>0</v>
      </c>
      <c r="P156" s="17" t="n">
        <f aca="false">ROUND(L156*Accounts!T121,2)</f>
        <v>0</v>
      </c>
      <c r="Q156" s="17" t="n">
        <f aca="false">ROUND(L156*Accounts!U121,2)</f>
        <v>0</v>
      </c>
      <c r="R156" s="17" t="n">
        <f aca="false">ROUND(L156*Accounts!V121,2)</f>
        <v>30.89</v>
      </c>
      <c r="S156" s="17" t="n">
        <f aca="false">ROUND(L156*Accounts!W121,2)</f>
        <v>0</v>
      </c>
      <c r="T156" s="17" t="n">
        <f aca="false">ROUND(L156-SUM(M156:S156),2)</f>
        <v>3057.84</v>
      </c>
      <c r="U156" s="17" t="n">
        <f aca="false">ROUND(F156*H156,2)</f>
        <v>1638</v>
      </c>
      <c r="V156" s="17" t="n">
        <f aca="false">ROUND(L156*Assumptions!$C$25,2)</f>
        <v>61.77</v>
      </c>
      <c r="W156" s="17" t="n">
        <f aca="false">ROUND(T156-U156-V156,2)</f>
        <v>1358.07</v>
      </c>
      <c r="X156" s="28" t="n">
        <f aca="false">T156/I156</f>
        <v>0.983861003861004</v>
      </c>
      <c r="Y156" s="17" t="n">
        <f aca="false">T156/F156</f>
        <v>145.611428571429</v>
      </c>
      <c r="Z156" s="26" t="n">
        <f aca="false">Accounts!H121</f>
        <v>329</v>
      </c>
      <c r="AA156" s="28" t="n">
        <f aca="false">IF(Z156&gt;=Assumptions!$B$44,Assumptions!$C$44,IF(Z156&gt;=Assumptions!$B$45,Assumptions!$C$45,IF(Z156&gt;=Assumptions!$B$46,Assumptions!$C$46,Assumptions!$C$47)))</f>
        <v>0</v>
      </c>
      <c r="AB156" s="26" t="n">
        <f aca="false">IF(Z156&gt;=Assumptions!$B$44,Assumptions!$B$44,IF(Z156&gt;=Assumptions!$B$45,Assumptions!$B$45,IF(Z156&gt;=Assumptions!$B$46,Assumptions!$B$46,0)))</f>
        <v>0</v>
      </c>
    </row>
    <row r="157" customFormat="false" ht="15" hidden="false" customHeight="false" outlineLevel="0" collapsed="false">
      <c r="B157" s="14" t="s">
        <v>290</v>
      </c>
      <c r="C157" s="14" t="s">
        <v>259</v>
      </c>
      <c r="D157" s="14" t="s">
        <v>227</v>
      </c>
      <c r="E157" s="14" t="s">
        <v>60</v>
      </c>
      <c r="F157" s="26" t="n">
        <f aca="false">Accounts!E137</f>
        <v>145</v>
      </c>
      <c r="G157" s="17" t="n">
        <f aca="false">Assumptions!$D$8</f>
        <v>148</v>
      </c>
      <c r="H157" s="17" t="n">
        <f aca="false">Assumptions!$E$8</f>
        <v>78</v>
      </c>
      <c r="I157" s="17" t="n">
        <f aca="false">ROUND(F157*G157,2)</f>
        <v>21460</v>
      </c>
      <c r="J157" s="17" t="n">
        <f aca="false">ROUND(I157*Accounts!O137,2)</f>
        <v>429.2</v>
      </c>
      <c r="K157" s="17" t="n">
        <f aca="false">ROUND(I157*Accounts!L137,2)</f>
        <v>598.73</v>
      </c>
      <c r="L157" s="17" t="n">
        <f aca="false">ROUND(I157-J157-K157,2)</f>
        <v>20432.07</v>
      </c>
      <c r="M157" s="17" t="n">
        <f aca="false">ROUND(L157*AA157,2)</f>
        <v>0</v>
      </c>
      <c r="N157" s="17" t="n">
        <f aca="false">ROUND(L157*Accounts!R137,2)</f>
        <v>0</v>
      </c>
      <c r="O157" s="17" t="n">
        <f aca="false">ROUND(L157*Accounts!S137,2)</f>
        <v>0</v>
      </c>
      <c r="P157" s="17" t="n">
        <f aca="false">ROUND(L157*Accounts!T137,2)</f>
        <v>0</v>
      </c>
      <c r="Q157" s="17" t="n">
        <f aca="false">ROUND(L157*Accounts!U137,2)</f>
        <v>0</v>
      </c>
      <c r="R157" s="17" t="n">
        <f aca="false">ROUND(L157*Accounts!V137,2)</f>
        <v>204.32</v>
      </c>
      <c r="S157" s="17" t="n">
        <f aca="false">ROUND(L157*Accounts!W137,2)</f>
        <v>0</v>
      </c>
      <c r="T157" s="17" t="n">
        <f aca="false">ROUND(L157-SUM(M157:S157),2)</f>
        <v>20227.75</v>
      </c>
      <c r="U157" s="17" t="n">
        <f aca="false">ROUND(F157*H157,2)</f>
        <v>11310</v>
      </c>
      <c r="V157" s="17" t="n">
        <f aca="false">ROUND(L157*Assumptions!$C$25,2)</f>
        <v>408.64</v>
      </c>
      <c r="W157" s="17" t="n">
        <f aca="false">ROUND(T157-U157-V157,2)</f>
        <v>8509.11</v>
      </c>
      <c r="X157" s="28" t="n">
        <f aca="false">T157/I157</f>
        <v>0.942579217148183</v>
      </c>
      <c r="Y157" s="17" t="n">
        <f aca="false">T157/F157</f>
        <v>139.501724137931</v>
      </c>
      <c r="Z157" s="26" t="n">
        <f aca="false">Accounts!H137</f>
        <v>1108</v>
      </c>
      <c r="AA157" s="28" t="n">
        <f aca="false">IF(Z157&gt;=Assumptions!$B$44,Assumptions!$C$44,IF(Z157&gt;=Assumptions!$B$45,Assumptions!$C$45,IF(Z157&gt;=Assumptions!$B$46,Assumptions!$C$46,Assumptions!$C$47)))</f>
        <v>0</v>
      </c>
      <c r="AB157" s="26" t="n">
        <f aca="false">IF(Z157&gt;=Assumptions!$B$44,Assumptions!$B$44,IF(Z157&gt;=Assumptions!$B$45,Assumptions!$B$45,IF(Z157&gt;=Assumptions!$B$46,Assumptions!$B$46,0)))</f>
        <v>0</v>
      </c>
    </row>
    <row r="158" customFormat="false" ht="15" hidden="false" customHeight="false" outlineLevel="0" collapsed="false">
      <c r="B158" s="14" t="s">
        <v>338</v>
      </c>
      <c r="C158" s="14" t="s">
        <v>259</v>
      </c>
      <c r="D158" s="14" t="s">
        <v>251</v>
      </c>
      <c r="E158" s="14" t="s">
        <v>60</v>
      </c>
      <c r="F158" s="26" t="n">
        <f aca="false">Accounts!E185</f>
        <v>350</v>
      </c>
      <c r="G158" s="17" t="n">
        <f aca="false">Assumptions!$D$8</f>
        <v>148</v>
      </c>
      <c r="H158" s="17" t="n">
        <f aca="false">Assumptions!$E$8</f>
        <v>78</v>
      </c>
      <c r="I158" s="17" t="n">
        <f aca="false">ROUND(F158*G158,2)</f>
        <v>51800</v>
      </c>
      <c r="J158" s="17" t="n">
        <f aca="false">ROUND(I158*Accounts!O185,2)</f>
        <v>1036</v>
      </c>
      <c r="K158" s="17" t="n">
        <f aca="false">ROUND(I158*Accounts!L185,2)</f>
        <v>1766.38</v>
      </c>
      <c r="L158" s="17" t="n">
        <f aca="false">ROUND(I158-J158-K158,2)</f>
        <v>48997.62</v>
      </c>
      <c r="M158" s="17" t="n">
        <f aca="false">ROUND(L158*AA158,2)</f>
        <v>0</v>
      </c>
      <c r="N158" s="17" t="n">
        <f aca="false">ROUND(L158*Accounts!R185,2)</f>
        <v>0</v>
      </c>
      <c r="O158" s="17" t="n">
        <f aca="false">ROUND(L158*Accounts!S185,2)</f>
        <v>0</v>
      </c>
      <c r="P158" s="17" t="n">
        <f aca="false">ROUND(L158*Accounts!T185,2)</f>
        <v>0</v>
      </c>
      <c r="Q158" s="17" t="n">
        <f aca="false">ROUND(L158*Accounts!U185,2)</f>
        <v>0</v>
      </c>
      <c r="R158" s="17" t="n">
        <f aca="false">ROUND(L158*Accounts!V185,2)</f>
        <v>489.98</v>
      </c>
      <c r="S158" s="17" t="n">
        <f aca="false">ROUND(L158*Accounts!W185,2)</f>
        <v>0</v>
      </c>
      <c r="T158" s="17" t="n">
        <f aca="false">ROUND(L158-SUM(M158:S158),2)</f>
        <v>48507.64</v>
      </c>
      <c r="U158" s="17" t="n">
        <f aca="false">ROUND(F158*H158,2)</f>
        <v>27300</v>
      </c>
      <c r="V158" s="17" t="n">
        <f aca="false">ROUND(L158*Assumptions!$C$25,2)</f>
        <v>979.95</v>
      </c>
      <c r="W158" s="17" t="n">
        <f aca="false">ROUND(T158-U158-V158,2)</f>
        <v>20227.69</v>
      </c>
      <c r="X158" s="28" t="n">
        <f aca="false">T158/I158</f>
        <v>0.936440926640927</v>
      </c>
      <c r="Y158" s="17" t="n">
        <f aca="false">T158/F158</f>
        <v>138.593257142857</v>
      </c>
      <c r="Z158" s="26" t="n">
        <f aca="false">Accounts!H185</f>
        <v>1286</v>
      </c>
      <c r="AA158" s="28" t="n">
        <f aca="false">IF(Z158&gt;=Assumptions!$B$44,Assumptions!$C$44,IF(Z158&gt;=Assumptions!$B$45,Assumptions!$C$45,IF(Z158&gt;=Assumptions!$B$46,Assumptions!$C$46,Assumptions!$C$47)))</f>
        <v>0</v>
      </c>
      <c r="AB158" s="26" t="n">
        <f aca="false">IF(Z158&gt;=Assumptions!$B$44,Assumptions!$B$44,IF(Z158&gt;=Assumptions!$B$45,Assumptions!$B$45,IF(Z158&gt;=Assumptions!$B$46,Assumptions!$B$46,0)))</f>
        <v>0</v>
      </c>
    </row>
    <row r="159" customFormat="false" ht="15" hidden="false" customHeight="false" outlineLevel="0" collapsed="false">
      <c r="B159" s="14" t="s">
        <v>146</v>
      </c>
      <c r="C159" s="14" t="s">
        <v>147</v>
      </c>
      <c r="D159" s="14" t="s">
        <v>148</v>
      </c>
      <c r="E159" s="14" t="s">
        <v>62</v>
      </c>
      <c r="F159" s="26" t="n">
        <f aca="false">Accounts!F6</f>
        <v>8588</v>
      </c>
      <c r="G159" s="17" t="n">
        <f aca="false">Assumptions!$D$9</f>
        <v>62</v>
      </c>
      <c r="H159" s="17" t="n">
        <f aca="false">Assumptions!$E$9</f>
        <v>36</v>
      </c>
      <c r="I159" s="17" t="n">
        <f aca="false">ROUND(F159*G159,2)</f>
        <v>532456</v>
      </c>
      <c r="J159" s="17" t="n">
        <f aca="false">ROUND(I159*Accounts!O6,2)</f>
        <v>31947.36</v>
      </c>
      <c r="K159" s="17" t="n">
        <f aca="false">ROUND(I159*Accounts!M6,2)</f>
        <v>110750.85</v>
      </c>
      <c r="L159" s="17" t="n">
        <f aca="false">ROUND(I159-J159-K159,2)</f>
        <v>389757.79</v>
      </c>
      <c r="M159" s="17" t="n">
        <f aca="false">ROUND(L159*AA159,2)</f>
        <v>13641.52</v>
      </c>
      <c r="N159" s="17" t="n">
        <f aca="false">ROUND(L159*Accounts!R6,2)</f>
        <v>0</v>
      </c>
      <c r="O159" s="17" t="n">
        <f aca="false">ROUND(L159*Accounts!S6,2)</f>
        <v>11692.73</v>
      </c>
      <c r="P159" s="17" t="n">
        <f aca="false">ROUND(L159*Accounts!T6,2)</f>
        <v>0</v>
      </c>
      <c r="Q159" s="17" t="n">
        <f aca="false">ROUND(L159*Accounts!U6,2)</f>
        <v>0</v>
      </c>
      <c r="R159" s="17" t="n">
        <f aca="false">ROUND(L159*Accounts!V6,2)</f>
        <v>1948.79</v>
      </c>
      <c r="S159" s="17" t="n">
        <f aca="false">ROUND(L159*Accounts!W6,2)</f>
        <v>0</v>
      </c>
      <c r="T159" s="17" t="n">
        <f aca="false">ROUND(L159-SUM(M159:S159),2)</f>
        <v>362474.75</v>
      </c>
      <c r="U159" s="17" t="n">
        <f aca="false">ROUND(F159*H159,2)</f>
        <v>309168</v>
      </c>
      <c r="V159" s="17" t="n">
        <f aca="false">ROUND(L159*Assumptions!$C$25,2)</f>
        <v>7795.16</v>
      </c>
      <c r="W159" s="17" t="n">
        <f aca="false">ROUND(T159-U159-V159,2)</f>
        <v>45511.59</v>
      </c>
      <c r="X159" s="28" t="n">
        <f aca="false">T159/I159</f>
        <v>0.680760006460628</v>
      </c>
      <c r="Y159" s="17" t="n">
        <f aca="false">T159/F159</f>
        <v>42.2071204005589</v>
      </c>
      <c r="Z159" s="26" t="n">
        <f aca="false">Accounts!H6</f>
        <v>21795</v>
      </c>
      <c r="AA159" s="28" t="n">
        <f aca="false">IF(Z159&gt;=Assumptions!$B$44,Assumptions!$C$44,IF(Z159&gt;=Assumptions!$B$45,Assumptions!$C$45,IF(Z159&gt;=Assumptions!$B$46,Assumptions!$C$46,Assumptions!$C$47)))</f>
        <v>0.035</v>
      </c>
      <c r="AB159" s="26" t="n">
        <f aca="false">IF(Z159&gt;=Assumptions!$B$44,Assumptions!$B$44,IF(Z159&gt;=Assumptions!$B$45,Assumptions!$B$45,IF(Z159&gt;=Assumptions!$B$46,Assumptions!$B$46,0)))</f>
        <v>10000</v>
      </c>
    </row>
    <row r="160" customFormat="false" ht="15" hidden="false" customHeight="false" outlineLevel="0" collapsed="false">
      <c r="B160" s="14" t="s">
        <v>154</v>
      </c>
      <c r="C160" s="14" t="s">
        <v>147</v>
      </c>
      <c r="D160" s="14" t="s">
        <v>155</v>
      </c>
      <c r="E160" s="14" t="s">
        <v>62</v>
      </c>
      <c r="F160" s="26" t="n">
        <f aca="false">Accounts!F12</f>
        <v>8977</v>
      </c>
      <c r="G160" s="17" t="n">
        <f aca="false">Assumptions!$D$9</f>
        <v>62</v>
      </c>
      <c r="H160" s="17" t="n">
        <f aca="false">Assumptions!$E$9</f>
        <v>36</v>
      </c>
      <c r="I160" s="17" t="n">
        <f aca="false">ROUND(F160*G160,2)</f>
        <v>556574</v>
      </c>
      <c r="J160" s="17" t="n">
        <f aca="false">ROUND(I160*Accounts!O12,2)</f>
        <v>33394.44</v>
      </c>
      <c r="K160" s="17" t="n">
        <f aca="false">ROUND(I160*Accounts!M12,2)</f>
        <v>90443.28</v>
      </c>
      <c r="L160" s="17" t="n">
        <f aca="false">ROUND(I160-J160-K160,2)</f>
        <v>432736.28</v>
      </c>
      <c r="M160" s="17" t="n">
        <f aca="false">ROUND(L160*AA160,2)</f>
        <v>15145.77</v>
      </c>
      <c r="N160" s="17" t="n">
        <f aca="false">ROUND(L160*Accounts!R12,2)</f>
        <v>0</v>
      </c>
      <c r="O160" s="17" t="n">
        <f aca="false">ROUND(L160*Accounts!S12,2)</f>
        <v>12982.09</v>
      </c>
      <c r="P160" s="17" t="n">
        <f aca="false">ROUND(L160*Accounts!T12,2)</f>
        <v>0</v>
      </c>
      <c r="Q160" s="17" t="n">
        <f aca="false">ROUND(L160*Accounts!U12,2)</f>
        <v>0</v>
      </c>
      <c r="R160" s="17" t="n">
        <f aca="false">ROUND(L160*Accounts!V12,2)</f>
        <v>2163.68</v>
      </c>
      <c r="S160" s="17" t="n">
        <f aca="false">ROUND(L160*Accounts!W12,2)</f>
        <v>0</v>
      </c>
      <c r="T160" s="17" t="n">
        <f aca="false">ROUND(L160-SUM(M160:S160),2)</f>
        <v>402444.74</v>
      </c>
      <c r="U160" s="17" t="n">
        <f aca="false">ROUND(F160*H160,2)</f>
        <v>323172</v>
      </c>
      <c r="V160" s="17" t="n">
        <f aca="false">ROUND(L160*Assumptions!$C$25,2)</f>
        <v>8654.73</v>
      </c>
      <c r="W160" s="17" t="n">
        <f aca="false">ROUND(T160-U160-V160,2)</f>
        <v>70618.01</v>
      </c>
      <c r="X160" s="28" t="n">
        <f aca="false">T160/I160</f>
        <v>0.723074990926633</v>
      </c>
      <c r="Y160" s="17" t="n">
        <f aca="false">T160/F160</f>
        <v>44.8306494374513</v>
      </c>
      <c r="Z160" s="26" t="n">
        <f aca="false">Accounts!H12</f>
        <v>23170</v>
      </c>
      <c r="AA160" s="28" t="n">
        <f aca="false">IF(Z160&gt;=Assumptions!$B$44,Assumptions!$C$44,IF(Z160&gt;=Assumptions!$B$45,Assumptions!$C$45,IF(Z160&gt;=Assumptions!$B$46,Assumptions!$C$46,Assumptions!$C$47)))</f>
        <v>0.035</v>
      </c>
      <c r="AB160" s="26" t="n">
        <f aca="false">IF(Z160&gt;=Assumptions!$B$44,Assumptions!$B$44,IF(Z160&gt;=Assumptions!$B$45,Assumptions!$B$45,IF(Z160&gt;=Assumptions!$B$46,Assumptions!$B$46,0)))</f>
        <v>10000</v>
      </c>
    </row>
    <row r="161" customFormat="false" ht="15" hidden="false" customHeight="false" outlineLevel="0" collapsed="false">
      <c r="B161" s="14" t="s">
        <v>149</v>
      </c>
      <c r="C161" s="14" t="s">
        <v>147</v>
      </c>
      <c r="D161" s="14" t="s">
        <v>148</v>
      </c>
      <c r="E161" s="14" t="s">
        <v>62</v>
      </c>
      <c r="F161" s="26" t="n">
        <f aca="false">Accounts!F7</f>
        <v>8159</v>
      </c>
      <c r="G161" s="17" t="n">
        <f aca="false">Assumptions!$D$9</f>
        <v>62</v>
      </c>
      <c r="H161" s="17" t="n">
        <f aca="false">Assumptions!$E$9</f>
        <v>36</v>
      </c>
      <c r="I161" s="17" t="n">
        <f aca="false">ROUND(F161*G161,2)</f>
        <v>505858</v>
      </c>
      <c r="J161" s="17" t="n">
        <f aca="false">ROUND(I161*Accounts!O7,2)</f>
        <v>30351.48</v>
      </c>
      <c r="K161" s="17" t="n">
        <f aca="false">ROUND(I161*Accounts!M7,2)</f>
        <v>88778.08</v>
      </c>
      <c r="L161" s="17" t="n">
        <f aca="false">ROUND(I161-J161-K161,2)</f>
        <v>386728.44</v>
      </c>
      <c r="M161" s="17" t="n">
        <f aca="false">ROUND(L161*AA161,2)</f>
        <v>13535.5</v>
      </c>
      <c r="N161" s="17" t="n">
        <f aca="false">ROUND(L161*Accounts!R7,2)</f>
        <v>0</v>
      </c>
      <c r="O161" s="17" t="n">
        <f aca="false">ROUND(L161*Accounts!S7,2)</f>
        <v>11601.85</v>
      </c>
      <c r="P161" s="17" t="n">
        <f aca="false">ROUND(L161*Accounts!T7,2)</f>
        <v>0</v>
      </c>
      <c r="Q161" s="17" t="n">
        <f aca="false">ROUND(L161*Accounts!U7,2)</f>
        <v>0</v>
      </c>
      <c r="R161" s="17" t="n">
        <f aca="false">ROUND(L161*Accounts!V7,2)</f>
        <v>1933.64</v>
      </c>
      <c r="S161" s="17" t="n">
        <f aca="false">ROUND(L161*Accounts!W7,2)</f>
        <v>0</v>
      </c>
      <c r="T161" s="17" t="n">
        <f aca="false">ROUND(L161-SUM(M161:S161),2)</f>
        <v>359657.45</v>
      </c>
      <c r="U161" s="17" t="n">
        <f aca="false">ROUND(F161*H161,2)</f>
        <v>293724</v>
      </c>
      <c r="V161" s="17" t="n">
        <f aca="false">ROUND(L161*Assumptions!$C$25,2)</f>
        <v>7734.57</v>
      </c>
      <c r="W161" s="17" t="n">
        <f aca="false">ROUND(T161-U161-V161,2)</f>
        <v>58198.88</v>
      </c>
      <c r="X161" s="28" t="n">
        <f aca="false">T161/I161</f>
        <v>0.710984999743011</v>
      </c>
      <c r="Y161" s="17" t="n">
        <f aca="false">T161/F161</f>
        <v>44.0810699840667</v>
      </c>
      <c r="Z161" s="26" t="n">
        <f aca="false">Accounts!H7</f>
        <v>24820</v>
      </c>
      <c r="AA161" s="28" t="n">
        <f aca="false">IF(Z161&gt;=Assumptions!$B$44,Assumptions!$C$44,IF(Z161&gt;=Assumptions!$B$45,Assumptions!$C$45,IF(Z161&gt;=Assumptions!$B$46,Assumptions!$C$46,Assumptions!$C$47)))</f>
        <v>0.035</v>
      </c>
      <c r="AB161" s="26" t="n">
        <f aca="false">IF(Z161&gt;=Assumptions!$B$44,Assumptions!$B$44,IF(Z161&gt;=Assumptions!$B$45,Assumptions!$B$45,IF(Z161&gt;=Assumptions!$B$46,Assumptions!$B$46,0)))</f>
        <v>10000</v>
      </c>
    </row>
    <row r="162" customFormat="false" ht="15" hidden="false" customHeight="false" outlineLevel="0" collapsed="false">
      <c r="B162" s="14" t="s">
        <v>156</v>
      </c>
      <c r="C162" s="14" t="s">
        <v>147</v>
      </c>
      <c r="D162" s="14" t="s">
        <v>155</v>
      </c>
      <c r="E162" s="14" t="s">
        <v>62</v>
      </c>
      <c r="F162" s="26" t="n">
        <f aca="false">Accounts!F13</f>
        <v>8989</v>
      </c>
      <c r="G162" s="17" t="n">
        <f aca="false">Assumptions!$D$9</f>
        <v>62</v>
      </c>
      <c r="H162" s="17" t="n">
        <f aca="false">Assumptions!$E$9</f>
        <v>36</v>
      </c>
      <c r="I162" s="17" t="n">
        <f aca="false">ROUND(F162*G162,2)</f>
        <v>557318</v>
      </c>
      <c r="J162" s="17" t="n">
        <f aca="false">ROUND(I162*Accounts!O13,2)</f>
        <v>33439.08</v>
      </c>
      <c r="K162" s="17" t="n">
        <f aca="false">ROUND(I162*Accounts!M13,2)</f>
        <v>90564.18</v>
      </c>
      <c r="L162" s="17" t="n">
        <f aca="false">ROUND(I162-J162-K162,2)</f>
        <v>433314.74</v>
      </c>
      <c r="M162" s="17" t="n">
        <f aca="false">ROUND(L162*AA162,2)</f>
        <v>21665.74</v>
      </c>
      <c r="N162" s="17" t="n">
        <f aca="false">ROUND(L162*Accounts!R13,2)</f>
        <v>0</v>
      </c>
      <c r="O162" s="17" t="n">
        <f aca="false">ROUND(L162*Accounts!S13,2)</f>
        <v>12999.44</v>
      </c>
      <c r="P162" s="17" t="n">
        <f aca="false">ROUND(L162*Accounts!T13,2)</f>
        <v>0</v>
      </c>
      <c r="Q162" s="17" t="n">
        <f aca="false">ROUND(L162*Accounts!U13,2)</f>
        <v>0</v>
      </c>
      <c r="R162" s="17" t="n">
        <f aca="false">ROUND(L162*Accounts!V13,2)</f>
        <v>2166.57</v>
      </c>
      <c r="S162" s="17" t="n">
        <f aca="false">ROUND(L162*Accounts!W13,2)</f>
        <v>0</v>
      </c>
      <c r="T162" s="17" t="n">
        <f aca="false">ROUND(L162-SUM(M162:S162),2)</f>
        <v>396482.99</v>
      </c>
      <c r="U162" s="17" t="n">
        <f aca="false">ROUND(F162*H162,2)</f>
        <v>323604</v>
      </c>
      <c r="V162" s="17" t="n">
        <f aca="false">ROUND(L162*Assumptions!$C$25,2)</f>
        <v>8666.29</v>
      </c>
      <c r="W162" s="17" t="n">
        <f aca="false">ROUND(T162-U162-V162,2)</f>
        <v>64212.7</v>
      </c>
      <c r="X162" s="28" t="n">
        <f aca="false">T162/I162</f>
        <v>0.711412496994535</v>
      </c>
      <c r="Y162" s="17" t="n">
        <f aca="false">T162/F162</f>
        <v>44.1075748136611</v>
      </c>
      <c r="Z162" s="26" t="n">
        <f aca="false">Accounts!H13</f>
        <v>27573</v>
      </c>
      <c r="AA162" s="28" t="n">
        <f aca="false">IF(Z162&gt;=Assumptions!$B$44,Assumptions!$C$44,IF(Z162&gt;=Assumptions!$B$45,Assumptions!$C$45,IF(Z162&gt;=Assumptions!$B$46,Assumptions!$C$46,Assumptions!$C$47)))</f>
        <v>0.05</v>
      </c>
      <c r="AB162" s="26" t="n">
        <f aca="false">IF(Z162&gt;=Assumptions!$B$44,Assumptions!$B$44,IF(Z162&gt;=Assumptions!$B$45,Assumptions!$B$45,IF(Z162&gt;=Assumptions!$B$46,Assumptions!$B$46,0)))</f>
        <v>25000</v>
      </c>
    </row>
    <row r="163" customFormat="false" ht="15" hidden="false" customHeight="false" outlineLevel="0" collapsed="false">
      <c r="B163" s="14" t="s">
        <v>150</v>
      </c>
      <c r="C163" s="14" t="s">
        <v>147</v>
      </c>
      <c r="D163" s="14" t="s">
        <v>148</v>
      </c>
      <c r="E163" s="14" t="s">
        <v>62</v>
      </c>
      <c r="F163" s="26" t="n">
        <f aca="false">Accounts!F8</f>
        <v>16488</v>
      </c>
      <c r="G163" s="17" t="n">
        <f aca="false">Assumptions!$D$9</f>
        <v>62</v>
      </c>
      <c r="H163" s="17" t="n">
        <f aca="false">Assumptions!$E$9</f>
        <v>36</v>
      </c>
      <c r="I163" s="17" t="n">
        <f aca="false">ROUND(F163*G163,2)</f>
        <v>1022256</v>
      </c>
      <c r="J163" s="17" t="n">
        <f aca="false">ROUND(I163*Accounts!O8,2)</f>
        <v>61335.36</v>
      </c>
      <c r="K163" s="17" t="n">
        <f aca="false">ROUND(I163*Accounts!M8,2)</f>
        <v>212629.25</v>
      </c>
      <c r="L163" s="17" t="n">
        <f aca="false">ROUND(I163-J163-K163,2)</f>
        <v>748291.39</v>
      </c>
      <c r="M163" s="17" t="n">
        <f aca="false">ROUND(L163*AA163,2)</f>
        <v>37414.57</v>
      </c>
      <c r="N163" s="17" t="n">
        <f aca="false">ROUND(L163*Accounts!R8,2)</f>
        <v>0</v>
      </c>
      <c r="O163" s="17" t="n">
        <f aca="false">ROUND(L163*Accounts!S8,2)</f>
        <v>22448.74</v>
      </c>
      <c r="P163" s="17" t="n">
        <f aca="false">ROUND(L163*Accounts!T8,2)</f>
        <v>0</v>
      </c>
      <c r="Q163" s="17" t="n">
        <f aca="false">ROUND(L163*Accounts!U8,2)</f>
        <v>0</v>
      </c>
      <c r="R163" s="17" t="n">
        <f aca="false">ROUND(L163*Accounts!V8,2)</f>
        <v>3741.46</v>
      </c>
      <c r="S163" s="17" t="n">
        <f aca="false">ROUND(L163*Accounts!W8,2)</f>
        <v>0</v>
      </c>
      <c r="T163" s="17" t="n">
        <f aca="false">ROUND(L163-SUM(M163:S163),2)</f>
        <v>684686.62</v>
      </c>
      <c r="U163" s="17" t="n">
        <f aca="false">ROUND(F163*H163,2)</f>
        <v>593568</v>
      </c>
      <c r="V163" s="17" t="n">
        <f aca="false">ROUND(L163*Assumptions!$C$25,2)</f>
        <v>14965.83</v>
      </c>
      <c r="W163" s="17" t="n">
        <f aca="false">ROUND(T163-U163-V163,2)</f>
        <v>76152.79</v>
      </c>
      <c r="X163" s="28" t="n">
        <f aca="false">T163/I163</f>
        <v>0.669779996400119</v>
      </c>
      <c r="Y163" s="17" t="n">
        <f aca="false">T163/F163</f>
        <v>41.5263597768074</v>
      </c>
      <c r="Z163" s="26" t="n">
        <f aca="false">Accounts!H8</f>
        <v>47590</v>
      </c>
      <c r="AA163" s="28" t="n">
        <f aca="false">IF(Z163&gt;=Assumptions!$B$44,Assumptions!$C$44,IF(Z163&gt;=Assumptions!$B$45,Assumptions!$C$45,IF(Z163&gt;=Assumptions!$B$46,Assumptions!$C$46,Assumptions!$C$47)))</f>
        <v>0.05</v>
      </c>
      <c r="AB163" s="26" t="n">
        <f aca="false">IF(Z163&gt;=Assumptions!$B$44,Assumptions!$B$44,IF(Z163&gt;=Assumptions!$B$45,Assumptions!$B$45,IF(Z163&gt;=Assumptions!$B$46,Assumptions!$B$46,0)))</f>
        <v>25000</v>
      </c>
    </row>
    <row r="164" customFormat="false" ht="15" hidden="false" customHeight="false" outlineLevel="0" collapsed="false">
      <c r="B164" s="14" t="s">
        <v>157</v>
      </c>
      <c r="C164" s="14" t="s">
        <v>147</v>
      </c>
      <c r="D164" s="14" t="s">
        <v>155</v>
      </c>
      <c r="E164" s="14" t="s">
        <v>62</v>
      </c>
      <c r="F164" s="26" t="n">
        <f aca="false">Accounts!F14</f>
        <v>8000</v>
      </c>
      <c r="G164" s="17" t="n">
        <f aca="false">Assumptions!$D$9</f>
        <v>62</v>
      </c>
      <c r="H164" s="17" t="n">
        <f aca="false">Assumptions!$E$9</f>
        <v>36</v>
      </c>
      <c r="I164" s="17" t="n">
        <f aca="false">ROUND(F164*G164,2)</f>
        <v>496000</v>
      </c>
      <c r="J164" s="17" t="n">
        <f aca="false">ROUND(I164*Accounts!O14,2)</f>
        <v>29760</v>
      </c>
      <c r="K164" s="17" t="n">
        <f aca="false">ROUND(I164*Accounts!M14,2)</f>
        <v>87048</v>
      </c>
      <c r="L164" s="17" t="n">
        <f aca="false">ROUND(I164-J164-K164,2)</f>
        <v>379192</v>
      </c>
      <c r="M164" s="17" t="n">
        <f aca="false">ROUND(L164*AA164,2)</f>
        <v>13271.72</v>
      </c>
      <c r="N164" s="17" t="n">
        <f aca="false">ROUND(L164*Accounts!R14,2)</f>
        <v>0</v>
      </c>
      <c r="O164" s="17" t="n">
        <f aca="false">ROUND(L164*Accounts!S14,2)</f>
        <v>11375.76</v>
      </c>
      <c r="P164" s="17" t="n">
        <f aca="false">ROUND(L164*Accounts!T14,2)</f>
        <v>0</v>
      </c>
      <c r="Q164" s="17" t="n">
        <f aca="false">ROUND(L164*Accounts!U14,2)</f>
        <v>0</v>
      </c>
      <c r="R164" s="17" t="n">
        <f aca="false">ROUND(L164*Accounts!V14,2)</f>
        <v>1895.96</v>
      </c>
      <c r="S164" s="17" t="n">
        <f aca="false">ROUND(L164*Accounts!W14,2)</f>
        <v>0</v>
      </c>
      <c r="T164" s="17" t="n">
        <f aca="false">ROUND(L164-SUM(M164:S164),2)</f>
        <v>352648.56</v>
      </c>
      <c r="U164" s="17" t="n">
        <f aca="false">ROUND(F164*H164,2)</f>
        <v>288000</v>
      </c>
      <c r="V164" s="17" t="n">
        <f aca="false">ROUND(L164*Assumptions!$C$25,2)</f>
        <v>7583.84</v>
      </c>
      <c r="W164" s="17" t="n">
        <f aca="false">ROUND(T164-U164-V164,2)</f>
        <v>57064.72</v>
      </c>
      <c r="X164" s="28" t="n">
        <f aca="false">T164/I164</f>
        <v>0.710985</v>
      </c>
      <c r="Y164" s="17" t="n">
        <f aca="false">T164/F164</f>
        <v>44.08107</v>
      </c>
      <c r="Z164" s="26" t="n">
        <f aca="false">Accounts!H14</f>
        <v>21054</v>
      </c>
      <c r="AA164" s="28" t="n">
        <f aca="false">IF(Z164&gt;=Assumptions!$B$44,Assumptions!$C$44,IF(Z164&gt;=Assumptions!$B$45,Assumptions!$C$45,IF(Z164&gt;=Assumptions!$B$46,Assumptions!$C$46,Assumptions!$C$47)))</f>
        <v>0.035</v>
      </c>
      <c r="AB164" s="26" t="n">
        <f aca="false">IF(Z164&gt;=Assumptions!$B$44,Assumptions!$B$44,IF(Z164&gt;=Assumptions!$B$45,Assumptions!$B$45,IF(Z164&gt;=Assumptions!$B$46,Assumptions!$B$46,0)))</f>
        <v>10000</v>
      </c>
    </row>
    <row r="165" customFormat="false" ht="15" hidden="false" customHeight="false" outlineLevel="0" collapsed="false">
      <c r="B165" s="14" t="s">
        <v>151</v>
      </c>
      <c r="C165" s="14" t="s">
        <v>147</v>
      </c>
      <c r="D165" s="14" t="s">
        <v>148</v>
      </c>
      <c r="E165" s="14" t="s">
        <v>62</v>
      </c>
      <c r="F165" s="26" t="n">
        <f aca="false">Accounts!F9</f>
        <v>3445</v>
      </c>
      <c r="G165" s="17" t="n">
        <f aca="false">Assumptions!$D$9</f>
        <v>62</v>
      </c>
      <c r="H165" s="17" t="n">
        <f aca="false">Assumptions!$E$9</f>
        <v>36</v>
      </c>
      <c r="I165" s="17" t="n">
        <f aca="false">ROUND(F165*G165,2)</f>
        <v>213590</v>
      </c>
      <c r="J165" s="17" t="n">
        <f aca="false">ROUND(I165*Accounts!O9,2)</f>
        <v>12815.4</v>
      </c>
      <c r="K165" s="17" t="n">
        <f aca="false">ROUND(I165*Accounts!M9,2)</f>
        <v>26378.37</v>
      </c>
      <c r="L165" s="17" t="n">
        <f aca="false">ROUND(I165-J165-K165,2)</f>
        <v>174396.23</v>
      </c>
      <c r="M165" s="17" t="n">
        <f aca="false">ROUND(L165*AA165,2)</f>
        <v>3487.92</v>
      </c>
      <c r="N165" s="17" t="n">
        <f aca="false">ROUND(L165*Accounts!R9,2)</f>
        <v>0</v>
      </c>
      <c r="O165" s="17" t="n">
        <f aca="false">ROUND(L165*Accounts!S9,2)</f>
        <v>5231.89</v>
      </c>
      <c r="P165" s="17" t="n">
        <f aca="false">ROUND(L165*Accounts!T9,2)</f>
        <v>0</v>
      </c>
      <c r="Q165" s="17" t="n">
        <f aca="false">ROUND(L165*Accounts!U9,2)</f>
        <v>0</v>
      </c>
      <c r="R165" s="17" t="n">
        <f aca="false">ROUND(L165*Accounts!V9,2)</f>
        <v>871.98</v>
      </c>
      <c r="S165" s="17" t="n">
        <f aca="false">ROUND(L165*Accounts!W9,2)</f>
        <v>0</v>
      </c>
      <c r="T165" s="17" t="n">
        <f aca="false">ROUND(L165-SUM(M165:S165),2)</f>
        <v>164804.44</v>
      </c>
      <c r="U165" s="17" t="n">
        <f aca="false">ROUND(F165*H165,2)</f>
        <v>124020</v>
      </c>
      <c r="V165" s="17" t="n">
        <f aca="false">ROUND(L165*Assumptions!$C$25,2)</f>
        <v>3487.92</v>
      </c>
      <c r="W165" s="17" t="n">
        <f aca="false">ROUND(T165-U165-V165,2)</f>
        <v>37296.52</v>
      </c>
      <c r="X165" s="28" t="n">
        <f aca="false">T165/I165</f>
        <v>0.771592490285126</v>
      </c>
      <c r="Y165" s="17" t="n">
        <f aca="false">T165/F165</f>
        <v>47.8387343976778</v>
      </c>
      <c r="Z165" s="26" t="n">
        <f aca="false">Accounts!H9</f>
        <v>8427</v>
      </c>
      <c r="AA165" s="28" t="n">
        <f aca="false">IF(Z165&gt;=Assumptions!$B$44,Assumptions!$C$44,IF(Z165&gt;=Assumptions!$B$45,Assumptions!$C$45,IF(Z165&gt;=Assumptions!$B$46,Assumptions!$C$46,Assumptions!$C$47)))</f>
        <v>0.02</v>
      </c>
      <c r="AB165" s="26" t="n">
        <f aca="false">IF(Z165&gt;=Assumptions!$B$44,Assumptions!$B$44,IF(Z165&gt;=Assumptions!$B$45,Assumptions!$B$45,IF(Z165&gt;=Assumptions!$B$46,Assumptions!$B$46,0)))</f>
        <v>3000</v>
      </c>
    </row>
    <row r="166" customFormat="false" ht="15" hidden="false" customHeight="false" outlineLevel="0" collapsed="false">
      <c r="B166" s="14" t="s">
        <v>158</v>
      </c>
      <c r="C166" s="14" t="s">
        <v>147</v>
      </c>
      <c r="D166" s="14" t="s">
        <v>155</v>
      </c>
      <c r="E166" s="14" t="s">
        <v>62</v>
      </c>
      <c r="F166" s="26" t="n">
        <f aca="false">Accounts!F15</f>
        <v>10900</v>
      </c>
      <c r="G166" s="17" t="n">
        <f aca="false">Assumptions!$D$9</f>
        <v>62</v>
      </c>
      <c r="H166" s="17" t="n">
        <f aca="false">Assumptions!$E$9</f>
        <v>36</v>
      </c>
      <c r="I166" s="17" t="n">
        <f aca="false">ROUND(F166*G166,2)</f>
        <v>675800</v>
      </c>
      <c r="J166" s="17" t="n">
        <f aca="false">ROUND(I166*Accounts!O15,2)</f>
        <v>40548</v>
      </c>
      <c r="K166" s="17" t="n">
        <f aca="false">ROUND(I166*Accounts!M15,2)</f>
        <v>136173.7</v>
      </c>
      <c r="L166" s="17" t="n">
        <f aca="false">ROUND(I166-J166-K166,2)</f>
        <v>499078.3</v>
      </c>
      <c r="M166" s="17" t="n">
        <f aca="false">ROUND(L166*AA166,2)</f>
        <v>17467.74</v>
      </c>
      <c r="N166" s="17" t="n">
        <f aca="false">ROUND(L166*Accounts!R15,2)</f>
        <v>0</v>
      </c>
      <c r="O166" s="17" t="n">
        <f aca="false">ROUND(L166*Accounts!S15,2)</f>
        <v>14972.35</v>
      </c>
      <c r="P166" s="17" t="n">
        <f aca="false">ROUND(L166*Accounts!T15,2)</f>
        <v>0</v>
      </c>
      <c r="Q166" s="17" t="n">
        <f aca="false">ROUND(L166*Accounts!U15,2)</f>
        <v>0</v>
      </c>
      <c r="R166" s="17" t="n">
        <f aca="false">ROUND(L166*Accounts!V15,2)</f>
        <v>2495.39</v>
      </c>
      <c r="S166" s="17" t="n">
        <f aca="false">ROUND(L166*Accounts!W15,2)</f>
        <v>0</v>
      </c>
      <c r="T166" s="17" t="n">
        <f aca="false">ROUND(L166-SUM(M166:S166),2)</f>
        <v>464142.82</v>
      </c>
      <c r="U166" s="17" t="n">
        <f aca="false">ROUND(F166*H166,2)</f>
        <v>392400</v>
      </c>
      <c r="V166" s="17" t="n">
        <f aca="false">ROUND(L166*Assumptions!$C$25,2)</f>
        <v>9981.57</v>
      </c>
      <c r="W166" s="17" t="n">
        <f aca="false">ROUND(T166-U166-V166,2)</f>
        <v>61761.25</v>
      </c>
      <c r="X166" s="28" t="n">
        <f aca="false">T166/I166</f>
        <v>0.686805001479728</v>
      </c>
      <c r="Y166" s="17" t="n">
        <f aca="false">T166/F166</f>
        <v>42.5819100917431</v>
      </c>
      <c r="Z166" s="26" t="n">
        <f aca="false">Accounts!H15</f>
        <v>24654</v>
      </c>
      <c r="AA166" s="28" t="n">
        <f aca="false">IF(Z166&gt;=Assumptions!$B$44,Assumptions!$C$44,IF(Z166&gt;=Assumptions!$B$45,Assumptions!$C$45,IF(Z166&gt;=Assumptions!$B$46,Assumptions!$C$46,Assumptions!$C$47)))</f>
        <v>0.035</v>
      </c>
      <c r="AB166" s="26" t="n">
        <f aca="false">IF(Z166&gt;=Assumptions!$B$44,Assumptions!$B$44,IF(Z166&gt;=Assumptions!$B$45,Assumptions!$B$45,IF(Z166&gt;=Assumptions!$B$46,Assumptions!$B$46,0)))</f>
        <v>10000</v>
      </c>
    </row>
    <row r="167" customFormat="false" ht="15" hidden="false" customHeight="false" outlineLevel="0" collapsed="false">
      <c r="B167" s="14" t="s">
        <v>152</v>
      </c>
      <c r="C167" s="14" t="s">
        <v>147</v>
      </c>
      <c r="D167" s="14" t="s">
        <v>148</v>
      </c>
      <c r="E167" s="14" t="s">
        <v>62</v>
      </c>
      <c r="F167" s="26" t="n">
        <f aca="false">Accounts!F10</f>
        <v>3592</v>
      </c>
      <c r="G167" s="17" t="n">
        <f aca="false">Assumptions!$D$9</f>
        <v>62</v>
      </c>
      <c r="H167" s="17" t="n">
        <f aca="false">Assumptions!$E$9</f>
        <v>36</v>
      </c>
      <c r="I167" s="17" t="n">
        <f aca="false">ROUND(F167*G167,2)</f>
        <v>222704</v>
      </c>
      <c r="J167" s="17" t="n">
        <f aca="false">ROUND(I167*Accounts!O10,2)</f>
        <v>13362.24</v>
      </c>
      <c r="K167" s="17" t="n">
        <f aca="false">ROUND(I167*Accounts!M10,2)</f>
        <v>20266.06</v>
      </c>
      <c r="L167" s="17" t="n">
        <f aca="false">ROUND(I167-J167-K167,2)</f>
        <v>189075.7</v>
      </c>
      <c r="M167" s="17" t="n">
        <f aca="false">ROUND(L167*AA167,2)</f>
        <v>6617.65</v>
      </c>
      <c r="N167" s="17" t="n">
        <f aca="false">ROUND(L167*Accounts!R10,2)</f>
        <v>0</v>
      </c>
      <c r="O167" s="17" t="n">
        <f aca="false">ROUND(L167*Accounts!S10,2)</f>
        <v>5672.27</v>
      </c>
      <c r="P167" s="17" t="n">
        <f aca="false">ROUND(L167*Accounts!T10,2)</f>
        <v>0</v>
      </c>
      <c r="Q167" s="17" t="n">
        <f aca="false">ROUND(L167*Accounts!U10,2)</f>
        <v>0</v>
      </c>
      <c r="R167" s="17" t="n">
        <f aca="false">ROUND(L167*Accounts!V10,2)</f>
        <v>945.38</v>
      </c>
      <c r="S167" s="17" t="n">
        <f aca="false">ROUND(L167*Accounts!W10,2)</f>
        <v>0</v>
      </c>
      <c r="T167" s="17" t="n">
        <f aca="false">ROUND(L167-SUM(M167:S167),2)</f>
        <v>175840.4</v>
      </c>
      <c r="U167" s="17" t="n">
        <f aca="false">ROUND(F167*H167,2)</f>
        <v>129312</v>
      </c>
      <c r="V167" s="17" t="n">
        <f aca="false">ROUND(L167*Assumptions!$C$25,2)</f>
        <v>3781.51</v>
      </c>
      <c r="W167" s="17" t="n">
        <f aca="false">ROUND(T167-U167-V167,2)</f>
        <v>42746.89</v>
      </c>
      <c r="X167" s="28" t="n">
        <f aca="false">T167/I167</f>
        <v>0.789570012213521</v>
      </c>
      <c r="Y167" s="17" t="n">
        <f aca="false">T167/F167</f>
        <v>48.9533407572383</v>
      </c>
      <c r="Z167" s="26" t="n">
        <f aca="false">Accounts!H10</f>
        <v>10964</v>
      </c>
      <c r="AA167" s="28" t="n">
        <f aca="false">IF(Z167&gt;=Assumptions!$B$44,Assumptions!$C$44,IF(Z167&gt;=Assumptions!$B$45,Assumptions!$C$45,IF(Z167&gt;=Assumptions!$B$46,Assumptions!$C$46,Assumptions!$C$47)))</f>
        <v>0.035</v>
      </c>
      <c r="AB167" s="26" t="n">
        <f aca="false">IF(Z167&gt;=Assumptions!$B$44,Assumptions!$B$44,IF(Z167&gt;=Assumptions!$B$45,Assumptions!$B$45,IF(Z167&gt;=Assumptions!$B$46,Assumptions!$B$46,0)))</f>
        <v>10000</v>
      </c>
    </row>
    <row r="168" customFormat="false" ht="15" hidden="false" customHeight="false" outlineLevel="0" collapsed="false">
      <c r="B168" s="14" t="s">
        <v>159</v>
      </c>
      <c r="C168" s="14" t="s">
        <v>147</v>
      </c>
      <c r="D168" s="14" t="s">
        <v>155</v>
      </c>
      <c r="E168" s="14" t="s">
        <v>62</v>
      </c>
      <c r="F168" s="26" t="n">
        <f aca="false">Accounts!F16</f>
        <v>7211</v>
      </c>
      <c r="G168" s="17" t="n">
        <f aca="false">Assumptions!$D$9</f>
        <v>62</v>
      </c>
      <c r="H168" s="17" t="n">
        <f aca="false">Assumptions!$E$9</f>
        <v>36</v>
      </c>
      <c r="I168" s="17" t="n">
        <f aca="false">ROUND(F168*G168,2)</f>
        <v>447082</v>
      </c>
      <c r="J168" s="17" t="n">
        <f aca="false">ROUND(I168*Accounts!O16,2)</f>
        <v>26824.92</v>
      </c>
      <c r="K168" s="17" t="n">
        <f aca="false">ROUND(I168*Accounts!M16,2)</f>
        <v>81368.92</v>
      </c>
      <c r="L168" s="17" t="n">
        <f aca="false">ROUND(I168-J168-K168,2)</f>
        <v>338888.16</v>
      </c>
      <c r="M168" s="17" t="n">
        <f aca="false">ROUND(L168*AA168,2)</f>
        <v>11861.09</v>
      </c>
      <c r="N168" s="17" t="n">
        <f aca="false">ROUND(L168*Accounts!R16,2)</f>
        <v>0</v>
      </c>
      <c r="O168" s="17" t="n">
        <f aca="false">ROUND(L168*Accounts!S16,2)</f>
        <v>10166.64</v>
      </c>
      <c r="P168" s="17" t="n">
        <f aca="false">ROUND(L168*Accounts!T16,2)</f>
        <v>0</v>
      </c>
      <c r="Q168" s="17" t="n">
        <f aca="false">ROUND(L168*Accounts!U16,2)</f>
        <v>0</v>
      </c>
      <c r="R168" s="17" t="n">
        <f aca="false">ROUND(L168*Accounts!V16,2)</f>
        <v>1694.44</v>
      </c>
      <c r="S168" s="17" t="n">
        <f aca="false">ROUND(L168*Accounts!W16,2)</f>
        <v>0</v>
      </c>
      <c r="T168" s="17" t="n">
        <f aca="false">ROUND(L168-SUM(M168:S168),2)</f>
        <v>315165.99</v>
      </c>
      <c r="U168" s="17" t="n">
        <f aca="false">ROUND(F168*H168,2)</f>
        <v>259596</v>
      </c>
      <c r="V168" s="17" t="n">
        <f aca="false">ROUND(L168*Assumptions!$C$25,2)</f>
        <v>6777.76</v>
      </c>
      <c r="W168" s="17" t="n">
        <f aca="false">ROUND(T168-U168-V168,2)</f>
        <v>48792.23</v>
      </c>
      <c r="X168" s="28" t="n">
        <f aca="false">T168/I168</f>
        <v>0.704940011004693</v>
      </c>
      <c r="Y168" s="17" t="n">
        <f aca="false">T168/F168</f>
        <v>43.7062806822909</v>
      </c>
      <c r="Z168" s="26" t="n">
        <f aca="false">Accounts!H16</f>
        <v>20265</v>
      </c>
      <c r="AA168" s="28" t="n">
        <f aca="false">IF(Z168&gt;=Assumptions!$B$44,Assumptions!$C$44,IF(Z168&gt;=Assumptions!$B$45,Assumptions!$C$45,IF(Z168&gt;=Assumptions!$B$46,Assumptions!$C$46,Assumptions!$C$47)))</f>
        <v>0.035</v>
      </c>
      <c r="AB168" s="26" t="n">
        <f aca="false">IF(Z168&gt;=Assumptions!$B$44,Assumptions!$B$44,IF(Z168&gt;=Assumptions!$B$45,Assumptions!$B$45,IF(Z168&gt;=Assumptions!$B$46,Assumptions!$B$46,0)))</f>
        <v>10000</v>
      </c>
    </row>
    <row r="169" customFormat="false" ht="15" hidden="false" customHeight="false" outlineLevel="0" collapsed="false">
      <c r="B169" s="14" t="s">
        <v>153</v>
      </c>
      <c r="C169" s="14" t="s">
        <v>147</v>
      </c>
      <c r="D169" s="14" t="s">
        <v>148</v>
      </c>
      <c r="E169" s="14" t="s">
        <v>62</v>
      </c>
      <c r="F169" s="26" t="n">
        <f aca="false">Accounts!F11</f>
        <v>8260</v>
      </c>
      <c r="G169" s="17" t="n">
        <f aca="false">Assumptions!$D$9</f>
        <v>62</v>
      </c>
      <c r="H169" s="17" t="n">
        <f aca="false">Assumptions!$E$9</f>
        <v>36</v>
      </c>
      <c r="I169" s="17" t="n">
        <f aca="false">ROUND(F169*G169,2)</f>
        <v>512120</v>
      </c>
      <c r="J169" s="17" t="n">
        <f aca="false">ROUND(I169*Accounts!O11,2)</f>
        <v>30727.2</v>
      </c>
      <c r="K169" s="17" t="n">
        <f aca="false">ROUND(I169*Accounts!M11,2)</f>
        <v>109849.74</v>
      </c>
      <c r="L169" s="17" t="n">
        <f aca="false">ROUND(I169-J169-K169,2)</f>
        <v>371543.06</v>
      </c>
      <c r="M169" s="17" t="n">
        <f aca="false">ROUND(L169*AA169,2)</f>
        <v>18577.15</v>
      </c>
      <c r="N169" s="17" t="n">
        <f aca="false">ROUND(L169*Accounts!R11,2)</f>
        <v>0</v>
      </c>
      <c r="O169" s="17" t="n">
        <f aca="false">ROUND(L169*Accounts!S11,2)</f>
        <v>11146.29</v>
      </c>
      <c r="P169" s="17" t="n">
        <f aca="false">ROUND(L169*Accounts!T11,2)</f>
        <v>0</v>
      </c>
      <c r="Q169" s="17" t="n">
        <f aca="false">ROUND(L169*Accounts!U11,2)</f>
        <v>0</v>
      </c>
      <c r="R169" s="17" t="n">
        <f aca="false">ROUND(L169*Accounts!V11,2)</f>
        <v>1857.72</v>
      </c>
      <c r="S169" s="17" t="n">
        <f aca="false">ROUND(L169*Accounts!W11,2)</f>
        <v>0</v>
      </c>
      <c r="T169" s="17" t="n">
        <f aca="false">ROUND(L169-SUM(M169:S169),2)</f>
        <v>339961.9</v>
      </c>
      <c r="U169" s="17" t="n">
        <f aca="false">ROUND(F169*H169,2)</f>
        <v>297360</v>
      </c>
      <c r="V169" s="17" t="n">
        <f aca="false">ROUND(L169*Assumptions!$C$25,2)</f>
        <v>7430.86</v>
      </c>
      <c r="W169" s="17" t="n">
        <f aca="false">ROUND(T169-U169-V169,2)</f>
        <v>35171.04</v>
      </c>
      <c r="X169" s="28" t="n">
        <f aca="false">T169/I169</f>
        <v>0.663832500195267</v>
      </c>
      <c r="Y169" s="17" t="n">
        <f aca="false">T169/F169</f>
        <v>41.1576150121065</v>
      </c>
      <c r="Z169" s="26" t="n">
        <f aca="false">Accounts!H11</f>
        <v>25217</v>
      </c>
      <c r="AA169" s="28" t="n">
        <f aca="false">IF(Z169&gt;=Assumptions!$B$44,Assumptions!$C$44,IF(Z169&gt;=Assumptions!$B$45,Assumptions!$C$45,IF(Z169&gt;=Assumptions!$B$46,Assumptions!$C$46,Assumptions!$C$47)))</f>
        <v>0.05</v>
      </c>
      <c r="AB169" s="26" t="n">
        <f aca="false">IF(Z169&gt;=Assumptions!$B$44,Assumptions!$B$44,IF(Z169&gt;=Assumptions!$B$45,Assumptions!$B$45,IF(Z169&gt;=Assumptions!$B$46,Assumptions!$B$46,0)))</f>
        <v>25000</v>
      </c>
    </row>
    <row r="170" customFormat="false" ht="15" hidden="false" customHeight="false" outlineLevel="0" collapsed="false">
      <c r="B170" s="14" t="s">
        <v>160</v>
      </c>
      <c r="C170" s="14" t="s">
        <v>147</v>
      </c>
      <c r="D170" s="14" t="s">
        <v>155</v>
      </c>
      <c r="E170" s="14" t="s">
        <v>62</v>
      </c>
      <c r="F170" s="26" t="n">
        <f aca="false">Accounts!F17</f>
        <v>3875</v>
      </c>
      <c r="G170" s="17" t="n">
        <f aca="false">Assumptions!$D$9</f>
        <v>62</v>
      </c>
      <c r="H170" s="17" t="n">
        <f aca="false">Assumptions!$E$9</f>
        <v>36</v>
      </c>
      <c r="I170" s="17" t="n">
        <f aca="false">ROUND(F170*G170,2)</f>
        <v>240250</v>
      </c>
      <c r="J170" s="17" t="n">
        <f aca="false">ROUND(I170*Accounts!O17,2)</f>
        <v>14415</v>
      </c>
      <c r="K170" s="17" t="n">
        <f aca="false">ROUND(I170*Accounts!M17,2)</f>
        <v>57660</v>
      </c>
      <c r="L170" s="17" t="n">
        <f aca="false">ROUND(I170-J170-K170,2)</f>
        <v>168175</v>
      </c>
      <c r="M170" s="17" t="n">
        <f aca="false">ROUND(L170*AA170,2)</f>
        <v>5886.13</v>
      </c>
      <c r="N170" s="17" t="n">
        <f aca="false">ROUND(L170*Accounts!R17,2)</f>
        <v>0</v>
      </c>
      <c r="O170" s="17" t="n">
        <f aca="false">ROUND(L170*Accounts!S17,2)</f>
        <v>5045.25</v>
      </c>
      <c r="P170" s="17" t="n">
        <f aca="false">ROUND(L170*Accounts!T17,2)</f>
        <v>0</v>
      </c>
      <c r="Q170" s="17" t="n">
        <f aca="false">ROUND(L170*Accounts!U17,2)</f>
        <v>0</v>
      </c>
      <c r="R170" s="17" t="n">
        <f aca="false">ROUND(L170*Accounts!V17,2)</f>
        <v>840.88</v>
      </c>
      <c r="S170" s="17" t="n">
        <f aca="false">ROUND(L170*Accounts!W17,2)</f>
        <v>0</v>
      </c>
      <c r="T170" s="17" t="n">
        <f aca="false">ROUND(L170-SUM(M170:S170),2)</f>
        <v>156402.74</v>
      </c>
      <c r="U170" s="17" t="n">
        <f aca="false">ROUND(F170*H170,2)</f>
        <v>139500</v>
      </c>
      <c r="V170" s="17" t="n">
        <f aca="false">ROUND(L170*Assumptions!$C$25,2)</f>
        <v>3363.5</v>
      </c>
      <c r="W170" s="17" t="n">
        <f aca="false">ROUND(T170-U170-V170,2)</f>
        <v>13539.24</v>
      </c>
      <c r="X170" s="28" t="n">
        <f aca="false">T170/I170</f>
        <v>0.650999958376691</v>
      </c>
      <c r="Y170" s="17" t="n">
        <f aca="false">T170/F170</f>
        <v>40.3619974193548</v>
      </c>
      <c r="Z170" s="26" t="n">
        <f aca="false">Accounts!H17</f>
        <v>13071</v>
      </c>
      <c r="AA170" s="28" t="n">
        <f aca="false">IF(Z170&gt;=Assumptions!$B$44,Assumptions!$C$44,IF(Z170&gt;=Assumptions!$B$45,Assumptions!$C$45,IF(Z170&gt;=Assumptions!$B$46,Assumptions!$C$46,Assumptions!$C$47)))</f>
        <v>0.035</v>
      </c>
      <c r="AB170" s="26" t="n">
        <f aca="false">IF(Z170&gt;=Assumptions!$B$44,Assumptions!$B$44,IF(Z170&gt;=Assumptions!$B$45,Assumptions!$B$45,IF(Z170&gt;=Assumptions!$B$46,Assumptions!$B$46,0)))</f>
        <v>10000</v>
      </c>
    </row>
    <row r="171" customFormat="false" ht="15" hidden="false" customHeight="false" outlineLevel="0" collapsed="false">
      <c r="B171" s="14" t="s">
        <v>161</v>
      </c>
      <c r="C171" s="14" t="s">
        <v>162</v>
      </c>
      <c r="D171" s="14" t="s">
        <v>163</v>
      </c>
      <c r="E171" s="14" t="s">
        <v>62</v>
      </c>
      <c r="F171" s="26" t="n">
        <f aca="false">Accounts!F18</f>
        <v>1201</v>
      </c>
      <c r="G171" s="17" t="n">
        <f aca="false">Assumptions!$D$9</f>
        <v>62</v>
      </c>
      <c r="H171" s="17" t="n">
        <f aca="false">Assumptions!$E$9</f>
        <v>36</v>
      </c>
      <c r="I171" s="17" t="n">
        <f aca="false">ROUND(F171*G171,2)</f>
        <v>74462</v>
      </c>
      <c r="J171" s="17" t="n">
        <f aca="false">ROUND(I171*Accounts!O18,2)</f>
        <v>2978.48</v>
      </c>
      <c r="K171" s="17" t="n">
        <f aca="false">ROUND(I171*Accounts!M18,2)</f>
        <v>10164.06</v>
      </c>
      <c r="L171" s="17" t="n">
        <f aca="false">ROUND(I171-J171-K171,2)</f>
        <v>61319.46</v>
      </c>
      <c r="M171" s="17" t="n">
        <f aca="false">ROUND(L171*AA171,2)</f>
        <v>0</v>
      </c>
      <c r="N171" s="17" t="n">
        <f aca="false">ROUND(L171*Accounts!R18,2)</f>
        <v>1226.39</v>
      </c>
      <c r="O171" s="17" t="n">
        <f aca="false">ROUND(L171*Accounts!S18,2)</f>
        <v>919.79</v>
      </c>
      <c r="P171" s="17" t="n">
        <f aca="false">ROUND(L171*Accounts!T18,2)</f>
        <v>1532.99</v>
      </c>
      <c r="Q171" s="17" t="n">
        <f aca="false">ROUND(L171*Accounts!U18,2)</f>
        <v>919.79</v>
      </c>
      <c r="R171" s="17" t="n">
        <f aca="false">ROUND(L171*Accounts!V18,2)</f>
        <v>490.56</v>
      </c>
      <c r="S171" s="17" t="n">
        <f aca="false">ROUND(L171*Accounts!W18,2)</f>
        <v>613.19</v>
      </c>
      <c r="T171" s="17" t="n">
        <f aca="false">ROUND(L171-SUM(M171:S171),2)</f>
        <v>55616.75</v>
      </c>
      <c r="U171" s="17" t="n">
        <f aca="false">ROUND(F171*H171,2)</f>
        <v>43236</v>
      </c>
      <c r="V171" s="17" t="n">
        <f aca="false">ROUND(L171*Assumptions!$C$25,2)</f>
        <v>1226.39</v>
      </c>
      <c r="W171" s="17" t="n">
        <f aca="false">ROUND(T171-U171-V171,2)</f>
        <v>11154.36</v>
      </c>
      <c r="X171" s="28" t="n">
        <f aca="false">T171/I171</f>
        <v>0.746914533587602</v>
      </c>
      <c r="Y171" s="17" t="n">
        <f aca="false">T171/F171</f>
        <v>46.3087010824313</v>
      </c>
      <c r="Z171" s="26" t="n">
        <f aca="false">Accounts!H18</f>
        <v>1695</v>
      </c>
      <c r="AA171" s="28" t="n">
        <f aca="false">IF(Z171&gt;=Assumptions!$B$44,Assumptions!$C$44,IF(Z171&gt;=Assumptions!$B$45,Assumptions!$C$45,IF(Z171&gt;=Assumptions!$B$46,Assumptions!$C$46,Assumptions!$C$47)))</f>
        <v>0</v>
      </c>
      <c r="AB171" s="26" t="n">
        <f aca="false">IF(Z171&gt;=Assumptions!$B$44,Assumptions!$B$44,IF(Z171&gt;=Assumptions!$B$45,Assumptions!$B$45,IF(Z171&gt;=Assumptions!$B$46,Assumptions!$B$46,0)))</f>
        <v>0</v>
      </c>
    </row>
    <row r="172" customFormat="false" ht="15" hidden="false" customHeight="false" outlineLevel="0" collapsed="false">
      <c r="B172" s="14" t="s">
        <v>173</v>
      </c>
      <c r="C172" s="14" t="s">
        <v>162</v>
      </c>
      <c r="D172" s="14" t="s">
        <v>174</v>
      </c>
      <c r="E172" s="14" t="s">
        <v>62</v>
      </c>
      <c r="F172" s="26" t="n">
        <f aca="false">Accounts!F28</f>
        <v>9044</v>
      </c>
      <c r="G172" s="17" t="n">
        <f aca="false">Assumptions!$D$9</f>
        <v>62</v>
      </c>
      <c r="H172" s="17" t="n">
        <f aca="false">Assumptions!$E$9</f>
        <v>36</v>
      </c>
      <c r="I172" s="17" t="n">
        <f aca="false">ROUND(F172*G172,2)</f>
        <v>560728</v>
      </c>
      <c r="J172" s="17" t="n">
        <f aca="false">ROUND(I172*Accounts!O28,2)</f>
        <v>33643.68</v>
      </c>
      <c r="K172" s="17" t="n">
        <f aca="false">ROUND(I172*Accounts!M28,2)</f>
        <v>40092.05</v>
      </c>
      <c r="L172" s="17" t="n">
        <f aca="false">ROUND(I172-J172-K172,2)</f>
        <v>486992.27</v>
      </c>
      <c r="M172" s="17" t="n">
        <f aca="false">ROUND(L172*AA172,2)</f>
        <v>17044.73</v>
      </c>
      <c r="N172" s="17" t="n">
        <f aca="false">ROUND(L172*Accounts!R28,2)</f>
        <v>9739.85</v>
      </c>
      <c r="O172" s="17" t="n">
        <f aca="false">ROUND(L172*Accounts!S28,2)</f>
        <v>7304.88</v>
      </c>
      <c r="P172" s="17" t="n">
        <f aca="false">ROUND(L172*Accounts!T28,2)</f>
        <v>12174.81</v>
      </c>
      <c r="Q172" s="17" t="n">
        <f aca="false">ROUND(L172*Accounts!U28,2)</f>
        <v>7304.88</v>
      </c>
      <c r="R172" s="17" t="n">
        <f aca="false">ROUND(L172*Accounts!V28,2)</f>
        <v>3895.94</v>
      </c>
      <c r="S172" s="17" t="n">
        <f aca="false">ROUND(L172*Accounts!W28,2)</f>
        <v>0</v>
      </c>
      <c r="T172" s="17" t="n">
        <f aca="false">ROUND(L172-SUM(M172:S172),2)</f>
        <v>429527.18</v>
      </c>
      <c r="U172" s="17" t="n">
        <f aca="false">ROUND(F172*H172,2)</f>
        <v>325584</v>
      </c>
      <c r="V172" s="17" t="n">
        <f aca="false">ROUND(L172*Assumptions!$C$25,2)</f>
        <v>9739.85</v>
      </c>
      <c r="W172" s="17" t="n">
        <f aca="false">ROUND(T172-U172-V172,2)</f>
        <v>94203.33</v>
      </c>
      <c r="X172" s="28" t="n">
        <f aca="false">T172/I172</f>
        <v>0.766016999329443</v>
      </c>
      <c r="Y172" s="17" t="n">
        <f aca="false">T172/F172</f>
        <v>47.4930539584255</v>
      </c>
      <c r="Z172" s="26" t="n">
        <f aca="false">Accounts!H28</f>
        <v>13146</v>
      </c>
      <c r="AA172" s="28" t="n">
        <f aca="false">IF(Z172&gt;=Assumptions!$B$44,Assumptions!$C$44,IF(Z172&gt;=Assumptions!$B$45,Assumptions!$C$45,IF(Z172&gt;=Assumptions!$B$46,Assumptions!$C$46,Assumptions!$C$47)))</f>
        <v>0.035</v>
      </c>
      <c r="AB172" s="26" t="n">
        <f aca="false">IF(Z172&gt;=Assumptions!$B$44,Assumptions!$B$44,IF(Z172&gt;=Assumptions!$B$45,Assumptions!$B$45,IF(Z172&gt;=Assumptions!$B$46,Assumptions!$B$46,0)))</f>
        <v>10000</v>
      </c>
    </row>
    <row r="173" customFormat="false" ht="15" hidden="false" customHeight="false" outlineLevel="0" collapsed="false">
      <c r="B173" s="14" t="s">
        <v>183</v>
      </c>
      <c r="C173" s="14" t="s">
        <v>162</v>
      </c>
      <c r="D173" s="14" t="s">
        <v>184</v>
      </c>
      <c r="E173" s="14" t="s">
        <v>62</v>
      </c>
      <c r="F173" s="26" t="n">
        <f aca="false">Accounts!F37</f>
        <v>1969</v>
      </c>
      <c r="G173" s="17" t="n">
        <f aca="false">Assumptions!$D$9</f>
        <v>62</v>
      </c>
      <c r="H173" s="17" t="n">
        <f aca="false">Assumptions!$E$9</f>
        <v>36</v>
      </c>
      <c r="I173" s="17" t="n">
        <f aca="false">ROUND(F173*G173,2)</f>
        <v>122078</v>
      </c>
      <c r="J173" s="17" t="n">
        <f aca="false">ROUND(I173*Accounts!O37,2)</f>
        <v>4883.12</v>
      </c>
      <c r="K173" s="17" t="n">
        <f aca="false">ROUND(I173*Accounts!M37,2)</f>
        <v>3967.54</v>
      </c>
      <c r="L173" s="17" t="n">
        <f aca="false">ROUND(I173-J173-K173,2)</f>
        <v>113227.34</v>
      </c>
      <c r="M173" s="17" t="n">
        <f aca="false">ROUND(L173*AA173,2)</f>
        <v>2264.55</v>
      </c>
      <c r="N173" s="17" t="n">
        <f aca="false">ROUND(L173*Accounts!R37,2)</f>
        <v>2264.55</v>
      </c>
      <c r="O173" s="17" t="n">
        <f aca="false">ROUND(L173*Accounts!S37,2)</f>
        <v>1698.41</v>
      </c>
      <c r="P173" s="17" t="n">
        <f aca="false">ROUND(L173*Accounts!T37,2)</f>
        <v>2830.68</v>
      </c>
      <c r="Q173" s="17" t="n">
        <f aca="false">ROUND(L173*Accounts!U37,2)</f>
        <v>0</v>
      </c>
      <c r="R173" s="17" t="n">
        <f aca="false">ROUND(L173*Accounts!V37,2)</f>
        <v>905.82</v>
      </c>
      <c r="S173" s="17" t="n">
        <f aca="false">ROUND(L173*Accounts!W37,2)</f>
        <v>1132.27</v>
      </c>
      <c r="T173" s="17" t="n">
        <f aca="false">ROUND(L173-SUM(M173:S173),2)</f>
        <v>102131.06</v>
      </c>
      <c r="U173" s="17" t="n">
        <f aca="false">ROUND(F173*H173,2)</f>
        <v>70884</v>
      </c>
      <c r="V173" s="17" t="n">
        <f aca="false">ROUND(L173*Assumptions!$C$25,2)</f>
        <v>2264.55</v>
      </c>
      <c r="W173" s="17" t="n">
        <f aca="false">ROUND(T173-U173-V173,2)</f>
        <v>28982.51</v>
      </c>
      <c r="X173" s="28" t="n">
        <f aca="false">T173/I173</f>
        <v>0.836604957486197</v>
      </c>
      <c r="Y173" s="17" t="n">
        <f aca="false">T173/F173</f>
        <v>51.8695073641442</v>
      </c>
      <c r="Z173" s="26" t="n">
        <f aca="false">Accounts!H37</f>
        <v>3542</v>
      </c>
      <c r="AA173" s="28" t="n">
        <f aca="false">IF(Z173&gt;=Assumptions!$B$44,Assumptions!$C$44,IF(Z173&gt;=Assumptions!$B$45,Assumptions!$C$45,IF(Z173&gt;=Assumptions!$B$46,Assumptions!$C$46,Assumptions!$C$47)))</f>
        <v>0.02</v>
      </c>
      <c r="AB173" s="26" t="n">
        <f aca="false">IF(Z173&gt;=Assumptions!$B$44,Assumptions!$B$44,IF(Z173&gt;=Assumptions!$B$45,Assumptions!$B$45,IF(Z173&gt;=Assumptions!$B$46,Assumptions!$B$46,0)))</f>
        <v>3000</v>
      </c>
    </row>
    <row r="174" customFormat="false" ht="15" hidden="false" customHeight="false" outlineLevel="0" collapsed="false">
      <c r="B174" s="14" t="s">
        <v>164</v>
      </c>
      <c r="C174" s="14" t="s">
        <v>162</v>
      </c>
      <c r="D174" s="14" t="s">
        <v>163</v>
      </c>
      <c r="E174" s="14" t="s">
        <v>62</v>
      </c>
      <c r="F174" s="26" t="n">
        <f aca="false">Accounts!F19</f>
        <v>8590</v>
      </c>
      <c r="G174" s="17" t="n">
        <f aca="false">Assumptions!$D$9</f>
        <v>62</v>
      </c>
      <c r="H174" s="17" t="n">
        <f aca="false">Assumptions!$E$9</f>
        <v>36</v>
      </c>
      <c r="I174" s="17" t="n">
        <f aca="false">ROUND(F174*G174,2)</f>
        <v>532580</v>
      </c>
      <c r="J174" s="17" t="n">
        <f aca="false">ROUND(I174*Accounts!O19,2)</f>
        <v>21303.2</v>
      </c>
      <c r="K174" s="17" t="n">
        <f aca="false">ROUND(I174*Accounts!M19,2)</f>
        <v>124623.72</v>
      </c>
      <c r="L174" s="17" t="n">
        <f aca="false">ROUND(I174-J174-K174,2)</f>
        <v>386653.08</v>
      </c>
      <c r="M174" s="17" t="n">
        <f aca="false">ROUND(L174*AA174,2)</f>
        <v>13532.86</v>
      </c>
      <c r="N174" s="17" t="n">
        <f aca="false">ROUND(L174*Accounts!R19,2)</f>
        <v>7733.06</v>
      </c>
      <c r="O174" s="17" t="n">
        <f aca="false">ROUND(L174*Accounts!S19,2)</f>
        <v>5799.8</v>
      </c>
      <c r="P174" s="17" t="n">
        <f aca="false">ROUND(L174*Accounts!T19,2)</f>
        <v>9666.33</v>
      </c>
      <c r="Q174" s="17" t="n">
        <f aca="false">ROUND(L174*Accounts!U19,2)</f>
        <v>5799.8</v>
      </c>
      <c r="R174" s="17" t="n">
        <f aca="false">ROUND(L174*Accounts!V19,2)</f>
        <v>3093.22</v>
      </c>
      <c r="S174" s="17" t="n">
        <f aca="false">ROUND(L174*Accounts!W19,2)</f>
        <v>0</v>
      </c>
      <c r="T174" s="17" t="n">
        <f aca="false">ROUND(L174-SUM(M174:S174),2)</f>
        <v>341028.01</v>
      </c>
      <c r="U174" s="17" t="n">
        <f aca="false">ROUND(F174*H174,2)</f>
        <v>309240</v>
      </c>
      <c r="V174" s="17" t="n">
        <f aca="false">ROUND(L174*Assumptions!$C$25,2)</f>
        <v>7733.06</v>
      </c>
      <c r="W174" s="17" t="n">
        <f aca="false">ROUND(T174-U174-V174,2)</f>
        <v>24054.95</v>
      </c>
      <c r="X174" s="28" t="n">
        <f aca="false">T174/I174</f>
        <v>0.640331987682602</v>
      </c>
      <c r="Y174" s="17" t="n">
        <f aca="false">T174/F174</f>
        <v>39.7005832363213</v>
      </c>
      <c r="Z174" s="26" t="n">
        <f aca="false">Accounts!H19</f>
        <v>13041</v>
      </c>
      <c r="AA174" s="28" t="n">
        <f aca="false">IF(Z174&gt;=Assumptions!$B$44,Assumptions!$C$44,IF(Z174&gt;=Assumptions!$B$45,Assumptions!$C$45,IF(Z174&gt;=Assumptions!$B$46,Assumptions!$C$46,Assumptions!$C$47)))</f>
        <v>0.035</v>
      </c>
      <c r="AB174" s="26" t="n">
        <f aca="false">IF(Z174&gt;=Assumptions!$B$44,Assumptions!$B$44,IF(Z174&gt;=Assumptions!$B$45,Assumptions!$B$45,IF(Z174&gt;=Assumptions!$B$46,Assumptions!$B$46,0)))</f>
        <v>10000</v>
      </c>
    </row>
    <row r="175" customFormat="false" ht="15" hidden="false" customHeight="false" outlineLevel="0" collapsed="false">
      <c r="B175" s="14" t="s">
        <v>175</v>
      </c>
      <c r="C175" s="14" t="s">
        <v>162</v>
      </c>
      <c r="D175" s="14" t="s">
        <v>174</v>
      </c>
      <c r="E175" s="14" t="s">
        <v>62</v>
      </c>
      <c r="F175" s="26" t="n">
        <f aca="false">Accounts!F29</f>
        <v>10593</v>
      </c>
      <c r="G175" s="17" t="n">
        <f aca="false">Assumptions!$D$9</f>
        <v>62</v>
      </c>
      <c r="H175" s="17" t="n">
        <f aca="false">Assumptions!$E$9</f>
        <v>36</v>
      </c>
      <c r="I175" s="17" t="n">
        <f aca="false">ROUND(F175*G175,2)</f>
        <v>656766</v>
      </c>
      <c r="J175" s="17" t="n">
        <f aca="false">ROUND(I175*Accounts!O29,2)</f>
        <v>26270.64</v>
      </c>
      <c r="K175" s="17" t="n">
        <f aca="false">ROUND(I175*Accounts!M29,2)</f>
        <v>68303.66</v>
      </c>
      <c r="L175" s="17" t="n">
        <f aca="false">ROUND(I175-J175-K175,2)</f>
        <v>562191.7</v>
      </c>
      <c r="M175" s="17" t="n">
        <f aca="false">ROUND(L175*AA175,2)</f>
        <v>19676.71</v>
      </c>
      <c r="N175" s="17" t="n">
        <f aca="false">ROUND(L175*Accounts!R29,2)</f>
        <v>11243.83</v>
      </c>
      <c r="O175" s="17" t="n">
        <f aca="false">ROUND(L175*Accounts!S29,2)</f>
        <v>8432.88</v>
      </c>
      <c r="P175" s="17" t="n">
        <f aca="false">ROUND(L175*Accounts!T29,2)</f>
        <v>14054.79</v>
      </c>
      <c r="Q175" s="17" t="n">
        <f aca="false">ROUND(L175*Accounts!U29,2)</f>
        <v>0</v>
      </c>
      <c r="R175" s="17" t="n">
        <f aca="false">ROUND(L175*Accounts!V29,2)</f>
        <v>4497.53</v>
      </c>
      <c r="S175" s="17" t="n">
        <f aca="false">ROUND(L175*Accounts!W29,2)</f>
        <v>5621.92</v>
      </c>
      <c r="T175" s="17" t="n">
        <f aca="false">ROUND(L175-SUM(M175:S175),2)</f>
        <v>498664.04</v>
      </c>
      <c r="U175" s="17" t="n">
        <f aca="false">ROUND(F175*H175,2)</f>
        <v>381348</v>
      </c>
      <c r="V175" s="17" t="n">
        <f aca="false">ROUND(L175*Assumptions!$C$25,2)</f>
        <v>11243.83</v>
      </c>
      <c r="W175" s="17" t="n">
        <f aca="false">ROUND(T175-U175-V175,2)</f>
        <v>106072.21</v>
      </c>
      <c r="X175" s="28" t="n">
        <f aca="false">T175/I175</f>
        <v>0.759272008599714</v>
      </c>
      <c r="Y175" s="17" t="n">
        <f aca="false">T175/F175</f>
        <v>47.0748645331823</v>
      </c>
      <c r="Z175" s="26" t="n">
        <f aca="false">Accounts!H29</f>
        <v>16145</v>
      </c>
      <c r="AA175" s="28" t="n">
        <f aca="false">IF(Z175&gt;=Assumptions!$B$44,Assumptions!$C$44,IF(Z175&gt;=Assumptions!$B$45,Assumptions!$C$45,IF(Z175&gt;=Assumptions!$B$46,Assumptions!$C$46,Assumptions!$C$47)))</f>
        <v>0.035</v>
      </c>
      <c r="AB175" s="26" t="n">
        <f aca="false">IF(Z175&gt;=Assumptions!$B$44,Assumptions!$B$44,IF(Z175&gt;=Assumptions!$B$45,Assumptions!$B$45,IF(Z175&gt;=Assumptions!$B$46,Assumptions!$B$46,0)))</f>
        <v>10000</v>
      </c>
    </row>
    <row r="176" customFormat="false" ht="15" hidden="false" customHeight="false" outlineLevel="0" collapsed="false">
      <c r="B176" s="14" t="s">
        <v>185</v>
      </c>
      <c r="C176" s="14" t="s">
        <v>162</v>
      </c>
      <c r="D176" s="14" t="s">
        <v>184</v>
      </c>
      <c r="E176" s="14" t="s">
        <v>62</v>
      </c>
      <c r="F176" s="26" t="n">
        <f aca="false">Accounts!F38</f>
        <v>5234</v>
      </c>
      <c r="G176" s="17" t="n">
        <f aca="false">Assumptions!$D$9</f>
        <v>62</v>
      </c>
      <c r="H176" s="17" t="n">
        <f aca="false">Assumptions!$E$9</f>
        <v>36</v>
      </c>
      <c r="I176" s="17" t="n">
        <f aca="false">ROUND(F176*G176,2)</f>
        <v>324508</v>
      </c>
      <c r="J176" s="17" t="n">
        <f aca="false">ROUND(I176*Accounts!O38,2)</f>
        <v>12980.32</v>
      </c>
      <c r="K176" s="17" t="n">
        <f aca="false">ROUND(I176*Accounts!M38,2)</f>
        <v>46404.64</v>
      </c>
      <c r="L176" s="17" t="n">
        <f aca="false">ROUND(I176-J176-K176,2)</f>
        <v>265123.04</v>
      </c>
      <c r="M176" s="17" t="n">
        <f aca="false">ROUND(L176*AA176,2)</f>
        <v>5302.46</v>
      </c>
      <c r="N176" s="17" t="n">
        <f aca="false">ROUND(L176*Accounts!R38,2)</f>
        <v>5302.46</v>
      </c>
      <c r="O176" s="17" t="n">
        <f aca="false">ROUND(L176*Accounts!S38,2)</f>
        <v>3976.85</v>
      </c>
      <c r="P176" s="17" t="n">
        <f aca="false">ROUND(L176*Accounts!T38,2)</f>
        <v>6628.08</v>
      </c>
      <c r="Q176" s="17" t="n">
        <f aca="false">ROUND(L176*Accounts!U38,2)</f>
        <v>3976.85</v>
      </c>
      <c r="R176" s="17" t="n">
        <f aca="false">ROUND(L176*Accounts!V38,2)</f>
        <v>2120.98</v>
      </c>
      <c r="S176" s="17" t="n">
        <f aca="false">ROUND(L176*Accounts!W38,2)</f>
        <v>2651.23</v>
      </c>
      <c r="T176" s="17" t="n">
        <f aca="false">ROUND(L176-SUM(M176:S176),2)</f>
        <v>235164.13</v>
      </c>
      <c r="U176" s="17" t="n">
        <f aca="false">ROUND(F176*H176,2)</f>
        <v>188424</v>
      </c>
      <c r="V176" s="17" t="n">
        <f aca="false">ROUND(L176*Assumptions!$C$25,2)</f>
        <v>5302.46</v>
      </c>
      <c r="W176" s="17" t="n">
        <f aca="false">ROUND(T176-U176-V176,2)</f>
        <v>41437.67</v>
      </c>
      <c r="X176" s="28" t="n">
        <f aca="false">T176/I176</f>
        <v>0.724678990964784</v>
      </c>
      <c r="Y176" s="17" t="n">
        <f aca="false">T176/F176</f>
        <v>44.9300974398166</v>
      </c>
      <c r="Z176" s="26" t="n">
        <f aca="false">Accounts!H38</f>
        <v>7835</v>
      </c>
      <c r="AA176" s="28" t="n">
        <f aca="false">IF(Z176&gt;=Assumptions!$B$44,Assumptions!$C$44,IF(Z176&gt;=Assumptions!$B$45,Assumptions!$C$45,IF(Z176&gt;=Assumptions!$B$46,Assumptions!$C$46,Assumptions!$C$47)))</f>
        <v>0.02</v>
      </c>
      <c r="AB176" s="26" t="n">
        <f aca="false">IF(Z176&gt;=Assumptions!$B$44,Assumptions!$B$44,IF(Z176&gt;=Assumptions!$B$45,Assumptions!$B$45,IF(Z176&gt;=Assumptions!$B$46,Assumptions!$B$46,0)))</f>
        <v>3000</v>
      </c>
    </row>
    <row r="177" customFormat="false" ht="15" hidden="false" customHeight="false" outlineLevel="0" collapsed="false">
      <c r="B177" s="14" t="s">
        <v>165</v>
      </c>
      <c r="C177" s="14" t="s">
        <v>162</v>
      </c>
      <c r="D177" s="14" t="s">
        <v>163</v>
      </c>
      <c r="E177" s="14" t="s">
        <v>62</v>
      </c>
      <c r="F177" s="26" t="n">
        <f aca="false">Accounts!F20</f>
        <v>9172</v>
      </c>
      <c r="G177" s="17" t="n">
        <f aca="false">Assumptions!$D$9</f>
        <v>62</v>
      </c>
      <c r="H177" s="17" t="n">
        <f aca="false">Assumptions!$E$9</f>
        <v>36</v>
      </c>
      <c r="I177" s="17" t="n">
        <f aca="false">ROUND(F177*G177,2)</f>
        <v>568664</v>
      </c>
      <c r="J177" s="17" t="n">
        <f aca="false">ROUND(I177*Accounts!O20,2)</f>
        <v>22746.56</v>
      </c>
      <c r="K177" s="17" t="n">
        <f aca="false">ROUND(I177*Accounts!M20,2)</f>
        <v>62837.37</v>
      </c>
      <c r="L177" s="17" t="n">
        <f aca="false">ROUND(I177-J177-K177,2)</f>
        <v>483080.07</v>
      </c>
      <c r="M177" s="17" t="n">
        <f aca="false">ROUND(L177*AA177,2)</f>
        <v>16907.8</v>
      </c>
      <c r="N177" s="17" t="n">
        <f aca="false">ROUND(L177*Accounts!R20,2)</f>
        <v>9661.6</v>
      </c>
      <c r="O177" s="17" t="n">
        <f aca="false">ROUND(L177*Accounts!S20,2)</f>
        <v>7246.2</v>
      </c>
      <c r="P177" s="17" t="n">
        <f aca="false">ROUND(L177*Accounts!T20,2)</f>
        <v>12077</v>
      </c>
      <c r="Q177" s="17" t="n">
        <f aca="false">ROUND(L177*Accounts!U20,2)</f>
        <v>7246.2</v>
      </c>
      <c r="R177" s="17" t="n">
        <f aca="false">ROUND(L177*Accounts!V20,2)</f>
        <v>3864.64</v>
      </c>
      <c r="S177" s="17" t="n">
        <f aca="false">ROUND(L177*Accounts!W20,2)</f>
        <v>4830.8</v>
      </c>
      <c r="T177" s="17" t="n">
        <f aca="false">ROUND(L177-SUM(M177:S177),2)</f>
        <v>421245.83</v>
      </c>
      <c r="U177" s="17" t="n">
        <f aca="false">ROUND(F177*H177,2)</f>
        <v>330192</v>
      </c>
      <c r="V177" s="17" t="n">
        <f aca="false">ROUND(L177*Assumptions!$C$25,2)</f>
        <v>9661.6</v>
      </c>
      <c r="W177" s="17" t="n">
        <f aca="false">ROUND(T177-U177-V177,2)</f>
        <v>81392.23</v>
      </c>
      <c r="X177" s="28" t="n">
        <f aca="false">T177/I177</f>
        <v>0.740764018823066</v>
      </c>
      <c r="Y177" s="17" t="n">
        <f aca="false">T177/F177</f>
        <v>45.9273691670301</v>
      </c>
      <c r="Z177" s="26" t="n">
        <f aca="false">Accounts!H20</f>
        <v>12871</v>
      </c>
      <c r="AA177" s="28" t="n">
        <f aca="false">IF(Z177&gt;=Assumptions!$B$44,Assumptions!$C$44,IF(Z177&gt;=Assumptions!$B$45,Assumptions!$C$45,IF(Z177&gt;=Assumptions!$B$46,Assumptions!$C$46,Assumptions!$C$47)))</f>
        <v>0.035</v>
      </c>
      <c r="AB177" s="26" t="n">
        <f aca="false">IF(Z177&gt;=Assumptions!$B$44,Assumptions!$B$44,IF(Z177&gt;=Assumptions!$B$45,Assumptions!$B$45,IF(Z177&gt;=Assumptions!$B$46,Assumptions!$B$46,0)))</f>
        <v>10000</v>
      </c>
    </row>
    <row r="178" customFormat="false" ht="15" hidden="false" customHeight="false" outlineLevel="0" collapsed="false">
      <c r="B178" s="14" t="s">
        <v>176</v>
      </c>
      <c r="C178" s="14" t="s">
        <v>162</v>
      </c>
      <c r="D178" s="14" t="s">
        <v>174</v>
      </c>
      <c r="E178" s="14" t="s">
        <v>62</v>
      </c>
      <c r="F178" s="26" t="n">
        <f aca="false">Accounts!F30</f>
        <v>1183</v>
      </c>
      <c r="G178" s="17" t="n">
        <f aca="false">Assumptions!$D$9</f>
        <v>62</v>
      </c>
      <c r="H178" s="17" t="n">
        <f aca="false">Assumptions!$E$9</f>
        <v>36</v>
      </c>
      <c r="I178" s="17" t="n">
        <f aca="false">ROUND(F178*G178,2)</f>
        <v>73346</v>
      </c>
      <c r="J178" s="17" t="n">
        <f aca="false">ROUND(I178*Accounts!O30,2)</f>
        <v>2933.84</v>
      </c>
      <c r="K178" s="17" t="n">
        <f aca="false">ROUND(I178*Accounts!M30,2)</f>
        <v>9534.98</v>
      </c>
      <c r="L178" s="17" t="n">
        <f aca="false">ROUND(I178-J178-K178,2)</f>
        <v>60877.18</v>
      </c>
      <c r="M178" s="17" t="n">
        <f aca="false">ROUND(L178*AA178,2)</f>
        <v>0</v>
      </c>
      <c r="N178" s="17" t="n">
        <f aca="false">ROUND(L178*Accounts!R30,2)</f>
        <v>1217.54</v>
      </c>
      <c r="O178" s="17" t="n">
        <f aca="false">ROUND(L178*Accounts!S30,2)</f>
        <v>913.16</v>
      </c>
      <c r="P178" s="17" t="n">
        <f aca="false">ROUND(L178*Accounts!T30,2)</f>
        <v>1521.93</v>
      </c>
      <c r="Q178" s="17" t="n">
        <f aca="false">ROUND(L178*Accounts!U30,2)</f>
        <v>913.16</v>
      </c>
      <c r="R178" s="17" t="n">
        <f aca="false">ROUND(L178*Accounts!V30,2)</f>
        <v>487.02</v>
      </c>
      <c r="S178" s="17" t="n">
        <f aca="false">ROUND(L178*Accounts!W30,2)</f>
        <v>0</v>
      </c>
      <c r="T178" s="17" t="n">
        <f aca="false">ROUND(L178-SUM(M178:S178),2)</f>
        <v>55824.37</v>
      </c>
      <c r="U178" s="17" t="n">
        <f aca="false">ROUND(F178*H178,2)</f>
        <v>42588</v>
      </c>
      <c r="V178" s="17" t="n">
        <f aca="false">ROUND(L178*Assumptions!$C$25,2)</f>
        <v>1217.54</v>
      </c>
      <c r="W178" s="17" t="n">
        <f aca="false">ROUND(T178-U178-V178,2)</f>
        <v>12018.83</v>
      </c>
      <c r="X178" s="28" t="n">
        <f aca="false">T178/I178</f>
        <v>0.761109944645925</v>
      </c>
      <c r="Y178" s="17" t="n">
        <f aca="false">T178/F178</f>
        <v>47.1888165680473</v>
      </c>
      <c r="Z178" s="26" t="n">
        <f aca="false">Accounts!H30</f>
        <v>1574</v>
      </c>
      <c r="AA178" s="28" t="n">
        <f aca="false">IF(Z178&gt;=Assumptions!$B$44,Assumptions!$C$44,IF(Z178&gt;=Assumptions!$B$45,Assumptions!$C$45,IF(Z178&gt;=Assumptions!$B$46,Assumptions!$C$46,Assumptions!$C$47)))</f>
        <v>0</v>
      </c>
      <c r="AB178" s="26" t="n">
        <f aca="false">IF(Z178&gt;=Assumptions!$B$44,Assumptions!$B$44,IF(Z178&gt;=Assumptions!$B$45,Assumptions!$B$45,IF(Z178&gt;=Assumptions!$B$46,Assumptions!$B$46,0)))</f>
        <v>0</v>
      </c>
    </row>
    <row r="179" customFormat="false" ht="15" hidden="false" customHeight="false" outlineLevel="0" collapsed="false">
      <c r="B179" s="14" t="s">
        <v>186</v>
      </c>
      <c r="C179" s="14" t="s">
        <v>162</v>
      </c>
      <c r="D179" s="14" t="s">
        <v>184</v>
      </c>
      <c r="E179" s="14" t="s">
        <v>62</v>
      </c>
      <c r="F179" s="26" t="n">
        <f aca="false">Accounts!F39</f>
        <v>5687</v>
      </c>
      <c r="G179" s="17" t="n">
        <f aca="false">Assumptions!$D$9</f>
        <v>62</v>
      </c>
      <c r="H179" s="17" t="n">
        <f aca="false">Assumptions!$E$9</f>
        <v>36</v>
      </c>
      <c r="I179" s="17" t="n">
        <f aca="false">ROUND(F179*G179,2)</f>
        <v>352594</v>
      </c>
      <c r="J179" s="17" t="n">
        <f aca="false">ROUND(I179*Accounts!O39,2)</f>
        <v>14103.76</v>
      </c>
      <c r="K179" s="17" t="n">
        <f aca="false">ROUND(I179*Accounts!M39,2)</f>
        <v>45837.22</v>
      </c>
      <c r="L179" s="17" t="n">
        <f aca="false">ROUND(I179-J179-K179,2)</f>
        <v>292653.02</v>
      </c>
      <c r="M179" s="17" t="n">
        <f aca="false">ROUND(L179*AA179,2)</f>
        <v>5853.06</v>
      </c>
      <c r="N179" s="17" t="n">
        <f aca="false">ROUND(L179*Accounts!R39,2)</f>
        <v>5853.06</v>
      </c>
      <c r="O179" s="17" t="n">
        <f aca="false">ROUND(L179*Accounts!S39,2)</f>
        <v>4389.8</v>
      </c>
      <c r="P179" s="17" t="n">
        <f aca="false">ROUND(L179*Accounts!T39,2)</f>
        <v>7316.33</v>
      </c>
      <c r="Q179" s="17" t="n">
        <f aca="false">ROUND(L179*Accounts!U39,2)</f>
        <v>4389.8</v>
      </c>
      <c r="R179" s="17" t="n">
        <f aca="false">ROUND(L179*Accounts!V39,2)</f>
        <v>2341.22</v>
      </c>
      <c r="S179" s="17" t="n">
        <f aca="false">ROUND(L179*Accounts!W39,2)</f>
        <v>2926.53</v>
      </c>
      <c r="T179" s="17" t="n">
        <f aca="false">ROUND(L179-SUM(M179:S179),2)</f>
        <v>259583.22</v>
      </c>
      <c r="U179" s="17" t="n">
        <f aca="false">ROUND(F179*H179,2)</f>
        <v>204732</v>
      </c>
      <c r="V179" s="17" t="n">
        <f aca="false">ROUND(L179*Assumptions!$C$25,2)</f>
        <v>5853.06</v>
      </c>
      <c r="W179" s="17" t="n">
        <f aca="false">ROUND(T179-U179-V179,2)</f>
        <v>48998.16</v>
      </c>
      <c r="X179" s="28" t="n">
        <f aca="false">T179/I179</f>
        <v>0.736209975212284</v>
      </c>
      <c r="Y179" s="17" t="n">
        <f aca="false">T179/F179</f>
        <v>45.6450184631616</v>
      </c>
      <c r="Z179" s="26" t="n">
        <f aca="false">Accounts!H39</f>
        <v>8304</v>
      </c>
      <c r="AA179" s="28" t="n">
        <f aca="false">IF(Z179&gt;=Assumptions!$B$44,Assumptions!$C$44,IF(Z179&gt;=Assumptions!$B$45,Assumptions!$C$45,IF(Z179&gt;=Assumptions!$B$46,Assumptions!$C$46,Assumptions!$C$47)))</f>
        <v>0.02</v>
      </c>
      <c r="AB179" s="26" t="n">
        <f aca="false">IF(Z179&gt;=Assumptions!$B$44,Assumptions!$B$44,IF(Z179&gt;=Assumptions!$B$45,Assumptions!$B$45,IF(Z179&gt;=Assumptions!$B$46,Assumptions!$B$46,0)))</f>
        <v>3000</v>
      </c>
    </row>
    <row r="180" customFormat="false" ht="15" hidden="false" customHeight="false" outlineLevel="0" collapsed="false">
      <c r="B180" s="14" t="s">
        <v>166</v>
      </c>
      <c r="C180" s="14" t="s">
        <v>162</v>
      </c>
      <c r="D180" s="14" t="s">
        <v>163</v>
      </c>
      <c r="E180" s="14" t="s">
        <v>62</v>
      </c>
      <c r="F180" s="26" t="n">
        <f aca="false">Accounts!F21</f>
        <v>3031</v>
      </c>
      <c r="G180" s="17" t="n">
        <f aca="false">Assumptions!$D$9</f>
        <v>62</v>
      </c>
      <c r="H180" s="17" t="n">
        <f aca="false">Assumptions!$E$9</f>
        <v>36</v>
      </c>
      <c r="I180" s="17" t="n">
        <f aca="false">ROUND(F180*G180,2)</f>
        <v>187922</v>
      </c>
      <c r="J180" s="17" t="n">
        <f aca="false">ROUND(I180*Accounts!O21,2)</f>
        <v>7516.88</v>
      </c>
      <c r="K180" s="17" t="n">
        <f aca="false">ROUND(I180*Accounts!M21,2)</f>
        <v>40309.27</v>
      </c>
      <c r="L180" s="17" t="n">
        <f aca="false">ROUND(I180-J180-K180,2)</f>
        <v>140095.85</v>
      </c>
      <c r="M180" s="17" t="n">
        <f aca="false">ROUND(L180*AA180,2)</f>
        <v>2801.92</v>
      </c>
      <c r="N180" s="17" t="n">
        <f aca="false">ROUND(L180*Accounts!R21,2)</f>
        <v>2801.92</v>
      </c>
      <c r="O180" s="17" t="n">
        <f aca="false">ROUND(L180*Accounts!S21,2)</f>
        <v>2101.44</v>
      </c>
      <c r="P180" s="17" t="n">
        <f aca="false">ROUND(L180*Accounts!T21,2)</f>
        <v>3502.4</v>
      </c>
      <c r="Q180" s="17" t="n">
        <f aca="false">ROUND(L180*Accounts!U21,2)</f>
        <v>2101.44</v>
      </c>
      <c r="R180" s="17" t="n">
        <f aca="false">ROUND(L180*Accounts!V21,2)</f>
        <v>1120.77</v>
      </c>
      <c r="S180" s="17" t="n">
        <f aca="false">ROUND(L180*Accounts!W21,2)</f>
        <v>1400.96</v>
      </c>
      <c r="T180" s="17" t="n">
        <f aca="false">ROUND(L180-SUM(M180:S180),2)</f>
        <v>124265</v>
      </c>
      <c r="U180" s="17" t="n">
        <f aca="false">ROUND(F180*H180,2)</f>
        <v>109116</v>
      </c>
      <c r="V180" s="17" t="n">
        <f aca="false">ROUND(L180*Assumptions!$C$25,2)</f>
        <v>2801.92</v>
      </c>
      <c r="W180" s="17" t="n">
        <f aca="false">ROUND(T180-U180-V180,2)</f>
        <v>12347.08</v>
      </c>
      <c r="X180" s="28" t="n">
        <f aca="false">T180/I180</f>
        <v>0.661258394440247</v>
      </c>
      <c r="Y180" s="17" t="n">
        <f aca="false">T180/F180</f>
        <v>40.9980204552953</v>
      </c>
      <c r="Z180" s="26" t="n">
        <f aca="false">Accounts!H21</f>
        <v>4275</v>
      </c>
      <c r="AA180" s="28" t="n">
        <f aca="false">IF(Z180&gt;=Assumptions!$B$44,Assumptions!$C$44,IF(Z180&gt;=Assumptions!$B$45,Assumptions!$C$45,IF(Z180&gt;=Assumptions!$B$46,Assumptions!$C$46,Assumptions!$C$47)))</f>
        <v>0.02</v>
      </c>
      <c r="AB180" s="26" t="n">
        <f aca="false">IF(Z180&gt;=Assumptions!$B$44,Assumptions!$B$44,IF(Z180&gt;=Assumptions!$B$45,Assumptions!$B$45,IF(Z180&gt;=Assumptions!$B$46,Assumptions!$B$46,0)))</f>
        <v>3000</v>
      </c>
    </row>
    <row r="181" customFormat="false" ht="15" hidden="false" customHeight="false" outlineLevel="0" collapsed="false">
      <c r="B181" s="14" t="s">
        <v>177</v>
      </c>
      <c r="C181" s="14" t="s">
        <v>162</v>
      </c>
      <c r="D181" s="14" t="s">
        <v>174</v>
      </c>
      <c r="E181" s="14" t="s">
        <v>62</v>
      </c>
      <c r="F181" s="26" t="n">
        <f aca="false">Accounts!F31</f>
        <v>2589</v>
      </c>
      <c r="G181" s="17" t="n">
        <f aca="false">Assumptions!$D$9</f>
        <v>62</v>
      </c>
      <c r="H181" s="17" t="n">
        <f aca="false">Assumptions!$E$9</f>
        <v>36</v>
      </c>
      <c r="I181" s="17" t="n">
        <f aca="false">ROUND(F181*G181,2)</f>
        <v>160518</v>
      </c>
      <c r="J181" s="17" t="n">
        <f aca="false">ROUND(I181*Accounts!O31,2)</f>
        <v>6420.72</v>
      </c>
      <c r="K181" s="17" t="n">
        <f aca="false">ROUND(I181*Accounts!M31,2)</f>
        <v>4173.47</v>
      </c>
      <c r="L181" s="17" t="n">
        <f aca="false">ROUND(I181-J181-K181,2)</f>
        <v>149923.81</v>
      </c>
      <c r="M181" s="17" t="n">
        <f aca="false">ROUND(L181*AA181,2)</f>
        <v>2998.48</v>
      </c>
      <c r="N181" s="17" t="n">
        <f aca="false">ROUND(L181*Accounts!R31,2)</f>
        <v>0</v>
      </c>
      <c r="O181" s="17" t="n">
        <f aca="false">ROUND(L181*Accounts!S31,2)</f>
        <v>2248.86</v>
      </c>
      <c r="P181" s="17" t="n">
        <f aca="false">ROUND(L181*Accounts!T31,2)</f>
        <v>3748.1</v>
      </c>
      <c r="Q181" s="17" t="n">
        <f aca="false">ROUND(L181*Accounts!U31,2)</f>
        <v>0</v>
      </c>
      <c r="R181" s="17" t="n">
        <f aca="false">ROUND(L181*Accounts!V31,2)</f>
        <v>1199.39</v>
      </c>
      <c r="S181" s="17" t="n">
        <f aca="false">ROUND(L181*Accounts!W31,2)</f>
        <v>1499.24</v>
      </c>
      <c r="T181" s="17" t="n">
        <f aca="false">ROUND(L181-SUM(M181:S181),2)</f>
        <v>138229.74</v>
      </c>
      <c r="U181" s="17" t="n">
        <f aca="false">ROUND(F181*H181,2)</f>
        <v>93204</v>
      </c>
      <c r="V181" s="17" t="n">
        <f aca="false">ROUND(L181*Assumptions!$C$25,2)</f>
        <v>2998.48</v>
      </c>
      <c r="W181" s="17" t="n">
        <f aca="false">ROUND(T181-U181-V181,2)</f>
        <v>42027.26</v>
      </c>
      <c r="X181" s="28" t="n">
        <f aca="false">T181/I181</f>
        <v>0.861147908645759</v>
      </c>
      <c r="Y181" s="17" t="n">
        <f aca="false">T181/F181</f>
        <v>53.3911703360371</v>
      </c>
      <c r="Z181" s="26" t="n">
        <f aca="false">Accounts!H31</f>
        <v>3885</v>
      </c>
      <c r="AA181" s="28" t="n">
        <f aca="false">IF(Z181&gt;=Assumptions!$B$44,Assumptions!$C$44,IF(Z181&gt;=Assumptions!$B$45,Assumptions!$C$45,IF(Z181&gt;=Assumptions!$B$46,Assumptions!$C$46,Assumptions!$C$47)))</f>
        <v>0.02</v>
      </c>
      <c r="AB181" s="26" t="n">
        <f aca="false">IF(Z181&gt;=Assumptions!$B$44,Assumptions!$B$44,IF(Z181&gt;=Assumptions!$B$45,Assumptions!$B$45,IF(Z181&gt;=Assumptions!$B$46,Assumptions!$B$46,0)))</f>
        <v>3000</v>
      </c>
    </row>
    <row r="182" customFormat="false" ht="15" hidden="false" customHeight="false" outlineLevel="0" collapsed="false">
      <c r="B182" s="14" t="s">
        <v>187</v>
      </c>
      <c r="C182" s="14" t="s">
        <v>162</v>
      </c>
      <c r="D182" s="14" t="s">
        <v>184</v>
      </c>
      <c r="E182" s="14" t="s">
        <v>62</v>
      </c>
      <c r="F182" s="26" t="n">
        <f aca="false">Accounts!F40</f>
        <v>6867</v>
      </c>
      <c r="G182" s="17" t="n">
        <f aca="false">Assumptions!$D$9</f>
        <v>62</v>
      </c>
      <c r="H182" s="17" t="n">
        <f aca="false">Assumptions!$E$9</f>
        <v>36</v>
      </c>
      <c r="I182" s="17" t="n">
        <f aca="false">ROUND(F182*G182,2)</f>
        <v>425754</v>
      </c>
      <c r="J182" s="17" t="n">
        <f aca="false">ROUND(I182*Accounts!O40,2)</f>
        <v>25545.24</v>
      </c>
      <c r="K182" s="17" t="n">
        <f aca="false">ROUND(I182*Accounts!M40,2)</f>
        <v>60882.82</v>
      </c>
      <c r="L182" s="17" t="n">
        <f aca="false">ROUND(I182-J182-K182,2)</f>
        <v>339325.94</v>
      </c>
      <c r="M182" s="17" t="n">
        <f aca="false">ROUND(L182*AA182,2)</f>
        <v>11876.41</v>
      </c>
      <c r="N182" s="17" t="n">
        <f aca="false">ROUND(L182*Accounts!R40,2)</f>
        <v>6786.52</v>
      </c>
      <c r="O182" s="17" t="n">
        <f aca="false">ROUND(L182*Accounts!S40,2)</f>
        <v>5089.89</v>
      </c>
      <c r="P182" s="17" t="n">
        <f aca="false">ROUND(L182*Accounts!T40,2)</f>
        <v>8483.15</v>
      </c>
      <c r="Q182" s="17" t="n">
        <f aca="false">ROUND(L182*Accounts!U40,2)</f>
        <v>5089.89</v>
      </c>
      <c r="R182" s="17" t="n">
        <f aca="false">ROUND(L182*Accounts!V40,2)</f>
        <v>2714.61</v>
      </c>
      <c r="S182" s="17" t="n">
        <f aca="false">ROUND(L182*Accounts!W40,2)</f>
        <v>3393.26</v>
      </c>
      <c r="T182" s="17" t="n">
        <f aca="false">ROUND(L182-SUM(M182:S182),2)</f>
        <v>295892.21</v>
      </c>
      <c r="U182" s="17" t="n">
        <f aca="false">ROUND(F182*H182,2)</f>
        <v>247212</v>
      </c>
      <c r="V182" s="17" t="n">
        <f aca="false">ROUND(L182*Assumptions!$C$25,2)</f>
        <v>6786.52</v>
      </c>
      <c r="W182" s="17" t="n">
        <f aca="false">ROUND(T182-U182-V182,2)</f>
        <v>41893.69</v>
      </c>
      <c r="X182" s="28" t="n">
        <f aca="false">T182/I182</f>
        <v>0.694983981360128</v>
      </c>
      <c r="Y182" s="17" t="n">
        <f aca="false">T182/F182</f>
        <v>43.089006844328</v>
      </c>
      <c r="Z182" s="26" t="n">
        <f aca="false">Accounts!H40</f>
        <v>10172</v>
      </c>
      <c r="AA182" s="28" t="n">
        <f aca="false">IF(Z182&gt;=Assumptions!$B$44,Assumptions!$C$44,IF(Z182&gt;=Assumptions!$B$45,Assumptions!$C$45,IF(Z182&gt;=Assumptions!$B$46,Assumptions!$C$46,Assumptions!$C$47)))</f>
        <v>0.035</v>
      </c>
      <c r="AB182" s="26" t="n">
        <f aca="false">IF(Z182&gt;=Assumptions!$B$44,Assumptions!$B$44,IF(Z182&gt;=Assumptions!$B$45,Assumptions!$B$45,IF(Z182&gt;=Assumptions!$B$46,Assumptions!$B$46,0)))</f>
        <v>10000</v>
      </c>
    </row>
    <row r="183" customFormat="false" ht="15" hidden="false" customHeight="false" outlineLevel="0" collapsed="false">
      <c r="B183" s="14" t="s">
        <v>167</v>
      </c>
      <c r="C183" s="14" t="s">
        <v>162</v>
      </c>
      <c r="D183" s="14" t="s">
        <v>163</v>
      </c>
      <c r="E183" s="14" t="s">
        <v>62</v>
      </c>
      <c r="F183" s="26" t="n">
        <f aca="false">Accounts!F22</f>
        <v>11151</v>
      </c>
      <c r="G183" s="17" t="n">
        <f aca="false">Assumptions!$D$9</f>
        <v>62</v>
      </c>
      <c r="H183" s="17" t="n">
        <f aca="false">Assumptions!$E$9</f>
        <v>36</v>
      </c>
      <c r="I183" s="17" t="n">
        <f aca="false">ROUND(F183*G183,2)</f>
        <v>691362</v>
      </c>
      <c r="J183" s="17" t="n">
        <f aca="false">ROUND(I183*Accounts!O22,2)</f>
        <v>41481.72</v>
      </c>
      <c r="K183" s="17" t="n">
        <f aca="false">ROUND(I183*Accounts!M22,2)</f>
        <v>76395.5</v>
      </c>
      <c r="L183" s="17" t="n">
        <f aca="false">ROUND(I183-J183-K183,2)</f>
        <v>573484.78</v>
      </c>
      <c r="M183" s="17" t="n">
        <f aca="false">ROUND(L183*AA183,2)</f>
        <v>20071.97</v>
      </c>
      <c r="N183" s="17" t="n">
        <f aca="false">ROUND(L183*Accounts!R22,2)</f>
        <v>11469.7</v>
      </c>
      <c r="O183" s="17" t="n">
        <f aca="false">ROUND(L183*Accounts!S22,2)</f>
        <v>8602.27</v>
      </c>
      <c r="P183" s="17" t="n">
        <f aca="false">ROUND(L183*Accounts!T22,2)</f>
        <v>14337.12</v>
      </c>
      <c r="Q183" s="17" t="n">
        <f aca="false">ROUND(L183*Accounts!U22,2)</f>
        <v>0</v>
      </c>
      <c r="R183" s="17" t="n">
        <f aca="false">ROUND(L183*Accounts!V22,2)</f>
        <v>4587.88</v>
      </c>
      <c r="S183" s="17" t="n">
        <f aca="false">ROUND(L183*Accounts!W22,2)</f>
        <v>5734.85</v>
      </c>
      <c r="T183" s="17" t="n">
        <f aca="false">ROUND(L183-SUM(M183:S183),2)</f>
        <v>508680.99</v>
      </c>
      <c r="U183" s="17" t="n">
        <f aca="false">ROUND(F183*H183,2)</f>
        <v>401436</v>
      </c>
      <c r="V183" s="17" t="n">
        <f aca="false">ROUND(L183*Assumptions!$C$25,2)</f>
        <v>11469.7</v>
      </c>
      <c r="W183" s="17" t="n">
        <f aca="false">ROUND(T183-U183-V183,2)</f>
        <v>95775.29</v>
      </c>
      <c r="X183" s="28" t="n">
        <f aca="false">T183/I183</f>
        <v>0.735766487021271</v>
      </c>
      <c r="Y183" s="17" t="n">
        <f aca="false">T183/F183</f>
        <v>45.6175221953188</v>
      </c>
      <c r="Z183" s="26" t="n">
        <f aca="false">Accounts!H22</f>
        <v>14370</v>
      </c>
      <c r="AA183" s="28" t="n">
        <f aca="false">IF(Z183&gt;=Assumptions!$B$44,Assumptions!$C$44,IF(Z183&gt;=Assumptions!$B$45,Assumptions!$C$45,IF(Z183&gt;=Assumptions!$B$46,Assumptions!$C$46,Assumptions!$C$47)))</f>
        <v>0.035</v>
      </c>
      <c r="AB183" s="26" t="n">
        <f aca="false">IF(Z183&gt;=Assumptions!$B$44,Assumptions!$B$44,IF(Z183&gt;=Assumptions!$B$45,Assumptions!$B$45,IF(Z183&gt;=Assumptions!$B$46,Assumptions!$B$46,0)))</f>
        <v>10000</v>
      </c>
    </row>
    <row r="184" customFormat="false" ht="15" hidden="false" customHeight="false" outlineLevel="0" collapsed="false">
      <c r="B184" s="14" t="s">
        <v>178</v>
      </c>
      <c r="C184" s="14" t="s">
        <v>162</v>
      </c>
      <c r="D184" s="14" t="s">
        <v>174</v>
      </c>
      <c r="E184" s="14" t="s">
        <v>62</v>
      </c>
      <c r="F184" s="26" t="n">
        <f aca="false">Accounts!F32</f>
        <v>5297</v>
      </c>
      <c r="G184" s="17" t="n">
        <f aca="false">Assumptions!$D$9</f>
        <v>62</v>
      </c>
      <c r="H184" s="17" t="n">
        <f aca="false">Assumptions!$E$9</f>
        <v>36</v>
      </c>
      <c r="I184" s="17" t="n">
        <f aca="false">ROUND(F184*G184,2)</f>
        <v>328414</v>
      </c>
      <c r="J184" s="17" t="n">
        <f aca="false">ROUND(I184*Accounts!O32,2)</f>
        <v>13136.56</v>
      </c>
      <c r="K184" s="17" t="n">
        <f aca="false">ROUND(I184*Accounts!M32,2)</f>
        <v>19212.22</v>
      </c>
      <c r="L184" s="17" t="n">
        <f aca="false">ROUND(I184-J184-K184,2)</f>
        <v>296065.22</v>
      </c>
      <c r="M184" s="17" t="n">
        <f aca="false">ROUND(L184*AA184,2)</f>
        <v>5921.3</v>
      </c>
      <c r="N184" s="17" t="n">
        <f aca="false">ROUND(L184*Accounts!R32,2)</f>
        <v>5921.3</v>
      </c>
      <c r="O184" s="17" t="n">
        <f aca="false">ROUND(L184*Accounts!S32,2)</f>
        <v>4440.98</v>
      </c>
      <c r="P184" s="17" t="n">
        <f aca="false">ROUND(L184*Accounts!T32,2)</f>
        <v>7401.63</v>
      </c>
      <c r="Q184" s="17" t="n">
        <f aca="false">ROUND(L184*Accounts!U32,2)</f>
        <v>0</v>
      </c>
      <c r="R184" s="17" t="n">
        <f aca="false">ROUND(L184*Accounts!V32,2)</f>
        <v>2368.52</v>
      </c>
      <c r="S184" s="17" t="n">
        <f aca="false">ROUND(L184*Accounts!W32,2)</f>
        <v>2960.65</v>
      </c>
      <c r="T184" s="17" t="n">
        <f aca="false">ROUND(L184-SUM(M184:S184),2)</f>
        <v>267050.84</v>
      </c>
      <c r="U184" s="17" t="n">
        <f aca="false">ROUND(F184*H184,2)</f>
        <v>190692</v>
      </c>
      <c r="V184" s="17" t="n">
        <f aca="false">ROUND(L184*Assumptions!$C$25,2)</f>
        <v>5921.3</v>
      </c>
      <c r="W184" s="17" t="n">
        <f aca="false">ROUND(T184-U184-V184,2)</f>
        <v>70437.54</v>
      </c>
      <c r="X184" s="28" t="n">
        <f aca="false">T184/I184</f>
        <v>0.813153032452941</v>
      </c>
      <c r="Y184" s="17" t="n">
        <f aca="false">T184/F184</f>
        <v>50.4154880120823</v>
      </c>
      <c r="Z184" s="26" t="n">
        <f aca="false">Accounts!H32</f>
        <v>8469</v>
      </c>
      <c r="AA184" s="28" t="n">
        <f aca="false">IF(Z184&gt;=Assumptions!$B$44,Assumptions!$C$44,IF(Z184&gt;=Assumptions!$B$45,Assumptions!$C$45,IF(Z184&gt;=Assumptions!$B$46,Assumptions!$C$46,Assumptions!$C$47)))</f>
        <v>0.02</v>
      </c>
      <c r="AB184" s="26" t="n">
        <f aca="false">IF(Z184&gt;=Assumptions!$B$44,Assumptions!$B$44,IF(Z184&gt;=Assumptions!$B$45,Assumptions!$B$45,IF(Z184&gt;=Assumptions!$B$46,Assumptions!$B$46,0)))</f>
        <v>3000</v>
      </c>
    </row>
    <row r="185" customFormat="false" ht="15" hidden="false" customHeight="false" outlineLevel="0" collapsed="false">
      <c r="B185" s="14" t="s">
        <v>188</v>
      </c>
      <c r="C185" s="14" t="s">
        <v>162</v>
      </c>
      <c r="D185" s="14" t="s">
        <v>184</v>
      </c>
      <c r="E185" s="14" t="s">
        <v>62</v>
      </c>
      <c r="F185" s="26" t="n">
        <f aca="false">Accounts!F41</f>
        <v>5877</v>
      </c>
      <c r="G185" s="17" t="n">
        <f aca="false">Assumptions!$D$9</f>
        <v>62</v>
      </c>
      <c r="H185" s="17" t="n">
        <f aca="false">Assumptions!$E$9</f>
        <v>36</v>
      </c>
      <c r="I185" s="17" t="n">
        <f aca="false">ROUND(F185*G185,2)</f>
        <v>364374</v>
      </c>
      <c r="J185" s="17" t="n">
        <f aca="false">ROUND(I185*Accounts!O41,2)</f>
        <v>14574.96</v>
      </c>
      <c r="K185" s="17" t="n">
        <f aca="false">ROUND(I185*Accounts!M41,2)</f>
        <v>40263.33</v>
      </c>
      <c r="L185" s="17" t="n">
        <f aca="false">ROUND(I185-J185-K185,2)</f>
        <v>309535.71</v>
      </c>
      <c r="M185" s="17" t="n">
        <f aca="false">ROUND(L185*AA185,2)</f>
        <v>6190.71</v>
      </c>
      <c r="N185" s="17" t="n">
        <f aca="false">ROUND(L185*Accounts!R41,2)</f>
        <v>6190.71</v>
      </c>
      <c r="O185" s="17" t="n">
        <f aca="false">ROUND(L185*Accounts!S41,2)</f>
        <v>4643.04</v>
      </c>
      <c r="P185" s="17" t="n">
        <f aca="false">ROUND(L185*Accounts!T41,2)</f>
        <v>7738.39</v>
      </c>
      <c r="Q185" s="17" t="n">
        <f aca="false">ROUND(L185*Accounts!U41,2)</f>
        <v>4643.04</v>
      </c>
      <c r="R185" s="17" t="n">
        <f aca="false">ROUND(L185*Accounts!V41,2)</f>
        <v>2476.29</v>
      </c>
      <c r="S185" s="17" t="n">
        <f aca="false">ROUND(L185*Accounts!W41,2)</f>
        <v>3095.36</v>
      </c>
      <c r="T185" s="17" t="n">
        <f aca="false">ROUND(L185-SUM(M185:S185),2)</f>
        <v>274558.17</v>
      </c>
      <c r="U185" s="17" t="n">
        <f aca="false">ROUND(F185*H185,2)</f>
        <v>211572</v>
      </c>
      <c r="V185" s="17" t="n">
        <f aca="false">ROUND(L185*Assumptions!$C$25,2)</f>
        <v>6190.71</v>
      </c>
      <c r="W185" s="17" t="n">
        <f aca="false">ROUND(T185-U185-V185,2)</f>
        <v>56795.46</v>
      </c>
      <c r="X185" s="28" t="n">
        <f aca="false">T185/I185</f>
        <v>0.753506479606119</v>
      </c>
      <c r="Y185" s="17" t="n">
        <f aca="false">T185/F185</f>
        <v>46.7174017355794</v>
      </c>
      <c r="Z185" s="26" t="n">
        <f aca="false">Accounts!H41</f>
        <v>8078</v>
      </c>
      <c r="AA185" s="28" t="n">
        <f aca="false">IF(Z185&gt;=Assumptions!$B$44,Assumptions!$C$44,IF(Z185&gt;=Assumptions!$B$45,Assumptions!$C$45,IF(Z185&gt;=Assumptions!$B$46,Assumptions!$C$46,Assumptions!$C$47)))</f>
        <v>0.02</v>
      </c>
      <c r="AB185" s="26" t="n">
        <f aca="false">IF(Z185&gt;=Assumptions!$B$44,Assumptions!$B$44,IF(Z185&gt;=Assumptions!$B$45,Assumptions!$B$45,IF(Z185&gt;=Assumptions!$B$46,Assumptions!$B$46,0)))</f>
        <v>3000</v>
      </c>
    </row>
    <row r="186" customFormat="false" ht="15" hidden="false" customHeight="false" outlineLevel="0" collapsed="false">
      <c r="B186" s="14" t="s">
        <v>168</v>
      </c>
      <c r="C186" s="14" t="s">
        <v>162</v>
      </c>
      <c r="D186" s="14" t="s">
        <v>163</v>
      </c>
      <c r="E186" s="14" t="s">
        <v>62</v>
      </c>
      <c r="F186" s="26" t="n">
        <f aca="false">Accounts!F23</f>
        <v>2038</v>
      </c>
      <c r="G186" s="17" t="n">
        <f aca="false">Assumptions!$D$9</f>
        <v>62</v>
      </c>
      <c r="H186" s="17" t="n">
        <f aca="false">Assumptions!$E$9</f>
        <v>36</v>
      </c>
      <c r="I186" s="17" t="n">
        <f aca="false">ROUND(F186*G186,2)</f>
        <v>126356</v>
      </c>
      <c r="J186" s="17" t="n">
        <f aca="false">ROUND(I186*Accounts!O23,2)</f>
        <v>5054.24</v>
      </c>
      <c r="K186" s="17" t="n">
        <f aca="false">ROUND(I186*Accounts!M23,2)</f>
        <v>16426.28</v>
      </c>
      <c r="L186" s="17" t="n">
        <f aca="false">ROUND(I186-J186-K186,2)</f>
        <v>104875.48</v>
      </c>
      <c r="M186" s="17" t="n">
        <f aca="false">ROUND(L186*AA186,2)</f>
        <v>0</v>
      </c>
      <c r="N186" s="17" t="n">
        <f aca="false">ROUND(L186*Accounts!R23,2)</f>
        <v>2097.51</v>
      </c>
      <c r="O186" s="17" t="n">
        <f aca="false">ROUND(L186*Accounts!S23,2)</f>
        <v>1573.13</v>
      </c>
      <c r="P186" s="17" t="n">
        <f aca="false">ROUND(L186*Accounts!T23,2)</f>
        <v>2621.89</v>
      </c>
      <c r="Q186" s="17" t="n">
        <f aca="false">ROUND(L186*Accounts!U23,2)</f>
        <v>0</v>
      </c>
      <c r="R186" s="17" t="n">
        <f aca="false">ROUND(L186*Accounts!V23,2)</f>
        <v>839</v>
      </c>
      <c r="S186" s="17" t="n">
        <f aca="false">ROUND(L186*Accounts!W23,2)</f>
        <v>0</v>
      </c>
      <c r="T186" s="17" t="n">
        <f aca="false">ROUND(L186-SUM(M186:S186),2)</f>
        <v>97743.95</v>
      </c>
      <c r="U186" s="17" t="n">
        <f aca="false">ROUND(F186*H186,2)</f>
        <v>73368</v>
      </c>
      <c r="V186" s="17" t="n">
        <f aca="false">ROUND(L186*Assumptions!$C$25,2)</f>
        <v>2097.51</v>
      </c>
      <c r="W186" s="17" t="n">
        <f aca="false">ROUND(T186-U186-V186,2)</f>
        <v>22278.44</v>
      </c>
      <c r="X186" s="28" t="n">
        <f aca="false">T186/I186</f>
        <v>0.773560020893349</v>
      </c>
      <c r="Y186" s="17" t="n">
        <f aca="false">T186/F186</f>
        <v>47.9607212953876</v>
      </c>
      <c r="Z186" s="26" t="n">
        <f aca="false">Accounts!H23</f>
        <v>2825</v>
      </c>
      <c r="AA186" s="28" t="n">
        <f aca="false">IF(Z186&gt;=Assumptions!$B$44,Assumptions!$C$44,IF(Z186&gt;=Assumptions!$B$45,Assumptions!$C$45,IF(Z186&gt;=Assumptions!$B$46,Assumptions!$C$46,Assumptions!$C$47)))</f>
        <v>0</v>
      </c>
      <c r="AB186" s="26" t="n">
        <f aca="false">IF(Z186&gt;=Assumptions!$B$44,Assumptions!$B$44,IF(Z186&gt;=Assumptions!$B$45,Assumptions!$B$45,IF(Z186&gt;=Assumptions!$B$46,Assumptions!$B$46,0)))</f>
        <v>0</v>
      </c>
    </row>
    <row r="187" customFormat="false" ht="15" hidden="false" customHeight="false" outlineLevel="0" collapsed="false">
      <c r="B187" s="14" t="s">
        <v>179</v>
      </c>
      <c r="C187" s="14" t="s">
        <v>162</v>
      </c>
      <c r="D187" s="14" t="s">
        <v>174</v>
      </c>
      <c r="E187" s="14" t="s">
        <v>62</v>
      </c>
      <c r="F187" s="26" t="n">
        <f aca="false">Accounts!F33</f>
        <v>4648</v>
      </c>
      <c r="G187" s="17" t="n">
        <f aca="false">Assumptions!$D$9</f>
        <v>62</v>
      </c>
      <c r="H187" s="17" t="n">
        <f aca="false">Assumptions!$E$9</f>
        <v>36</v>
      </c>
      <c r="I187" s="17" t="n">
        <f aca="false">ROUND(F187*G187,2)</f>
        <v>288176</v>
      </c>
      <c r="J187" s="17" t="n">
        <f aca="false">ROUND(I187*Accounts!O33,2)</f>
        <v>11527.04</v>
      </c>
      <c r="K187" s="17" t="n">
        <f aca="false">ROUND(I187*Accounts!M33,2)</f>
        <v>5619.43</v>
      </c>
      <c r="L187" s="17" t="n">
        <f aca="false">ROUND(I187-J187-K187,2)</f>
        <v>271029.53</v>
      </c>
      <c r="M187" s="17" t="n">
        <f aca="false">ROUND(L187*AA187,2)</f>
        <v>5420.59</v>
      </c>
      <c r="N187" s="17" t="n">
        <f aca="false">ROUND(L187*Accounts!R33,2)</f>
        <v>5420.59</v>
      </c>
      <c r="O187" s="17" t="n">
        <f aca="false">ROUND(L187*Accounts!S33,2)</f>
        <v>4065.44</v>
      </c>
      <c r="P187" s="17" t="n">
        <f aca="false">ROUND(L187*Accounts!T33,2)</f>
        <v>6775.74</v>
      </c>
      <c r="Q187" s="17" t="n">
        <f aca="false">ROUND(L187*Accounts!U33,2)</f>
        <v>0</v>
      </c>
      <c r="R187" s="17" t="n">
        <f aca="false">ROUND(L187*Accounts!V33,2)</f>
        <v>2168.24</v>
      </c>
      <c r="S187" s="17" t="n">
        <f aca="false">ROUND(L187*Accounts!W33,2)</f>
        <v>0</v>
      </c>
      <c r="T187" s="17" t="n">
        <f aca="false">ROUND(L187-SUM(M187:S187),2)</f>
        <v>247178.93</v>
      </c>
      <c r="U187" s="17" t="n">
        <f aca="false">ROUND(F187*H187,2)</f>
        <v>167328</v>
      </c>
      <c r="V187" s="17" t="n">
        <f aca="false">ROUND(L187*Assumptions!$C$25,2)</f>
        <v>5420.59</v>
      </c>
      <c r="W187" s="17" t="n">
        <f aca="false">ROUND(T187-U187-V187,2)</f>
        <v>74430.34</v>
      </c>
      <c r="X187" s="28" t="n">
        <f aca="false">T187/I187</f>
        <v>0.857736001610127</v>
      </c>
      <c r="Y187" s="17" t="n">
        <f aca="false">T187/F187</f>
        <v>53.1796320998279</v>
      </c>
      <c r="Z187" s="26" t="n">
        <f aca="false">Accounts!H33</f>
        <v>7107</v>
      </c>
      <c r="AA187" s="28" t="n">
        <f aca="false">IF(Z187&gt;=Assumptions!$B$44,Assumptions!$C$44,IF(Z187&gt;=Assumptions!$B$45,Assumptions!$C$45,IF(Z187&gt;=Assumptions!$B$46,Assumptions!$C$46,Assumptions!$C$47)))</f>
        <v>0.02</v>
      </c>
      <c r="AB187" s="26" t="n">
        <f aca="false">IF(Z187&gt;=Assumptions!$B$44,Assumptions!$B$44,IF(Z187&gt;=Assumptions!$B$45,Assumptions!$B$45,IF(Z187&gt;=Assumptions!$B$46,Assumptions!$B$46,0)))</f>
        <v>3000</v>
      </c>
    </row>
    <row r="188" customFormat="false" ht="15" hidden="false" customHeight="false" outlineLevel="0" collapsed="false">
      <c r="B188" s="14" t="s">
        <v>189</v>
      </c>
      <c r="C188" s="14" t="s">
        <v>162</v>
      </c>
      <c r="D188" s="14" t="s">
        <v>184</v>
      </c>
      <c r="E188" s="14" t="s">
        <v>62</v>
      </c>
      <c r="F188" s="26" t="n">
        <f aca="false">Accounts!F42</f>
        <v>3820</v>
      </c>
      <c r="G188" s="17" t="n">
        <f aca="false">Assumptions!$D$9</f>
        <v>62</v>
      </c>
      <c r="H188" s="17" t="n">
        <f aca="false">Assumptions!$E$9</f>
        <v>36</v>
      </c>
      <c r="I188" s="17" t="n">
        <f aca="false">ROUND(F188*G188,2)</f>
        <v>236840</v>
      </c>
      <c r="J188" s="17" t="n">
        <f aca="false">ROUND(I188*Accounts!O42,2)</f>
        <v>9473.6</v>
      </c>
      <c r="K188" s="17" t="n">
        <f aca="false">ROUND(I188*Accounts!M42,2)</f>
        <v>46183.8</v>
      </c>
      <c r="L188" s="17" t="n">
        <f aca="false">ROUND(I188-J188-K188,2)</f>
        <v>181182.6</v>
      </c>
      <c r="M188" s="17" t="n">
        <f aca="false">ROUND(L188*AA188,2)</f>
        <v>3623.65</v>
      </c>
      <c r="N188" s="17" t="n">
        <f aca="false">ROUND(L188*Accounts!R42,2)</f>
        <v>3623.65</v>
      </c>
      <c r="O188" s="17" t="n">
        <f aca="false">ROUND(L188*Accounts!S42,2)</f>
        <v>2717.74</v>
      </c>
      <c r="P188" s="17" t="n">
        <f aca="false">ROUND(L188*Accounts!T42,2)</f>
        <v>4529.57</v>
      </c>
      <c r="Q188" s="17" t="n">
        <f aca="false">ROUND(L188*Accounts!U42,2)</f>
        <v>2717.74</v>
      </c>
      <c r="R188" s="17" t="n">
        <f aca="false">ROUND(L188*Accounts!V42,2)</f>
        <v>1449.46</v>
      </c>
      <c r="S188" s="17" t="n">
        <f aca="false">ROUND(L188*Accounts!W42,2)</f>
        <v>0</v>
      </c>
      <c r="T188" s="17" t="n">
        <f aca="false">ROUND(L188-SUM(M188:S188),2)</f>
        <v>162520.79</v>
      </c>
      <c r="U188" s="17" t="n">
        <f aca="false">ROUND(F188*H188,2)</f>
        <v>137520</v>
      </c>
      <c r="V188" s="17" t="n">
        <f aca="false">ROUND(L188*Assumptions!$C$25,2)</f>
        <v>3623.65</v>
      </c>
      <c r="W188" s="17" t="n">
        <f aca="false">ROUND(T188-U188-V188,2)</f>
        <v>21377.14</v>
      </c>
      <c r="X188" s="28" t="n">
        <f aca="false">T188/I188</f>
        <v>0.686204990711029</v>
      </c>
      <c r="Y188" s="17" t="n">
        <f aca="false">T188/F188</f>
        <v>42.5447094240838</v>
      </c>
      <c r="Z188" s="26" t="n">
        <f aca="false">Accounts!H42</f>
        <v>5743</v>
      </c>
      <c r="AA188" s="28" t="n">
        <f aca="false">IF(Z188&gt;=Assumptions!$B$44,Assumptions!$C$44,IF(Z188&gt;=Assumptions!$B$45,Assumptions!$C$45,IF(Z188&gt;=Assumptions!$B$46,Assumptions!$C$46,Assumptions!$C$47)))</f>
        <v>0.02</v>
      </c>
      <c r="AB188" s="26" t="n">
        <f aca="false">IF(Z188&gt;=Assumptions!$B$44,Assumptions!$B$44,IF(Z188&gt;=Assumptions!$B$45,Assumptions!$B$45,IF(Z188&gt;=Assumptions!$B$46,Assumptions!$B$46,0)))</f>
        <v>3000</v>
      </c>
    </row>
    <row r="189" customFormat="false" ht="15" hidden="false" customHeight="false" outlineLevel="0" collapsed="false">
      <c r="B189" s="14" t="s">
        <v>169</v>
      </c>
      <c r="C189" s="14" t="s">
        <v>162</v>
      </c>
      <c r="D189" s="14" t="s">
        <v>163</v>
      </c>
      <c r="E189" s="14" t="s">
        <v>62</v>
      </c>
      <c r="F189" s="26" t="n">
        <f aca="false">Accounts!F24</f>
        <v>7778</v>
      </c>
      <c r="G189" s="17" t="n">
        <f aca="false">Assumptions!$D$9</f>
        <v>62</v>
      </c>
      <c r="H189" s="17" t="n">
        <f aca="false">Assumptions!$E$9</f>
        <v>36</v>
      </c>
      <c r="I189" s="17" t="n">
        <f aca="false">ROUND(F189*G189,2)</f>
        <v>482236</v>
      </c>
      <c r="J189" s="17" t="n">
        <f aca="false">ROUND(I189*Accounts!O24,2)</f>
        <v>19289.44</v>
      </c>
      <c r="K189" s="17" t="n">
        <f aca="false">ROUND(I189*Accounts!M24,2)</f>
        <v>90901.49</v>
      </c>
      <c r="L189" s="17" t="n">
        <f aca="false">ROUND(I189-J189-K189,2)</f>
        <v>372045.07</v>
      </c>
      <c r="M189" s="17" t="n">
        <f aca="false">ROUND(L189*AA189,2)</f>
        <v>13021.58</v>
      </c>
      <c r="N189" s="17" t="n">
        <f aca="false">ROUND(L189*Accounts!R24,2)</f>
        <v>7440.9</v>
      </c>
      <c r="O189" s="17" t="n">
        <f aca="false">ROUND(L189*Accounts!S24,2)</f>
        <v>5580.68</v>
      </c>
      <c r="P189" s="17" t="n">
        <f aca="false">ROUND(L189*Accounts!T24,2)</f>
        <v>9301.13</v>
      </c>
      <c r="Q189" s="17" t="n">
        <f aca="false">ROUND(L189*Accounts!U24,2)</f>
        <v>5580.68</v>
      </c>
      <c r="R189" s="17" t="n">
        <f aca="false">ROUND(L189*Accounts!V24,2)</f>
        <v>2976.36</v>
      </c>
      <c r="S189" s="17" t="n">
        <f aca="false">ROUND(L189*Accounts!W24,2)</f>
        <v>3720.45</v>
      </c>
      <c r="T189" s="17" t="n">
        <f aca="false">ROUND(L189-SUM(M189:S189),2)</f>
        <v>324423.29</v>
      </c>
      <c r="U189" s="17" t="n">
        <f aca="false">ROUND(F189*H189,2)</f>
        <v>280008</v>
      </c>
      <c r="V189" s="17" t="n">
        <f aca="false">ROUND(L189*Assumptions!$C$25,2)</f>
        <v>7440.9</v>
      </c>
      <c r="W189" s="17" t="n">
        <f aca="false">ROUND(T189-U189-V189,2)</f>
        <v>36974.39</v>
      </c>
      <c r="X189" s="28" t="n">
        <f aca="false">T189/I189</f>
        <v>0.672747969873672</v>
      </c>
      <c r="Y189" s="17" t="n">
        <f aca="false">T189/F189</f>
        <v>41.7103741321677</v>
      </c>
      <c r="Z189" s="26" t="n">
        <f aca="false">Accounts!H24</f>
        <v>11908</v>
      </c>
      <c r="AA189" s="28" t="n">
        <f aca="false">IF(Z189&gt;=Assumptions!$B$44,Assumptions!$C$44,IF(Z189&gt;=Assumptions!$B$45,Assumptions!$C$45,IF(Z189&gt;=Assumptions!$B$46,Assumptions!$C$46,Assumptions!$C$47)))</f>
        <v>0.035</v>
      </c>
      <c r="AB189" s="26" t="n">
        <f aca="false">IF(Z189&gt;=Assumptions!$B$44,Assumptions!$B$44,IF(Z189&gt;=Assumptions!$B$45,Assumptions!$B$45,IF(Z189&gt;=Assumptions!$B$46,Assumptions!$B$46,0)))</f>
        <v>10000</v>
      </c>
    </row>
    <row r="190" customFormat="false" ht="15" hidden="false" customHeight="false" outlineLevel="0" collapsed="false">
      <c r="B190" s="14" t="s">
        <v>180</v>
      </c>
      <c r="C190" s="14" t="s">
        <v>162</v>
      </c>
      <c r="D190" s="14" t="s">
        <v>174</v>
      </c>
      <c r="E190" s="14" t="s">
        <v>62</v>
      </c>
      <c r="F190" s="26" t="n">
        <f aca="false">Accounts!F34</f>
        <v>2727</v>
      </c>
      <c r="G190" s="17" t="n">
        <f aca="false">Assumptions!$D$9</f>
        <v>62</v>
      </c>
      <c r="H190" s="17" t="n">
        <f aca="false">Assumptions!$E$9</f>
        <v>36</v>
      </c>
      <c r="I190" s="17" t="n">
        <f aca="false">ROUND(F190*G190,2)</f>
        <v>169074</v>
      </c>
      <c r="J190" s="17" t="n">
        <f aca="false">ROUND(I190*Accounts!O34,2)</f>
        <v>6762.96</v>
      </c>
      <c r="K190" s="17" t="n">
        <f aca="false">ROUND(I190*Accounts!M34,2)</f>
        <v>27474.53</v>
      </c>
      <c r="L190" s="17" t="n">
        <f aca="false">ROUND(I190-J190-K190,2)</f>
        <v>134836.51</v>
      </c>
      <c r="M190" s="17" t="n">
        <f aca="false">ROUND(L190*AA190,2)</f>
        <v>2696.73</v>
      </c>
      <c r="N190" s="17" t="n">
        <f aca="false">ROUND(L190*Accounts!R34,2)</f>
        <v>2696.73</v>
      </c>
      <c r="O190" s="17" t="n">
        <f aca="false">ROUND(L190*Accounts!S34,2)</f>
        <v>2022.55</v>
      </c>
      <c r="P190" s="17" t="n">
        <f aca="false">ROUND(L190*Accounts!T34,2)</f>
        <v>3370.91</v>
      </c>
      <c r="Q190" s="17" t="n">
        <f aca="false">ROUND(L190*Accounts!U34,2)</f>
        <v>2022.55</v>
      </c>
      <c r="R190" s="17" t="n">
        <f aca="false">ROUND(L190*Accounts!V34,2)</f>
        <v>1078.69</v>
      </c>
      <c r="S190" s="17" t="n">
        <f aca="false">ROUND(L190*Accounts!W34,2)</f>
        <v>1348.37</v>
      </c>
      <c r="T190" s="17" t="n">
        <f aca="false">ROUND(L190-SUM(M190:S190),2)</f>
        <v>119599.98</v>
      </c>
      <c r="U190" s="17" t="n">
        <f aca="false">ROUND(F190*H190,2)</f>
        <v>98172</v>
      </c>
      <c r="V190" s="17" t="n">
        <f aca="false">ROUND(L190*Assumptions!$C$25,2)</f>
        <v>2696.73</v>
      </c>
      <c r="W190" s="17" t="n">
        <f aca="false">ROUND(T190-U190-V190,2)</f>
        <v>18731.25</v>
      </c>
      <c r="X190" s="28" t="n">
        <f aca="false">T190/I190</f>
        <v>0.707382447922212</v>
      </c>
      <c r="Y190" s="17" t="n">
        <f aca="false">T190/F190</f>
        <v>43.8577117711771</v>
      </c>
      <c r="Z190" s="26" t="n">
        <f aca="false">Accounts!H34</f>
        <v>4318</v>
      </c>
      <c r="AA190" s="28" t="n">
        <f aca="false">IF(Z190&gt;=Assumptions!$B$44,Assumptions!$C$44,IF(Z190&gt;=Assumptions!$B$45,Assumptions!$C$45,IF(Z190&gt;=Assumptions!$B$46,Assumptions!$C$46,Assumptions!$C$47)))</f>
        <v>0.02</v>
      </c>
      <c r="AB190" s="26" t="n">
        <f aca="false">IF(Z190&gt;=Assumptions!$B$44,Assumptions!$B$44,IF(Z190&gt;=Assumptions!$B$45,Assumptions!$B$45,IF(Z190&gt;=Assumptions!$B$46,Assumptions!$B$46,0)))</f>
        <v>3000</v>
      </c>
    </row>
    <row r="191" customFormat="false" ht="15" hidden="false" customHeight="false" outlineLevel="0" collapsed="false">
      <c r="B191" s="14" t="s">
        <v>190</v>
      </c>
      <c r="C191" s="14" t="s">
        <v>162</v>
      </c>
      <c r="D191" s="14" t="s">
        <v>184</v>
      </c>
      <c r="E191" s="14" t="s">
        <v>62</v>
      </c>
      <c r="F191" s="26" t="n">
        <f aca="false">Accounts!F43</f>
        <v>6598</v>
      </c>
      <c r="G191" s="17" t="n">
        <f aca="false">Assumptions!$D$9</f>
        <v>62</v>
      </c>
      <c r="H191" s="17" t="n">
        <f aca="false">Assumptions!$E$9</f>
        <v>36</v>
      </c>
      <c r="I191" s="17" t="n">
        <f aca="false">ROUND(F191*G191,2)</f>
        <v>409076</v>
      </c>
      <c r="J191" s="17" t="n">
        <f aca="false">ROUND(I191*Accounts!O43,2)</f>
        <v>16363.04</v>
      </c>
      <c r="K191" s="17" t="n">
        <f aca="false">ROUND(I191*Accounts!M43,2)</f>
        <v>77110.83</v>
      </c>
      <c r="L191" s="17" t="n">
        <f aca="false">ROUND(I191-J191-K191,2)</f>
        <v>315602.13</v>
      </c>
      <c r="M191" s="17" t="n">
        <f aca="false">ROUND(L191*AA191,2)</f>
        <v>6312.04</v>
      </c>
      <c r="N191" s="17" t="n">
        <f aca="false">ROUND(L191*Accounts!R43,2)</f>
        <v>6312.04</v>
      </c>
      <c r="O191" s="17" t="n">
        <f aca="false">ROUND(L191*Accounts!S43,2)</f>
        <v>4734.03</v>
      </c>
      <c r="P191" s="17" t="n">
        <f aca="false">ROUND(L191*Accounts!T43,2)</f>
        <v>7890.05</v>
      </c>
      <c r="Q191" s="17" t="n">
        <f aca="false">ROUND(L191*Accounts!U43,2)</f>
        <v>4734.03</v>
      </c>
      <c r="R191" s="17" t="n">
        <f aca="false">ROUND(L191*Accounts!V43,2)</f>
        <v>2524.82</v>
      </c>
      <c r="S191" s="17" t="n">
        <f aca="false">ROUND(L191*Accounts!W43,2)</f>
        <v>3156.02</v>
      </c>
      <c r="T191" s="17" t="n">
        <f aca="false">ROUND(L191-SUM(M191:S191),2)</f>
        <v>279939.1</v>
      </c>
      <c r="U191" s="17" t="n">
        <f aca="false">ROUND(F191*H191,2)</f>
        <v>237528</v>
      </c>
      <c r="V191" s="17" t="n">
        <f aca="false">ROUND(L191*Assumptions!$C$25,2)</f>
        <v>6312.04</v>
      </c>
      <c r="W191" s="17" t="n">
        <f aca="false">ROUND(T191-U191-V191,2)</f>
        <v>36099.06</v>
      </c>
      <c r="X191" s="28" t="n">
        <f aca="false">T191/I191</f>
        <v>0.684320517458859</v>
      </c>
      <c r="Y191" s="17" t="n">
        <f aca="false">T191/F191</f>
        <v>42.4278720824492</v>
      </c>
      <c r="Z191" s="26" t="n">
        <f aca="false">Accounts!H43</f>
        <v>9860</v>
      </c>
      <c r="AA191" s="28" t="n">
        <f aca="false">IF(Z191&gt;=Assumptions!$B$44,Assumptions!$C$44,IF(Z191&gt;=Assumptions!$B$45,Assumptions!$C$45,IF(Z191&gt;=Assumptions!$B$46,Assumptions!$C$46,Assumptions!$C$47)))</f>
        <v>0.02</v>
      </c>
      <c r="AB191" s="26" t="n">
        <f aca="false">IF(Z191&gt;=Assumptions!$B$44,Assumptions!$B$44,IF(Z191&gt;=Assumptions!$B$45,Assumptions!$B$45,IF(Z191&gt;=Assumptions!$B$46,Assumptions!$B$46,0)))</f>
        <v>3000</v>
      </c>
    </row>
    <row r="192" customFormat="false" ht="15" hidden="false" customHeight="false" outlineLevel="0" collapsed="false">
      <c r="B192" s="14" t="s">
        <v>170</v>
      </c>
      <c r="C192" s="14" t="s">
        <v>162</v>
      </c>
      <c r="D192" s="14" t="s">
        <v>163</v>
      </c>
      <c r="E192" s="14" t="s">
        <v>62</v>
      </c>
      <c r="F192" s="26" t="n">
        <f aca="false">Accounts!F25</f>
        <v>13068</v>
      </c>
      <c r="G192" s="17" t="n">
        <f aca="false">Assumptions!$D$9</f>
        <v>62</v>
      </c>
      <c r="H192" s="17" t="n">
        <f aca="false">Assumptions!$E$9</f>
        <v>36</v>
      </c>
      <c r="I192" s="17" t="n">
        <f aca="false">ROUND(F192*G192,2)</f>
        <v>810216</v>
      </c>
      <c r="J192" s="17" t="n">
        <f aca="false">ROUND(I192*Accounts!O25,2)</f>
        <v>32408.64</v>
      </c>
      <c r="K192" s="17" t="n">
        <f aca="false">ROUND(I192*Accounts!M25,2)</f>
        <v>89528.87</v>
      </c>
      <c r="L192" s="17" t="n">
        <f aca="false">ROUND(I192-J192-K192,2)</f>
        <v>688278.49</v>
      </c>
      <c r="M192" s="17" t="n">
        <f aca="false">ROUND(L192*AA192,2)</f>
        <v>24089.75</v>
      </c>
      <c r="N192" s="17" t="n">
        <f aca="false">ROUND(L192*Accounts!R25,2)</f>
        <v>13765.57</v>
      </c>
      <c r="O192" s="17" t="n">
        <f aca="false">ROUND(L192*Accounts!S25,2)</f>
        <v>10324.18</v>
      </c>
      <c r="P192" s="17" t="n">
        <f aca="false">ROUND(L192*Accounts!T25,2)</f>
        <v>17206.96</v>
      </c>
      <c r="Q192" s="17" t="n">
        <f aca="false">ROUND(L192*Accounts!U25,2)</f>
        <v>10324.18</v>
      </c>
      <c r="R192" s="17" t="n">
        <f aca="false">ROUND(L192*Accounts!V25,2)</f>
        <v>5506.23</v>
      </c>
      <c r="S192" s="17" t="n">
        <f aca="false">ROUND(L192*Accounts!W25,2)</f>
        <v>0</v>
      </c>
      <c r="T192" s="17" t="n">
        <f aca="false">ROUND(L192-SUM(M192:S192),2)</f>
        <v>607061.62</v>
      </c>
      <c r="U192" s="17" t="n">
        <f aca="false">ROUND(F192*H192,2)</f>
        <v>470448</v>
      </c>
      <c r="V192" s="17" t="n">
        <f aca="false">ROUND(L192*Assumptions!$C$25,2)</f>
        <v>13765.57</v>
      </c>
      <c r="W192" s="17" t="n">
        <f aca="false">ROUND(T192-U192-V192,2)</f>
        <v>122848.05</v>
      </c>
      <c r="X192" s="28" t="n">
        <f aca="false">T192/I192</f>
        <v>0.74925898772673</v>
      </c>
      <c r="Y192" s="17" t="n">
        <f aca="false">T192/F192</f>
        <v>46.4540572390572</v>
      </c>
      <c r="Z192" s="26" t="n">
        <f aca="false">Accounts!H25</f>
        <v>17004</v>
      </c>
      <c r="AA192" s="28" t="n">
        <f aca="false">IF(Z192&gt;=Assumptions!$B$44,Assumptions!$C$44,IF(Z192&gt;=Assumptions!$B$45,Assumptions!$C$45,IF(Z192&gt;=Assumptions!$B$46,Assumptions!$C$46,Assumptions!$C$47)))</f>
        <v>0.035</v>
      </c>
      <c r="AB192" s="26" t="n">
        <f aca="false">IF(Z192&gt;=Assumptions!$B$44,Assumptions!$B$44,IF(Z192&gt;=Assumptions!$B$45,Assumptions!$B$45,IF(Z192&gt;=Assumptions!$B$46,Assumptions!$B$46,0)))</f>
        <v>10000</v>
      </c>
    </row>
    <row r="193" customFormat="false" ht="15" hidden="false" customHeight="false" outlineLevel="0" collapsed="false">
      <c r="B193" s="14" t="s">
        <v>181</v>
      </c>
      <c r="C193" s="14" t="s">
        <v>162</v>
      </c>
      <c r="D193" s="14" t="s">
        <v>174</v>
      </c>
      <c r="E193" s="14" t="s">
        <v>62</v>
      </c>
      <c r="F193" s="26" t="n">
        <f aca="false">Accounts!F35</f>
        <v>5496</v>
      </c>
      <c r="G193" s="17" t="n">
        <f aca="false">Assumptions!$D$9</f>
        <v>62</v>
      </c>
      <c r="H193" s="17" t="n">
        <f aca="false">Assumptions!$E$9</f>
        <v>36</v>
      </c>
      <c r="I193" s="17" t="n">
        <f aca="false">ROUND(F193*G193,2)</f>
        <v>340752</v>
      </c>
      <c r="J193" s="17" t="n">
        <f aca="false">ROUND(I193*Accounts!O35,2)</f>
        <v>13630.08</v>
      </c>
      <c r="K193" s="17" t="n">
        <f aca="false">ROUND(I193*Accounts!M35,2)</f>
        <v>26578.66</v>
      </c>
      <c r="L193" s="17" t="n">
        <f aca="false">ROUND(I193-J193-K193,2)</f>
        <v>300543.26</v>
      </c>
      <c r="M193" s="17" t="n">
        <f aca="false">ROUND(L193*AA193,2)</f>
        <v>6010.87</v>
      </c>
      <c r="N193" s="17" t="n">
        <f aca="false">ROUND(L193*Accounts!R35,2)</f>
        <v>6010.87</v>
      </c>
      <c r="O193" s="17" t="n">
        <f aca="false">ROUND(L193*Accounts!S35,2)</f>
        <v>4508.15</v>
      </c>
      <c r="P193" s="17" t="n">
        <f aca="false">ROUND(L193*Accounts!T35,2)</f>
        <v>7513.58</v>
      </c>
      <c r="Q193" s="17" t="n">
        <f aca="false">ROUND(L193*Accounts!U35,2)</f>
        <v>4508.15</v>
      </c>
      <c r="R193" s="17" t="n">
        <f aca="false">ROUND(L193*Accounts!V35,2)</f>
        <v>2404.35</v>
      </c>
      <c r="S193" s="17" t="n">
        <f aca="false">ROUND(L193*Accounts!W35,2)</f>
        <v>3005.43</v>
      </c>
      <c r="T193" s="17" t="n">
        <f aca="false">ROUND(L193-SUM(M193:S193),2)</f>
        <v>266581.86</v>
      </c>
      <c r="U193" s="17" t="n">
        <f aca="false">ROUND(F193*H193,2)</f>
        <v>197856</v>
      </c>
      <c r="V193" s="17" t="n">
        <f aca="false">ROUND(L193*Assumptions!$C$25,2)</f>
        <v>6010.87</v>
      </c>
      <c r="W193" s="17" t="n">
        <f aca="false">ROUND(T193-U193-V193,2)</f>
        <v>62714.99</v>
      </c>
      <c r="X193" s="28" t="n">
        <f aca="false">T193/I193</f>
        <v>0.782333955486688</v>
      </c>
      <c r="Y193" s="17" t="n">
        <f aca="false">T193/F193</f>
        <v>48.5047052401747</v>
      </c>
      <c r="Z193" s="26" t="n">
        <f aca="false">Accounts!H35</f>
        <v>8650</v>
      </c>
      <c r="AA193" s="28" t="n">
        <f aca="false">IF(Z193&gt;=Assumptions!$B$44,Assumptions!$C$44,IF(Z193&gt;=Assumptions!$B$45,Assumptions!$C$45,IF(Z193&gt;=Assumptions!$B$46,Assumptions!$C$46,Assumptions!$C$47)))</f>
        <v>0.02</v>
      </c>
      <c r="AB193" s="26" t="n">
        <f aca="false">IF(Z193&gt;=Assumptions!$B$44,Assumptions!$B$44,IF(Z193&gt;=Assumptions!$B$45,Assumptions!$B$45,IF(Z193&gt;=Assumptions!$B$46,Assumptions!$B$46,0)))</f>
        <v>3000</v>
      </c>
    </row>
    <row r="194" customFormat="false" ht="15" hidden="false" customHeight="false" outlineLevel="0" collapsed="false">
      <c r="B194" s="14" t="s">
        <v>191</v>
      </c>
      <c r="C194" s="14" t="s">
        <v>162</v>
      </c>
      <c r="D194" s="14" t="s">
        <v>184</v>
      </c>
      <c r="E194" s="14" t="s">
        <v>62</v>
      </c>
      <c r="F194" s="26" t="n">
        <f aca="false">Accounts!F44</f>
        <v>11471</v>
      </c>
      <c r="G194" s="17" t="n">
        <f aca="false">Assumptions!$D$9</f>
        <v>62</v>
      </c>
      <c r="H194" s="17" t="n">
        <f aca="false">Assumptions!$E$9</f>
        <v>36</v>
      </c>
      <c r="I194" s="17" t="n">
        <f aca="false">ROUND(F194*G194,2)</f>
        <v>711202</v>
      </c>
      <c r="J194" s="17" t="n">
        <f aca="false">ROUND(I194*Accounts!O44,2)</f>
        <v>28448.08</v>
      </c>
      <c r="K194" s="17" t="n">
        <f aca="false">ROUND(I194*Accounts!M44,2)</f>
        <v>9245.63</v>
      </c>
      <c r="L194" s="17" t="n">
        <f aca="false">ROUND(I194-J194-K194,2)</f>
        <v>673508.29</v>
      </c>
      <c r="M194" s="17" t="n">
        <f aca="false">ROUND(L194*AA194,2)</f>
        <v>23572.79</v>
      </c>
      <c r="N194" s="17" t="n">
        <f aca="false">ROUND(L194*Accounts!R44,2)</f>
        <v>0</v>
      </c>
      <c r="O194" s="17" t="n">
        <f aca="false">ROUND(L194*Accounts!S44,2)</f>
        <v>10102.62</v>
      </c>
      <c r="P194" s="17" t="n">
        <f aca="false">ROUND(L194*Accounts!T44,2)</f>
        <v>16837.71</v>
      </c>
      <c r="Q194" s="17" t="n">
        <f aca="false">ROUND(L194*Accounts!U44,2)</f>
        <v>10102.62</v>
      </c>
      <c r="R194" s="17" t="n">
        <f aca="false">ROUND(L194*Accounts!V44,2)</f>
        <v>5388.07</v>
      </c>
      <c r="S194" s="17" t="n">
        <f aca="false">ROUND(L194*Accounts!W44,2)</f>
        <v>6735.08</v>
      </c>
      <c r="T194" s="17" t="n">
        <f aca="false">ROUND(L194-SUM(M194:S194),2)</f>
        <v>600769.4</v>
      </c>
      <c r="U194" s="17" t="n">
        <f aca="false">ROUND(F194*H194,2)</f>
        <v>412956</v>
      </c>
      <c r="V194" s="17" t="n">
        <f aca="false">ROUND(L194*Assumptions!$C$25,2)</f>
        <v>13470.17</v>
      </c>
      <c r="W194" s="17" t="n">
        <f aca="false">ROUND(T194-U194-V194,2)</f>
        <v>174343.23</v>
      </c>
      <c r="X194" s="28" t="n">
        <f aca="false">T194/I194</f>
        <v>0.844724002463435</v>
      </c>
      <c r="Y194" s="17" t="n">
        <f aca="false">T194/F194</f>
        <v>52.372888152733</v>
      </c>
      <c r="Z194" s="26" t="n">
        <f aca="false">Accounts!H44</f>
        <v>15594</v>
      </c>
      <c r="AA194" s="28" t="n">
        <f aca="false">IF(Z194&gt;=Assumptions!$B$44,Assumptions!$C$44,IF(Z194&gt;=Assumptions!$B$45,Assumptions!$C$45,IF(Z194&gt;=Assumptions!$B$46,Assumptions!$C$46,Assumptions!$C$47)))</f>
        <v>0.035</v>
      </c>
      <c r="AB194" s="26" t="n">
        <f aca="false">IF(Z194&gt;=Assumptions!$B$44,Assumptions!$B$44,IF(Z194&gt;=Assumptions!$B$45,Assumptions!$B$45,IF(Z194&gt;=Assumptions!$B$46,Assumptions!$B$46,0)))</f>
        <v>10000</v>
      </c>
    </row>
    <row r="195" customFormat="false" ht="15" hidden="false" customHeight="false" outlineLevel="0" collapsed="false">
      <c r="B195" s="14" t="s">
        <v>171</v>
      </c>
      <c r="C195" s="14" t="s">
        <v>162</v>
      </c>
      <c r="D195" s="14" t="s">
        <v>163</v>
      </c>
      <c r="E195" s="14" t="s">
        <v>62</v>
      </c>
      <c r="F195" s="26" t="n">
        <f aca="false">Accounts!F26</f>
        <v>12402</v>
      </c>
      <c r="G195" s="17" t="n">
        <f aca="false">Assumptions!$D$9</f>
        <v>62</v>
      </c>
      <c r="H195" s="17" t="n">
        <f aca="false">Assumptions!$E$9</f>
        <v>36</v>
      </c>
      <c r="I195" s="17" t="n">
        <f aca="false">ROUND(F195*G195,2)</f>
        <v>768924</v>
      </c>
      <c r="J195" s="17" t="n">
        <f aca="false">ROUND(I195*Accounts!O26,2)</f>
        <v>46135.44</v>
      </c>
      <c r="K195" s="17" t="n">
        <f aca="false">ROUND(I195*Accounts!M26,2)</f>
        <v>39984.05</v>
      </c>
      <c r="L195" s="17" t="n">
        <f aca="false">ROUND(I195-J195-K195,2)</f>
        <v>682804.51</v>
      </c>
      <c r="M195" s="17" t="n">
        <f aca="false">ROUND(L195*AA195,2)</f>
        <v>23898.16</v>
      </c>
      <c r="N195" s="17" t="n">
        <f aca="false">ROUND(L195*Accounts!R26,2)</f>
        <v>13656.09</v>
      </c>
      <c r="O195" s="17" t="n">
        <f aca="false">ROUND(L195*Accounts!S26,2)</f>
        <v>10242.07</v>
      </c>
      <c r="P195" s="17" t="n">
        <f aca="false">ROUND(L195*Accounts!T26,2)</f>
        <v>17070.11</v>
      </c>
      <c r="Q195" s="17" t="n">
        <f aca="false">ROUND(L195*Accounts!U26,2)</f>
        <v>10242.07</v>
      </c>
      <c r="R195" s="17" t="n">
        <f aca="false">ROUND(L195*Accounts!V26,2)</f>
        <v>5462.44</v>
      </c>
      <c r="S195" s="17" t="n">
        <f aca="false">ROUND(L195*Accounts!W26,2)</f>
        <v>6828.05</v>
      </c>
      <c r="T195" s="17" t="n">
        <f aca="false">ROUND(L195-SUM(M195:S195),2)</f>
        <v>595405.52</v>
      </c>
      <c r="U195" s="17" t="n">
        <f aca="false">ROUND(F195*H195,2)</f>
        <v>446472</v>
      </c>
      <c r="V195" s="17" t="n">
        <f aca="false">ROUND(L195*Assumptions!$C$25,2)</f>
        <v>13656.09</v>
      </c>
      <c r="W195" s="17" t="n">
        <f aca="false">ROUND(T195-U195-V195,2)</f>
        <v>135277.43</v>
      </c>
      <c r="X195" s="28" t="n">
        <f aca="false">T195/I195</f>
        <v>0.774335981189298</v>
      </c>
      <c r="Y195" s="17" t="n">
        <f aca="false">T195/F195</f>
        <v>48.0088308337365</v>
      </c>
      <c r="Z195" s="26" t="n">
        <f aca="false">Accounts!H26</f>
        <v>13579</v>
      </c>
      <c r="AA195" s="28" t="n">
        <f aca="false">IF(Z195&gt;=Assumptions!$B$44,Assumptions!$C$44,IF(Z195&gt;=Assumptions!$B$45,Assumptions!$C$45,IF(Z195&gt;=Assumptions!$B$46,Assumptions!$C$46,Assumptions!$C$47)))</f>
        <v>0.035</v>
      </c>
      <c r="AB195" s="26" t="n">
        <f aca="false">IF(Z195&gt;=Assumptions!$B$44,Assumptions!$B$44,IF(Z195&gt;=Assumptions!$B$45,Assumptions!$B$45,IF(Z195&gt;=Assumptions!$B$46,Assumptions!$B$46,0)))</f>
        <v>10000</v>
      </c>
    </row>
    <row r="196" customFormat="false" ht="15" hidden="false" customHeight="false" outlineLevel="0" collapsed="false">
      <c r="B196" s="14" t="s">
        <v>182</v>
      </c>
      <c r="C196" s="14" t="s">
        <v>162</v>
      </c>
      <c r="D196" s="14" t="s">
        <v>174</v>
      </c>
      <c r="E196" s="14" t="s">
        <v>62</v>
      </c>
      <c r="F196" s="26" t="n">
        <f aca="false">Accounts!F36</f>
        <v>3576</v>
      </c>
      <c r="G196" s="17" t="n">
        <f aca="false">Assumptions!$D$9</f>
        <v>62</v>
      </c>
      <c r="H196" s="17" t="n">
        <f aca="false">Assumptions!$E$9</f>
        <v>36</v>
      </c>
      <c r="I196" s="17" t="n">
        <f aca="false">ROUND(F196*G196,2)</f>
        <v>221712</v>
      </c>
      <c r="J196" s="17" t="n">
        <f aca="false">ROUND(I196*Accounts!O36,2)</f>
        <v>8868.48</v>
      </c>
      <c r="K196" s="17" t="n">
        <f aca="false">ROUND(I196*Accounts!M36,2)</f>
        <v>33145.94</v>
      </c>
      <c r="L196" s="17" t="n">
        <f aca="false">ROUND(I196-J196-K196,2)</f>
        <v>179697.58</v>
      </c>
      <c r="M196" s="17" t="n">
        <f aca="false">ROUND(L196*AA196,2)</f>
        <v>3593.95</v>
      </c>
      <c r="N196" s="17" t="n">
        <f aca="false">ROUND(L196*Accounts!R36,2)</f>
        <v>3593.95</v>
      </c>
      <c r="O196" s="17" t="n">
        <f aca="false">ROUND(L196*Accounts!S36,2)</f>
        <v>2695.46</v>
      </c>
      <c r="P196" s="17" t="n">
        <f aca="false">ROUND(L196*Accounts!T36,2)</f>
        <v>0</v>
      </c>
      <c r="Q196" s="17" t="n">
        <f aca="false">ROUND(L196*Accounts!U36,2)</f>
        <v>2695.46</v>
      </c>
      <c r="R196" s="17" t="n">
        <f aca="false">ROUND(L196*Accounts!V36,2)</f>
        <v>1437.58</v>
      </c>
      <c r="S196" s="17" t="n">
        <f aca="false">ROUND(L196*Accounts!W36,2)</f>
        <v>0</v>
      </c>
      <c r="T196" s="17" t="n">
        <f aca="false">ROUND(L196-SUM(M196:S196),2)</f>
        <v>165681.18</v>
      </c>
      <c r="U196" s="17" t="n">
        <f aca="false">ROUND(F196*H196,2)</f>
        <v>128736</v>
      </c>
      <c r="V196" s="17" t="n">
        <f aca="false">ROUND(L196*Assumptions!$C$25,2)</f>
        <v>3593.95</v>
      </c>
      <c r="W196" s="17" t="n">
        <f aca="false">ROUND(T196-U196-V196,2)</f>
        <v>33351.23</v>
      </c>
      <c r="X196" s="28" t="n">
        <f aca="false">T196/I196</f>
        <v>0.747281067330591</v>
      </c>
      <c r="Y196" s="17" t="n">
        <f aca="false">T196/F196</f>
        <v>46.3314261744966</v>
      </c>
      <c r="Z196" s="26" t="n">
        <f aca="false">Accounts!H36</f>
        <v>4836</v>
      </c>
      <c r="AA196" s="28" t="n">
        <f aca="false">IF(Z196&gt;=Assumptions!$B$44,Assumptions!$C$44,IF(Z196&gt;=Assumptions!$B$45,Assumptions!$C$45,IF(Z196&gt;=Assumptions!$B$46,Assumptions!$C$46,Assumptions!$C$47)))</f>
        <v>0.02</v>
      </c>
      <c r="AB196" s="26" t="n">
        <f aca="false">IF(Z196&gt;=Assumptions!$B$44,Assumptions!$B$44,IF(Z196&gt;=Assumptions!$B$45,Assumptions!$B$45,IF(Z196&gt;=Assumptions!$B$46,Assumptions!$B$46,0)))</f>
        <v>3000</v>
      </c>
    </row>
    <row r="197" customFormat="false" ht="15" hidden="false" customHeight="false" outlineLevel="0" collapsed="false">
      <c r="B197" s="14" t="s">
        <v>192</v>
      </c>
      <c r="C197" s="14" t="s">
        <v>162</v>
      </c>
      <c r="D197" s="14" t="s">
        <v>184</v>
      </c>
      <c r="E197" s="14" t="s">
        <v>62</v>
      </c>
      <c r="F197" s="26" t="n">
        <f aca="false">Accounts!F45</f>
        <v>4628</v>
      </c>
      <c r="G197" s="17" t="n">
        <f aca="false">Assumptions!$D$9</f>
        <v>62</v>
      </c>
      <c r="H197" s="17" t="n">
        <f aca="false">Assumptions!$E$9</f>
        <v>36</v>
      </c>
      <c r="I197" s="17" t="n">
        <f aca="false">ROUND(F197*G197,2)</f>
        <v>286936</v>
      </c>
      <c r="J197" s="17" t="n">
        <f aca="false">ROUND(I197*Accounts!O45,2)</f>
        <v>11477.44</v>
      </c>
      <c r="K197" s="17" t="n">
        <f aca="false">ROUND(I197*Accounts!M45,2)</f>
        <v>33571.51</v>
      </c>
      <c r="L197" s="17" t="n">
        <f aca="false">ROUND(I197-J197-K197,2)</f>
        <v>241887.05</v>
      </c>
      <c r="M197" s="17" t="n">
        <f aca="false">ROUND(L197*AA197,2)</f>
        <v>4837.74</v>
      </c>
      <c r="N197" s="17" t="n">
        <f aca="false">ROUND(L197*Accounts!R45,2)</f>
        <v>4837.74</v>
      </c>
      <c r="O197" s="17" t="n">
        <f aca="false">ROUND(L197*Accounts!S45,2)</f>
        <v>3628.31</v>
      </c>
      <c r="P197" s="17" t="n">
        <f aca="false">ROUND(L197*Accounts!T45,2)</f>
        <v>6047.18</v>
      </c>
      <c r="Q197" s="17" t="n">
        <f aca="false">ROUND(L197*Accounts!U45,2)</f>
        <v>0</v>
      </c>
      <c r="R197" s="17" t="n">
        <f aca="false">ROUND(L197*Accounts!V45,2)</f>
        <v>1935.1</v>
      </c>
      <c r="S197" s="17" t="n">
        <f aca="false">ROUND(L197*Accounts!W45,2)</f>
        <v>2418.87</v>
      </c>
      <c r="T197" s="17" t="n">
        <f aca="false">ROUND(L197-SUM(M197:S197),2)</f>
        <v>218182.11</v>
      </c>
      <c r="U197" s="17" t="n">
        <f aca="false">ROUND(F197*H197,2)</f>
        <v>166608</v>
      </c>
      <c r="V197" s="17" t="n">
        <f aca="false">ROUND(L197*Assumptions!$C$25,2)</f>
        <v>4837.74</v>
      </c>
      <c r="W197" s="17" t="n">
        <f aca="false">ROUND(T197-U197-V197,2)</f>
        <v>46736.37</v>
      </c>
      <c r="X197" s="28" t="n">
        <f aca="false">T197/I197</f>
        <v>0.760385974572727</v>
      </c>
      <c r="Y197" s="17" t="n">
        <f aca="false">T197/F197</f>
        <v>47.1439304235091</v>
      </c>
      <c r="Z197" s="26" t="n">
        <f aca="false">Accounts!H45</f>
        <v>7930</v>
      </c>
      <c r="AA197" s="28" t="n">
        <f aca="false">IF(Z197&gt;=Assumptions!$B$44,Assumptions!$C$44,IF(Z197&gt;=Assumptions!$B$45,Assumptions!$C$45,IF(Z197&gt;=Assumptions!$B$46,Assumptions!$C$46,Assumptions!$C$47)))</f>
        <v>0.02</v>
      </c>
      <c r="AB197" s="26" t="n">
        <f aca="false">IF(Z197&gt;=Assumptions!$B$44,Assumptions!$B$44,IF(Z197&gt;=Assumptions!$B$45,Assumptions!$B$45,IF(Z197&gt;=Assumptions!$B$46,Assumptions!$B$46,0)))</f>
        <v>3000</v>
      </c>
    </row>
    <row r="198" customFormat="false" ht="15" hidden="false" customHeight="false" outlineLevel="0" collapsed="false">
      <c r="B198" s="14" t="s">
        <v>172</v>
      </c>
      <c r="C198" s="14" t="s">
        <v>162</v>
      </c>
      <c r="D198" s="14" t="s">
        <v>163</v>
      </c>
      <c r="E198" s="14" t="s">
        <v>62</v>
      </c>
      <c r="F198" s="26" t="n">
        <f aca="false">Accounts!F27</f>
        <v>5532</v>
      </c>
      <c r="G198" s="17" t="n">
        <f aca="false">Assumptions!$D$9</f>
        <v>62</v>
      </c>
      <c r="H198" s="17" t="n">
        <f aca="false">Assumptions!$E$9</f>
        <v>36</v>
      </c>
      <c r="I198" s="17" t="n">
        <f aca="false">ROUND(F198*G198,2)</f>
        <v>342984</v>
      </c>
      <c r="J198" s="17" t="n">
        <f aca="false">ROUND(I198*Accounts!O27,2)</f>
        <v>13719.36</v>
      </c>
      <c r="K198" s="17" t="n">
        <f aca="false">ROUND(I198*Accounts!M27,2)</f>
        <v>64652.48</v>
      </c>
      <c r="L198" s="17" t="n">
        <f aca="false">ROUND(I198-J198-K198,2)</f>
        <v>264612.16</v>
      </c>
      <c r="M198" s="17" t="n">
        <f aca="false">ROUND(L198*AA198,2)</f>
        <v>5292.24</v>
      </c>
      <c r="N198" s="17" t="n">
        <f aca="false">ROUND(L198*Accounts!R27,2)</f>
        <v>5292.24</v>
      </c>
      <c r="O198" s="17" t="n">
        <f aca="false">ROUND(L198*Accounts!S27,2)</f>
        <v>3969.18</v>
      </c>
      <c r="P198" s="17" t="n">
        <f aca="false">ROUND(L198*Accounts!T27,2)</f>
        <v>6615.3</v>
      </c>
      <c r="Q198" s="17" t="n">
        <f aca="false">ROUND(L198*Accounts!U27,2)</f>
        <v>3969.18</v>
      </c>
      <c r="R198" s="17" t="n">
        <f aca="false">ROUND(L198*Accounts!V27,2)</f>
        <v>2116.9</v>
      </c>
      <c r="S198" s="17" t="n">
        <f aca="false">ROUND(L198*Accounts!W27,2)</f>
        <v>2646.12</v>
      </c>
      <c r="T198" s="17" t="n">
        <f aca="false">ROUND(L198-SUM(M198:S198),2)</f>
        <v>234711</v>
      </c>
      <c r="U198" s="17" t="n">
        <f aca="false">ROUND(F198*H198,2)</f>
        <v>199152</v>
      </c>
      <c r="V198" s="17" t="n">
        <f aca="false">ROUND(L198*Assumptions!$C$25,2)</f>
        <v>5292.24</v>
      </c>
      <c r="W198" s="17" t="n">
        <f aca="false">ROUND(T198-U198-V198,2)</f>
        <v>30266.76</v>
      </c>
      <c r="X198" s="28" t="n">
        <f aca="false">T198/I198</f>
        <v>0.684320551395984</v>
      </c>
      <c r="Y198" s="17" t="n">
        <f aca="false">T198/F198</f>
        <v>42.427874186551</v>
      </c>
      <c r="Z198" s="26" t="n">
        <f aca="false">Accounts!H27</f>
        <v>8144</v>
      </c>
      <c r="AA198" s="28" t="n">
        <f aca="false">IF(Z198&gt;=Assumptions!$B$44,Assumptions!$C$44,IF(Z198&gt;=Assumptions!$B$45,Assumptions!$C$45,IF(Z198&gt;=Assumptions!$B$46,Assumptions!$C$46,Assumptions!$C$47)))</f>
        <v>0.02</v>
      </c>
      <c r="AB198" s="26" t="n">
        <f aca="false">IF(Z198&gt;=Assumptions!$B$44,Assumptions!$B$44,IF(Z198&gt;=Assumptions!$B$45,Assumptions!$B$45,IF(Z198&gt;=Assumptions!$B$46,Assumptions!$B$46,0)))</f>
        <v>3000</v>
      </c>
    </row>
    <row r="199" customFormat="false" ht="15" hidden="false" customHeight="false" outlineLevel="0" collapsed="false">
      <c r="B199" s="14" t="s">
        <v>193</v>
      </c>
      <c r="C199" s="14" t="s">
        <v>194</v>
      </c>
      <c r="D199" s="14" t="s">
        <v>163</v>
      </c>
      <c r="E199" s="14" t="s">
        <v>62</v>
      </c>
      <c r="F199" s="26" t="n">
        <f aca="false">Accounts!F46</f>
        <v>3772</v>
      </c>
      <c r="G199" s="17" t="n">
        <f aca="false">Assumptions!$D$9</f>
        <v>62</v>
      </c>
      <c r="H199" s="17" t="n">
        <f aca="false">Assumptions!$E$9</f>
        <v>36</v>
      </c>
      <c r="I199" s="17" t="n">
        <f aca="false">ROUND(F199*G199,2)</f>
        <v>233864</v>
      </c>
      <c r="J199" s="17" t="n">
        <f aca="false">ROUND(I199*Accounts!O46,2)</f>
        <v>9354.56</v>
      </c>
      <c r="K199" s="17" t="n">
        <f aca="false">ROUND(I199*Accounts!M46,2)</f>
        <v>34962.67</v>
      </c>
      <c r="L199" s="17" t="n">
        <f aca="false">ROUND(I199-J199-K199,2)</f>
        <v>189546.77</v>
      </c>
      <c r="M199" s="17" t="n">
        <f aca="false">ROUND(L199*AA199,2)</f>
        <v>3790.94</v>
      </c>
      <c r="N199" s="17" t="n">
        <f aca="false">ROUND(L199*Accounts!R46,2)</f>
        <v>3790.94</v>
      </c>
      <c r="O199" s="17" t="n">
        <f aca="false">ROUND(L199*Accounts!S46,2)</f>
        <v>0</v>
      </c>
      <c r="P199" s="17" t="n">
        <f aca="false">ROUND(L199*Accounts!T46,2)</f>
        <v>0</v>
      </c>
      <c r="Q199" s="17" t="n">
        <f aca="false">ROUND(L199*Accounts!U46,2)</f>
        <v>0</v>
      </c>
      <c r="R199" s="17" t="n">
        <f aca="false">ROUND(L199*Accounts!V46,2)</f>
        <v>1137.28</v>
      </c>
      <c r="S199" s="17" t="n">
        <f aca="false">ROUND(L199*Accounts!W46,2)</f>
        <v>0</v>
      </c>
      <c r="T199" s="17" t="n">
        <f aca="false">ROUND(L199-SUM(M199:S199),2)</f>
        <v>180827.61</v>
      </c>
      <c r="U199" s="17" t="n">
        <f aca="false">ROUND(F199*H199,2)</f>
        <v>135792</v>
      </c>
      <c r="V199" s="17" t="n">
        <f aca="false">ROUND(L199*Assumptions!$C$25,2)</f>
        <v>3790.94</v>
      </c>
      <c r="W199" s="17" t="n">
        <f aca="false">ROUND(T199-U199-V199,2)</f>
        <v>41244.67</v>
      </c>
      <c r="X199" s="28" t="n">
        <f aca="false">T199/I199</f>
        <v>0.773216955153423</v>
      </c>
      <c r="Y199" s="17" t="n">
        <f aca="false">T199/F199</f>
        <v>47.9394512195122</v>
      </c>
      <c r="Z199" s="26" t="n">
        <f aca="false">Accounts!H46</f>
        <v>7398</v>
      </c>
      <c r="AA199" s="28" t="n">
        <f aca="false">IF(Z199&gt;=Assumptions!$B$44,Assumptions!$C$44,IF(Z199&gt;=Assumptions!$B$45,Assumptions!$C$45,IF(Z199&gt;=Assumptions!$B$46,Assumptions!$C$46,Assumptions!$C$47)))</f>
        <v>0.02</v>
      </c>
      <c r="AB199" s="26" t="n">
        <f aca="false">IF(Z199&gt;=Assumptions!$B$44,Assumptions!$B$44,IF(Z199&gt;=Assumptions!$B$45,Assumptions!$B$45,IF(Z199&gt;=Assumptions!$B$46,Assumptions!$B$46,0)))</f>
        <v>3000</v>
      </c>
    </row>
    <row r="200" customFormat="false" ht="15" hidden="false" customHeight="false" outlineLevel="0" collapsed="false">
      <c r="B200" s="14" t="s">
        <v>202</v>
      </c>
      <c r="C200" s="14" t="s">
        <v>194</v>
      </c>
      <c r="D200" s="14" t="s">
        <v>174</v>
      </c>
      <c r="E200" s="14" t="s">
        <v>62</v>
      </c>
      <c r="F200" s="26" t="n">
        <f aca="false">Accounts!F54</f>
        <v>1099</v>
      </c>
      <c r="G200" s="17" t="n">
        <f aca="false">Assumptions!$D$9</f>
        <v>62</v>
      </c>
      <c r="H200" s="17" t="n">
        <f aca="false">Assumptions!$E$9</f>
        <v>36</v>
      </c>
      <c r="I200" s="17" t="n">
        <f aca="false">ROUND(F200*G200,2)</f>
        <v>68138</v>
      </c>
      <c r="J200" s="17" t="n">
        <f aca="false">ROUND(I200*Accounts!O54,2)</f>
        <v>2725.52</v>
      </c>
      <c r="K200" s="17" t="n">
        <f aca="false">ROUND(I200*Accounts!M54,2)</f>
        <v>0</v>
      </c>
      <c r="L200" s="17" t="n">
        <f aca="false">ROUND(I200-J200-K200,2)</f>
        <v>65412.48</v>
      </c>
      <c r="M200" s="17" t="n">
        <f aca="false">ROUND(L200*AA200,2)</f>
        <v>0</v>
      </c>
      <c r="N200" s="17" t="n">
        <f aca="false">ROUND(L200*Accounts!R54,2)</f>
        <v>1308.25</v>
      </c>
      <c r="O200" s="17" t="n">
        <f aca="false">ROUND(L200*Accounts!S54,2)</f>
        <v>981.19</v>
      </c>
      <c r="P200" s="17" t="n">
        <f aca="false">ROUND(L200*Accounts!T54,2)</f>
        <v>0</v>
      </c>
      <c r="Q200" s="17" t="n">
        <f aca="false">ROUND(L200*Accounts!U54,2)</f>
        <v>0</v>
      </c>
      <c r="R200" s="17" t="n">
        <f aca="false">ROUND(L200*Accounts!V54,2)</f>
        <v>392.47</v>
      </c>
      <c r="S200" s="17" t="n">
        <f aca="false">ROUND(L200*Accounts!W54,2)</f>
        <v>327.06</v>
      </c>
      <c r="T200" s="17" t="n">
        <f aca="false">ROUND(L200-SUM(M200:S200),2)</f>
        <v>62403.51</v>
      </c>
      <c r="U200" s="17" t="n">
        <f aca="false">ROUND(F200*H200,2)</f>
        <v>39564</v>
      </c>
      <c r="V200" s="17" t="n">
        <f aca="false">ROUND(L200*Assumptions!$C$25,2)</f>
        <v>1308.25</v>
      </c>
      <c r="W200" s="17" t="n">
        <f aca="false">ROUND(T200-U200-V200,2)</f>
        <v>21531.26</v>
      </c>
      <c r="X200" s="28" t="n">
        <f aca="false">T200/I200</f>
        <v>0.915840059878482</v>
      </c>
      <c r="Y200" s="17" t="n">
        <f aca="false">T200/F200</f>
        <v>56.7820837124659</v>
      </c>
      <c r="Z200" s="26" t="n">
        <f aca="false">Accounts!H54</f>
        <v>1503</v>
      </c>
      <c r="AA200" s="28" t="n">
        <f aca="false">IF(Z200&gt;=Assumptions!$B$44,Assumptions!$C$44,IF(Z200&gt;=Assumptions!$B$45,Assumptions!$C$45,IF(Z200&gt;=Assumptions!$B$46,Assumptions!$C$46,Assumptions!$C$47)))</f>
        <v>0</v>
      </c>
      <c r="AB200" s="26" t="n">
        <f aca="false">IF(Z200&gt;=Assumptions!$B$44,Assumptions!$B$44,IF(Z200&gt;=Assumptions!$B$45,Assumptions!$B$45,IF(Z200&gt;=Assumptions!$B$46,Assumptions!$B$46,0)))</f>
        <v>0</v>
      </c>
    </row>
    <row r="201" customFormat="false" ht="15" hidden="false" customHeight="false" outlineLevel="0" collapsed="false">
      <c r="B201" s="14" t="s">
        <v>210</v>
      </c>
      <c r="C201" s="14" t="s">
        <v>194</v>
      </c>
      <c r="D201" s="14" t="s">
        <v>184</v>
      </c>
      <c r="E201" s="14" t="s">
        <v>62</v>
      </c>
      <c r="F201" s="26" t="n">
        <f aca="false">Accounts!F62</f>
        <v>1002</v>
      </c>
      <c r="G201" s="17" t="n">
        <f aca="false">Assumptions!$D$9</f>
        <v>62</v>
      </c>
      <c r="H201" s="17" t="n">
        <f aca="false">Assumptions!$E$9</f>
        <v>36</v>
      </c>
      <c r="I201" s="17" t="n">
        <f aca="false">ROUND(F201*G201,2)</f>
        <v>62124</v>
      </c>
      <c r="J201" s="17" t="n">
        <f aca="false">ROUND(I201*Accounts!O62,2)</f>
        <v>2484.96</v>
      </c>
      <c r="K201" s="17" t="n">
        <f aca="false">ROUND(I201*Accounts!M62,2)</f>
        <v>2019.03</v>
      </c>
      <c r="L201" s="17" t="n">
        <f aca="false">ROUND(I201-J201-K201,2)</f>
        <v>57620.01</v>
      </c>
      <c r="M201" s="17" t="n">
        <f aca="false">ROUND(L201*AA201,2)</f>
        <v>0</v>
      </c>
      <c r="N201" s="17" t="n">
        <f aca="false">ROUND(L201*Accounts!R62,2)</f>
        <v>0</v>
      </c>
      <c r="O201" s="17" t="n">
        <f aca="false">ROUND(L201*Accounts!S62,2)</f>
        <v>0</v>
      </c>
      <c r="P201" s="17" t="n">
        <f aca="false">ROUND(L201*Accounts!T62,2)</f>
        <v>0</v>
      </c>
      <c r="Q201" s="17" t="n">
        <f aca="false">ROUND(L201*Accounts!U62,2)</f>
        <v>0</v>
      </c>
      <c r="R201" s="17" t="n">
        <f aca="false">ROUND(L201*Accounts!V62,2)</f>
        <v>345.72</v>
      </c>
      <c r="S201" s="17" t="n">
        <f aca="false">ROUND(L201*Accounts!W62,2)</f>
        <v>0</v>
      </c>
      <c r="T201" s="17" t="n">
        <f aca="false">ROUND(L201-SUM(M201:S201),2)</f>
        <v>57274.29</v>
      </c>
      <c r="U201" s="17" t="n">
        <f aca="false">ROUND(F201*H201,2)</f>
        <v>36072</v>
      </c>
      <c r="V201" s="17" t="n">
        <f aca="false">ROUND(L201*Assumptions!$C$25,2)</f>
        <v>1152.4</v>
      </c>
      <c r="W201" s="17" t="n">
        <f aca="false">ROUND(T201-U201-V201,2)</f>
        <v>20049.89</v>
      </c>
      <c r="X201" s="28" t="n">
        <f aca="false">T201/I201</f>
        <v>0.92193500096581</v>
      </c>
      <c r="Y201" s="17" t="n">
        <f aca="false">T201/F201</f>
        <v>57.1599700598802</v>
      </c>
      <c r="Z201" s="26" t="n">
        <f aca="false">Accounts!H62</f>
        <v>1999</v>
      </c>
      <c r="AA201" s="28" t="n">
        <f aca="false">IF(Z201&gt;=Assumptions!$B$44,Assumptions!$C$44,IF(Z201&gt;=Assumptions!$B$45,Assumptions!$C$45,IF(Z201&gt;=Assumptions!$B$46,Assumptions!$C$46,Assumptions!$C$47)))</f>
        <v>0</v>
      </c>
      <c r="AB201" s="26" t="n">
        <f aca="false">IF(Z201&gt;=Assumptions!$B$44,Assumptions!$B$44,IF(Z201&gt;=Assumptions!$B$45,Assumptions!$B$45,IF(Z201&gt;=Assumptions!$B$46,Assumptions!$B$46,0)))</f>
        <v>0</v>
      </c>
    </row>
    <row r="202" customFormat="false" ht="15" hidden="false" customHeight="false" outlineLevel="0" collapsed="false">
      <c r="B202" s="14" t="s">
        <v>217</v>
      </c>
      <c r="C202" s="14" t="s">
        <v>194</v>
      </c>
      <c r="D202" s="14" t="s">
        <v>218</v>
      </c>
      <c r="E202" s="14" t="s">
        <v>62</v>
      </c>
      <c r="F202" s="26" t="n">
        <f aca="false">Accounts!F70</f>
        <v>3085</v>
      </c>
      <c r="G202" s="17" t="n">
        <f aca="false">Assumptions!$D$9</f>
        <v>62</v>
      </c>
      <c r="H202" s="17" t="n">
        <f aca="false">Assumptions!$E$9</f>
        <v>36</v>
      </c>
      <c r="I202" s="17" t="n">
        <f aca="false">ROUND(F202*G202,2)</f>
        <v>191270</v>
      </c>
      <c r="J202" s="17" t="n">
        <f aca="false">ROUND(I202*Accounts!O70,2)</f>
        <v>3825.4</v>
      </c>
      <c r="K202" s="17" t="n">
        <f aca="false">ROUND(I202*Accounts!M70,2)</f>
        <v>13675.81</v>
      </c>
      <c r="L202" s="17" t="n">
        <f aca="false">ROUND(I202-J202-K202,2)</f>
        <v>173768.79</v>
      </c>
      <c r="M202" s="17" t="n">
        <f aca="false">ROUND(L202*AA202,2)</f>
        <v>3475.38</v>
      </c>
      <c r="N202" s="17" t="n">
        <f aca="false">ROUND(L202*Accounts!R70,2)</f>
        <v>0</v>
      </c>
      <c r="O202" s="17" t="n">
        <f aca="false">ROUND(L202*Accounts!S70,2)</f>
        <v>2606.53</v>
      </c>
      <c r="P202" s="17" t="n">
        <f aca="false">ROUND(L202*Accounts!T70,2)</f>
        <v>0</v>
      </c>
      <c r="Q202" s="17" t="n">
        <f aca="false">ROUND(L202*Accounts!U70,2)</f>
        <v>0</v>
      </c>
      <c r="R202" s="17" t="n">
        <f aca="false">ROUND(L202*Accounts!V70,2)</f>
        <v>1042.61</v>
      </c>
      <c r="S202" s="17" t="n">
        <f aca="false">ROUND(L202*Accounts!W70,2)</f>
        <v>868.84</v>
      </c>
      <c r="T202" s="17" t="n">
        <f aca="false">ROUND(L202-SUM(M202:S202),2)</f>
        <v>165775.43</v>
      </c>
      <c r="U202" s="17" t="n">
        <f aca="false">ROUND(F202*H202,2)</f>
        <v>111060</v>
      </c>
      <c r="V202" s="17" t="n">
        <f aca="false">ROUND(L202*Assumptions!$C$25,2)</f>
        <v>3475.38</v>
      </c>
      <c r="W202" s="17" t="n">
        <f aca="false">ROUND(T202-U202-V202,2)</f>
        <v>51240.05</v>
      </c>
      <c r="X202" s="28" t="n">
        <f aca="false">T202/I202</f>
        <v>0.866708997751869</v>
      </c>
      <c r="Y202" s="17" t="n">
        <f aca="false">T202/F202</f>
        <v>53.7359578606159</v>
      </c>
      <c r="Z202" s="26" t="n">
        <f aca="false">Accounts!H70</f>
        <v>5628</v>
      </c>
      <c r="AA202" s="28" t="n">
        <f aca="false">IF(Z202&gt;=Assumptions!$B$44,Assumptions!$C$44,IF(Z202&gt;=Assumptions!$B$45,Assumptions!$C$45,IF(Z202&gt;=Assumptions!$B$46,Assumptions!$C$46,Assumptions!$C$47)))</f>
        <v>0.02</v>
      </c>
      <c r="AB202" s="26" t="n">
        <f aca="false">IF(Z202&gt;=Assumptions!$B$44,Assumptions!$B$44,IF(Z202&gt;=Assumptions!$B$45,Assumptions!$B$45,IF(Z202&gt;=Assumptions!$B$46,Assumptions!$B$46,0)))</f>
        <v>3000</v>
      </c>
    </row>
    <row r="203" customFormat="false" ht="15" hidden="false" customHeight="false" outlineLevel="0" collapsed="false">
      <c r="B203" s="14" t="s">
        <v>226</v>
      </c>
      <c r="C203" s="14" t="s">
        <v>194</v>
      </c>
      <c r="D203" s="14" t="s">
        <v>227</v>
      </c>
      <c r="E203" s="14" t="s">
        <v>62</v>
      </c>
      <c r="F203" s="26" t="n">
        <f aca="false">Accounts!F78</f>
        <v>1399</v>
      </c>
      <c r="G203" s="17" t="n">
        <f aca="false">Assumptions!$D$9</f>
        <v>62</v>
      </c>
      <c r="H203" s="17" t="n">
        <f aca="false">Assumptions!$E$9</f>
        <v>36</v>
      </c>
      <c r="I203" s="17" t="n">
        <f aca="false">ROUND(F203*G203,2)</f>
        <v>86738</v>
      </c>
      <c r="J203" s="17" t="n">
        <f aca="false">ROUND(I203*Accounts!O78,2)</f>
        <v>1734.76</v>
      </c>
      <c r="K203" s="17" t="n">
        <f aca="false">ROUND(I203*Accounts!M78,2)</f>
        <v>17477.71</v>
      </c>
      <c r="L203" s="17" t="n">
        <f aca="false">ROUND(I203-J203-K203,2)</f>
        <v>67525.53</v>
      </c>
      <c r="M203" s="17" t="n">
        <f aca="false">ROUND(L203*AA203,2)</f>
        <v>0</v>
      </c>
      <c r="N203" s="17" t="n">
        <f aca="false">ROUND(L203*Accounts!R78,2)</f>
        <v>1350.51</v>
      </c>
      <c r="O203" s="17" t="n">
        <f aca="false">ROUND(L203*Accounts!S78,2)</f>
        <v>1012.88</v>
      </c>
      <c r="P203" s="17" t="n">
        <f aca="false">ROUND(L203*Accounts!T78,2)</f>
        <v>0</v>
      </c>
      <c r="Q203" s="17" t="n">
        <f aca="false">ROUND(L203*Accounts!U78,2)</f>
        <v>0</v>
      </c>
      <c r="R203" s="17" t="n">
        <f aca="false">ROUND(L203*Accounts!V78,2)</f>
        <v>405.15</v>
      </c>
      <c r="S203" s="17" t="n">
        <f aca="false">ROUND(L203*Accounts!W78,2)</f>
        <v>0</v>
      </c>
      <c r="T203" s="17" t="n">
        <f aca="false">ROUND(L203-SUM(M203:S203),2)</f>
        <v>64756.99</v>
      </c>
      <c r="U203" s="17" t="n">
        <f aca="false">ROUND(F203*H203,2)</f>
        <v>50364</v>
      </c>
      <c r="V203" s="17" t="n">
        <f aca="false">ROUND(L203*Assumptions!$C$25,2)</f>
        <v>1350.51</v>
      </c>
      <c r="W203" s="17" t="n">
        <f aca="false">ROUND(T203-U203-V203,2)</f>
        <v>13042.48</v>
      </c>
      <c r="X203" s="28" t="n">
        <f aca="false">T203/I203</f>
        <v>0.74658154442113</v>
      </c>
      <c r="Y203" s="17" t="n">
        <f aca="false">T203/F203</f>
        <v>46.2880557541101</v>
      </c>
      <c r="Z203" s="26" t="n">
        <f aca="false">Accounts!H78</f>
        <v>2647</v>
      </c>
      <c r="AA203" s="28" t="n">
        <f aca="false">IF(Z203&gt;=Assumptions!$B$44,Assumptions!$C$44,IF(Z203&gt;=Assumptions!$B$45,Assumptions!$C$45,IF(Z203&gt;=Assumptions!$B$46,Assumptions!$C$46,Assumptions!$C$47)))</f>
        <v>0</v>
      </c>
      <c r="AB203" s="26" t="n">
        <f aca="false">IF(Z203&gt;=Assumptions!$B$44,Assumptions!$B$44,IF(Z203&gt;=Assumptions!$B$45,Assumptions!$B$45,IF(Z203&gt;=Assumptions!$B$46,Assumptions!$B$46,0)))</f>
        <v>0</v>
      </c>
    </row>
    <row r="204" customFormat="false" ht="15" hidden="false" customHeight="false" outlineLevel="0" collapsed="false">
      <c r="B204" s="14" t="s">
        <v>234</v>
      </c>
      <c r="C204" s="14" t="s">
        <v>194</v>
      </c>
      <c r="D204" s="14" t="s">
        <v>235</v>
      </c>
      <c r="E204" s="14" t="s">
        <v>62</v>
      </c>
      <c r="F204" s="26" t="n">
        <f aca="false">Accounts!F85</f>
        <v>1781</v>
      </c>
      <c r="G204" s="17" t="n">
        <f aca="false">Assumptions!$D$9</f>
        <v>62</v>
      </c>
      <c r="H204" s="17" t="n">
        <f aca="false">Assumptions!$E$9</f>
        <v>36</v>
      </c>
      <c r="I204" s="17" t="n">
        <f aca="false">ROUND(F204*G204,2)</f>
        <v>110422</v>
      </c>
      <c r="J204" s="17" t="n">
        <f aca="false">ROUND(I204*Accounts!O85,2)</f>
        <v>4416.88</v>
      </c>
      <c r="K204" s="17" t="n">
        <f aca="false">ROUND(I204*Accounts!M85,2)</f>
        <v>0</v>
      </c>
      <c r="L204" s="17" t="n">
        <f aca="false">ROUND(I204-J204-K204,2)</f>
        <v>106005.12</v>
      </c>
      <c r="M204" s="17" t="n">
        <f aca="false">ROUND(L204*AA204,2)</f>
        <v>2120.1</v>
      </c>
      <c r="N204" s="17" t="n">
        <f aca="false">ROUND(L204*Accounts!R85,2)</f>
        <v>0</v>
      </c>
      <c r="O204" s="17" t="n">
        <f aca="false">ROUND(L204*Accounts!S85,2)</f>
        <v>0</v>
      </c>
      <c r="P204" s="17" t="n">
        <f aca="false">ROUND(L204*Accounts!T85,2)</f>
        <v>0</v>
      </c>
      <c r="Q204" s="17" t="n">
        <f aca="false">ROUND(L204*Accounts!U85,2)</f>
        <v>0</v>
      </c>
      <c r="R204" s="17" t="n">
        <f aca="false">ROUND(L204*Accounts!V85,2)</f>
        <v>636.03</v>
      </c>
      <c r="S204" s="17" t="n">
        <f aca="false">ROUND(L204*Accounts!W85,2)</f>
        <v>530.03</v>
      </c>
      <c r="T204" s="17" t="n">
        <f aca="false">ROUND(L204-SUM(M204:S204),2)</f>
        <v>102718.96</v>
      </c>
      <c r="U204" s="17" t="n">
        <f aca="false">ROUND(F204*H204,2)</f>
        <v>64116</v>
      </c>
      <c r="V204" s="17" t="n">
        <f aca="false">ROUND(L204*Assumptions!$C$25,2)</f>
        <v>2120.1</v>
      </c>
      <c r="W204" s="17" t="n">
        <f aca="false">ROUND(T204-U204-V204,2)</f>
        <v>36482.86</v>
      </c>
      <c r="X204" s="28" t="n">
        <f aca="false">T204/I204</f>
        <v>0.930239988408107</v>
      </c>
      <c r="Y204" s="17" t="n">
        <f aca="false">T204/F204</f>
        <v>57.6748792813026</v>
      </c>
      <c r="Z204" s="26" t="n">
        <f aca="false">Accounts!H85</f>
        <v>3298</v>
      </c>
      <c r="AA204" s="28" t="n">
        <f aca="false">IF(Z204&gt;=Assumptions!$B$44,Assumptions!$C$44,IF(Z204&gt;=Assumptions!$B$45,Assumptions!$C$45,IF(Z204&gt;=Assumptions!$B$46,Assumptions!$C$46,Assumptions!$C$47)))</f>
        <v>0.02</v>
      </c>
      <c r="AB204" s="26" t="n">
        <f aca="false">IF(Z204&gt;=Assumptions!$B$44,Assumptions!$B$44,IF(Z204&gt;=Assumptions!$B$45,Assumptions!$B$45,IF(Z204&gt;=Assumptions!$B$46,Assumptions!$B$46,0)))</f>
        <v>3000</v>
      </c>
    </row>
    <row r="205" customFormat="false" ht="15" hidden="false" customHeight="false" outlineLevel="0" collapsed="false">
      <c r="B205" s="14" t="s">
        <v>250</v>
      </c>
      <c r="C205" s="14" t="s">
        <v>194</v>
      </c>
      <c r="D205" s="14" t="s">
        <v>251</v>
      </c>
      <c r="E205" s="14" t="s">
        <v>62</v>
      </c>
      <c r="F205" s="26" t="n">
        <f aca="false">Accounts!F99</f>
        <v>665</v>
      </c>
      <c r="G205" s="17" t="n">
        <f aca="false">Assumptions!$D$9</f>
        <v>62</v>
      </c>
      <c r="H205" s="17" t="n">
        <f aca="false">Assumptions!$E$9</f>
        <v>36</v>
      </c>
      <c r="I205" s="17" t="n">
        <f aca="false">ROUND(F205*G205,2)</f>
        <v>41230</v>
      </c>
      <c r="J205" s="17" t="n">
        <f aca="false">ROUND(I205*Accounts!O99,2)</f>
        <v>824.6</v>
      </c>
      <c r="K205" s="17" t="n">
        <f aca="false">ROUND(I205*Accounts!M99,2)</f>
        <v>4555.92</v>
      </c>
      <c r="L205" s="17" t="n">
        <f aca="false">ROUND(I205-J205-K205,2)</f>
        <v>35849.48</v>
      </c>
      <c r="M205" s="17" t="n">
        <f aca="false">ROUND(L205*AA205,2)</f>
        <v>0</v>
      </c>
      <c r="N205" s="17" t="n">
        <f aca="false">ROUND(L205*Accounts!R99,2)</f>
        <v>716.99</v>
      </c>
      <c r="O205" s="17" t="n">
        <f aca="false">ROUND(L205*Accounts!S99,2)</f>
        <v>537.74</v>
      </c>
      <c r="P205" s="17" t="n">
        <f aca="false">ROUND(L205*Accounts!T99,2)</f>
        <v>0</v>
      </c>
      <c r="Q205" s="17" t="n">
        <f aca="false">ROUND(L205*Accounts!U99,2)</f>
        <v>0</v>
      </c>
      <c r="R205" s="17" t="n">
        <f aca="false">ROUND(L205*Accounts!V99,2)</f>
        <v>215.1</v>
      </c>
      <c r="S205" s="17" t="n">
        <f aca="false">ROUND(L205*Accounts!W99,2)</f>
        <v>0</v>
      </c>
      <c r="T205" s="17" t="n">
        <f aca="false">ROUND(L205-SUM(M205:S205),2)</f>
        <v>34379.65</v>
      </c>
      <c r="U205" s="17" t="n">
        <f aca="false">ROUND(F205*H205,2)</f>
        <v>23940</v>
      </c>
      <c r="V205" s="17" t="n">
        <f aca="false">ROUND(L205*Assumptions!$C$25,2)</f>
        <v>716.99</v>
      </c>
      <c r="W205" s="17" t="n">
        <f aca="false">ROUND(T205-U205-V205,2)</f>
        <v>9722.66</v>
      </c>
      <c r="X205" s="28" t="n">
        <f aca="false">T205/I205</f>
        <v>0.833850351685666</v>
      </c>
      <c r="Y205" s="17" t="n">
        <f aca="false">T205/F205</f>
        <v>51.6987218045113</v>
      </c>
      <c r="Z205" s="26" t="n">
        <f aca="false">Accounts!H99</f>
        <v>1335</v>
      </c>
      <c r="AA205" s="28" t="n">
        <f aca="false">IF(Z205&gt;=Assumptions!$B$44,Assumptions!$C$44,IF(Z205&gt;=Assumptions!$B$45,Assumptions!$C$45,IF(Z205&gt;=Assumptions!$B$46,Assumptions!$C$46,Assumptions!$C$47)))</f>
        <v>0</v>
      </c>
      <c r="AB205" s="26" t="n">
        <f aca="false">IF(Z205&gt;=Assumptions!$B$44,Assumptions!$B$44,IF(Z205&gt;=Assumptions!$B$45,Assumptions!$B$45,IF(Z205&gt;=Assumptions!$B$46,Assumptions!$B$46,0)))</f>
        <v>0</v>
      </c>
    </row>
    <row r="206" customFormat="false" ht="15" hidden="false" customHeight="false" outlineLevel="0" collapsed="false">
      <c r="B206" s="14" t="s">
        <v>195</v>
      </c>
      <c r="C206" s="14" t="s">
        <v>194</v>
      </c>
      <c r="D206" s="14" t="s">
        <v>163</v>
      </c>
      <c r="E206" s="14" t="s">
        <v>62</v>
      </c>
      <c r="F206" s="26" t="n">
        <f aca="false">Accounts!F47</f>
        <v>986</v>
      </c>
      <c r="G206" s="17" t="n">
        <f aca="false">Assumptions!$D$9</f>
        <v>62</v>
      </c>
      <c r="H206" s="17" t="n">
        <f aca="false">Assumptions!$E$9</f>
        <v>36</v>
      </c>
      <c r="I206" s="17" t="n">
        <f aca="false">ROUND(F206*G206,2)</f>
        <v>61132</v>
      </c>
      <c r="J206" s="17" t="n">
        <f aca="false">ROUND(I206*Accounts!O47,2)</f>
        <v>1222.64</v>
      </c>
      <c r="K206" s="17" t="n">
        <f aca="false">ROUND(I206*Accounts!M47,2)</f>
        <v>4768.3</v>
      </c>
      <c r="L206" s="17" t="n">
        <f aca="false">ROUND(I206-J206-K206,2)</f>
        <v>55141.06</v>
      </c>
      <c r="M206" s="17" t="n">
        <f aca="false">ROUND(L206*AA206,2)</f>
        <v>0</v>
      </c>
      <c r="N206" s="17" t="n">
        <f aca="false">ROUND(L206*Accounts!R47,2)</f>
        <v>1102.82</v>
      </c>
      <c r="O206" s="17" t="n">
        <f aca="false">ROUND(L206*Accounts!S47,2)</f>
        <v>0</v>
      </c>
      <c r="P206" s="17" t="n">
        <f aca="false">ROUND(L206*Accounts!T47,2)</f>
        <v>0</v>
      </c>
      <c r="Q206" s="17" t="n">
        <f aca="false">ROUND(L206*Accounts!U47,2)</f>
        <v>0</v>
      </c>
      <c r="R206" s="17" t="n">
        <f aca="false">ROUND(L206*Accounts!V47,2)</f>
        <v>330.85</v>
      </c>
      <c r="S206" s="17" t="n">
        <f aca="false">ROUND(L206*Accounts!W47,2)</f>
        <v>0</v>
      </c>
      <c r="T206" s="17" t="n">
        <f aca="false">ROUND(L206-SUM(M206:S206),2)</f>
        <v>53707.39</v>
      </c>
      <c r="U206" s="17" t="n">
        <f aca="false">ROUND(F206*H206,2)</f>
        <v>35496</v>
      </c>
      <c r="V206" s="17" t="n">
        <f aca="false">ROUND(L206*Assumptions!$C$25,2)</f>
        <v>1102.82</v>
      </c>
      <c r="W206" s="17" t="n">
        <f aca="false">ROUND(T206-U206-V206,2)</f>
        <v>17108.57</v>
      </c>
      <c r="X206" s="28" t="n">
        <f aca="false">T206/I206</f>
        <v>0.878547896355428</v>
      </c>
      <c r="Y206" s="17" t="n">
        <f aca="false">T206/F206</f>
        <v>54.4699695740365</v>
      </c>
      <c r="Z206" s="26" t="n">
        <f aca="false">Accounts!H47</f>
        <v>1507</v>
      </c>
      <c r="AA206" s="28" t="n">
        <f aca="false">IF(Z206&gt;=Assumptions!$B$44,Assumptions!$C$44,IF(Z206&gt;=Assumptions!$B$45,Assumptions!$C$45,IF(Z206&gt;=Assumptions!$B$46,Assumptions!$C$46,Assumptions!$C$47)))</f>
        <v>0</v>
      </c>
      <c r="AB206" s="26" t="n">
        <f aca="false">IF(Z206&gt;=Assumptions!$B$44,Assumptions!$B$44,IF(Z206&gt;=Assumptions!$B$45,Assumptions!$B$45,IF(Z206&gt;=Assumptions!$B$46,Assumptions!$B$46,0)))</f>
        <v>0</v>
      </c>
    </row>
    <row r="207" customFormat="false" ht="15" hidden="false" customHeight="false" outlineLevel="0" collapsed="false">
      <c r="B207" s="14" t="s">
        <v>203</v>
      </c>
      <c r="C207" s="14" t="s">
        <v>194</v>
      </c>
      <c r="D207" s="14" t="s">
        <v>174</v>
      </c>
      <c r="E207" s="14" t="s">
        <v>62</v>
      </c>
      <c r="F207" s="26" t="n">
        <f aca="false">Accounts!F55</f>
        <v>2266</v>
      </c>
      <c r="G207" s="17" t="n">
        <f aca="false">Assumptions!$D$9</f>
        <v>62</v>
      </c>
      <c r="H207" s="17" t="n">
        <f aca="false">Assumptions!$E$9</f>
        <v>36</v>
      </c>
      <c r="I207" s="17" t="n">
        <f aca="false">ROUND(F207*G207,2)</f>
        <v>140492</v>
      </c>
      <c r="J207" s="17" t="n">
        <f aca="false">ROUND(I207*Accounts!O55,2)</f>
        <v>5619.68</v>
      </c>
      <c r="K207" s="17" t="n">
        <f aca="false">ROUND(I207*Accounts!M55,2)</f>
        <v>0</v>
      </c>
      <c r="L207" s="17" t="n">
        <f aca="false">ROUND(I207-J207-K207,2)</f>
        <v>134872.32</v>
      </c>
      <c r="M207" s="17" t="n">
        <f aca="false">ROUND(L207*AA207,2)</f>
        <v>2697.45</v>
      </c>
      <c r="N207" s="17" t="n">
        <f aca="false">ROUND(L207*Accounts!R55,2)</f>
        <v>2697.45</v>
      </c>
      <c r="O207" s="17" t="n">
        <f aca="false">ROUND(L207*Accounts!S55,2)</f>
        <v>0</v>
      </c>
      <c r="P207" s="17" t="n">
        <f aca="false">ROUND(L207*Accounts!T55,2)</f>
        <v>0</v>
      </c>
      <c r="Q207" s="17" t="n">
        <f aca="false">ROUND(L207*Accounts!U55,2)</f>
        <v>0</v>
      </c>
      <c r="R207" s="17" t="n">
        <f aca="false">ROUND(L207*Accounts!V55,2)</f>
        <v>809.23</v>
      </c>
      <c r="S207" s="17" t="n">
        <f aca="false">ROUND(L207*Accounts!W55,2)</f>
        <v>674.36</v>
      </c>
      <c r="T207" s="17" t="n">
        <f aca="false">ROUND(L207-SUM(M207:S207),2)</f>
        <v>127993.83</v>
      </c>
      <c r="U207" s="17" t="n">
        <f aca="false">ROUND(F207*H207,2)</f>
        <v>81576</v>
      </c>
      <c r="V207" s="17" t="n">
        <f aca="false">ROUND(L207*Assumptions!$C$25,2)</f>
        <v>2697.45</v>
      </c>
      <c r="W207" s="17" t="n">
        <f aca="false">ROUND(T207-U207-V207,2)</f>
        <v>43720.38</v>
      </c>
      <c r="X207" s="28" t="n">
        <f aca="false">T207/I207</f>
        <v>0.911039988042024</v>
      </c>
      <c r="Y207" s="17" t="n">
        <f aca="false">T207/F207</f>
        <v>56.4844792586055</v>
      </c>
      <c r="Z207" s="26" t="n">
        <f aca="false">Accounts!H55</f>
        <v>4235</v>
      </c>
      <c r="AA207" s="28" t="n">
        <f aca="false">IF(Z207&gt;=Assumptions!$B$44,Assumptions!$C$44,IF(Z207&gt;=Assumptions!$B$45,Assumptions!$C$45,IF(Z207&gt;=Assumptions!$B$46,Assumptions!$C$46,Assumptions!$C$47)))</f>
        <v>0.02</v>
      </c>
      <c r="AB207" s="26" t="n">
        <f aca="false">IF(Z207&gt;=Assumptions!$B$44,Assumptions!$B$44,IF(Z207&gt;=Assumptions!$B$45,Assumptions!$B$45,IF(Z207&gt;=Assumptions!$B$46,Assumptions!$B$46,0)))</f>
        <v>3000</v>
      </c>
    </row>
    <row r="208" customFormat="false" ht="15" hidden="false" customHeight="false" outlineLevel="0" collapsed="false">
      <c r="B208" s="14" t="s">
        <v>211</v>
      </c>
      <c r="C208" s="14" t="s">
        <v>194</v>
      </c>
      <c r="D208" s="14" t="s">
        <v>184</v>
      </c>
      <c r="E208" s="14" t="s">
        <v>62</v>
      </c>
      <c r="F208" s="26" t="n">
        <f aca="false">Accounts!F63</f>
        <v>2312</v>
      </c>
      <c r="G208" s="17" t="n">
        <f aca="false">Assumptions!$D$9</f>
        <v>62</v>
      </c>
      <c r="H208" s="17" t="n">
        <f aca="false">Assumptions!$E$9</f>
        <v>36</v>
      </c>
      <c r="I208" s="17" t="n">
        <f aca="false">ROUND(F208*G208,2)</f>
        <v>143344</v>
      </c>
      <c r="J208" s="17" t="n">
        <f aca="false">ROUND(I208*Accounts!O63,2)</f>
        <v>5733.76</v>
      </c>
      <c r="K208" s="17" t="n">
        <f aca="false">ROUND(I208*Accounts!M63,2)</f>
        <v>2795.21</v>
      </c>
      <c r="L208" s="17" t="n">
        <f aca="false">ROUND(I208-J208-K208,2)</f>
        <v>134815.03</v>
      </c>
      <c r="M208" s="17" t="n">
        <f aca="false">ROUND(L208*AA208,2)</f>
        <v>2696.3</v>
      </c>
      <c r="N208" s="17" t="n">
        <f aca="false">ROUND(L208*Accounts!R63,2)</f>
        <v>0</v>
      </c>
      <c r="O208" s="17" t="n">
        <f aca="false">ROUND(L208*Accounts!S63,2)</f>
        <v>0</v>
      </c>
      <c r="P208" s="17" t="n">
        <f aca="false">ROUND(L208*Accounts!T63,2)</f>
        <v>0</v>
      </c>
      <c r="Q208" s="17" t="n">
        <f aca="false">ROUND(L208*Accounts!U63,2)</f>
        <v>0</v>
      </c>
      <c r="R208" s="17" t="n">
        <f aca="false">ROUND(L208*Accounts!V63,2)</f>
        <v>808.89</v>
      </c>
      <c r="S208" s="17" t="n">
        <f aca="false">ROUND(L208*Accounts!W63,2)</f>
        <v>0</v>
      </c>
      <c r="T208" s="17" t="n">
        <f aca="false">ROUND(L208-SUM(M208:S208),2)</f>
        <v>131309.84</v>
      </c>
      <c r="U208" s="17" t="n">
        <f aca="false">ROUND(F208*H208,2)</f>
        <v>83232</v>
      </c>
      <c r="V208" s="17" t="n">
        <f aca="false">ROUND(L208*Assumptions!$C$25,2)</f>
        <v>2696.3</v>
      </c>
      <c r="W208" s="17" t="n">
        <f aca="false">ROUND(T208-U208-V208,2)</f>
        <v>45381.54</v>
      </c>
      <c r="X208" s="28" t="n">
        <f aca="false">T208/I208</f>
        <v>0.916046991851769</v>
      </c>
      <c r="Y208" s="17" t="n">
        <f aca="false">T208/F208</f>
        <v>56.7949134948097</v>
      </c>
      <c r="Z208" s="26" t="n">
        <f aca="false">Accounts!H63</f>
        <v>4445</v>
      </c>
      <c r="AA208" s="28" t="n">
        <f aca="false">IF(Z208&gt;=Assumptions!$B$44,Assumptions!$C$44,IF(Z208&gt;=Assumptions!$B$45,Assumptions!$C$45,IF(Z208&gt;=Assumptions!$B$46,Assumptions!$C$46,Assumptions!$C$47)))</f>
        <v>0.02</v>
      </c>
      <c r="AB208" s="26" t="n">
        <f aca="false">IF(Z208&gt;=Assumptions!$B$44,Assumptions!$B$44,IF(Z208&gt;=Assumptions!$B$45,Assumptions!$B$45,IF(Z208&gt;=Assumptions!$B$46,Assumptions!$B$46,0)))</f>
        <v>3000</v>
      </c>
    </row>
    <row r="209" customFormat="false" ht="15" hidden="false" customHeight="false" outlineLevel="0" collapsed="false">
      <c r="B209" s="14" t="s">
        <v>219</v>
      </c>
      <c r="C209" s="14" t="s">
        <v>194</v>
      </c>
      <c r="D209" s="14" t="s">
        <v>218</v>
      </c>
      <c r="E209" s="14" t="s">
        <v>62</v>
      </c>
      <c r="F209" s="26" t="n">
        <f aca="false">Accounts!F71</f>
        <v>2002</v>
      </c>
      <c r="G209" s="17" t="n">
        <f aca="false">Assumptions!$D$9</f>
        <v>62</v>
      </c>
      <c r="H209" s="17" t="n">
        <f aca="false">Assumptions!$E$9</f>
        <v>36</v>
      </c>
      <c r="I209" s="17" t="n">
        <f aca="false">ROUND(F209*G209,2)</f>
        <v>124124</v>
      </c>
      <c r="J209" s="17" t="n">
        <f aca="false">ROUND(I209*Accounts!O71,2)</f>
        <v>2482.48</v>
      </c>
      <c r="K209" s="17" t="n">
        <f aca="false">ROUND(I209*Accounts!M71,2)</f>
        <v>3227.22</v>
      </c>
      <c r="L209" s="17" t="n">
        <f aca="false">ROUND(I209-J209-K209,2)</f>
        <v>118414.3</v>
      </c>
      <c r="M209" s="17" t="n">
        <f aca="false">ROUND(L209*AA209,2)</f>
        <v>2368.29</v>
      </c>
      <c r="N209" s="17" t="n">
        <f aca="false">ROUND(L209*Accounts!R71,2)</f>
        <v>0</v>
      </c>
      <c r="O209" s="17" t="n">
        <f aca="false">ROUND(L209*Accounts!S71,2)</f>
        <v>1776.21</v>
      </c>
      <c r="P209" s="17" t="n">
        <f aca="false">ROUND(L209*Accounts!T71,2)</f>
        <v>0</v>
      </c>
      <c r="Q209" s="17" t="n">
        <f aca="false">ROUND(L209*Accounts!U71,2)</f>
        <v>0</v>
      </c>
      <c r="R209" s="17" t="n">
        <f aca="false">ROUND(L209*Accounts!V71,2)</f>
        <v>710.49</v>
      </c>
      <c r="S209" s="17" t="n">
        <f aca="false">ROUND(L209*Accounts!W71,2)</f>
        <v>592.07</v>
      </c>
      <c r="T209" s="17" t="n">
        <f aca="false">ROUND(L209-SUM(M209:S209),2)</f>
        <v>112967.24</v>
      </c>
      <c r="U209" s="17" t="n">
        <f aca="false">ROUND(F209*H209,2)</f>
        <v>72072</v>
      </c>
      <c r="V209" s="17" t="n">
        <f aca="false">ROUND(L209*Assumptions!$C$25,2)</f>
        <v>2368.29</v>
      </c>
      <c r="W209" s="17" t="n">
        <f aca="false">ROUND(T209-U209-V209,2)</f>
        <v>38526.95</v>
      </c>
      <c r="X209" s="28" t="n">
        <f aca="false">T209/I209</f>
        <v>0.910116013019239</v>
      </c>
      <c r="Y209" s="17" t="n">
        <f aca="false">T209/F209</f>
        <v>56.4271928071928</v>
      </c>
      <c r="Z209" s="26" t="n">
        <f aca="false">Accounts!H71</f>
        <v>3120</v>
      </c>
      <c r="AA209" s="28" t="n">
        <f aca="false">IF(Z209&gt;=Assumptions!$B$44,Assumptions!$C$44,IF(Z209&gt;=Assumptions!$B$45,Assumptions!$C$45,IF(Z209&gt;=Assumptions!$B$46,Assumptions!$C$46,Assumptions!$C$47)))</f>
        <v>0.02</v>
      </c>
      <c r="AB209" s="26" t="n">
        <f aca="false">IF(Z209&gt;=Assumptions!$B$44,Assumptions!$B$44,IF(Z209&gt;=Assumptions!$B$45,Assumptions!$B$45,IF(Z209&gt;=Assumptions!$B$46,Assumptions!$B$46,0)))</f>
        <v>3000</v>
      </c>
    </row>
    <row r="210" customFormat="false" ht="15" hidden="false" customHeight="false" outlineLevel="0" collapsed="false">
      <c r="B210" s="14" t="s">
        <v>228</v>
      </c>
      <c r="C210" s="14" t="s">
        <v>194</v>
      </c>
      <c r="D210" s="14" t="s">
        <v>227</v>
      </c>
      <c r="E210" s="14" t="s">
        <v>62</v>
      </c>
      <c r="F210" s="26" t="n">
        <f aca="false">Accounts!F79</f>
        <v>1500</v>
      </c>
      <c r="G210" s="17" t="n">
        <f aca="false">Assumptions!$D$9</f>
        <v>62</v>
      </c>
      <c r="H210" s="17" t="n">
        <f aca="false">Assumptions!$E$9</f>
        <v>36</v>
      </c>
      <c r="I210" s="17" t="n">
        <f aca="false">ROUND(F210*G210,2)</f>
        <v>93000</v>
      </c>
      <c r="J210" s="17" t="n">
        <f aca="false">ROUND(I210*Accounts!O79,2)</f>
        <v>1860</v>
      </c>
      <c r="K210" s="17" t="n">
        <f aca="false">ROUND(I210*Accounts!M79,2)</f>
        <v>9067.5</v>
      </c>
      <c r="L210" s="17" t="n">
        <f aca="false">ROUND(I210-J210-K210,2)</f>
        <v>82072.5</v>
      </c>
      <c r="M210" s="17" t="n">
        <f aca="false">ROUND(L210*AA210,2)</f>
        <v>0</v>
      </c>
      <c r="N210" s="17" t="n">
        <f aca="false">ROUND(L210*Accounts!R79,2)</f>
        <v>1641.45</v>
      </c>
      <c r="O210" s="17" t="n">
        <f aca="false">ROUND(L210*Accounts!S79,2)</f>
        <v>0</v>
      </c>
      <c r="P210" s="17" t="n">
        <f aca="false">ROUND(L210*Accounts!T79,2)</f>
        <v>0</v>
      </c>
      <c r="Q210" s="17" t="n">
        <f aca="false">ROUND(L210*Accounts!U79,2)</f>
        <v>0</v>
      </c>
      <c r="R210" s="17" t="n">
        <f aca="false">ROUND(L210*Accounts!V79,2)</f>
        <v>492.44</v>
      </c>
      <c r="S210" s="17" t="n">
        <f aca="false">ROUND(L210*Accounts!W79,2)</f>
        <v>410.36</v>
      </c>
      <c r="T210" s="17" t="n">
        <f aca="false">ROUND(L210-SUM(M210:S210),2)</f>
        <v>79528.25</v>
      </c>
      <c r="U210" s="17" t="n">
        <f aca="false">ROUND(F210*H210,2)</f>
        <v>54000</v>
      </c>
      <c r="V210" s="17" t="n">
        <f aca="false">ROUND(L210*Assumptions!$C$25,2)</f>
        <v>1641.45</v>
      </c>
      <c r="W210" s="17" t="n">
        <f aca="false">ROUND(T210-U210-V210,2)</f>
        <v>23886.8</v>
      </c>
      <c r="X210" s="28" t="n">
        <f aca="false">T210/I210</f>
        <v>0.85514247311828</v>
      </c>
      <c r="Y210" s="17" t="n">
        <f aca="false">T210/F210</f>
        <v>53.0188333333333</v>
      </c>
      <c r="Z210" s="26" t="n">
        <f aca="false">Accounts!H79</f>
        <v>2694</v>
      </c>
      <c r="AA210" s="28" t="n">
        <f aca="false">IF(Z210&gt;=Assumptions!$B$44,Assumptions!$C$44,IF(Z210&gt;=Assumptions!$B$45,Assumptions!$C$45,IF(Z210&gt;=Assumptions!$B$46,Assumptions!$C$46,Assumptions!$C$47)))</f>
        <v>0</v>
      </c>
      <c r="AB210" s="26" t="n">
        <f aca="false">IF(Z210&gt;=Assumptions!$B$44,Assumptions!$B$44,IF(Z210&gt;=Assumptions!$B$45,Assumptions!$B$45,IF(Z210&gt;=Assumptions!$B$46,Assumptions!$B$46,0)))</f>
        <v>0</v>
      </c>
    </row>
    <row r="211" customFormat="false" ht="15" hidden="false" customHeight="false" outlineLevel="0" collapsed="false">
      <c r="B211" s="14" t="s">
        <v>236</v>
      </c>
      <c r="C211" s="14" t="s">
        <v>194</v>
      </c>
      <c r="D211" s="14" t="s">
        <v>235</v>
      </c>
      <c r="E211" s="14" t="s">
        <v>62</v>
      </c>
      <c r="F211" s="26" t="n">
        <f aca="false">Accounts!F86</f>
        <v>871</v>
      </c>
      <c r="G211" s="17" t="n">
        <f aca="false">Assumptions!$D$9</f>
        <v>62</v>
      </c>
      <c r="H211" s="17" t="n">
        <f aca="false">Assumptions!$E$9</f>
        <v>36</v>
      </c>
      <c r="I211" s="17" t="n">
        <f aca="false">ROUND(F211*G211,2)</f>
        <v>54002</v>
      </c>
      <c r="J211" s="17" t="n">
        <f aca="false">ROUND(I211*Accounts!O86,2)</f>
        <v>2160.08</v>
      </c>
      <c r="K211" s="17" t="n">
        <f aca="false">ROUND(I211*Accounts!M86,2)</f>
        <v>4914.18</v>
      </c>
      <c r="L211" s="17" t="n">
        <f aca="false">ROUND(I211-J211-K211,2)</f>
        <v>46927.74</v>
      </c>
      <c r="M211" s="17" t="n">
        <f aca="false">ROUND(L211*AA211,2)</f>
        <v>0</v>
      </c>
      <c r="N211" s="17" t="n">
        <f aca="false">ROUND(L211*Accounts!R86,2)</f>
        <v>938.55</v>
      </c>
      <c r="O211" s="17" t="n">
        <f aca="false">ROUND(L211*Accounts!S86,2)</f>
        <v>0</v>
      </c>
      <c r="P211" s="17" t="n">
        <f aca="false">ROUND(L211*Accounts!T86,2)</f>
        <v>0</v>
      </c>
      <c r="Q211" s="17" t="n">
        <f aca="false">ROUND(L211*Accounts!U86,2)</f>
        <v>0</v>
      </c>
      <c r="R211" s="17" t="n">
        <f aca="false">ROUND(L211*Accounts!V86,2)</f>
        <v>281.57</v>
      </c>
      <c r="S211" s="17" t="n">
        <f aca="false">ROUND(L211*Accounts!W86,2)</f>
        <v>0</v>
      </c>
      <c r="T211" s="17" t="n">
        <f aca="false">ROUND(L211-SUM(M211:S211),2)</f>
        <v>45707.62</v>
      </c>
      <c r="U211" s="17" t="n">
        <f aca="false">ROUND(F211*H211,2)</f>
        <v>31356</v>
      </c>
      <c r="V211" s="17" t="n">
        <f aca="false">ROUND(L211*Assumptions!$C$25,2)</f>
        <v>938.55</v>
      </c>
      <c r="W211" s="17" t="n">
        <f aca="false">ROUND(T211-U211-V211,2)</f>
        <v>13413.07</v>
      </c>
      <c r="X211" s="28" t="n">
        <f aca="false">T211/I211</f>
        <v>0.846406059034851</v>
      </c>
      <c r="Y211" s="17" t="n">
        <f aca="false">T211/F211</f>
        <v>52.4771756601607</v>
      </c>
      <c r="Z211" s="26" t="n">
        <f aca="false">Accounts!H86</f>
        <v>1774</v>
      </c>
      <c r="AA211" s="28" t="n">
        <f aca="false">IF(Z211&gt;=Assumptions!$B$44,Assumptions!$C$44,IF(Z211&gt;=Assumptions!$B$45,Assumptions!$C$45,IF(Z211&gt;=Assumptions!$B$46,Assumptions!$C$46,Assumptions!$C$47)))</f>
        <v>0</v>
      </c>
      <c r="AB211" s="26" t="n">
        <f aca="false">IF(Z211&gt;=Assumptions!$B$44,Assumptions!$B$44,IF(Z211&gt;=Assumptions!$B$45,Assumptions!$B$45,IF(Z211&gt;=Assumptions!$B$46,Assumptions!$B$46,0)))</f>
        <v>0</v>
      </c>
    </row>
    <row r="212" customFormat="false" ht="15" hidden="false" customHeight="false" outlineLevel="0" collapsed="false">
      <c r="B212" s="14" t="s">
        <v>244</v>
      </c>
      <c r="C212" s="14" t="s">
        <v>194</v>
      </c>
      <c r="D212" s="14" t="s">
        <v>243</v>
      </c>
      <c r="E212" s="14" t="s">
        <v>62</v>
      </c>
      <c r="F212" s="26" t="n">
        <f aca="false">Accounts!F93</f>
        <v>987</v>
      </c>
      <c r="G212" s="17" t="n">
        <f aca="false">Assumptions!$D$9</f>
        <v>62</v>
      </c>
      <c r="H212" s="17" t="n">
        <f aca="false">Assumptions!$E$9</f>
        <v>36</v>
      </c>
      <c r="I212" s="17" t="n">
        <f aca="false">ROUND(F212*G212,2)</f>
        <v>61194</v>
      </c>
      <c r="J212" s="17" t="n">
        <f aca="false">ROUND(I212*Accounts!O93,2)</f>
        <v>2447.76</v>
      </c>
      <c r="K212" s="17" t="n">
        <f aca="false">ROUND(I212*Accounts!M93,2)</f>
        <v>11535.07</v>
      </c>
      <c r="L212" s="17" t="n">
        <f aca="false">ROUND(I212-J212-K212,2)</f>
        <v>47211.17</v>
      </c>
      <c r="M212" s="17" t="n">
        <f aca="false">ROUND(L212*AA212,2)</f>
        <v>0</v>
      </c>
      <c r="N212" s="17" t="n">
        <f aca="false">ROUND(L212*Accounts!R93,2)</f>
        <v>0</v>
      </c>
      <c r="O212" s="17" t="n">
        <f aca="false">ROUND(L212*Accounts!S93,2)</f>
        <v>0</v>
      </c>
      <c r="P212" s="17" t="n">
        <f aca="false">ROUND(L212*Accounts!T93,2)</f>
        <v>0</v>
      </c>
      <c r="Q212" s="17" t="n">
        <f aca="false">ROUND(L212*Accounts!U93,2)</f>
        <v>0</v>
      </c>
      <c r="R212" s="17" t="n">
        <f aca="false">ROUND(L212*Accounts!V93,2)</f>
        <v>283.27</v>
      </c>
      <c r="S212" s="17" t="n">
        <f aca="false">ROUND(L212*Accounts!W93,2)</f>
        <v>236.06</v>
      </c>
      <c r="T212" s="17" t="n">
        <f aca="false">ROUND(L212-SUM(M212:S212),2)</f>
        <v>46691.84</v>
      </c>
      <c r="U212" s="17" t="n">
        <f aca="false">ROUND(F212*H212,2)</f>
        <v>35532</v>
      </c>
      <c r="V212" s="17" t="n">
        <f aca="false">ROUND(L212*Assumptions!$C$25,2)</f>
        <v>944.22</v>
      </c>
      <c r="W212" s="17" t="n">
        <f aca="false">ROUND(T212-U212-V212,2)</f>
        <v>10215.62</v>
      </c>
      <c r="X212" s="28" t="n">
        <f aca="false">T212/I212</f>
        <v>0.763013367323594</v>
      </c>
      <c r="Y212" s="17" t="n">
        <f aca="false">T212/F212</f>
        <v>47.3068287740628</v>
      </c>
      <c r="Z212" s="26" t="n">
        <f aca="false">Accounts!H93</f>
        <v>1912</v>
      </c>
      <c r="AA212" s="28" t="n">
        <f aca="false">IF(Z212&gt;=Assumptions!$B$44,Assumptions!$C$44,IF(Z212&gt;=Assumptions!$B$45,Assumptions!$C$45,IF(Z212&gt;=Assumptions!$B$46,Assumptions!$C$46,Assumptions!$C$47)))</f>
        <v>0</v>
      </c>
      <c r="AB212" s="26" t="n">
        <f aca="false">IF(Z212&gt;=Assumptions!$B$44,Assumptions!$B$44,IF(Z212&gt;=Assumptions!$B$45,Assumptions!$B$45,IF(Z212&gt;=Assumptions!$B$46,Assumptions!$B$46,0)))</f>
        <v>0</v>
      </c>
    </row>
    <row r="213" customFormat="false" ht="15" hidden="false" customHeight="false" outlineLevel="0" collapsed="false">
      <c r="B213" s="14" t="s">
        <v>252</v>
      </c>
      <c r="C213" s="14" t="s">
        <v>194</v>
      </c>
      <c r="D213" s="14" t="s">
        <v>251</v>
      </c>
      <c r="E213" s="14" t="s">
        <v>62</v>
      </c>
      <c r="F213" s="26" t="n">
        <f aca="false">Accounts!F100</f>
        <v>787</v>
      </c>
      <c r="G213" s="17" t="n">
        <f aca="false">Assumptions!$D$9</f>
        <v>62</v>
      </c>
      <c r="H213" s="17" t="n">
        <f aca="false">Assumptions!$E$9</f>
        <v>36</v>
      </c>
      <c r="I213" s="17" t="n">
        <f aca="false">ROUND(F213*G213,2)</f>
        <v>48794</v>
      </c>
      <c r="J213" s="17" t="n">
        <f aca="false">ROUND(I213*Accounts!O100,2)</f>
        <v>975.88</v>
      </c>
      <c r="K213" s="17" t="n">
        <f aca="false">ROUND(I213*Accounts!M100,2)</f>
        <v>6660.38</v>
      </c>
      <c r="L213" s="17" t="n">
        <f aca="false">ROUND(I213-J213-K213,2)</f>
        <v>41157.74</v>
      </c>
      <c r="M213" s="17" t="n">
        <f aca="false">ROUND(L213*AA213,2)</f>
        <v>0</v>
      </c>
      <c r="N213" s="17" t="n">
        <f aca="false">ROUND(L213*Accounts!R100,2)</f>
        <v>0</v>
      </c>
      <c r="O213" s="17" t="n">
        <f aca="false">ROUND(L213*Accounts!S100,2)</f>
        <v>0</v>
      </c>
      <c r="P213" s="17" t="n">
        <f aca="false">ROUND(L213*Accounts!T100,2)</f>
        <v>0</v>
      </c>
      <c r="Q213" s="17" t="n">
        <f aca="false">ROUND(L213*Accounts!U100,2)</f>
        <v>0</v>
      </c>
      <c r="R213" s="17" t="n">
        <f aca="false">ROUND(L213*Accounts!V100,2)</f>
        <v>246.95</v>
      </c>
      <c r="S213" s="17" t="n">
        <f aca="false">ROUND(L213*Accounts!W100,2)</f>
        <v>205.79</v>
      </c>
      <c r="T213" s="17" t="n">
        <f aca="false">ROUND(L213-SUM(M213:S213),2)</f>
        <v>40705</v>
      </c>
      <c r="U213" s="17" t="n">
        <f aca="false">ROUND(F213*H213,2)</f>
        <v>28332</v>
      </c>
      <c r="V213" s="17" t="n">
        <f aca="false">ROUND(L213*Assumptions!$C$25,2)</f>
        <v>823.15</v>
      </c>
      <c r="W213" s="17" t="n">
        <f aca="false">ROUND(T213-U213-V213,2)</f>
        <v>11549.85</v>
      </c>
      <c r="X213" s="28" t="n">
        <f aca="false">T213/I213</f>
        <v>0.834221420666475</v>
      </c>
      <c r="Y213" s="17" t="n">
        <f aca="false">T213/F213</f>
        <v>51.7217280813215</v>
      </c>
      <c r="Z213" s="26" t="n">
        <f aca="false">Accounts!H100</f>
        <v>1331</v>
      </c>
      <c r="AA213" s="28" t="n">
        <f aca="false">IF(Z213&gt;=Assumptions!$B$44,Assumptions!$C$44,IF(Z213&gt;=Assumptions!$B$45,Assumptions!$C$45,IF(Z213&gt;=Assumptions!$B$46,Assumptions!$C$46,Assumptions!$C$47)))</f>
        <v>0</v>
      </c>
      <c r="AB213" s="26" t="n">
        <f aca="false">IF(Z213&gt;=Assumptions!$B$44,Assumptions!$B$44,IF(Z213&gt;=Assumptions!$B$45,Assumptions!$B$45,IF(Z213&gt;=Assumptions!$B$46,Assumptions!$B$46,0)))</f>
        <v>0</v>
      </c>
    </row>
    <row r="214" customFormat="false" ht="15" hidden="false" customHeight="false" outlineLevel="0" collapsed="false">
      <c r="B214" s="14" t="s">
        <v>204</v>
      </c>
      <c r="C214" s="14" t="s">
        <v>194</v>
      </c>
      <c r="D214" s="14" t="s">
        <v>174</v>
      </c>
      <c r="E214" s="14" t="s">
        <v>62</v>
      </c>
      <c r="F214" s="26" t="n">
        <f aca="false">Accounts!F56</f>
        <v>3002</v>
      </c>
      <c r="G214" s="17" t="n">
        <f aca="false">Assumptions!$D$9</f>
        <v>62</v>
      </c>
      <c r="H214" s="17" t="n">
        <f aca="false">Assumptions!$E$9</f>
        <v>36</v>
      </c>
      <c r="I214" s="17" t="n">
        <f aca="false">ROUND(F214*G214,2)</f>
        <v>186124</v>
      </c>
      <c r="J214" s="17" t="n">
        <f aca="false">ROUND(I214*Accounts!O56,2)</f>
        <v>7444.96</v>
      </c>
      <c r="K214" s="17" t="n">
        <f aca="false">ROUND(I214*Accounts!M56,2)</f>
        <v>6049.03</v>
      </c>
      <c r="L214" s="17" t="n">
        <f aca="false">ROUND(I214-J214-K214,2)</f>
        <v>172630.01</v>
      </c>
      <c r="M214" s="17" t="n">
        <f aca="false">ROUND(L214*AA214,2)</f>
        <v>3452.6</v>
      </c>
      <c r="N214" s="17" t="n">
        <f aca="false">ROUND(L214*Accounts!R56,2)</f>
        <v>3452.6</v>
      </c>
      <c r="O214" s="17" t="n">
        <f aca="false">ROUND(L214*Accounts!S56,2)</f>
        <v>0</v>
      </c>
      <c r="P214" s="17" t="n">
        <f aca="false">ROUND(L214*Accounts!T56,2)</f>
        <v>0</v>
      </c>
      <c r="Q214" s="17" t="n">
        <f aca="false">ROUND(L214*Accounts!U56,2)</f>
        <v>0</v>
      </c>
      <c r="R214" s="17" t="n">
        <f aca="false">ROUND(L214*Accounts!V56,2)</f>
        <v>1035.78</v>
      </c>
      <c r="S214" s="17" t="n">
        <f aca="false">ROUND(L214*Accounts!W56,2)</f>
        <v>863.15</v>
      </c>
      <c r="T214" s="17" t="n">
        <f aca="false">ROUND(L214-SUM(M214:S214),2)</f>
        <v>163825.88</v>
      </c>
      <c r="U214" s="17" t="n">
        <f aca="false">ROUND(F214*H214,2)</f>
        <v>108072</v>
      </c>
      <c r="V214" s="17" t="n">
        <f aca="false">ROUND(L214*Assumptions!$C$25,2)</f>
        <v>3452.6</v>
      </c>
      <c r="W214" s="17" t="n">
        <f aca="false">ROUND(T214-U214-V214,2)</f>
        <v>52301.28</v>
      </c>
      <c r="X214" s="28" t="n">
        <f aca="false">T214/I214</f>
        <v>0.880197502740109</v>
      </c>
      <c r="Y214" s="17" t="n">
        <f aca="false">T214/F214</f>
        <v>54.5722451698867</v>
      </c>
      <c r="Z214" s="26" t="n">
        <f aca="false">Accounts!H56</f>
        <v>4096</v>
      </c>
      <c r="AA214" s="28" t="n">
        <f aca="false">IF(Z214&gt;=Assumptions!$B$44,Assumptions!$C$44,IF(Z214&gt;=Assumptions!$B$45,Assumptions!$C$45,IF(Z214&gt;=Assumptions!$B$46,Assumptions!$C$46,Assumptions!$C$47)))</f>
        <v>0.02</v>
      </c>
      <c r="AB214" s="26" t="n">
        <f aca="false">IF(Z214&gt;=Assumptions!$B$44,Assumptions!$B$44,IF(Z214&gt;=Assumptions!$B$45,Assumptions!$B$45,IF(Z214&gt;=Assumptions!$B$46,Assumptions!$B$46,0)))</f>
        <v>3000</v>
      </c>
    </row>
    <row r="215" customFormat="false" ht="15" hidden="false" customHeight="false" outlineLevel="0" collapsed="false">
      <c r="B215" s="14" t="s">
        <v>212</v>
      </c>
      <c r="C215" s="14" t="s">
        <v>194</v>
      </c>
      <c r="D215" s="14" t="s">
        <v>184</v>
      </c>
      <c r="E215" s="14" t="s">
        <v>62</v>
      </c>
      <c r="F215" s="26" t="n">
        <f aca="false">Accounts!F64</f>
        <v>1506</v>
      </c>
      <c r="G215" s="17" t="n">
        <f aca="false">Assumptions!$D$9</f>
        <v>62</v>
      </c>
      <c r="H215" s="17" t="n">
        <f aca="false">Assumptions!$E$9</f>
        <v>36</v>
      </c>
      <c r="I215" s="17" t="n">
        <f aca="false">ROUND(F215*G215,2)</f>
        <v>93372</v>
      </c>
      <c r="J215" s="17" t="n">
        <f aca="false">ROUND(I215*Accounts!O64,2)</f>
        <v>3734.88</v>
      </c>
      <c r="K215" s="17" t="n">
        <f aca="false">ROUND(I215*Accounts!M64,2)</f>
        <v>6069.18</v>
      </c>
      <c r="L215" s="17" t="n">
        <f aca="false">ROUND(I215-J215-K215,2)</f>
        <v>83567.94</v>
      </c>
      <c r="M215" s="17" t="n">
        <f aca="false">ROUND(L215*AA215,2)</f>
        <v>0</v>
      </c>
      <c r="N215" s="17" t="n">
        <f aca="false">ROUND(L215*Accounts!R64,2)</f>
        <v>0</v>
      </c>
      <c r="O215" s="17" t="n">
        <f aca="false">ROUND(L215*Accounts!S64,2)</f>
        <v>1253.52</v>
      </c>
      <c r="P215" s="17" t="n">
        <f aca="false">ROUND(L215*Accounts!T64,2)</f>
        <v>0</v>
      </c>
      <c r="Q215" s="17" t="n">
        <f aca="false">ROUND(L215*Accounts!U64,2)</f>
        <v>0</v>
      </c>
      <c r="R215" s="17" t="n">
        <f aca="false">ROUND(L215*Accounts!V64,2)</f>
        <v>501.41</v>
      </c>
      <c r="S215" s="17" t="n">
        <f aca="false">ROUND(L215*Accounts!W64,2)</f>
        <v>417.84</v>
      </c>
      <c r="T215" s="17" t="n">
        <f aca="false">ROUND(L215-SUM(M215:S215),2)</f>
        <v>81395.17</v>
      </c>
      <c r="U215" s="17" t="n">
        <f aca="false">ROUND(F215*H215,2)</f>
        <v>54216</v>
      </c>
      <c r="V215" s="17" t="n">
        <f aca="false">ROUND(L215*Assumptions!$C$25,2)</f>
        <v>1671.36</v>
      </c>
      <c r="W215" s="17" t="n">
        <f aca="false">ROUND(T215-U215-V215,2)</f>
        <v>25507.81</v>
      </c>
      <c r="X215" s="28" t="n">
        <f aca="false">T215/I215</f>
        <v>0.871729961872938</v>
      </c>
      <c r="Y215" s="17" t="n">
        <f aca="false">T215/F215</f>
        <v>54.0472576361222</v>
      </c>
      <c r="Z215" s="26" t="n">
        <f aca="false">Accounts!H64</f>
        <v>2528</v>
      </c>
      <c r="AA215" s="28" t="n">
        <f aca="false">IF(Z215&gt;=Assumptions!$B$44,Assumptions!$C$44,IF(Z215&gt;=Assumptions!$B$45,Assumptions!$C$45,IF(Z215&gt;=Assumptions!$B$46,Assumptions!$C$46,Assumptions!$C$47)))</f>
        <v>0</v>
      </c>
      <c r="AB215" s="26" t="n">
        <f aca="false">IF(Z215&gt;=Assumptions!$B$44,Assumptions!$B$44,IF(Z215&gt;=Assumptions!$B$45,Assumptions!$B$45,IF(Z215&gt;=Assumptions!$B$46,Assumptions!$B$46,0)))</f>
        <v>0</v>
      </c>
    </row>
    <row r="216" customFormat="false" ht="15" hidden="false" customHeight="false" outlineLevel="0" collapsed="false">
      <c r="B216" s="14" t="s">
        <v>220</v>
      </c>
      <c r="C216" s="14" t="s">
        <v>194</v>
      </c>
      <c r="D216" s="14" t="s">
        <v>218</v>
      </c>
      <c r="E216" s="14" t="s">
        <v>62</v>
      </c>
      <c r="F216" s="26" t="n">
        <f aca="false">Accounts!F72</f>
        <v>1075</v>
      </c>
      <c r="G216" s="17" t="n">
        <f aca="false">Assumptions!$D$9</f>
        <v>62</v>
      </c>
      <c r="H216" s="17" t="n">
        <f aca="false">Assumptions!$E$9</f>
        <v>36</v>
      </c>
      <c r="I216" s="17" t="n">
        <f aca="false">ROUND(F216*G216,2)</f>
        <v>66650</v>
      </c>
      <c r="J216" s="17" t="n">
        <f aca="false">ROUND(I216*Accounts!O72,2)</f>
        <v>2666</v>
      </c>
      <c r="K216" s="17" t="n">
        <f aca="false">ROUND(I216*Accounts!M72,2)</f>
        <v>0</v>
      </c>
      <c r="L216" s="17" t="n">
        <f aca="false">ROUND(I216-J216-K216,2)</f>
        <v>63984</v>
      </c>
      <c r="M216" s="17" t="n">
        <f aca="false">ROUND(L216*AA216,2)</f>
        <v>0</v>
      </c>
      <c r="N216" s="17" t="n">
        <f aca="false">ROUND(L216*Accounts!R72,2)</f>
        <v>0</v>
      </c>
      <c r="O216" s="17" t="n">
        <f aca="false">ROUND(L216*Accounts!S72,2)</f>
        <v>0</v>
      </c>
      <c r="P216" s="17" t="n">
        <f aca="false">ROUND(L216*Accounts!T72,2)</f>
        <v>0</v>
      </c>
      <c r="Q216" s="17" t="n">
        <f aca="false">ROUND(L216*Accounts!U72,2)</f>
        <v>0</v>
      </c>
      <c r="R216" s="17" t="n">
        <f aca="false">ROUND(L216*Accounts!V72,2)</f>
        <v>383.9</v>
      </c>
      <c r="S216" s="17" t="n">
        <f aca="false">ROUND(L216*Accounts!W72,2)</f>
        <v>0</v>
      </c>
      <c r="T216" s="17" t="n">
        <f aca="false">ROUND(L216-SUM(M216:S216),2)</f>
        <v>63600.1</v>
      </c>
      <c r="U216" s="17" t="n">
        <f aca="false">ROUND(F216*H216,2)</f>
        <v>38700</v>
      </c>
      <c r="V216" s="17" t="n">
        <f aca="false">ROUND(L216*Assumptions!$C$25,2)</f>
        <v>1279.68</v>
      </c>
      <c r="W216" s="17" t="n">
        <f aca="false">ROUND(T216-U216-V216,2)</f>
        <v>23620.42</v>
      </c>
      <c r="X216" s="28" t="n">
        <f aca="false">T216/I216</f>
        <v>0.954240060015004</v>
      </c>
      <c r="Y216" s="17" t="n">
        <f aca="false">T216/F216</f>
        <v>59.1628837209302</v>
      </c>
      <c r="Z216" s="26" t="n">
        <f aca="false">Accounts!H72</f>
        <v>1616</v>
      </c>
      <c r="AA216" s="28" t="n">
        <f aca="false">IF(Z216&gt;=Assumptions!$B$44,Assumptions!$C$44,IF(Z216&gt;=Assumptions!$B$45,Assumptions!$C$45,IF(Z216&gt;=Assumptions!$B$46,Assumptions!$C$46,Assumptions!$C$47)))</f>
        <v>0</v>
      </c>
      <c r="AB216" s="26" t="n">
        <f aca="false">IF(Z216&gt;=Assumptions!$B$44,Assumptions!$B$44,IF(Z216&gt;=Assumptions!$B$45,Assumptions!$B$45,IF(Z216&gt;=Assumptions!$B$46,Assumptions!$B$46,0)))</f>
        <v>0</v>
      </c>
    </row>
    <row r="217" customFormat="false" ht="15" hidden="false" customHeight="false" outlineLevel="0" collapsed="false">
      <c r="B217" s="14" t="s">
        <v>229</v>
      </c>
      <c r="C217" s="14" t="s">
        <v>194</v>
      </c>
      <c r="D217" s="14" t="s">
        <v>227</v>
      </c>
      <c r="E217" s="14" t="s">
        <v>62</v>
      </c>
      <c r="F217" s="26" t="n">
        <f aca="false">Accounts!F80</f>
        <v>2174</v>
      </c>
      <c r="G217" s="17" t="n">
        <f aca="false">Assumptions!$D$9</f>
        <v>62</v>
      </c>
      <c r="H217" s="17" t="n">
        <f aca="false">Assumptions!$E$9</f>
        <v>36</v>
      </c>
      <c r="I217" s="17" t="n">
        <f aca="false">ROUND(F217*G217,2)</f>
        <v>134788</v>
      </c>
      <c r="J217" s="17" t="n">
        <f aca="false">ROUND(I217*Accounts!O80,2)</f>
        <v>5391.52</v>
      </c>
      <c r="K217" s="17" t="n">
        <f aca="false">ROUND(I217*Accounts!M80,2)</f>
        <v>21026.93</v>
      </c>
      <c r="L217" s="17" t="n">
        <f aca="false">ROUND(I217-J217-K217,2)</f>
        <v>108369.55</v>
      </c>
      <c r="M217" s="17" t="n">
        <f aca="false">ROUND(L217*AA217,2)</f>
        <v>0</v>
      </c>
      <c r="N217" s="17" t="n">
        <f aca="false">ROUND(L217*Accounts!R80,2)</f>
        <v>0</v>
      </c>
      <c r="O217" s="17" t="n">
        <f aca="false">ROUND(L217*Accounts!S80,2)</f>
        <v>1625.54</v>
      </c>
      <c r="P217" s="17" t="n">
        <f aca="false">ROUND(L217*Accounts!T80,2)</f>
        <v>0</v>
      </c>
      <c r="Q217" s="17" t="n">
        <f aca="false">ROUND(L217*Accounts!U80,2)</f>
        <v>0</v>
      </c>
      <c r="R217" s="17" t="n">
        <f aca="false">ROUND(L217*Accounts!V80,2)</f>
        <v>650.22</v>
      </c>
      <c r="S217" s="17" t="n">
        <f aca="false">ROUND(L217*Accounts!W80,2)</f>
        <v>0</v>
      </c>
      <c r="T217" s="17" t="n">
        <f aca="false">ROUND(L217-SUM(M217:S217),2)</f>
        <v>106093.79</v>
      </c>
      <c r="U217" s="17" t="n">
        <f aca="false">ROUND(F217*H217,2)</f>
        <v>78264</v>
      </c>
      <c r="V217" s="17" t="n">
        <f aca="false">ROUND(L217*Assumptions!$C$25,2)</f>
        <v>2167.39</v>
      </c>
      <c r="W217" s="17" t="n">
        <f aca="false">ROUND(T217-U217-V217,2)</f>
        <v>25662.4</v>
      </c>
      <c r="X217" s="28" t="n">
        <f aca="false">T217/I217</f>
        <v>0.787115989553966</v>
      </c>
      <c r="Y217" s="17" t="n">
        <f aca="false">T217/F217</f>
        <v>48.8011913523459</v>
      </c>
      <c r="Z217" s="26" t="n">
        <f aca="false">Accounts!H80</f>
        <v>2505</v>
      </c>
      <c r="AA217" s="28" t="n">
        <f aca="false">IF(Z217&gt;=Assumptions!$B$44,Assumptions!$C$44,IF(Z217&gt;=Assumptions!$B$45,Assumptions!$C$45,IF(Z217&gt;=Assumptions!$B$46,Assumptions!$C$46,Assumptions!$C$47)))</f>
        <v>0</v>
      </c>
      <c r="AB217" s="26" t="n">
        <f aca="false">IF(Z217&gt;=Assumptions!$B$44,Assumptions!$B$44,IF(Z217&gt;=Assumptions!$B$45,Assumptions!$B$45,IF(Z217&gt;=Assumptions!$B$46,Assumptions!$B$46,0)))</f>
        <v>0</v>
      </c>
    </row>
    <row r="218" customFormat="false" ht="15" hidden="false" customHeight="false" outlineLevel="0" collapsed="false">
      <c r="B218" s="14" t="s">
        <v>237</v>
      </c>
      <c r="C218" s="14" t="s">
        <v>194</v>
      </c>
      <c r="D218" s="14" t="s">
        <v>235</v>
      </c>
      <c r="E218" s="14" t="s">
        <v>62</v>
      </c>
      <c r="F218" s="26" t="n">
        <f aca="false">Accounts!F87</f>
        <v>1990</v>
      </c>
      <c r="G218" s="17" t="n">
        <f aca="false">Assumptions!$D$9</f>
        <v>62</v>
      </c>
      <c r="H218" s="17" t="n">
        <f aca="false">Assumptions!$E$9</f>
        <v>36</v>
      </c>
      <c r="I218" s="17" t="n">
        <f aca="false">ROUND(F218*G218,2)</f>
        <v>123380</v>
      </c>
      <c r="J218" s="17" t="n">
        <f aca="false">ROUND(I218*Accounts!O87,2)</f>
        <v>2467.6</v>
      </c>
      <c r="K218" s="17" t="n">
        <f aca="false">ROUND(I218*Accounts!M87,2)</f>
        <v>17643.34</v>
      </c>
      <c r="L218" s="17" t="n">
        <f aca="false">ROUND(I218-J218-K218,2)</f>
        <v>103269.06</v>
      </c>
      <c r="M218" s="17" t="n">
        <f aca="false">ROUND(L218*AA218,2)</f>
        <v>2065.38</v>
      </c>
      <c r="N218" s="17" t="n">
        <f aca="false">ROUND(L218*Accounts!R87,2)</f>
        <v>0</v>
      </c>
      <c r="O218" s="17" t="n">
        <f aca="false">ROUND(L218*Accounts!S87,2)</f>
        <v>1549.04</v>
      </c>
      <c r="P218" s="17" t="n">
        <f aca="false">ROUND(L218*Accounts!T87,2)</f>
        <v>0</v>
      </c>
      <c r="Q218" s="17" t="n">
        <f aca="false">ROUND(L218*Accounts!U87,2)</f>
        <v>0</v>
      </c>
      <c r="R218" s="17" t="n">
        <f aca="false">ROUND(L218*Accounts!V87,2)</f>
        <v>619.61</v>
      </c>
      <c r="S218" s="17" t="n">
        <f aca="false">ROUND(L218*Accounts!W87,2)</f>
        <v>0</v>
      </c>
      <c r="T218" s="17" t="n">
        <f aca="false">ROUND(L218-SUM(M218:S218),2)</f>
        <v>99035.03</v>
      </c>
      <c r="U218" s="17" t="n">
        <f aca="false">ROUND(F218*H218,2)</f>
        <v>71640</v>
      </c>
      <c r="V218" s="17" t="n">
        <f aca="false">ROUND(L218*Assumptions!$C$25,2)</f>
        <v>2065.38</v>
      </c>
      <c r="W218" s="17" t="n">
        <f aca="false">ROUND(T218-U218-V218,2)</f>
        <v>25329.65</v>
      </c>
      <c r="X218" s="28" t="n">
        <f aca="false">T218/I218</f>
        <v>0.80268301183336</v>
      </c>
      <c r="Y218" s="17" t="n">
        <f aca="false">T218/F218</f>
        <v>49.7663467336683</v>
      </c>
      <c r="Z218" s="26" t="n">
        <f aca="false">Accounts!H87</f>
        <v>3394</v>
      </c>
      <c r="AA218" s="28" t="n">
        <f aca="false">IF(Z218&gt;=Assumptions!$B$44,Assumptions!$C$44,IF(Z218&gt;=Assumptions!$B$45,Assumptions!$C$45,IF(Z218&gt;=Assumptions!$B$46,Assumptions!$C$46,Assumptions!$C$47)))</f>
        <v>0.02</v>
      </c>
      <c r="AB218" s="26" t="n">
        <f aca="false">IF(Z218&gt;=Assumptions!$B$44,Assumptions!$B$44,IF(Z218&gt;=Assumptions!$B$45,Assumptions!$B$45,IF(Z218&gt;=Assumptions!$B$46,Assumptions!$B$46,0)))</f>
        <v>3000</v>
      </c>
    </row>
    <row r="219" customFormat="false" ht="15" hidden="false" customHeight="false" outlineLevel="0" collapsed="false">
      <c r="B219" s="14" t="s">
        <v>245</v>
      </c>
      <c r="C219" s="14" t="s">
        <v>194</v>
      </c>
      <c r="D219" s="14" t="s">
        <v>243</v>
      </c>
      <c r="E219" s="14" t="s">
        <v>62</v>
      </c>
      <c r="F219" s="26" t="n">
        <f aca="false">Accounts!F94</f>
        <v>652</v>
      </c>
      <c r="G219" s="17" t="n">
        <f aca="false">Assumptions!$D$9</f>
        <v>62</v>
      </c>
      <c r="H219" s="17" t="n">
        <f aca="false">Assumptions!$E$9</f>
        <v>36</v>
      </c>
      <c r="I219" s="17" t="n">
        <f aca="false">ROUND(F219*G219,2)</f>
        <v>40424</v>
      </c>
      <c r="J219" s="17" t="n">
        <f aca="false">ROUND(I219*Accounts!O94,2)</f>
        <v>808.48</v>
      </c>
      <c r="K219" s="17" t="n">
        <f aca="false">ROUND(I219*Accounts!M94,2)</f>
        <v>2102.05</v>
      </c>
      <c r="L219" s="17" t="n">
        <f aca="false">ROUND(I219-J219-K219,2)</f>
        <v>37513.47</v>
      </c>
      <c r="M219" s="17" t="n">
        <f aca="false">ROUND(L219*AA219,2)</f>
        <v>0</v>
      </c>
      <c r="N219" s="17" t="n">
        <f aca="false">ROUND(L219*Accounts!R94,2)</f>
        <v>750.27</v>
      </c>
      <c r="O219" s="17" t="n">
        <f aca="false">ROUND(L219*Accounts!S94,2)</f>
        <v>562.7</v>
      </c>
      <c r="P219" s="17" t="n">
        <f aca="false">ROUND(L219*Accounts!T94,2)</f>
        <v>0</v>
      </c>
      <c r="Q219" s="17" t="n">
        <f aca="false">ROUND(L219*Accounts!U94,2)</f>
        <v>0</v>
      </c>
      <c r="R219" s="17" t="n">
        <f aca="false">ROUND(L219*Accounts!V94,2)</f>
        <v>225.08</v>
      </c>
      <c r="S219" s="17" t="n">
        <f aca="false">ROUND(L219*Accounts!W94,2)</f>
        <v>187.57</v>
      </c>
      <c r="T219" s="17" t="n">
        <f aca="false">ROUND(L219-SUM(M219:S219),2)</f>
        <v>35787.85</v>
      </c>
      <c r="U219" s="17" t="n">
        <f aca="false">ROUND(F219*H219,2)</f>
        <v>23472</v>
      </c>
      <c r="V219" s="17" t="n">
        <f aca="false">ROUND(L219*Assumptions!$C$25,2)</f>
        <v>750.27</v>
      </c>
      <c r="W219" s="17" t="n">
        <f aca="false">ROUND(T219-U219-V219,2)</f>
        <v>11565.58</v>
      </c>
      <c r="X219" s="28" t="n">
        <f aca="false">T219/I219</f>
        <v>0.88531194339996</v>
      </c>
      <c r="Y219" s="17" t="n">
        <f aca="false">T219/F219</f>
        <v>54.8893404907975</v>
      </c>
      <c r="Z219" s="26" t="n">
        <f aca="false">Accounts!H94</f>
        <v>1229</v>
      </c>
      <c r="AA219" s="28" t="n">
        <f aca="false">IF(Z219&gt;=Assumptions!$B$44,Assumptions!$C$44,IF(Z219&gt;=Assumptions!$B$45,Assumptions!$C$45,IF(Z219&gt;=Assumptions!$B$46,Assumptions!$C$46,Assumptions!$C$47)))</f>
        <v>0</v>
      </c>
      <c r="AB219" s="26" t="n">
        <f aca="false">IF(Z219&gt;=Assumptions!$B$44,Assumptions!$B$44,IF(Z219&gt;=Assumptions!$B$45,Assumptions!$B$45,IF(Z219&gt;=Assumptions!$B$46,Assumptions!$B$46,0)))</f>
        <v>0</v>
      </c>
    </row>
    <row r="220" customFormat="false" ht="15" hidden="false" customHeight="false" outlineLevel="0" collapsed="false">
      <c r="B220" s="14" t="s">
        <v>253</v>
      </c>
      <c r="C220" s="14" t="s">
        <v>194</v>
      </c>
      <c r="D220" s="14" t="s">
        <v>251</v>
      </c>
      <c r="E220" s="14" t="s">
        <v>62</v>
      </c>
      <c r="F220" s="26" t="n">
        <f aca="false">Accounts!F101</f>
        <v>1865</v>
      </c>
      <c r="G220" s="17" t="n">
        <f aca="false">Assumptions!$D$9</f>
        <v>62</v>
      </c>
      <c r="H220" s="17" t="n">
        <f aca="false">Assumptions!$E$9</f>
        <v>36</v>
      </c>
      <c r="I220" s="17" t="n">
        <f aca="false">ROUND(F220*G220,2)</f>
        <v>115630</v>
      </c>
      <c r="J220" s="17" t="n">
        <f aca="false">ROUND(I220*Accounts!O101,2)</f>
        <v>4625.2</v>
      </c>
      <c r="K220" s="17" t="n">
        <f aca="false">ROUND(I220*Accounts!M101,2)</f>
        <v>24051.04</v>
      </c>
      <c r="L220" s="17" t="n">
        <f aca="false">ROUND(I220-J220-K220,2)</f>
        <v>86953.76</v>
      </c>
      <c r="M220" s="17" t="n">
        <f aca="false">ROUND(L220*AA220,2)</f>
        <v>1739.08</v>
      </c>
      <c r="N220" s="17" t="n">
        <f aca="false">ROUND(L220*Accounts!R101,2)</f>
        <v>0</v>
      </c>
      <c r="O220" s="17" t="n">
        <f aca="false">ROUND(L220*Accounts!S101,2)</f>
        <v>0</v>
      </c>
      <c r="P220" s="17" t="n">
        <f aca="false">ROUND(L220*Accounts!T101,2)</f>
        <v>0</v>
      </c>
      <c r="Q220" s="17" t="n">
        <f aca="false">ROUND(L220*Accounts!U101,2)</f>
        <v>0</v>
      </c>
      <c r="R220" s="17" t="n">
        <f aca="false">ROUND(L220*Accounts!V101,2)</f>
        <v>521.72</v>
      </c>
      <c r="S220" s="17" t="n">
        <f aca="false">ROUND(L220*Accounts!W101,2)</f>
        <v>434.77</v>
      </c>
      <c r="T220" s="17" t="n">
        <f aca="false">ROUND(L220-SUM(M220:S220),2)</f>
        <v>84258.19</v>
      </c>
      <c r="U220" s="17" t="n">
        <f aca="false">ROUND(F220*H220,2)</f>
        <v>67140</v>
      </c>
      <c r="V220" s="17" t="n">
        <f aca="false">ROUND(L220*Assumptions!$C$25,2)</f>
        <v>1739.08</v>
      </c>
      <c r="W220" s="17" t="n">
        <f aca="false">ROUND(T220-U220-V220,2)</f>
        <v>15379.11</v>
      </c>
      <c r="X220" s="28" t="n">
        <f aca="false">T220/I220</f>
        <v>0.728687970249935</v>
      </c>
      <c r="Y220" s="17" t="n">
        <f aca="false">T220/F220</f>
        <v>45.178654155496</v>
      </c>
      <c r="Z220" s="26" t="n">
        <f aca="false">Accounts!H101</f>
        <v>3251</v>
      </c>
      <c r="AA220" s="28" t="n">
        <f aca="false">IF(Z220&gt;=Assumptions!$B$44,Assumptions!$C$44,IF(Z220&gt;=Assumptions!$B$45,Assumptions!$C$45,IF(Z220&gt;=Assumptions!$B$46,Assumptions!$C$46,Assumptions!$C$47)))</f>
        <v>0.02</v>
      </c>
      <c r="AB220" s="26" t="n">
        <f aca="false">IF(Z220&gt;=Assumptions!$B$44,Assumptions!$B$44,IF(Z220&gt;=Assumptions!$B$45,Assumptions!$B$45,IF(Z220&gt;=Assumptions!$B$46,Assumptions!$B$46,0)))</f>
        <v>3000</v>
      </c>
    </row>
    <row r="221" customFormat="false" ht="15" hidden="false" customHeight="false" outlineLevel="0" collapsed="false">
      <c r="B221" s="14" t="s">
        <v>205</v>
      </c>
      <c r="C221" s="14" t="s">
        <v>194</v>
      </c>
      <c r="D221" s="14" t="s">
        <v>174</v>
      </c>
      <c r="E221" s="14" t="s">
        <v>62</v>
      </c>
      <c r="F221" s="26" t="n">
        <f aca="false">Accounts!F57</f>
        <v>1500</v>
      </c>
      <c r="G221" s="17" t="n">
        <f aca="false">Assumptions!$D$9</f>
        <v>62</v>
      </c>
      <c r="H221" s="17" t="n">
        <f aca="false">Assumptions!$E$9</f>
        <v>36</v>
      </c>
      <c r="I221" s="17" t="n">
        <f aca="false">ROUND(F221*G221,2)</f>
        <v>93000</v>
      </c>
      <c r="J221" s="17" t="n">
        <f aca="false">ROUND(I221*Accounts!O57,2)</f>
        <v>3720</v>
      </c>
      <c r="K221" s="17" t="n">
        <f aca="false">ROUND(I221*Accounts!M57,2)</f>
        <v>7858.5</v>
      </c>
      <c r="L221" s="17" t="n">
        <f aca="false">ROUND(I221-J221-K221,2)</f>
        <v>81421.5</v>
      </c>
      <c r="M221" s="17" t="n">
        <f aca="false">ROUND(L221*AA221,2)</f>
        <v>0</v>
      </c>
      <c r="N221" s="17" t="n">
        <f aca="false">ROUND(L221*Accounts!R57,2)</f>
        <v>1628.43</v>
      </c>
      <c r="O221" s="17" t="n">
        <f aca="false">ROUND(L221*Accounts!S57,2)</f>
        <v>1221.32</v>
      </c>
      <c r="P221" s="17" t="n">
        <f aca="false">ROUND(L221*Accounts!T57,2)</f>
        <v>0</v>
      </c>
      <c r="Q221" s="17" t="n">
        <f aca="false">ROUND(L221*Accounts!U57,2)</f>
        <v>0</v>
      </c>
      <c r="R221" s="17" t="n">
        <f aca="false">ROUND(L221*Accounts!V57,2)</f>
        <v>488.53</v>
      </c>
      <c r="S221" s="17" t="n">
        <f aca="false">ROUND(L221*Accounts!W57,2)</f>
        <v>407.11</v>
      </c>
      <c r="T221" s="17" t="n">
        <f aca="false">ROUND(L221-SUM(M221:S221),2)</f>
        <v>77676.11</v>
      </c>
      <c r="U221" s="17" t="n">
        <f aca="false">ROUND(F221*H221,2)</f>
        <v>54000</v>
      </c>
      <c r="V221" s="17" t="n">
        <f aca="false">ROUND(L221*Assumptions!$C$25,2)</f>
        <v>1628.43</v>
      </c>
      <c r="W221" s="17" t="n">
        <f aca="false">ROUND(T221-U221-V221,2)</f>
        <v>22047.68</v>
      </c>
      <c r="X221" s="28" t="n">
        <f aca="false">T221/I221</f>
        <v>0.835226989247312</v>
      </c>
      <c r="Y221" s="17" t="n">
        <f aca="false">T221/F221</f>
        <v>51.7840733333333</v>
      </c>
      <c r="Z221" s="26" t="n">
        <f aca="false">Accounts!H57</f>
        <v>1500</v>
      </c>
      <c r="AA221" s="28" t="n">
        <f aca="false">IF(Z221&gt;=Assumptions!$B$44,Assumptions!$C$44,IF(Z221&gt;=Assumptions!$B$45,Assumptions!$C$45,IF(Z221&gt;=Assumptions!$B$46,Assumptions!$C$46,Assumptions!$C$47)))</f>
        <v>0</v>
      </c>
      <c r="AB221" s="26" t="n">
        <f aca="false">IF(Z221&gt;=Assumptions!$B$44,Assumptions!$B$44,IF(Z221&gt;=Assumptions!$B$45,Assumptions!$B$45,IF(Z221&gt;=Assumptions!$B$46,Assumptions!$B$46,0)))</f>
        <v>0</v>
      </c>
    </row>
    <row r="222" customFormat="false" ht="15" hidden="false" customHeight="false" outlineLevel="0" collapsed="false">
      <c r="B222" s="14" t="s">
        <v>213</v>
      </c>
      <c r="C222" s="14" t="s">
        <v>194</v>
      </c>
      <c r="D222" s="14" t="s">
        <v>184</v>
      </c>
      <c r="E222" s="14" t="s">
        <v>62</v>
      </c>
      <c r="F222" s="26" t="n">
        <f aca="false">Accounts!F65</f>
        <v>2035</v>
      </c>
      <c r="G222" s="17" t="n">
        <f aca="false">Assumptions!$D$9</f>
        <v>62</v>
      </c>
      <c r="H222" s="17" t="n">
        <f aca="false">Assumptions!$E$9</f>
        <v>36</v>
      </c>
      <c r="I222" s="17" t="n">
        <f aca="false">ROUND(F222*G222,2)</f>
        <v>126170</v>
      </c>
      <c r="J222" s="17" t="n">
        <f aca="false">ROUND(I222*Accounts!O65,2)</f>
        <v>2523.4</v>
      </c>
      <c r="K222" s="17" t="n">
        <f aca="false">ROUND(I222*Accounts!M65,2)</f>
        <v>0</v>
      </c>
      <c r="L222" s="17" t="n">
        <f aca="false">ROUND(I222-J222-K222,2)</f>
        <v>123646.6</v>
      </c>
      <c r="M222" s="17" t="n">
        <f aca="false">ROUND(L222*AA222,2)</f>
        <v>2472.93</v>
      </c>
      <c r="N222" s="17" t="n">
        <f aca="false">ROUND(L222*Accounts!R65,2)</f>
        <v>0</v>
      </c>
      <c r="O222" s="17" t="n">
        <f aca="false">ROUND(L222*Accounts!S65,2)</f>
        <v>0</v>
      </c>
      <c r="P222" s="17" t="n">
        <f aca="false">ROUND(L222*Accounts!T65,2)</f>
        <v>0</v>
      </c>
      <c r="Q222" s="17" t="n">
        <f aca="false">ROUND(L222*Accounts!U65,2)</f>
        <v>0</v>
      </c>
      <c r="R222" s="17" t="n">
        <f aca="false">ROUND(L222*Accounts!V65,2)</f>
        <v>741.88</v>
      </c>
      <c r="S222" s="17" t="n">
        <f aca="false">ROUND(L222*Accounts!W65,2)</f>
        <v>0</v>
      </c>
      <c r="T222" s="17" t="n">
        <f aca="false">ROUND(L222-SUM(M222:S222),2)</f>
        <v>120431.79</v>
      </c>
      <c r="U222" s="17" t="n">
        <f aca="false">ROUND(F222*H222,2)</f>
        <v>73260</v>
      </c>
      <c r="V222" s="17" t="n">
        <f aca="false">ROUND(L222*Assumptions!$C$25,2)</f>
        <v>2472.93</v>
      </c>
      <c r="W222" s="17" t="n">
        <f aca="false">ROUND(T222-U222-V222,2)</f>
        <v>44698.86</v>
      </c>
      <c r="X222" s="28" t="n">
        <f aca="false">T222/I222</f>
        <v>0.954520012681303</v>
      </c>
      <c r="Y222" s="17" t="n">
        <f aca="false">T222/F222</f>
        <v>59.1802407862408</v>
      </c>
      <c r="Z222" s="26" t="n">
        <f aca="false">Accounts!H65</f>
        <v>3732</v>
      </c>
      <c r="AA222" s="28" t="n">
        <f aca="false">IF(Z222&gt;=Assumptions!$B$44,Assumptions!$C$44,IF(Z222&gt;=Assumptions!$B$45,Assumptions!$C$45,IF(Z222&gt;=Assumptions!$B$46,Assumptions!$C$46,Assumptions!$C$47)))</f>
        <v>0.02</v>
      </c>
      <c r="AB222" s="26" t="n">
        <f aca="false">IF(Z222&gt;=Assumptions!$B$44,Assumptions!$B$44,IF(Z222&gt;=Assumptions!$B$45,Assumptions!$B$45,IF(Z222&gt;=Assumptions!$B$46,Assumptions!$B$46,0)))</f>
        <v>3000</v>
      </c>
    </row>
    <row r="223" customFormat="false" ht="15" hidden="false" customHeight="false" outlineLevel="0" collapsed="false">
      <c r="B223" s="14" t="s">
        <v>221</v>
      </c>
      <c r="C223" s="14" t="s">
        <v>194</v>
      </c>
      <c r="D223" s="14" t="s">
        <v>218</v>
      </c>
      <c r="E223" s="14" t="s">
        <v>62</v>
      </c>
      <c r="F223" s="26" t="n">
        <f aca="false">Accounts!F73</f>
        <v>1645</v>
      </c>
      <c r="G223" s="17" t="n">
        <f aca="false">Assumptions!$D$9</f>
        <v>62</v>
      </c>
      <c r="H223" s="17" t="n">
        <f aca="false">Assumptions!$E$9</f>
        <v>36</v>
      </c>
      <c r="I223" s="17" t="n">
        <f aca="false">ROUND(F223*G223,2)</f>
        <v>101990</v>
      </c>
      <c r="J223" s="17" t="n">
        <f aca="false">ROUND(I223*Accounts!O73,2)</f>
        <v>2039.8</v>
      </c>
      <c r="K223" s="17" t="n">
        <f aca="false">ROUND(I223*Accounts!M73,2)</f>
        <v>8618.16</v>
      </c>
      <c r="L223" s="17" t="n">
        <f aca="false">ROUND(I223-J223-K223,2)</f>
        <v>91332.04</v>
      </c>
      <c r="M223" s="17" t="n">
        <f aca="false">ROUND(L223*AA223,2)</f>
        <v>0</v>
      </c>
      <c r="N223" s="17" t="n">
        <f aca="false">ROUND(L223*Accounts!R73,2)</f>
        <v>0</v>
      </c>
      <c r="O223" s="17" t="n">
        <f aca="false">ROUND(L223*Accounts!S73,2)</f>
        <v>1369.98</v>
      </c>
      <c r="P223" s="17" t="n">
        <f aca="false">ROUND(L223*Accounts!T73,2)</f>
        <v>0</v>
      </c>
      <c r="Q223" s="17" t="n">
        <f aca="false">ROUND(L223*Accounts!U73,2)</f>
        <v>0</v>
      </c>
      <c r="R223" s="17" t="n">
        <f aca="false">ROUND(L223*Accounts!V73,2)</f>
        <v>547.99</v>
      </c>
      <c r="S223" s="17" t="n">
        <f aca="false">ROUND(L223*Accounts!W73,2)</f>
        <v>456.66</v>
      </c>
      <c r="T223" s="17" t="n">
        <f aca="false">ROUND(L223-SUM(M223:S223),2)</f>
        <v>88957.41</v>
      </c>
      <c r="U223" s="17" t="n">
        <f aca="false">ROUND(F223*H223,2)</f>
        <v>59220</v>
      </c>
      <c r="V223" s="17" t="n">
        <f aca="false">ROUND(L223*Assumptions!$C$25,2)</f>
        <v>1826.64</v>
      </c>
      <c r="W223" s="17" t="n">
        <f aca="false">ROUND(T223-U223-V223,2)</f>
        <v>27910.77</v>
      </c>
      <c r="X223" s="28" t="n">
        <f aca="false">T223/I223</f>
        <v>0.872216982057064</v>
      </c>
      <c r="Y223" s="17" t="n">
        <f aca="false">T223/F223</f>
        <v>54.077452887538</v>
      </c>
      <c r="Z223" s="26" t="n">
        <f aca="false">Accounts!H73</f>
        <v>2802</v>
      </c>
      <c r="AA223" s="28" t="n">
        <f aca="false">IF(Z223&gt;=Assumptions!$B$44,Assumptions!$C$44,IF(Z223&gt;=Assumptions!$B$45,Assumptions!$C$45,IF(Z223&gt;=Assumptions!$B$46,Assumptions!$C$46,Assumptions!$C$47)))</f>
        <v>0</v>
      </c>
      <c r="AB223" s="26" t="n">
        <f aca="false">IF(Z223&gt;=Assumptions!$B$44,Assumptions!$B$44,IF(Z223&gt;=Assumptions!$B$45,Assumptions!$B$45,IF(Z223&gt;=Assumptions!$B$46,Assumptions!$B$46,0)))</f>
        <v>0</v>
      </c>
    </row>
    <row r="224" customFormat="false" ht="15" hidden="false" customHeight="false" outlineLevel="0" collapsed="false">
      <c r="B224" s="14" t="s">
        <v>230</v>
      </c>
      <c r="C224" s="14" t="s">
        <v>194</v>
      </c>
      <c r="D224" s="14" t="s">
        <v>227</v>
      </c>
      <c r="E224" s="14" t="s">
        <v>62</v>
      </c>
      <c r="F224" s="26" t="n">
        <f aca="false">Accounts!F81</f>
        <v>2775</v>
      </c>
      <c r="G224" s="17" t="n">
        <f aca="false">Assumptions!$D$9</f>
        <v>62</v>
      </c>
      <c r="H224" s="17" t="n">
        <f aca="false">Assumptions!$E$9</f>
        <v>36</v>
      </c>
      <c r="I224" s="17" t="n">
        <f aca="false">ROUND(F224*G224,2)</f>
        <v>172050</v>
      </c>
      <c r="J224" s="17" t="n">
        <f aca="false">ROUND(I224*Accounts!O81,2)</f>
        <v>6882</v>
      </c>
      <c r="K224" s="17" t="n">
        <f aca="false">ROUND(I224*Accounts!M81,2)</f>
        <v>23484.83</v>
      </c>
      <c r="L224" s="17" t="n">
        <f aca="false">ROUND(I224-J224-K224,2)</f>
        <v>141683.17</v>
      </c>
      <c r="M224" s="17" t="n">
        <f aca="false">ROUND(L224*AA224,2)</f>
        <v>2833.66</v>
      </c>
      <c r="N224" s="17" t="n">
        <f aca="false">ROUND(L224*Accounts!R81,2)</f>
        <v>0</v>
      </c>
      <c r="O224" s="17" t="n">
        <f aca="false">ROUND(L224*Accounts!S81,2)</f>
        <v>2125.25</v>
      </c>
      <c r="P224" s="17" t="n">
        <f aca="false">ROUND(L224*Accounts!T81,2)</f>
        <v>0</v>
      </c>
      <c r="Q224" s="17" t="n">
        <f aca="false">ROUND(L224*Accounts!U81,2)</f>
        <v>0</v>
      </c>
      <c r="R224" s="17" t="n">
        <f aca="false">ROUND(L224*Accounts!V81,2)</f>
        <v>850.1</v>
      </c>
      <c r="S224" s="17" t="n">
        <f aca="false">ROUND(L224*Accounts!W81,2)</f>
        <v>0</v>
      </c>
      <c r="T224" s="17" t="n">
        <f aca="false">ROUND(L224-SUM(M224:S224),2)</f>
        <v>135874.16</v>
      </c>
      <c r="U224" s="17" t="n">
        <f aca="false">ROUND(F224*H224,2)</f>
        <v>99900</v>
      </c>
      <c r="V224" s="17" t="n">
        <f aca="false">ROUND(L224*Assumptions!$C$25,2)</f>
        <v>2833.66</v>
      </c>
      <c r="W224" s="17" t="n">
        <f aca="false">ROUND(T224-U224-V224,2)</f>
        <v>33140.5</v>
      </c>
      <c r="X224" s="28" t="n">
        <f aca="false">T224/I224</f>
        <v>0.789736471955827</v>
      </c>
      <c r="Y224" s="17" t="n">
        <f aca="false">T224/F224</f>
        <v>48.9636612612613</v>
      </c>
      <c r="Z224" s="26" t="n">
        <f aca="false">Accounts!H81</f>
        <v>4698</v>
      </c>
      <c r="AA224" s="28" t="n">
        <f aca="false">IF(Z224&gt;=Assumptions!$B$44,Assumptions!$C$44,IF(Z224&gt;=Assumptions!$B$45,Assumptions!$C$45,IF(Z224&gt;=Assumptions!$B$46,Assumptions!$C$46,Assumptions!$C$47)))</f>
        <v>0.02</v>
      </c>
      <c r="AB224" s="26" t="n">
        <f aca="false">IF(Z224&gt;=Assumptions!$B$44,Assumptions!$B$44,IF(Z224&gt;=Assumptions!$B$45,Assumptions!$B$45,IF(Z224&gt;=Assumptions!$B$46,Assumptions!$B$46,0)))</f>
        <v>3000</v>
      </c>
    </row>
    <row r="225" customFormat="false" ht="15" hidden="false" customHeight="false" outlineLevel="0" collapsed="false">
      <c r="B225" s="14" t="s">
        <v>238</v>
      </c>
      <c r="C225" s="14" t="s">
        <v>194</v>
      </c>
      <c r="D225" s="14" t="s">
        <v>235</v>
      </c>
      <c r="E225" s="14" t="s">
        <v>62</v>
      </c>
      <c r="F225" s="26" t="n">
        <f aca="false">Accounts!F88</f>
        <v>2047</v>
      </c>
      <c r="G225" s="17" t="n">
        <f aca="false">Assumptions!$D$9</f>
        <v>62</v>
      </c>
      <c r="H225" s="17" t="n">
        <f aca="false">Assumptions!$E$9</f>
        <v>36</v>
      </c>
      <c r="I225" s="17" t="n">
        <f aca="false">ROUND(F225*G225,2)</f>
        <v>126914</v>
      </c>
      <c r="J225" s="17" t="n">
        <f aca="false">ROUND(I225*Accounts!O88,2)</f>
        <v>5076.56</v>
      </c>
      <c r="K225" s="17" t="n">
        <f aca="false">ROUND(I225*Accounts!M88,2)</f>
        <v>4949.65</v>
      </c>
      <c r="L225" s="17" t="n">
        <f aca="false">ROUND(I225-J225-K225,2)</f>
        <v>116887.79</v>
      </c>
      <c r="M225" s="17" t="n">
        <f aca="false">ROUND(L225*AA225,2)</f>
        <v>0</v>
      </c>
      <c r="N225" s="17" t="n">
        <f aca="false">ROUND(L225*Accounts!R88,2)</f>
        <v>0</v>
      </c>
      <c r="O225" s="17" t="n">
        <f aca="false">ROUND(L225*Accounts!S88,2)</f>
        <v>1753.32</v>
      </c>
      <c r="P225" s="17" t="n">
        <f aca="false">ROUND(L225*Accounts!T88,2)</f>
        <v>0</v>
      </c>
      <c r="Q225" s="17" t="n">
        <f aca="false">ROUND(L225*Accounts!U88,2)</f>
        <v>0</v>
      </c>
      <c r="R225" s="17" t="n">
        <f aca="false">ROUND(L225*Accounts!V88,2)</f>
        <v>701.33</v>
      </c>
      <c r="S225" s="17" t="n">
        <f aca="false">ROUND(L225*Accounts!W88,2)</f>
        <v>0</v>
      </c>
      <c r="T225" s="17" t="n">
        <f aca="false">ROUND(L225-SUM(M225:S225),2)</f>
        <v>114433.14</v>
      </c>
      <c r="U225" s="17" t="n">
        <f aca="false">ROUND(F225*H225,2)</f>
        <v>73692</v>
      </c>
      <c r="V225" s="17" t="n">
        <f aca="false">ROUND(L225*Assumptions!$C$25,2)</f>
        <v>2337.76</v>
      </c>
      <c r="W225" s="17" t="n">
        <f aca="false">ROUND(T225-U225-V225,2)</f>
        <v>38403.38</v>
      </c>
      <c r="X225" s="28" t="n">
        <f aca="false">T225/I225</f>
        <v>0.901658918637818</v>
      </c>
      <c r="Y225" s="17" t="n">
        <f aca="false">T225/F225</f>
        <v>55.9028529555447</v>
      </c>
      <c r="Z225" s="26" t="n">
        <f aca="false">Accounts!H88</f>
        <v>2932</v>
      </c>
      <c r="AA225" s="28" t="n">
        <f aca="false">IF(Z225&gt;=Assumptions!$B$44,Assumptions!$C$44,IF(Z225&gt;=Assumptions!$B$45,Assumptions!$C$45,IF(Z225&gt;=Assumptions!$B$46,Assumptions!$C$46,Assumptions!$C$47)))</f>
        <v>0</v>
      </c>
      <c r="AB225" s="26" t="n">
        <f aca="false">IF(Z225&gt;=Assumptions!$B$44,Assumptions!$B$44,IF(Z225&gt;=Assumptions!$B$45,Assumptions!$B$45,IF(Z225&gt;=Assumptions!$B$46,Assumptions!$B$46,0)))</f>
        <v>0</v>
      </c>
    </row>
    <row r="226" customFormat="false" ht="15" hidden="false" customHeight="false" outlineLevel="0" collapsed="false">
      <c r="B226" s="14" t="s">
        <v>246</v>
      </c>
      <c r="C226" s="14" t="s">
        <v>194</v>
      </c>
      <c r="D226" s="14" t="s">
        <v>243</v>
      </c>
      <c r="E226" s="14" t="s">
        <v>62</v>
      </c>
      <c r="F226" s="26" t="n">
        <f aca="false">Accounts!F95</f>
        <v>850</v>
      </c>
      <c r="G226" s="17" t="n">
        <f aca="false">Assumptions!$D$9</f>
        <v>62</v>
      </c>
      <c r="H226" s="17" t="n">
        <f aca="false">Assumptions!$E$9</f>
        <v>36</v>
      </c>
      <c r="I226" s="17" t="n">
        <f aca="false">ROUND(F226*G226,2)</f>
        <v>52700</v>
      </c>
      <c r="J226" s="17" t="n">
        <f aca="false">ROUND(I226*Accounts!O95,2)</f>
        <v>1054</v>
      </c>
      <c r="K226" s="17" t="n">
        <f aca="false">ROUND(I226*Accounts!M95,2)</f>
        <v>4795.7</v>
      </c>
      <c r="L226" s="17" t="n">
        <f aca="false">ROUND(I226-J226-K226,2)</f>
        <v>46850.3</v>
      </c>
      <c r="M226" s="17" t="n">
        <f aca="false">ROUND(L226*AA226,2)</f>
        <v>0</v>
      </c>
      <c r="N226" s="17" t="n">
        <f aca="false">ROUND(L226*Accounts!R95,2)</f>
        <v>0</v>
      </c>
      <c r="O226" s="17" t="n">
        <f aca="false">ROUND(L226*Accounts!S95,2)</f>
        <v>0</v>
      </c>
      <c r="P226" s="17" t="n">
        <f aca="false">ROUND(L226*Accounts!T95,2)</f>
        <v>0</v>
      </c>
      <c r="Q226" s="17" t="n">
        <f aca="false">ROUND(L226*Accounts!U95,2)</f>
        <v>0</v>
      </c>
      <c r="R226" s="17" t="n">
        <f aca="false">ROUND(L226*Accounts!V95,2)</f>
        <v>281.1</v>
      </c>
      <c r="S226" s="17" t="n">
        <f aca="false">ROUND(L226*Accounts!W95,2)</f>
        <v>234.25</v>
      </c>
      <c r="T226" s="17" t="n">
        <f aca="false">ROUND(L226-SUM(M226:S226),2)</f>
        <v>46334.95</v>
      </c>
      <c r="U226" s="17" t="n">
        <f aca="false">ROUND(F226*H226,2)</f>
        <v>30600</v>
      </c>
      <c r="V226" s="17" t="n">
        <f aca="false">ROUND(L226*Assumptions!$C$25,2)</f>
        <v>937.01</v>
      </c>
      <c r="W226" s="17" t="n">
        <f aca="false">ROUND(T226-U226-V226,2)</f>
        <v>14797.94</v>
      </c>
      <c r="X226" s="28" t="n">
        <f aca="false">T226/I226</f>
        <v>0.879221062618596</v>
      </c>
      <c r="Y226" s="17" t="n">
        <f aca="false">T226/F226</f>
        <v>54.5117058823529</v>
      </c>
      <c r="Z226" s="26" t="n">
        <f aca="false">Accounts!H95</f>
        <v>1143</v>
      </c>
      <c r="AA226" s="28" t="n">
        <f aca="false">IF(Z226&gt;=Assumptions!$B$44,Assumptions!$C$44,IF(Z226&gt;=Assumptions!$B$45,Assumptions!$C$45,IF(Z226&gt;=Assumptions!$B$46,Assumptions!$C$46,Assumptions!$C$47)))</f>
        <v>0</v>
      </c>
      <c r="AB226" s="26" t="n">
        <f aca="false">IF(Z226&gt;=Assumptions!$B$44,Assumptions!$B$44,IF(Z226&gt;=Assumptions!$B$45,Assumptions!$B$45,IF(Z226&gt;=Assumptions!$B$46,Assumptions!$B$46,0)))</f>
        <v>0</v>
      </c>
    </row>
    <row r="227" customFormat="false" ht="15" hidden="false" customHeight="false" outlineLevel="0" collapsed="false">
      <c r="B227" s="14" t="s">
        <v>198</v>
      </c>
      <c r="C227" s="14" t="s">
        <v>194</v>
      </c>
      <c r="D227" s="14" t="s">
        <v>163</v>
      </c>
      <c r="E227" s="14" t="s">
        <v>62</v>
      </c>
      <c r="F227" s="26" t="n">
        <f aca="false">Accounts!F50</f>
        <v>5773</v>
      </c>
      <c r="G227" s="17" t="n">
        <f aca="false">Assumptions!$D$9</f>
        <v>62</v>
      </c>
      <c r="H227" s="17" t="n">
        <f aca="false">Assumptions!$E$9</f>
        <v>36</v>
      </c>
      <c r="I227" s="17" t="n">
        <f aca="false">ROUND(F227*G227,2)</f>
        <v>357926</v>
      </c>
      <c r="J227" s="17" t="n">
        <f aca="false">ROUND(I227*Accounts!O50,2)</f>
        <v>14317.04</v>
      </c>
      <c r="K227" s="17" t="n">
        <f aca="false">ROUND(I227*Accounts!M50,2)</f>
        <v>20938.67</v>
      </c>
      <c r="L227" s="17" t="n">
        <f aca="false">ROUND(I227-J227-K227,2)</f>
        <v>322670.29</v>
      </c>
      <c r="M227" s="17" t="n">
        <f aca="false">ROUND(L227*AA227,2)</f>
        <v>11293.46</v>
      </c>
      <c r="N227" s="17" t="n">
        <f aca="false">ROUND(L227*Accounts!R50,2)</f>
        <v>6453.41</v>
      </c>
      <c r="O227" s="17" t="n">
        <f aca="false">ROUND(L227*Accounts!S50,2)</f>
        <v>0</v>
      </c>
      <c r="P227" s="17" t="n">
        <f aca="false">ROUND(L227*Accounts!T50,2)</f>
        <v>0</v>
      </c>
      <c r="Q227" s="17" t="n">
        <f aca="false">ROUND(L227*Accounts!U50,2)</f>
        <v>0</v>
      </c>
      <c r="R227" s="17" t="n">
        <f aca="false">ROUND(L227*Accounts!V50,2)</f>
        <v>1936.02</v>
      </c>
      <c r="S227" s="17" t="n">
        <f aca="false">ROUND(L227*Accounts!W50,2)</f>
        <v>0</v>
      </c>
      <c r="T227" s="17" t="n">
        <f aca="false">ROUND(L227-SUM(M227:S227),2)</f>
        <v>302987.4</v>
      </c>
      <c r="U227" s="17" t="n">
        <f aca="false">ROUND(F227*H227,2)</f>
        <v>207828</v>
      </c>
      <c r="V227" s="17" t="n">
        <f aca="false">ROUND(L227*Assumptions!$C$25,2)</f>
        <v>6453.41</v>
      </c>
      <c r="W227" s="17" t="n">
        <f aca="false">ROUND(T227-U227-V227,2)</f>
        <v>88705.99</v>
      </c>
      <c r="X227" s="28" t="n">
        <f aca="false">T227/I227</f>
        <v>0.846508496169599</v>
      </c>
      <c r="Y227" s="17" t="n">
        <f aca="false">T227/F227</f>
        <v>52.4835267625152</v>
      </c>
      <c r="Z227" s="26" t="n">
        <f aca="false">Accounts!H50</f>
        <v>10845</v>
      </c>
      <c r="AA227" s="28" t="n">
        <f aca="false">IF(Z227&gt;=Assumptions!$B$44,Assumptions!$C$44,IF(Z227&gt;=Assumptions!$B$45,Assumptions!$C$45,IF(Z227&gt;=Assumptions!$B$46,Assumptions!$C$46,Assumptions!$C$47)))</f>
        <v>0.035</v>
      </c>
      <c r="AB227" s="26" t="n">
        <f aca="false">IF(Z227&gt;=Assumptions!$B$44,Assumptions!$B$44,IF(Z227&gt;=Assumptions!$B$45,Assumptions!$B$45,IF(Z227&gt;=Assumptions!$B$46,Assumptions!$B$46,0)))</f>
        <v>10000</v>
      </c>
    </row>
    <row r="228" customFormat="false" ht="15" hidden="false" customHeight="false" outlineLevel="0" collapsed="false">
      <c r="B228" s="14" t="s">
        <v>206</v>
      </c>
      <c r="C228" s="14" t="s">
        <v>194</v>
      </c>
      <c r="D228" s="14" t="s">
        <v>174</v>
      </c>
      <c r="E228" s="14" t="s">
        <v>62</v>
      </c>
      <c r="F228" s="26" t="n">
        <f aca="false">Accounts!F58</f>
        <v>3348</v>
      </c>
      <c r="G228" s="17" t="n">
        <f aca="false">Assumptions!$D$9</f>
        <v>62</v>
      </c>
      <c r="H228" s="17" t="n">
        <f aca="false">Assumptions!$E$9</f>
        <v>36</v>
      </c>
      <c r="I228" s="17" t="n">
        <f aca="false">ROUND(F228*G228,2)</f>
        <v>207576</v>
      </c>
      <c r="J228" s="17" t="n">
        <f aca="false">ROUND(I228*Accounts!O58,2)</f>
        <v>8303.04</v>
      </c>
      <c r="K228" s="17" t="n">
        <f aca="false">ROUND(I228*Accounts!M58,2)</f>
        <v>31032.61</v>
      </c>
      <c r="L228" s="17" t="n">
        <f aca="false">ROUND(I228-J228-K228,2)</f>
        <v>168240.35</v>
      </c>
      <c r="M228" s="17" t="n">
        <f aca="false">ROUND(L228*AA228,2)</f>
        <v>3364.81</v>
      </c>
      <c r="N228" s="17" t="n">
        <f aca="false">ROUND(L228*Accounts!R58,2)</f>
        <v>0</v>
      </c>
      <c r="O228" s="17" t="n">
        <f aca="false">ROUND(L228*Accounts!S58,2)</f>
        <v>0</v>
      </c>
      <c r="P228" s="17" t="n">
        <f aca="false">ROUND(L228*Accounts!T58,2)</f>
        <v>0</v>
      </c>
      <c r="Q228" s="17" t="n">
        <f aca="false">ROUND(L228*Accounts!U58,2)</f>
        <v>0</v>
      </c>
      <c r="R228" s="17" t="n">
        <f aca="false">ROUND(L228*Accounts!V58,2)</f>
        <v>1009.44</v>
      </c>
      <c r="S228" s="17" t="n">
        <f aca="false">ROUND(L228*Accounts!W58,2)</f>
        <v>0</v>
      </c>
      <c r="T228" s="17" t="n">
        <f aca="false">ROUND(L228-SUM(M228:S228),2)</f>
        <v>163866.1</v>
      </c>
      <c r="U228" s="17" t="n">
        <f aca="false">ROUND(F228*H228,2)</f>
        <v>120528</v>
      </c>
      <c r="V228" s="17" t="n">
        <f aca="false">ROUND(L228*Assumptions!$C$25,2)</f>
        <v>3364.81</v>
      </c>
      <c r="W228" s="17" t="n">
        <f aca="false">ROUND(T228-U228-V228,2)</f>
        <v>39973.29</v>
      </c>
      <c r="X228" s="28" t="n">
        <f aca="false">T228/I228</f>
        <v>0.789427005048753</v>
      </c>
      <c r="Y228" s="17" t="n">
        <f aca="false">T228/F228</f>
        <v>48.9444743130227</v>
      </c>
      <c r="Z228" s="26" t="n">
        <f aca="false">Accounts!H58</f>
        <v>5719</v>
      </c>
      <c r="AA228" s="28" t="n">
        <f aca="false">IF(Z228&gt;=Assumptions!$B$44,Assumptions!$C$44,IF(Z228&gt;=Assumptions!$B$45,Assumptions!$C$45,IF(Z228&gt;=Assumptions!$B$46,Assumptions!$C$46,Assumptions!$C$47)))</f>
        <v>0.02</v>
      </c>
      <c r="AB228" s="26" t="n">
        <f aca="false">IF(Z228&gt;=Assumptions!$B$44,Assumptions!$B$44,IF(Z228&gt;=Assumptions!$B$45,Assumptions!$B$45,IF(Z228&gt;=Assumptions!$B$46,Assumptions!$B$46,0)))</f>
        <v>3000</v>
      </c>
    </row>
    <row r="229" customFormat="false" ht="15" hidden="false" customHeight="false" outlineLevel="0" collapsed="false">
      <c r="B229" s="14" t="s">
        <v>93</v>
      </c>
      <c r="C229" s="14" t="s">
        <v>194</v>
      </c>
      <c r="D229" s="14" t="s">
        <v>184</v>
      </c>
      <c r="E229" s="14" t="s">
        <v>62</v>
      </c>
      <c r="F229" s="26" t="n">
        <f aca="false">Accounts!F66</f>
        <v>4756</v>
      </c>
      <c r="G229" s="17" t="n">
        <f aca="false">Assumptions!$D$9</f>
        <v>62</v>
      </c>
      <c r="H229" s="17" t="n">
        <f aca="false">Assumptions!$E$9</f>
        <v>36</v>
      </c>
      <c r="I229" s="17" t="n">
        <f aca="false">ROUND(F229*G229,2)</f>
        <v>294872</v>
      </c>
      <c r="J229" s="17" t="n">
        <f aca="false">ROUND(I229*Accounts!O66,2)</f>
        <v>11794.88</v>
      </c>
      <c r="K229" s="17" t="n">
        <f aca="false">ROUND(I229*Accounts!M66,2)</f>
        <v>11500.01</v>
      </c>
      <c r="L229" s="17" t="n">
        <f aca="false">ROUND(I229-J229-K229,2)</f>
        <v>271577.11</v>
      </c>
      <c r="M229" s="17" t="n">
        <f aca="false">ROUND(L229*AA229,2)</f>
        <v>5431.54</v>
      </c>
      <c r="N229" s="17" t="n">
        <f aca="false">ROUND(L229*Accounts!R66,2)</f>
        <v>0</v>
      </c>
      <c r="O229" s="17" t="n">
        <f aca="false">ROUND(L229*Accounts!S66,2)</f>
        <v>4073.66</v>
      </c>
      <c r="P229" s="17" t="n">
        <f aca="false">ROUND(L229*Accounts!T66,2)</f>
        <v>0</v>
      </c>
      <c r="Q229" s="17" t="n">
        <f aca="false">ROUND(L229*Accounts!U66,2)</f>
        <v>0</v>
      </c>
      <c r="R229" s="17" t="n">
        <f aca="false">ROUND(L229*Accounts!V66,2)</f>
        <v>1629.46</v>
      </c>
      <c r="S229" s="17" t="n">
        <f aca="false">ROUND(L229*Accounts!W66,2)</f>
        <v>0</v>
      </c>
      <c r="T229" s="17" t="n">
        <f aca="false">ROUND(L229-SUM(M229:S229),2)</f>
        <v>260442.45</v>
      </c>
      <c r="U229" s="17" t="n">
        <f aca="false">ROUND(F229*H229,2)</f>
        <v>171216</v>
      </c>
      <c r="V229" s="17" t="n">
        <f aca="false">ROUND(L229*Assumptions!$C$25,2)</f>
        <v>5431.54</v>
      </c>
      <c r="W229" s="17" t="n">
        <f aca="false">ROUND(T229-U229-V229,2)</f>
        <v>83794.91</v>
      </c>
      <c r="X229" s="28" t="n">
        <f aca="false">T229/I229</f>
        <v>0.883238998616349</v>
      </c>
      <c r="Y229" s="17" t="n">
        <f aca="false">T229/F229</f>
        <v>54.7608179142136</v>
      </c>
      <c r="Z229" s="26" t="n">
        <f aca="false">Accounts!H66</f>
        <v>9360</v>
      </c>
      <c r="AA229" s="28" t="n">
        <f aca="false">IF(Z229&gt;=Assumptions!$B$44,Assumptions!$C$44,IF(Z229&gt;=Assumptions!$B$45,Assumptions!$C$45,IF(Z229&gt;=Assumptions!$B$46,Assumptions!$C$46,Assumptions!$C$47)))</f>
        <v>0.02</v>
      </c>
      <c r="AB229" s="26" t="n">
        <f aca="false">IF(Z229&gt;=Assumptions!$B$44,Assumptions!$B$44,IF(Z229&gt;=Assumptions!$B$45,Assumptions!$B$45,IF(Z229&gt;=Assumptions!$B$46,Assumptions!$B$46,0)))</f>
        <v>3000</v>
      </c>
    </row>
    <row r="230" customFormat="false" ht="15" hidden="false" customHeight="false" outlineLevel="0" collapsed="false">
      <c r="B230" s="14" t="s">
        <v>222</v>
      </c>
      <c r="C230" s="14" t="s">
        <v>194</v>
      </c>
      <c r="D230" s="14" t="s">
        <v>218</v>
      </c>
      <c r="E230" s="14" t="s">
        <v>62</v>
      </c>
      <c r="F230" s="26" t="n">
        <f aca="false">Accounts!F74</f>
        <v>2107</v>
      </c>
      <c r="G230" s="17" t="n">
        <f aca="false">Assumptions!$D$9</f>
        <v>62</v>
      </c>
      <c r="H230" s="17" t="n">
        <f aca="false">Assumptions!$E$9</f>
        <v>36</v>
      </c>
      <c r="I230" s="17" t="n">
        <f aca="false">ROUND(F230*G230,2)</f>
        <v>130634</v>
      </c>
      <c r="J230" s="17" t="n">
        <f aca="false">ROUND(I230*Accounts!O74,2)</f>
        <v>5225.36</v>
      </c>
      <c r="K230" s="17" t="n">
        <f aca="false">ROUND(I230*Accounts!M74,2)</f>
        <v>0</v>
      </c>
      <c r="L230" s="17" t="n">
        <f aca="false">ROUND(I230-J230-K230,2)</f>
        <v>125408.64</v>
      </c>
      <c r="M230" s="17" t="n">
        <f aca="false">ROUND(L230*AA230,2)</f>
        <v>0</v>
      </c>
      <c r="N230" s="17" t="n">
        <f aca="false">ROUND(L230*Accounts!R74,2)</f>
        <v>0</v>
      </c>
      <c r="O230" s="17" t="n">
        <f aca="false">ROUND(L230*Accounts!S74,2)</f>
        <v>1881.13</v>
      </c>
      <c r="P230" s="17" t="n">
        <f aca="false">ROUND(L230*Accounts!T74,2)</f>
        <v>0</v>
      </c>
      <c r="Q230" s="17" t="n">
        <f aca="false">ROUND(L230*Accounts!U74,2)</f>
        <v>0</v>
      </c>
      <c r="R230" s="17" t="n">
        <f aca="false">ROUND(L230*Accounts!V74,2)</f>
        <v>752.45</v>
      </c>
      <c r="S230" s="17" t="n">
        <f aca="false">ROUND(L230*Accounts!W74,2)</f>
        <v>0</v>
      </c>
      <c r="T230" s="17" t="n">
        <f aca="false">ROUND(L230-SUM(M230:S230),2)</f>
        <v>122775.06</v>
      </c>
      <c r="U230" s="17" t="n">
        <f aca="false">ROUND(F230*H230,2)</f>
        <v>75852</v>
      </c>
      <c r="V230" s="17" t="n">
        <f aca="false">ROUND(L230*Assumptions!$C$25,2)</f>
        <v>2508.17</v>
      </c>
      <c r="W230" s="17" t="n">
        <f aca="false">ROUND(T230-U230-V230,2)</f>
        <v>44414.89</v>
      </c>
      <c r="X230" s="28" t="n">
        <f aca="false">T230/I230</f>
        <v>0.939840011023164</v>
      </c>
      <c r="Y230" s="17" t="n">
        <f aca="false">T230/F230</f>
        <v>58.2700806834362</v>
      </c>
      <c r="Z230" s="26" t="n">
        <f aca="false">Accounts!H74</f>
        <v>2107</v>
      </c>
      <c r="AA230" s="28" t="n">
        <f aca="false">IF(Z230&gt;=Assumptions!$B$44,Assumptions!$C$44,IF(Z230&gt;=Assumptions!$B$45,Assumptions!$C$45,IF(Z230&gt;=Assumptions!$B$46,Assumptions!$C$46,Assumptions!$C$47)))</f>
        <v>0</v>
      </c>
      <c r="AB230" s="26" t="n">
        <f aca="false">IF(Z230&gt;=Assumptions!$B$44,Assumptions!$B$44,IF(Z230&gt;=Assumptions!$B$45,Assumptions!$B$45,IF(Z230&gt;=Assumptions!$B$46,Assumptions!$B$46,0)))</f>
        <v>0</v>
      </c>
    </row>
    <row r="231" customFormat="false" ht="15" hidden="false" customHeight="false" outlineLevel="0" collapsed="false">
      <c r="B231" s="14" t="s">
        <v>239</v>
      </c>
      <c r="C231" s="14" t="s">
        <v>194</v>
      </c>
      <c r="D231" s="14" t="s">
        <v>235</v>
      </c>
      <c r="E231" s="14" t="s">
        <v>62</v>
      </c>
      <c r="F231" s="26" t="n">
        <f aca="false">Accounts!F89</f>
        <v>1483</v>
      </c>
      <c r="G231" s="17" t="n">
        <f aca="false">Assumptions!$D$9</f>
        <v>62</v>
      </c>
      <c r="H231" s="17" t="n">
        <f aca="false">Assumptions!$E$9</f>
        <v>36</v>
      </c>
      <c r="I231" s="17" t="n">
        <f aca="false">ROUND(F231*G231,2)</f>
        <v>91946</v>
      </c>
      <c r="J231" s="17" t="n">
        <f aca="false">ROUND(I231*Accounts!O89,2)</f>
        <v>1838.92</v>
      </c>
      <c r="K231" s="17" t="n">
        <f aca="false">ROUND(I231*Accounts!M89,2)</f>
        <v>3585.89</v>
      </c>
      <c r="L231" s="17" t="n">
        <f aca="false">ROUND(I231-J231-K231,2)</f>
        <v>86521.19</v>
      </c>
      <c r="M231" s="17" t="n">
        <f aca="false">ROUND(L231*AA231,2)</f>
        <v>0</v>
      </c>
      <c r="N231" s="17" t="n">
        <f aca="false">ROUND(L231*Accounts!R89,2)</f>
        <v>1730.42</v>
      </c>
      <c r="O231" s="17" t="n">
        <f aca="false">ROUND(L231*Accounts!S89,2)</f>
        <v>1297.82</v>
      </c>
      <c r="P231" s="17" t="n">
        <f aca="false">ROUND(L231*Accounts!T89,2)</f>
        <v>0</v>
      </c>
      <c r="Q231" s="17" t="n">
        <f aca="false">ROUND(L231*Accounts!U89,2)</f>
        <v>0</v>
      </c>
      <c r="R231" s="17" t="n">
        <f aca="false">ROUND(L231*Accounts!V89,2)</f>
        <v>519.13</v>
      </c>
      <c r="S231" s="17" t="n">
        <f aca="false">ROUND(L231*Accounts!W89,2)</f>
        <v>432.61</v>
      </c>
      <c r="T231" s="17" t="n">
        <f aca="false">ROUND(L231-SUM(M231:S231),2)</f>
        <v>82541.21</v>
      </c>
      <c r="U231" s="17" t="n">
        <f aca="false">ROUND(F231*H231,2)</f>
        <v>53388</v>
      </c>
      <c r="V231" s="17" t="n">
        <f aca="false">ROUND(L231*Assumptions!$C$25,2)</f>
        <v>1730.42</v>
      </c>
      <c r="W231" s="17" t="n">
        <f aca="false">ROUND(T231-U231-V231,2)</f>
        <v>27422.79</v>
      </c>
      <c r="X231" s="28" t="n">
        <f aca="false">T231/I231</f>
        <v>0.89771398429513</v>
      </c>
      <c r="Y231" s="17" t="n">
        <f aca="false">T231/F231</f>
        <v>55.6582670262981</v>
      </c>
      <c r="Z231" s="26" t="n">
        <f aca="false">Accounts!H89</f>
        <v>2649</v>
      </c>
      <c r="AA231" s="28" t="n">
        <f aca="false">IF(Z231&gt;=Assumptions!$B$44,Assumptions!$C$44,IF(Z231&gt;=Assumptions!$B$45,Assumptions!$C$45,IF(Z231&gt;=Assumptions!$B$46,Assumptions!$C$46,Assumptions!$C$47)))</f>
        <v>0</v>
      </c>
      <c r="AB231" s="26" t="n">
        <f aca="false">IF(Z231&gt;=Assumptions!$B$44,Assumptions!$B$44,IF(Z231&gt;=Assumptions!$B$45,Assumptions!$B$45,IF(Z231&gt;=Assumptions!$B$46,Assumptions!$B$46,0)))</f>
        <v>0</v>
      </c>
    </row>
    <row r="232" customFormat="false" ht="15" hidden="false" customHeight="false" outlineLevel="0" collapsed="false">
      <c r="B232" s="14" t="s">
        <v>247</v>
      </c>
      <c r="C232" s="14" t="s">
        <v>194</v>
      </c>
      <c r="D232" s="14" t="s">
        <v>243</v>
      </c>
      <c r="E232" s="14" t="s">
        <v>62</v>
      </c>
      <c r="F232" s="26" t="n">
        <f aca="false">Accounts!F96</f>
        <v>6039</v>
      </c>
      <c r="G232" s="17" t="n">
        <f aca="false">Assumptions!$D$9</f>
        <v>62</v>
      </c>
      <c r="H232" s="17" t="n">
        <f aca="false">Assumptions!$E$9</f>
        <v>36</v>
      </c>
      <c r="I232" s="17" t="n">
        <f aca="false">ROUND(F232*G232,2)</f>
        <v>374418</v>
      </c>
      <c r="J232" s="17" t="n">
        <f aca="false">ROUND(I232*Accounts!O96,2)</f>
        <v>14976.72</v>
      </c>
      <c r="K232" s="17" t="n">
        <f aca="false">ROUND(I232*Accounts!M96,2)</f>
        <v>38939.47</v>
      </c>
      <c r="L232" s="17" t="n">
        <f aca="false">ROUND(I232-J232-K232,2)</f>
        <v>320501.81</v>
      </c>
      <c r="M232" s="17" t="n">
        <f aca="false">ROUND(L232*AA232,2)</f>
        <v>11217.56</v>
      </c>
      <c r="N232" s="17" t="n">
        <f aca="false">ROUND(L232*Accounts!R96,2)</f>
        <v>0</v>
      </c>
      <c r="O232" s="17" t="n">
        <f aca="false">ROUND(L232*Accounts!S96,2)</f>
        <v>0</v>
      </c>
      <c r="P232" s="17" t="n">
        <f aca="false">ROUND(L232*Accounts!T96,2)</f>
        <v>0</v>
      </c>
      <c r="Q232" s="17" t="n">
        <f aca="false">ROUND(L232*Accounts!U96,2)</f>
        <v>0</v>
      </c>
      <c r="R232" s="17" t="n">
        <f aca="false">ROUND(L232*Accounts!V96,2)</f>
        <v>1923.01</v>
      </c>
      <c r="S232" s="17" t="n">
        <f aca="false">ROUND(L232*Accounts!W96,2)</f>
        <v>0</v>
      </c>
      <c r="T232" s="17" t="n">
        <f aca="false">ROUND(L232-SUM(M232:S232),2)</f>
        <v>307361.24</v>
      </c>
      <c r="U232" s="17" t="n">
        <f aca="false">ROUND(F232*H232,2)</f>
        <v>217404</v>
      </c>
      <c r="V232" s="17" t="n">
        <f aca="false">ROUND(L232*Assumptions!$C$25,2)</f>
        <v>6410.04</v>
      </c>
      <c r="W232" s="17" t="n">
        <f aca="false">ROUND(T232-U232-V232,2)</f>
        <v>83547.2</v>
      </c>
      <c r="X232" s="28" t="n">
        <f aca="false">T232/I232</f>
        <v>0.820904016366735</v>
      </c>
      <c r="Y232" s="17" t="n">
        <f aca="false">T232/F232</f>
        <v>50.8960490147375</v>
      </c>
      <c r="Z232" s="26" t="n">
        <f aca="false">Accounts!H96</f>
        <v>14397</v>
      </c>
      <c r="AA232" s="28" t="n">
        <f aca="false">IF(Z232&gt;=Assumptions!$B$44,Assumptions!$C$44,IF(Z232&gt;=Assumptions!$B$45,Assumptions!$C$45,IF(Z232&gt;=Assumptions!$B$46,Assumptions!$C$46,Assumptions!$C$47)))</f>
        <v>0.035</v>
      </c>
      <c r="AB232" s="26" t="n">
        <f aca="false">IF(Z232&gt;=Assumptions!$B$44,Assumptions!$B$44,IF(Z232&gt;=Assumptions!$B$45,Assumptions!$B$45,IF(Z232&gt;=Assumptions!$B$46,Assumptions!$B$46,0)))</f>
        <v>10000</v>
      </c>
    </row>
    <row r="233" customFormat="false" ht="15" hidden="false" customHeight="false" outlineLevel="0" collapsed="false">
      <c r="B233" s="14" t="s">
        <v>255</v>
      </c>
      <c r="C233" s="14" t="s">
        <v>194</v>
      </c>
      <c r="D233" s="14" t="s">
        <v>251</v>
      </c>
      <c r="E233" s="14" t="s">
        <v>62</v>
      </c>
      <c r="F233" s="26" t="n">
        <f aca="false">Accounts!F103</f>
        <v>1188</v>
      </c>
      <c r="G233" s="17" t="n">
        <f aca="false">Assumptions!$D$9</f>
        <v>62</v>
      </c>
      <c r="H233" s="17" t="n">
        <f aca="false">Assumptions!$E$9</f>
        <v>36</v>
      </c>
      <c r="I233" s="17" t="n">
        <f aca="false">ROUND(F233*G233,2)</f>
        <v>73656</v>
      </c>
      <c r="J233" s="17" t="n">
        <f aca="false">ROUND(I233*Accounts!O103,2)</f>
        <v>2946.24</v>
      </c>
      <c r="K233" s="17" t="n">
        <f aca="false">ROUND(I233*Accounts!M103,2)</f>
        <v>0</v>
      </c>
      <c r="L233" s="17" t="n">
        <f aca="false">ROUND(I233-J233-K233,2)</f>
        <v>70709.76</v>
      </c>
      <c r="M233" s="17" t="n">
        <f aca="false">ROUND(L233*AA233,2)</f>
        <v>0</v>
      </c>
      <c r="N233" s="17" t="n">
        <f aca="false">ROUND(L233*Accounts!R103,2)</f>
        <v>0</v>
      </c>
      <c r="O233" s="17" t="n">
        <f aca="false">ROUND(L233*Accounts!S103,2)</f>
        <v>0</v>
      </c>
      <c r="P233" s="17" t="n">
        <f aca="false">ROUND(L233*Accounts!T103,2)</f>
        <v>0</v>
      </c>
      <c r="Q233" s="17" t="n">
        <f aca="false">ROUND(L233*Accounts!U103,2)</f>
        <v>0</v>
      </c>
      <c r="R233" s="17" t="n">
        <f aca="false">ROUND(L233*Accounts!V103,2)</f>
        <v>424.26</v>
      </c>
      <c r="S233" s="17" t="n">
        <f aca="false">ROUND(L233*Accounts!W103,2)</f>
        <v>353.55</v>
      </c>
      <c r="T233" s="17" t="n">
        <f aca="false">ROUND(L233-SUM(M233:S233),2)</f>
        <v>69931.95</v>
      </c>
      <c r="U233" s="17" t="n">
        <f aca="false">ROUND(F233*H233,2)</f>
        <v>42768</v>
      </c>
      <c r="V233" s="17" t="n">
        <f aca="false">ROUND(L233*Assumptions!$C$25,2)</f>
        <v>1414.2</v>
      </c>
      <c r="W233" s="17" t="n">
        <f aca="false">ROUND(T233-U233-V233,2)</f>
        <v>25749.75</v>
      </c>
      <c r="X233" s="28" t="n">
        <f aca="false">T233/I233</f>
        <v>0.949439964157706</v>
      </c>
      <c r="Y233" s="17" t="n">
        <f aca="false">T233/F233</f>
        <v>58.8652777777778</v>
      </c>
      <c r="Z233" s="26" t="n">
        <f aca="false">Accounts!H103</f>
        <v>2084</v>
      </c>
      <c r="AA233" s="28" t="n">
        <f aca="false">IF(Z233&gt;=Assumptions!$B$44,Assumptions!$C$44,IF(Z233&gt;=Assumptions!$B$45,Assumptions!$C$45,IF(Z233&gt;=Assumptions!$B$46,Assumptions!$C$46,Assumptions!$C$47)))</f>
        <v>0</v>
      </c>
      <c r="AB233" s="26" t="n">
        <f aca="false">IF(Z233&gt;=Assumptions!$B$44,Assumptions!$B$44,IF(Z233&gt;=Assumptions!$B$45,Assumptions!$B$45,IF(Z233&gt;=Assumptions!$B$46,Assumptions!$B$46,0)))</f>
        <v>0</v>
      </c>
    </row>
    <row r="234" customFormat="false" ht="15" hidden="false" customHeight="false" outlineLevel="0" collapsed="false">
      <c r="B234" s="14" t="s">
        <v>199</v>
      </c>
      <c r="C234" s="14" t="s">
        <v>194</v>
      </c>
      <c r="D234" s="14" t="s">
        <v>163</v>
      </c>
      <c r="E234" s="14" t="s">
        <v>62</v>
      </c>
      <c r="F234" s="26" t="n">
        <f aca="false">Accounts!F51</f>
        <v>5806</v>
      </c>
      <c r="G234" s="17" t="n">
        <f aca="false">Assumptions!$D$9</f>
        <v>62</v>
      </c>
      <c r="H234" s="17" t="n">
        <f aca="false">Assumptions!$E$9</f>
        <v>36</v>
      </c>
      <c r="I234" s="17" t="n">
        <f aca="false">ROUND(F234*G234,2)</f>
        <v>359972</v>
      </c>
      <c r="J234" s="17" t="n">
        <f aca="false">ROUND(I234*Accounts!O51,2)</f>
        <v>14398.88</v>
      </c>
      <c r="K234" s="17" t="n">
        <f aca="false">ROUND(I234*Accounts!M51,2)</f>
        <v>0</v>
      </c>
      <c r="L234" s="17" t="n">
        <f aca="false">ROUND(I234-J234-K234,2)</f>
        <v>345573.12</v>
      </c>
      <c r="M234" s="17" t="n">
        <f aca="false">ROUND(L234*AA234,2)</f>
        <v>12095.06</v>
      </c>
      <c r="N234" s="17" t="n">
        <f aca="false">ROUND(L234*Accounts!R51,2)</f>
        <v>0</v>
      </c>
      <c r="O234" s="17" t="n">
        <f aca="false">ROUND(L234*Accounts!S51,2)</f>
        <v>5183.6</v>
      </c>
      <c r="P234" s="17" t="n">
        <f aca="false">ROUND(L234*Accounts!T51,2)</f>
        <v>0</v>
      </c>
      <c r="Q234" s="17" t="n">
        <f aca="false">ROUND(L234*Accounts!U51,2)</f>
        <v>0</v>
      </c>
      <c r="R234" s="17" t="n">
        <f aca="false">ROUND(L234*Accounts!V51,2)</f>
        <v>2073.44</v>
      </c>
      <c r="S234" s="17" t="n">
        <f aca="false">ROUND(L234*Accounts!W51,2)</f>
        <v>1727.87</v>
      </c>
      <c r="T234" s="17" t="n">
        <f aca="false">ROUND(L234-SUM(M234:S234),2)</f>
        <v>324493.15</v>
      </c>
      <c r="U234" s="17" t="n">
        <f aca="false">ROUND(F234*H234,2)</f>
        <v>209016</v>
      </c>
      <c r="V234" s="17" t="n">
        <f aca="false">ROUND(L234*Assumptions!$C$25,2)</f>
        <v>6911.46</v>
      </c>
      <c r="W234" s="17" t="n">
        <f aca="false">ROUND(T234-U234-V234,2)</f>
        <v>108565.69</v>
      </c>
      <c r="X234" s="28" t="n">
        <f aca="false">T234/I234</f>
        <v>0.90143997310902</v>
      </c>
      <c r="Y234" s="17" t="n">
        <f aca="false">T234/F234</f>
        <v>55.8892783327592</v>
      </c>
      <c r="Z234" s="26" t="n">
        <f aca="false">Accounts!H51</f>
        <v>10406</v>
      </c>
      <c r="AA234" s="28" t="n">
        <f aca="false">IF(Z234&gt;=Assumptions!$B$44,Assumptions!$C$44,IF(Z234&gt;=Assumptions!$B$45,Assumptions!$C$45,IF(Z234&gt;=Assumptions!$B$46,Assumptions!$C$46,Assumptions!$C$47)))</f>
        <v>0.035</v>
      </c>
      <c r="AB234" s="26" t="n">
        <f aca="false">IF(Z234&gt;=Assumptions!$B$44,Assumptions!$B$44,IF(Z234&gt;=Assumptions!$B$45,Assumptions!$B$45,IF(Z234&gt;=Assumptions!$B$46,Assumptions!$B$46,0)))</f>
        <v>10000</v>
      </c>
    </row>
    <row r="235" customFormat="false" ht="15" hidden="false" customHeight="false" outlineLevel="0" collapsed="false">
      <c r="B235" s="14" t="s">
        <v>207</v>
      </c>
      <c r="C235" s="14" t="s">
        <v>194</v>
      </c>
      <c r="D235" s="14" t="s">
        <v>174</v>
      </c>
      <c r="E235" s="14" t="s">
        <v>62</v>
      </c>
      <c r="F235" s="26" t="n">
        <f aca="false">Accounts!F59</f>
        <v>757</v>
      </c>
      <c r="G235" s="17" t="n">
        <f aca="false">Assumptions!$D$9</f>
        <v>62</v>
      </c>
      <c r="H235" s="17" t="n">
        <f aca="false">Assumptions!$E$9</f>
        <v>36</v>
      </c>
      <c r="I235" s="17" t="n">
        <f aca="false">ROUND(F235*G235,2)</f>
        <v>46934</v>
      </c>
      <c r="J235" s="17" t="n">
        <f aca="false">ROUND(I235*Accounts!O59,2)</f>
        <v>938.68</v>
      </c>
      <c r="K235" s="17" t="n">
        <f aca="false">ROUND(I235*Accounts!M59,2)</f>
        <v>0</v>
      </c>
      <c r="L235" s="17" t="n">
        <f aca="false">ROUND(I235-J235-K235,2)</f>
        <v>45995.32</v>
      </c>
      <c r="M235" s="17" t="n">
        <f aca="false">ROUND(L235*AA235,2)</f>
        <v>0</v>
      </c>
      <c r="N235" s="17" t="n">
        <f aca="false">ROUND(L235*Accounts!R59,2)</f>
        <v>919.91</v>
      </c>
      <c r="O235" s="17" t="n">
        <f aca="false">ROUND(L235*Accounts!S59,2)</f>
        <v>689.93</v>
      </c>
      <c r="P235" s="17" t="n">
        <f aca="false">ROUND(L235*Accounts!T59,2)</f>
        <v>0</v>
      </c>
      <c r="Q235" s="17" t="n">
        <f aca="false">ROUND(L235*Accounts!U59,2)</f>
        <v>0</v>
      </c>
      <c r="R235" s="17" t="n">
        <f aca="false">ROUND(L235*Accounts!V59,2)</f>
        <v>275.97</v>
      </c>
      <c r="S235" s="17" t="n">
        <f aca="false">ROUND(L235*Accounts!W59,2)</f>
        <v>0</v>
      </c>
      <c r="T235" s="17" t="n">
        <f aca="false">ROUND(L235-SUM(M235:S235),2)</f>
        <v>44109.51</v>
      </c>
      <c r="U235" s="17" t="n">
        <f aca="false">ROUND(F235*H235,2)</f>
        <v>27252</v>
      </c>
      <c r="V235" s="17" t="n">
        <f aca="false">ROUND(L235*Assumptions!$C$25,2)</f>
        <v>919.91</v>
      </c>
      <c r="W235" s="17" t="n">
        <f aca="false">ROUND(T235-U235-V235,2)</f>
        <v>15937.6</v>
      </c>
      <c r="X235" s="28" t="n">
        <f aca="false">T235/I235</f>
        <v>0.939819959943751</v>
      </c>
      <c r="Y235" s="17" t="n">
        <f aca="false">T235/F235</f>
        <v>58.2688375165126</v>
      </c>
      <c r="Z235" s="26" t="n">
        <f aca="false">Accounts!H59</f>
        <v>1346</v>
      </c>
      <c r="AA235" s="28" t="n">
        <f aca="false">IF(Z235&gt;=Assumptions!$B$44,Assumptions!$C$44,IF(Z235&gt;=Assumptions!$B$45,Assumptions!$C$45,IF(Z235&gt;=Assumptions!$B$46,Assumptions!$C$46,Assumptions!$C$47)))</f>
        <v>0</v>
      </c>
      <c r="AB235" s="26" t="n">
        <f aca="false">IF(Z235&gt;=Assumptions!$B$44,Assumptions!$B$44,IF(Z235&gt;=Assumptions!$B$45,Assumptions!$B$45,IF(Z235&gt;=Assumptions!$B$46,Assumptions!$B$46,0)))</f>
        <v>0</v>
      </c>
    </row>
    <row r="236" customFormat="false" ht="15" hidden="false" customHeight="false" outlineLevel="0" collapsed="false">
      <c r="B236" s="14" t="s">
        <v>223</v>
      </c>
      <c r="C236" s="14" t="s">
        <v>194</v>
      </c>
      <c r="D236" s="14" t="s">
        <v>218</v>
      </c>
      <c r="E236" s="14" t="s">
        <v>62</v>
      </c>
      <c r="F236" s="26" t="n">
        <f aca="false">Accounts!F75</f>
        <v>1121</v>
      </c>
      <c r="G236" s="17" t="n">
        <f aca="false">Assumptions!$D$9</f>
        <v>62</v>
      </c>
      <c r="H236" s="17" t="n">
        <f aca="false">Assumptions!$E$9</f>
        <v>36</v>
      </c>
      <c r="I236" s="17" t="n">
        <f aca="false">ROUND(F236*G236,2)</f>
        <v>69502</v>
      </c>
      <c r="J236" s="17" t="n">
        <f aca="false">ROUND(I236*Accounts!O75,2)</f>
        <v>2780.08</v>
      </c>
      <c r="K236" s="17" t="n">
        <f aca="false">ROUND(I236*Accounts!M75,2)</f>
        <v>2710.58</v>
      </c>
      <c r="L236" s="17" t="n">
        <f aca="false">ROUND(I236-J236-K236,2)</f>
        <v>64011.34</v>
      </c>
      <c r="M236" s="17" t="n">
        <f aca="false">ROUND(L236*AA236,2)</f>
        <v>0</v>
      </c>
      <c r="N236" s="17" t="n">
        <f aca="false">ROUND(L236*Accounts!R75,2)</f>
        <v>0</v>
      </c>
      <c r="O236" s="17" t="n">
        <f aca="false">ROUND(L236*Accounts!S75,2)</f>
        <v>0</v>
      </c>
      <c r="P236" s="17" t="n">
        <f aca="false">ROUND(L236*Accounts!T75,2)</f>
        <v>0</v>
      </c>
      <c r="Q236" s="17" t="n">
        <f aca="false">ROUND(L236*Accounts!U75,2)</f>
        <v>0</v>
      </c>
      <c r="R236" s="17" t="n">
        <f aca="false">ROUND(L236*Accounts!V75,2)</f>
        <v>384.07</v>
      </c>
      <c r="S236" s="17" t="n">
        <f aca="false">ROUND(L236*Accounts!W75,2)</f>
        <v>320.06</v>
      </c>
      <c r="T236" s="17" t="n">
        <f aca="false">ROUND(L236-SUM(M236:S236),2)</f>
        <v>63307.21</v>
      </c>
      <c r="U236" s="17" t="n">
        <f aca="false">ROUND(F236*H236,2)</f>
        <v>40356</v>
      </c>
      <c r="V236" s="17" t="n">
        <f aca="false">ROUND(L236*Assumptions!$C$25,2)</f>
        <v>1280.23</v>
      </c>
      <c r="W236" s="17" t="n">
        <f aca="false">ROUND(T236-U236-V236,2)</f>
        <v>21670.98</v>
      </c>
      <c r="X236" s="28" t="n">
        <f aca="false">T236/I236</f>
        <v>0.910868895859112</v>
      </c>
      <c r="Y236" s="17" t="n">
        <f aca="false">T236/F236</f>
        <v>56.4738715432649</v>
      </c>
      <c r="Z236" s="26" t="n">
        <f aca="false">Accounts!H75</f>
        <v>2264</v>
      </c>
      <c r="AA236" s="28" t="n">
        <f aca="false">IF(Z236&gt;=Assumptions!$B$44,Assumptions!$C$44,IF(Z236&gt;=Assumptions!$B$45,Assumptions!$C$45,IF(Z236&gt;=Assumptions!$B$46,Assumptions!$C$46,Assumptions!$C$47)))</f>
        <v>0</v>
      </c>
      <c r="AB236" s="26" t="n">
        <f aca="false">IF(Z236&gt;=Assumptions!$B$44,Assumptions!$B$44,IF(Z236&gt;=Assumptions!$B$45,Assumptions!$B$45,IF(Z236&gt;=Assumptions!$B$46,Assumptions!$B$46,0)))</f>
        <v>0</v>
      </c>
    </row>
    <row r="237" customFormat="false" ht="15" hidden="false" customHeight="false" outlineLevel="0" collapsed="false">
      <c r="B237" s="14" t="s">
        <v>240</v>
      </c>
      <c r="C237" s="14" t="s">
        <v>194</v>
      </c>
      <c r="D237" s="14" t="s">
        <v>235</v>
      </c>
      <c r="E237" s="14" t="s">
        <v>62</v>
      </c>
      <c r="F237" s="26" t="n">
        <f aca="false">Accounts!F90</f>
        <v>1210</v>
      </c>
      <c r="G237" s="17" t="n">
        <f aca="false">Assumptions!$D$9</f>
        <v>62</v>
      </c>
      <c r="H237" s="17" t="n">
        <f aca="false">Assumptions!$E$9</f>
        <v>36</v>
      </c>
      <c r="I237" s="17" t="n">
        <f aca="false">ROUND(F237*G237,2)</f>
        <v>75020</v>
      </c>
      <c r="J237" s="17" t="n">
        <f aca="false">ROUND(I237*Accounts!O90,2)</f>
        <v>3000.8</v>
      </c>
      <c r="K237" s="17" t="n">
        <f aca="false">ROUND(I237*Accounts!M90,2)</f>
        <v>9752.6</v>
      </c>
      <c r="L237" s="17" t="n">
        <f aca="false">ROUND(I237-J237-K237,2)</f>
        <v>62266.6</v>
      </c>
      <c r="M237" s="17" t="n">
        <f aca="false">ROUND(L237*AA237,2)</f>
        <v>0</v>
      </c>
      <c r="N237" s="17" t="n">
        <f aca="false">ROUND(L237*Accounts!R90,2)</f>
        <v>1245.33</v>
      </c>
      <c r="O237" s="17" t="n">
        <f aca="false">ROUND(L237*Accounts!S90,2)</f>
        <v>934</v>
      </c>
      <c r="P237" s="17" t="n">
        <f aca="false">ROUND(L237*Accounts!T90,2)</f>
        <v>0</v>
      </c>
      <c r="Q237" s="17" t="n">
        <f aca="false">ROUND(L237*Accounts!U90,2)</f>
        <v>0</v>
      </c>
      <c r="R237" s="17" t="n">
        <f aca="false">ROUND(L237*Accounts!V90,2)</f>
        <v>373.6</v>
      </c>
      <c r="S237" s="17" t="n">
        <f aca="false">ROUND(L237*Accounts!W90,2)</f>
        <v>311.33</v>
      </c>
      <c r="T237" s="17" t="n">
        <f aca="false">ROUND(L237-SUM(M237:S237),2)</f>
        <v>59402.34</v>
      </c>
      <c r="U237" s="17" t="n">
        <f aca="false">ROUND(F237*H237,2)</f>
        <v>43560</v>
      </c>
      <c r="V237" s="17" t="n">
        <f aca="false">ROUND(L237*Assumptions!$C$25,2)</f>
        <v>1245.33</v>
      </c>
      <c r="W237" s="17" t="n">
        <f aca="false">ROUND(T237-U237-V237,2)</f>
        <v>14597.01</v>
      </c>
      <c r="X237" s="28" t="n">
        <f aca="false">T237/I237</f>
        <v>0.791820047987203</v>
      </c>
      <c r="Y237" s="17" t="n">
        <f aca="false">T237/F237</f>
        <v>49.0928429752066</v>
      </c>
      <c r="Z237" s="26" t="n">
        <f aca="false">Accounts!H90</f>
        <v>1432</v>
      </c>
      <c r="AA237" s="28" t="n">
        <f aca="false">IF(Z237&gt;=Assumptions!$B$44,Assumptions!$C$44,IF(Z237&gt;=Assumptions!$B$45,Assumptions!$C$45,IF(Z237&gt;=Assumptions!$B$46,Assumptions!$C$46,Assumptions!$C$47)))</f>
        <v>0</v>
      </c>
      <c r="AB237" s="26" t="n">
        <f aca="false">IF(Z237&gt;=Assumptions!$B$44,Assumptions!$B$44,IF(Z237&gt;=Assumptions!$B$45,Assumptions!$B$45,IF(Z237&gt;=Assumptions!$B$46,Assumptions!$B$46,0)))</f>
        <v>0</v>
      </c>
    </row>
    <row r="238" customFormat="false" ht="15" hidden="false" customHeight="false" outlineLevel="0" collapsed="false">
      <c r="B238" s="14" t="s">
        <v>248</v>
      </c>
      <c r="C238" s="14" t="s">
        <v>194</v>
      </c>
      <c r="D238" s="14" t="s">
        <v>243</v>
      </c>
      <c r="E238" s="14" t="s">
        <v>62</v>
      </c>
      <c r="F238" s="26" t="n">
        <f aca="false">Accounts!F97</f>
        <v>1109</v>
      </c>
      <c r="G238" s="17" t="n">
        <f aca="false">Assumptions!$D$9</f>
        <v>62</v>
      </c>
      <c r="H238" s="17" t="n">
        <f aca="false">Assumptions!$E$9</f>
        <v>36</v>
      </c>
      <c r="I238" s="17" t="n">
        <f aca="false">ROUND(F238*G238,2)</f>
        <v>68758</v>
      </c>
      <c r="J238" s="17" t="n">
        <f aca="false">ROUND(I238*Accounts!O97,2)</f>
        <v>2750.32</v>
      </c>
      <c r="K238" s="17" t="n">
        <f aca="false">ROUND(I238*Accounts!M97,2)</f>
        <v>5363.12</v>
      </c>
      <c r="L238" s="17" t="n">
        <f aca="false">ROUND(I238-J238-K238,2)</f>
        <v>60644.56</v>
      </c>
      <c r="M238" s="17" t="n">
        <f aca="false">ROUND(L238*AA238,2)</f>
        <v>0</v>
      </c>
      <c r="N238" s="17" t="n">
        <f aca="false">ROUND(L238*Accounts!R97,2)</f>
        <v>1212.89</v>
      </c>
      <c r="O238" s="17" t="n">
        <f aca="false">ROUND(L238*Accounts!S97,2)</f>
        <v>0</v>
      </c>
      <c r="P238" s="17" t="n">
        <f aca="false">ROUND(L238*Accounts!T97,2)</f>
        <v>0</v>
      </c>
      <c r="Q238" s="17" t="n">
        <f aca="false">ROUND(L238*Accounts!U97,2)</f>
        <v>0</v>
      </c>
      <c r="R238" s="17" t="n">
        <f aca="false">ROUND(L238*Accounts!V97,2)</f>
        <v>363.87</v>
      </c>
      <c r="S238" s="17" t="n">
        <f aca="false">ROUND(L238*Accounts!W97,2)</f>
        <v>0</v>
      </c>
      <c r="T238" s="17" t="n">
        <f aca="false">ROUND(L238-SUM(M238:S238),2)</f>
        <v>59067.8</v>
      </c>
      <c r="U238" s="17" t="n">
        <f aca="false">ROUND(F238*H238,2)</f>
        <v>39924</v>
      </c>
      <c r="V238" s="17" t="n">
        <f aca="false">ROUND(L238*Assumptions!$C$25,2)</f>
        <v>1212.89</v>
      </c>
      <c r="W238" s="17" t="n">
        <f aca="false">ROUND(T238-U238-V238,2)</f>
        <v>17930.91</v>
      </c>
      <c r="X238" s="28" t="n">
        <f aca="false">T238/I238</f>
        <v>0.85906803571948</v>
      </c>
      <c r="Y238" s="17" t="n">
        <f aca="false">T238/F238</f>
        <v>53.2622182146078</v>
      </c>
      <c r="Z238" s="26" t="n">
        <f aca="false">Accounts!H97</f>
        <v>2106</v>
      </c>
      <c r="AA238" s="28" t="n">
        <f aca="false">IF(Z238&gt;=Assumptions!$B$44,Assumptions!$C$44,IF(Z238&gt;=Assumptions!$B$45,Assumptions!$C$45,IF(Z238&gt;=Assumptions!$B$46,Assumptions!$C$46,Assumptions!$C$47)))</f>
        <v>0</v>
      </c>
      <c r="AB238" s="26" t="n">
        <f aca="false">IF(Z238&gt;=Assumptions!$B$44,Assumptions!$B$44,IF(Z238&gt;=Assumptions!$B$45,Assumptions!$B$45,IF(Z238&gt;=Assumptions!$B$46,Assumptions!$B$46,0)))</f>
        <v>0</v>
      </c>
    </row>
    <row r="239" customFormat="false" ht="15" hidden="false" customHeight="false" outlineLevel="0" collapsed="false">
      <c r="B239" s="14" t="s">
        <v>256</v>
      </c>
      <c r="C239" s="14" t="s">
        <v>194</v>
      </c>
      <c r="D239" s="14" t="s">
        <v>251</v>
      </c>
      <c r="E239" s="14" t="s">
        <v>62</v>
      </c>
      <c r="F239" s="26" t="n">
        <f aca="false">Accounts!F104</f>
        <v>1014</v>
      </c>
      <c r="G239" s="17" t="n">
        <f aca="false">Assumptions!$D$9</f>
        <v>62</v>
      </c>
      <c r="H239" s="17" t="n">
        <f aca="false">Assumptions!$E$9</f>
        <v>36</v>
      </c>
      <c r="I239" s="17" t="n">
        <f aca="false">ROUND(F239*G239,2)</f>
        <v>62868</v>
      </c>
      <c r="J239" s="17" t="n">
        <f aca="false">ROUND(I239*Accounts!O104,2)</f>
        <v>2514.72</v>
      </c>
      <c r="K239" s="17" t="n">
        <f aca="false">ROUND(I239*Accounts!M104,2)</f>
        <v>8581.48</v>
      </c>
      <c r="L239" s="17" t="n">
        <f aca="false">ROUND(I239-J239-K239,2)</f>
        <v>51771.8</v>
      </c>
      <c r="M239" s="17" t="n">
        <f aca="false">ROUND(L239*AA239,2)</f>
        <v>0</v>
      </c>
      <c r="N239" s="17" t="n">
        <f aca="false">ROUND(L239*Accounts!R104,2)</f>
        <v>0</v>
      </c>
      <c r="O239" s="17" t="n">
        <f aca="false">ROUND(L239*Accounts!S104,2)</f>
        <v>0</v>
      </c>
      <c r="P239" s="17" t="n">
        <f aca="false">ROUND(L239*Accounts!T104,2)</f>
        <v>0</v>
      </c>
      <c r="Q239" s="17" t="n">
        <f aca="false">ROUND(L239*Accounts!U104,2)</f>
        <v>0</v>
      </c>
      <c r="R239" s="17" t="n">
        <f aca="false">ROUND(L239*Accounts!V104,2)</f>
        <v>310.63</v>
      </c>
      <c r="S239" s="17" t="n">
        <f aca="false">ROUND(L239*Accounts!W104,2)</f>
        <v>258.86</v>
      </c>
      <c r="T239" s="17" t="n">
        <f aca="false">ROUND(L239-SUM(M239:S239),2)</f>
        <v>51202.31</v>
      </c>
      <c r="U239" s="17" t="n">
        <f aca="false">ROUND(F239*H239,2)</f>
        <v>36504</v>
      </c>
      <c r="V239" s="17" t="n">
        <f aca="false">ROUND(L239*Assumptions!$C$25,2)</f>
        <v>1035.44</v>
      </c>
      <c r="W239" s="17" t="n">
        <f aca="false">ROUND(T239-U239-V239,2)</f>
        <v>13662.87</v>
      </c>
      <c r="X239" s="28" t="n">
        <f aca="false">T239/I239</f>
        <v>0.814441528281479</v>
      </c>
      <c r="Y239" s="17" t="n">
        <f aca="false">T239/F239</f>
        <v>50.4953747534517</v>
      </c>
      <c r="Z239" s="26" t="n">
        <f aca="false">Accounts!H104</f>
        <v>1996</v>
      </c>
      <c r="AA239" s="28" t="n">
        <f aca="false">IF(Z239&gt;=Assumptions!$B$44,Assumptions!$C$44,IF(Z239&gt;=Assumptions!$B$45,Assumptions!$C$45,IF(Z239&gt;=Assumptions!$B$46,Assumptions!$C$46,Assumptions!$C$47)))</f>
        <v>0</v>
      </c>
      <c r="AB239" s="26" t="n">
        <f aca="false">IF(Z239&gt;=Assumptions!$B$44,Assumptions!$B$44,IF(Z239&gt;=Assumptions!$B$45,Assumptions!$B$45,IF(Z239&gt;=Assumptions!$B$46,Assumptions!$B$46,0)))</f>
        <v>0</v>
      </c>
    </row>
    <row r="240" customFormat="false" ht="15" hidden="false" customHeight="false" outlineLevel="0" collapsed="false">
      <c r="B240" s="14" t="s">
        <v>200</v>
      </c>
      <c r="C240" s="14" t="s">
        <v>194</v>
      </c>
      <c r="D240" s="14" t="s">
        <v>163</v>
      </c>
      <c r="E240" s="14" t="s">
        <v>62</v>
      </c>
      <c r="F240" s="26" t="n">
        <f aca="false">Accounts!F52</f>
        <v>1043</v>
      </c>
      <c r="G240" s="17" t="n">
        <f aca="false">Assumptions!$D$9</f>
        <v>62</v>
      </c>
      <c r="H240" s="17" t="n">
        <f aca="false">Assumptions!$E$9</f>
        <v>36</v>
      </c>
      <c r="I240" s="17" t="n">
        <f aca="false">ROUND(F240*G240,2)</f>
        <v>64666</v>
      </c>
      <c r="J240" s="17" t="n">
        <f aca="false">ROUND(I240*Accounts!O52,2)</f>
        <v>1293.32</v>
      </c>
      <c r="K240" s="17" t="n">
        <f aca="false">ROUND(I240*Accounts!M52,2)</f>
        <v>0</v>
      </c>
      <c r="L240" s="17" t="n">
        <f aca="false">ROUND(I240-J240-K240,2)</f>
        <v>63372.68</v>
      </c>
      <c r="M240" s="17" t="n">
        <f aca="false">ROUND(L240*AA240,2)</f>
        <v>0</v>
      </c>
      <c r="N240" s="17" t="n">
        <f aca="false">ROUND(L240*Accounts!R52,2)</f>
        <v>0</v>
      </c>
      <c r="O240" s="17" t="n">
        <f aca="false">ROUND(L240*Accounts!S52,2)</f>
        <v>0</v>
      </c>
      <c r="P240" s="17" t="n">
        <f aca="false">ROUND(L240*Accounts!T52,2)</f>
        <v>0</v>
      </c>
      <c r="Q240" s="17" t="n">
        <f aca="false">ROUND(L240*Accounts!U52,2)</f>
        <v>0</v>
      </c>
      <c r="R240" s="17" t="n">
        <f aca="false">ROUND(L240*Accounts!V52,2)</f>
        <v>380.24</v>
      </c>
      <c r="S240" s="17" t="n">
        <f aca="false">ROUND(L240*Accounts!W52,2)</f>
        <v>316.86</v>
      </c>
      <c r="T240" s="17" t="n">
        <f aca="false">ROUND(L240-SUM(M240:S240),2)</f>
        <v>62675.58</v>
      </c>
      <c r="U240" s="17" t="n">
        <f aca="false">ROUND(F240*H240,2)</f>
        <v>37548</v>
      </c>
      <c r="V240" s="17" t="n">
        <f aca="false">ROUND(L240*Assumptions!$C$25,2)</f>
        <v>1267.45</v>
      </c>
      <c r="W240" s="17" t="n">
        <f aca="false">ROUND(T240-U240-V240,2)</f>
        <v>23860.13</v>
      </c>
      <c r="X240" s="28" t="n">
        <f aca="false">T240/I240</f>
        <v>0.96921999195868</v>
      </c>
      <c r="Y240" s="17" t="n">
        <f aca="false">T240/F240</f>
        <v>60.0916395014382</v>
      </c>
      <c r="Z240" s="26" t="n">
        <f aca="false">Accounts!H52</f>
        <v>1862</v>
      </c>
      <c r="AA240" s="28" t="n">
        <f aca="false">IF(Z240&gt;=Assumptions!$B$44,Assumptions!$C$44,IF(Z240&gt;=Assumptions!$B$45,Assumptions!$C$45,IF(Z240&gt;=Assumptions!$B$46,Assumptions!$C$46,Assumptions!$C$47)))</f>
        <v>0</v>
      </c>
      <c r="AB240" s="26" t="n">
        <f aca="false">IF(Z240&gt;=Assumptions!$B$44,Assumptions!$B$44,IF(Z240&gt;=Assumptions!$B$45,Assumptions!$B$45,IF(Z240&gt;=Assumptions!$B$46,Assumptions!$B$46,0)))</f>
        <v>0</v>
      </c>
    </row>
    <row r="241" customFormat="false" ht="15" hidden="false" customHeight="false" outlineLevel="0" collapsed="false">
      <c r="B241" s="14" t="s">
        <v>208</v>
      </c>
      <c r="C241" s="14" t="s">
        <v>194</v>
      </c>
      <c r="D241" s="14" t="s">
        <v>174</v>
      </c>
      <c r="E241" s="14" t="s">
        <v>62</v>
      </c>
      <c r="F241" s="26" t="n">
        <f aca="false">Accounts!F60</f>
        <v>1523</v>
      </c>
      <c r="G241" s="17" t="n">
        <f aca="false">Assumptions!$D$9</f>
        <v>62</v>
      </c>
      <c r="H241" s="17" t="n">
        <f aca="false">Assumptions!$E$9</f>
        <v>36</v>
      </c>
      <c r="I241" s="17" t="n">
        <f aca="false">ROUND(F241*G241,2)</f>
        <v>94426</v>
      </c>
      <c r="J241" s="17" t="n">
        <f aca="false">ROUND(I241*Accounts!O60,2)</f>
        <v>3777.04</v>
      </c>
      <c r="K241" s="17" t="n">
        <f aca="false">ROUND(I241*Accounts!M60,2)</f>
        <v>6751.46</v>
      </c>
      <c r="L241" s="17" t="n">
        <f aca="false">ROUND(I241-J241-K241,2)</f>
        <v>83897.5</v>
      </c>
      <c r="M241" s="17" t="n">
        <f aca="false">ROUND(L241*AA241,2)</f>
        <v>0</v>
      </c>
      <c r="N241" s="17" t="n">
        <f aca="false">ROUND(L241*Accounts!R60,2)</f>
        <v>0</v>
      </c>
      <c r="O241" s="17" t="n">
        <f aca="false">ROUND(L241*Accounts!S60,2)</f>
        <v>0</v>
      </c>
      <c r="P241" s="17" t="n">
        <f aca="false">ROUND(L241*Accounts!T60,2)</f>
        <v>0</v>
      </c>
      <c r="Q241" s="17" t="n">
        <f aca="false">ROUND(L241*Accounts!U60,2)</f>
        <v>0</v>
      </c>
      <c r="R241" s="17" t="n">
        <f aca="false">ROUND(L241*Accounts!V60,2)</f>
        <v>503.39</v>
      </c>
      <c r="S241" s="17" t="n">
        <f aca="false">ROUND(L241*Accounts!W60,2)</f>
        <v>0</v>
      </c>
      <c r="T241" s="17" t="n">
        <f aca="false">ROUND(L241-SUM(M241:S241),2)</f>
        <v>83394.11</v>
      </c>
      <c r="U241" s="17" t="n">
        <f aca="false">ROUND(F241*H241,2)</f>
        <v>54828</v>
      </c>
      <c r="V241" s="17" t="n">
        <f aca="false">ROUND(L241*Assumptions!$C$25,2)</f>
        <v>1677.95</v>
      </c>
      <c r="W241" s="17" t="n">
        <f aca="false">ROUND(T241-U241-V241,2)</f>
        <v>26888.16</v>
      </c>
      <c r="X241" s="28" t="n">
        <f aca="false">T241/I241</f>
        <v>0.883168936521721</v>
      </c>
      <c r="Y241" s="17" t="n">
        <f aca="false">T241/F241</f>
        <v>54.7564740643467</v>
      </c>
      <c r="Z241" s="26" t="n">
        <f aca="false">Accounts!H60</f>
        <v>2764</v>
      </c>
      <c r="AA241" s="28" t="n">
        <f aca="false">IF(Z241&gt;=Assumptions!$B$44,Assumptions!$C$44,IF(Z241&gt;=Assumptions!$B$45,Assumptions!$C$45,IF(Z241&gt;=Assumptions!$B$46,Assumptions!$C$46,Assumptions!$C$47)))</f>
        <v>0</v>
      </c>
      <c r="AB241" s="26" t="n">
        <f aca="false">IF(Z241&gt;=Assumptions!$B$44,Assumptions!$B$44,IF(Z241&gt;=Assumptions!$B$45,Assumptions!$B$45,IF(Z241&gt;=Assumptions!$B$46,Assumptions!$B$46,0)))</f>
        <v>0</v>
      </c>
    </row>
    <row r="242" customFormat="false" ht="15" hidden="false" customHeight="false" outlineLevel="0" collapsed="false">
      <c r="B242" s="14" t="s">
        <v>215</v>
      </c>
      <c r="C242" s="14" t="s">
        <v>194</v>
      </c>
      <c r="D242" s="14" t="s">
        <v>184</v>
      </c>
      <c r="E242" s="14" t="s">
        <v>62</v>
      </c>
      <c r="F242" s="26" t="n">
        <f aca="false">Accounts!F68</f>
        <v>2255</v>
      </c>
      <c r="G242" s="17" t="n">
        <f aca="false">Assumptions!$D$9</f>
        <v>62</v>
      </c>
      <c r="H242" s="17" t="n">
        <f aca="false">Assumptions!$E$9</f>
        <v>36</v>
      </c>
      <c r="I242" s="17" t="n">
        <f aca="false">ROUND(F242*G242,2)</f>
        <v>139810</v>
      </c>
      <c r="J242" s="17" t="n">
        <f aca="false">ROUND(I242*Accounts!O68,2)</f>
        <v>5592.4</v>
      </c>
      <c r="K242" s="17" t="n">
        <f aca="false">ROUND(I242*Accounts!M68,2)</f>
        <v>908.77</v>
      </c>
      <c r="L242" s="17" t="n">
        <f aca="false">ROUND(I242-J242-K242,2)</f>
        <v>133308.83</v>
      </c>
      <c r="M242" s="17" t="n">
        <f aca="false">ROUND(L242*AA242,2)</f>
        <v>2666.18</v>
      </c>
      <c r="N242" s="17" t="n">
        <f aca="false">ROUND(L242*Accounts!R68,2)</f>
        <v>0</v>
      </c>
      <c r="O242" s="17" t="n">
        <f aca="false">ROUND(L242*Accounts!S68,2)</f>
        <v>0</v>
      </c>
      <c r="P242" s="17" t="n">
        <f aca="false">ROUND(L242*Accounts!T68,2)</f>
        <v>0</v>
      </c>
      <c r="Q242" s="17" t="n">
        <f aca="false">ROUND(L242*Accounts!U68,2)</f>
        <v>0</v>
      </c>
      <c r="R242" s="17" t="n">
        <f aca="false">ROUND(L242*Accounts!V68,2)</f>
        <v>799.85</v>
      </c>
      <c r="S242" s="17" t="n">
        <f aca="false">ROUND(L242*Accounts!W68,2)</f>
        <v>666.54</v>
      </c>
      <c r="T242" s="17" t="n">
        <f aca="false">ROUND(L242-SUM(M242:S242),2)</f>
        <v>129176.26</v>
      </c>
      <c r="U242" s="17" t="n">
        <f aca="false">ROUND(F242*H242,2)</f>
        <v>81180</v>
      </c>
      <c r="V242" s="17" t="n">
        <f aca="false">ROUND(L242*Assumptions!$C$25,2)</f>
        <v>2666.18</v>
      </c>
      <c r="W242" s="17" t="n">
        <f aca="false">ROUND(T242-U242-V242,2)</f>
        <v>45330.08</v>
      </c>
      <c r="X242" s="28" t="n">
        <f aca="false">T242/I242</f>
        <v>0.923941492024891</v>
      </c>
      <c r="Y242" s="17" t="n">
        <f aca="false">T242/F242</f>
        <v>57.2843725055432</v>
      </c>
      <c r="Z242" s="26" t="n">
        <f aca="false">Accounts!H68</f>
        <v>4226</v>
      </c>
      <c r="AA242" s="28" t="n">
        <f aca="false">IF(Z242&gt;=Assumptions!$B$44,Assumptions!$C$44,IF(Z242&gt;=Assumptions!$B$45,Assumptions!$C$45,IF(Z242&gt;=Assumptions!$B$46,Assumptions!$C$46,Assumptions!$C$47)))</f>
        <v>0.02</v>
      </c>
      <c r="AB242" s="26" t="n">
        <f aca="false">IF(Z242&gt;=Assumptions!$B$44,Assumptions!$B$44,IF(Z242&gt;=Assumptions!$B$45,Assumptions!$B$45,IF(Z242&gt;=Assumptions!$B$46,Assumptions!$B$46,0)))</f>
        <v>3000</v>
      </c>
    </row>
    <row r="243" customFormat="false" ht="15" hidden="false" customHeight="false" outlineLevel="0" collapsed="false">
      <c r="B243" s="14" t="s">
        <v>233</v>
      </c>
      <c r="C243" s="14" t="s">
        <v>194</v>
      </c>
      <c r="D243" s="14" t="s">
        <v>227</v>
      </c>
      <c r="E243" s="14" t="s">
        <v>62</v>
      </c>
      <c r="F243" s="26" t="n">
        <f aca="false">Accounts!F84</f>
        <v>1045</v>
      </c>
      <c r="G243" s="17" t="n">
        <f aca="false">Assumptions!$D$9</f>
        <v>62</v>
      </c>
      <c r="H243" s="17" t="n">
        <f aca="false">Assumptions!$E$9</f>
        <v>36</v>
      </c>
      <c r="I243" s="17" t="n">
        <f aca="false">ROUND(F243*G243,2)</f>
        <v>64790</v>
      </c>
      <c r="J243" s="17" t="n">
        <f aca="false">ROUND(I243*Accounts!O84,2)</f>
        <v>1295.8</v>
      </c>
      <c r="K243" s="17" t="n">
        <f aca="false">ROUND(I243*Accounts!M84,2)</f>
        <v>5895.89</v>
      </c>
      <c r="L243" s="17" t="n">
        <f aca="false">ROUND(I243-J243-K243,2)</f>
        <v>57598.31</v>
      </c>
      <c r="M243" s="17" t="n">
        <f aca="false">ROUND(L243*AA243,2)</f>
        <v>0</v>
      </c>
      <c r="N243" s="17" t="n">
        <f aca="false">ROUND(L243*Accounts!R84,2)</f>
        <v>0</v>
      </c>
      <c r="O243" s="17" t="n">
        <f aca="false">ROUND(L243*Accounts!S84,2)</f>
        <v>863.97</v>
      </c>
      <c r="P243" s="17" t="n">
        <f aca="false">ROUND(L243*Accounts!T84,2)</f>
        <v>0</v>
      </c>
      <c r="Q243" s="17" t="n">
        <f aca="false">ROUND(L243*Accounts!U84,2)</f>
        <v>0</v>
      </c>
      <c r="R243" s="17" t="n">
        <f aca="false">ROUND(L243*Accounts!V84,2)</f>
        <v>345.59</v>
      </c>
      <c r="S243" s="17" t="n">
        <f aca="false">ROUND(L243*Accounts!W84,2)</f>
        <v>0</v>
      </c>
      <c r="T243" s="17" t="n">
        <f aca="false">ROUND(L243-SUM(M243:S243),2)</f>
        <v>56388.75</v>
      </c>
      <c r="U243" s="17" t="n">
        <f aca="false">ROUND(F243*H243,2)</f>
        <v>37620</v>
      </c>
      <c r="V243" s="17" t="n">
        <f aca="false">ROUND(L243*Assumptions!$C$25,2)</f>
        <v>1151.97</v>
      </c>
      <c r="W243" s="17" t="n">
        <f aca="false">ROUND(T243-U243-V243,2)</f>
        <v>17616.78</v>
      </c>
      <c r="X243" s="28" t="n">
        <f aca="false">T243/I243</f>
        <v>0.870331069609508</v>
      </c>
      <c r="Y243" s="17" t="n">
        <f aca="false">T243/F243</f>
        <v>53.9605263157895</v>
      </c>
      <c r="Z243" s="26" t="n">
        <f aca="false">Accounts!H84</f>
        <v>1722</v>
      </c>
      <c r="AA243" s="28" t="n">
        <f aca="false">IF(Z243&gt;=Assumptions!$B$44,Assumptions!$C$44,IF(Z243&gt;=Assumptions!$B$45,Assumptions!$C$45,IF(Z243&gt;=Assumptions!$B$46,Assumptions!$C$46,Assumptions!$C$47)))</f>
        <v>0</v>
      </c>
      <c r="AB243" s="26" t="n">
        <f aca="false">IF(Z243&gt;=Assumptions!$B$44,Assumptions!$B$44,IF(Z243&gt;=Assumptions!$B$45,Assumptions!$B$45,IF(Z243&gt;=Assumptions!$B$46,Assumptions!$B$46,0)))</f>
        <v>0</v>
      </c>
    </row>
    <row r="244" customFormat="false" ht="15" hidden="false" customHeight="false" outlineLevel="0" collapsed="false">
      <c r="B244" s="14" t="s">
        <v>241</v>
      </c>
      <c r="C244" s="14" t="s">
        <v>194</v>
      </c>
      <c r="D244" s="14" t="s">
        <v>235</v>
      </c>
      <c r="E244" s="14" t="s">
        <v>62</v>
      </c>
      <c r="F244" s="26" t="n">
        <f aca="false">Accounts!F91</f>
        <v>891</v>
      </c>
      <c r="G244" s="17" t="n">
        <f aca="false">Assumptions!$D$9</f>
        <v>62</v>
      </c>
      <c r="H244" s="17" t="n">
        <f aca="false">Assumptions!$E$9</f>
        <v>36</v>
      </c>
      <c r="I244" s="17" t="n">
        <f aca="false">ROUND(F244*G244,2)</f>
        <v>55242</v>
      </c>
      <c r="J244" s="17" t="n">
        <f aca="false">ROUND(I244*Accounts!O91,2)</f>
        <v>1104.84</v>
      </c>
      <c r="K244" s="17" t="n">
        <f aca="false">ROUND(I244*Accounts!M91,2)</f>
        <v>4667.95</v>
      </c>
      <c r="L244" s="17" t="n">
        <f aca="false">ROUND(I244-J244-K244,2)</f>
        <v>49469.21</v>
      </c>
      <c r="M244" s="17" t="n">
        <f aca="false">ROUND(L244*AA244,2)</f>
        <v>0</v>
      </c>
      <c r="N244" s="17" t="n">
        <f aca="false">ROUND(L244*Accounts!R91,2)</f>
        <v>0</v>
      </c>
      <c r="O244" s="17" t="n">
        <f aca="false">ROUND(L244*Accounts!S91,2)</f>
        <v>0</v>
      </c>
      <c r="P244" s="17" t="n">
        <f aca="false">ROUND(L244*Accounts!T91,2)</f>
        <v>0</v>
      </c>
      <c r="Q244" s="17" t="n">
        <f aca="false">ROUND(L244*Accounts!U91,2)</f>
        <v>0</v>
      </c>
      <c r="R244" s="17" t="n">
        <f aca="false">ROUND(L244*Accounts!V91,2)</f>
        <v>296.82</v>
      </c>
      <c r="S244" s="17" t="n">
        <f aca="false">ROUND(L244*Accounts!W91,2)</f>
        <v>0</v>
      </c>
      <c r="T244" s="17" t="n">
        <f aca="false">ROUND(L244-SUM(M244:S244),2)</f>
        <v>49172.39</v>
      </c>
      <c r="U244" s="17" t="n">
        <f aca="false">ROUND(F244*H244,2)</f>
        <v>32076</v>
      </c>
      <c r="V244" s="17" t="n">
        <f aca="false">ROUND(L244*Assumptions!$C$25,2)</f>
        <v>989.38</v>
      </c>
      <c r="W244" s="17" t="n">
        <f aca="false">ROUND(T244-U244-V244,2)</f>
        <v>16107.01</v>
      </c>
      <c r="X244" s="28" t="n">
        <f aca="false">T244/I244</f>
        <v>0.890126896202165</v>
      </c>
      <c r="Y244" s="17" t="n">
        <f aca="false">T244/F244</f>
        <v>55.1878675645342</v>
      </c>
      <c r="Z244" s="26" t="n">
        <f aca="false">Accounts!H91</f>
        <v>1317</v>
      </c>
      <c r="AA244" s="28" t="n">
        <f aca="false">IF(Z244&gt;=Assumptions!$B$44,Assumptions!$C$44,IF(Z244&gt;=Assumptions!$B$45,Assumptions!$C$45,IF(Z244&gt;=Assumptions!$B$46,Assumptions!$C$46,Assumptions!$C$47)))</f>
        <v>0</v>
      </c>
      <c r="AB244" s="26" t="n">
        <f aca="false">IF(Z244&gt;=Assumptions!$B$44,Assumptions!$B$44,IF(Z244&gt;=Assumptions!$B$45,Assumptions!$B$45,IF(Z244&gt;=Assumptions!$B$46,Assumptions!$B$46,0)))</f>
        <v>0</v>
      </c>
    </row>
    <row r="245" customFormat="false" ht="15" hidden="false" customHeight="false" outlineLevel="0" collapsed="false">
      <c r="B245" s="14" t="s">
        <v>249</v>
      </c>
      <c r="C245" s="14" t="s">
        <v>194</v>
      </c>
      <c r="D245" s="14" t="s">
        <v>243</v>
      </c>
      <c r="E245" s="14" t="s">
        <v>62</v>
      </c>
      <c r="F245" s="26" t="n">
        <f aca="false">Accounts!F98</f>
        <v>1714</v>
      </c>
      <c r="G245" s="17" t="n">
        <f aca="false">Assumptions!$D$9</f>
        <v>62</v>
      </c>
      <c r="H245" s="17" t="n">
        <f aca="false">Assumptions!$E$9</f>
        <v>36</v>
      </c>
      <c r="I245" s="17" t="n">
        <f aca="false">ROUND(F245*G245,2)</f>
        <v>106268</v>
      </c>
      <c r="J245" s="17" t="n">
        <f aca="false">ROUND(I245*Accounts!O98,2)</f>
        <v>4250.72</v>
      </c>
      <c r="K245" s="17" t="n">
        <f aca="false">ROUND(I245*Accounts!M98,2)</f>
        <v>6907.42</v>
      </c>
      <c r="L245" s="17" t="n">
        <f aca="false">ROUND(I245-J245-K245,2)</f>
        <v>95109.86</v>
      </c>
      <c r="M245" s="17" t="n">
        <f aca="false">ROUND(L245*AA245,2)</f>
        <v>1902.2</v>
      </c>
      <c r="N245" s="17" t="n">
        <f aca="false">ROUND(L245*Accounts!R98,2)</f>
        <v>1902.2</v>
      </c>
      <c r="O245" s="17" t="n">
        <f aca="false">ROUND(L245*Accounts!S98,2)</f>
        <v>1426.65</v>
      </c>
      <c r="P245" s="17" t="n">
        <f aca="false">ROUND(L245*Accounts!T98,2)</f>
        <v>0</v>
      </c>
      <c r="Q245" s="17" t="n">
        <f aca="false">ROUND(L245*Accounts!U98,2)</f>
        <v>0</v>
      </c>
      <c r="R245" s="17" t="n">
        <f aca="false">ROUND(L245*Accounts!V98,2)</f>
        <v>570.66</v>
      </c>
      <c r="S245" s="17" t="n">
        <f aca="false">ROUND(L245*Accounts!W98,2)</f>
        <v>0</v>
      </c>
      <c r="T245" s="17" t="n">
        <f aca="false">ROUND(L245-SUM(M245:S245),2)</f>
        <v>89308.15</v>
      </c>
      <c r="U245" s="17" t="n">
        <f aca="false">ROUND(F245*H245,2)</f>
        <v>61704</v>
      </c>
      <c r="V245" s="17" t="n">
        <f aca="false">ROUND(L245*Assumptions!$C$25,2)</f>
        <v>1902.2</v>
      </c>
      <c r="W245" s="17" t="n">
        <f aca="false">ROUND(T245-U245-V245,2)</f>
        <v>25701.95</v>
      </c>
      <c r="X245" s="28" t="n">
        <f aca="false">T245/I245</f>
        <v>0.840404919637144</v>
      </c>
      <c r="Y245" s="17" t="n">
        <f aca="false">T245/F245</f>
        <v>52.1051050175029</v>
      </c>
      <c r="Z245" s="26" t="n">
        <f aca="false">Accounts!H98</f>
        <v>3311</v>
      </c>
      <c r="AA245" s="28" t="n">
        <f aca="false">IF(Z245&gt;=Assumptions!$B$44,Assumptions!$C$44,IF(Z245&gt;=Assumptions!$B$45,Assumptions!$C$45,IF(Z245&gt;=Assumptions!$B$46,Assumptions!$C$46,Assumptions!$C$47)))</f>
        <v>0.02</v>
      </c>
      <c r="AB245" s="26" t="n">
        <f aca="false">IF(Z245&gt;=Assumptions!$B$44,Assumptions!$B$44,IF(Z245&gt;=Assumptions!$B$45,Assumptions!$B$45,IF(Z245&gt;=Assumptions!$B$46,Assumptions!$B$46,0)))</f>
        <v>3000</v>
      </c>
    </row>
    <row r="246" customFormat="false" ht="15" hidden="false" customHeight="false" outlineLevel="0" collapsed="false">
      <c r="B246" s="14" t="s">
        <v>257</v>
      </c>
      <c r="C246" s="14" t="s">
        <v>194</v>
      </c>
      <c r="D246" s="14" t="s">
        <v>251</v>
      </c>
      <c r="E246" s="14" t="s">
        <v>62</v>
      </c>
      <c r="F246" s="26" t="n">
        <f aca="false">Accounts!F105</f>
        <v>2535</v>
      </c>
      <c r="G246" s="17" t="n">
        <f aca="false">Assumptions!$D$9</f>
        <v>62</v>
      </c>
      <c r="H246" s="17" t="n">
        <f aca="false">Assumptions!$E$9</f>
        <v>36</v>
      </c>
      <c r="I246" s="17" t="n">
        <f aca="false">ROUND(F246*G246,2)</f>
        <v>157170</v>
      </c>
      <c r="J246" s="17" t="n">
        <f aca="false">ROUND(I246*Accounts!O105,2)</f>
        <v>6286.8</v>
      </c>
      <c r="K246" s="17" t="n">
        <f aca="false">ROUND(I246*Accounts!M105,2)</f>
        <v>7151.24</v>
      </c>
      <c r="L246" s="17" t="n">
        <f aca="false">ROUND(I246-J246-K246,2)</f>
        <v>143731.96</v>
      </c>
      <c r="M246" s="17" t="n">
        <f aca="false">ROUND(L246*AA246,2)</f>
        <v>2874.64</v>
      </c>
      <c r="N246" s="17" t="n">
        <f aca="false">ROUND(L246*Accounts!R105,2)</f>
        <v>2874.64</v>
      </c>
      <c r="O246" s="17" t="n">
        <f aca="false">ROUND(L246*Accounts!S105,2)</f>
        <v>0</v>
      </c>
      <c r="P246" s="17" t="n">
        <f aca="false">ROUND(L246*Accounts!T105,2)</f>
        <v>0</v>
      </c>
      <c r="Q246" s="17" t="n">
        <f aca="false">ROUND(L246*Accounts!U105,2)</f>
        <v>0</v>
      </c>
      <c r="R246" s="17" t="n">
        <f aca="false">ROUND(L246*Accounts!V105,2)</f>
        <v>862.39</v>
      </c>
      <c r="S246" s="17" t="n">
        <f aca="false">ROUND(L246*Accounts!W105,2)</f>
        <v>718.66</v>
      </c>
      <c r="T246" s="17" t="n">
        <f aca="false">ROUND(L246-SUM(M246:S246),2)</f>
        <v>136401.63</v>
      </c>
      <c r="U246" s="17" t="n">
        <f aca="false">ROUND(F246*H246,2)</f>
        <v>91260</v>
      </c>
      <c r="V246" s="17" t="n">
        <f aca="false">ROUND(L246*Assumptions!$C$25,2)</f>
        <v>2874.64</v>
      </c>
      <c r="W246" s="17" t="n">
        <f aca="false">ROUND(T246-U246-V246,2)</f>
        <v>42266.99</v>
      </c>
      <c r="X246" s="28" t="n">
        <f aca="false">T246/I246</f>
        <v>0.867860469555259</v>
      </c>
      <c r="Y246" s="17" t="n">
        <f aca="false">T246/F246</f>
        <v>53.807349112426</v>
      </c>
      <c r="Z246" s="26" t="n">
        <f aca="false">Accounts!H105</f>
        <v>4605</v>
      </c>
      <c r="AA246" s="28" t="n">
        <f aca="false">IF(Z246&gt;=Assumptions!$B$44,Assumptions!$C$44,IF(Z246&gt;=Assumptions!$B$45,Assumptions!$C$45,IF(Z246&gt;=Assumptions!$B$46,Assumptions!$C$46,Assumptions!$C$47)))</f>
        <v>0.02</v>
      </c>
      <c r="AB246" s="26" t="n">
        <f aca="false">IF(Z246&gt;=Assumptions!$B$44,Assumptions!$B$44,IF(Z246&gt;=Assumptions!$B$45,Assumptions!$B$45,IF(Z246&gt;=Assumptions!$B$46,Assumptions!$B$46,0)))</f>
        <v>3000</v>
      </c>
    </row>
    <row r="247" customFormat="false" ht="15" hidden="false" customHeight="false" outlineLevel="0" collapsed="false">
      <c r="B247" s="14" t="s">
        <v>201</v>
      </c>
      <c r="C247" s="14" t="s">
        <v>194</v>
      </c>
      <c r="D247" s="14" t="s">
        <v>163</v>
      </c>
      <c r="E247" s="14" t="s">
        <v>62</v>
      </c>
      <c r="F247" s="26" t="n">
        <f aca="false">Accounts!F53</f>
        <v>1879</v>
      </c>
      <c r="G247" s="17" t="n">
        <f aca="false">Assumptions!$D$9</f>
        <v>62</v>
      </c>
      <c r="H247" s="17" t="n">
        <f aca="false">Assumptions!$E$9</f>
        <v>36</v>
      </c>
      <c r="I247" s="17" t="n">
        <f aca="false">ROUND(F247*G247,2)</f>
        <v>116498</v>
      </c>
      <c r="J247" s="17" t="n">
        <f aca="false">ROUND(I247*Accounts!O53,2)</f>
        <v>4659.92</v>
      </c>
      <c r="K247" s="17" t="n">
        <f aca="false">ROUND(I247*Accounts!M53,2)</f>
        <v>15144.74</v>
      </c>
      <c r="L247" s="17" t="n">
        <f aca="false">ROUND(I247-J247-K247,2)</f>
        <v>96693.34</v>
      </c>
      <c r="M247" s="17" t="n">
        <f aca="false">ROUND(L247*AA247,2)</f>
        <v>0</v>
      </c>
      <c r="N247" s="17" t="n">
        <f aca="false">ROUND(L247*Accounts!R53,2)</f>
        <v>0</v>
      </c>
      <c r="O247" s="17" t="n">
        <f aca="false">ROUND(L247*Accounts!S53,2)</f>
        <v>0</v>
      </c>
      <c r="P247" s="17" t="n">
        <f aca="false">ROUND(L247*Accounts!T53,2)</f>
        <v>0</v>
      </c>
      <c r="Q247" s="17" t="n">
        <f aca="false">ROUND(L247*Accounts!U53,2)</f>
        <v>0</v>
      </c>
      <c r="R247" s="17" t="n">
        <f aca="false">ROUND(L247*Accounts!V53,2)</f>
        <v>580.16</v>
      </c>
      <c r="S247" s="17" t="n">
        <f aca="false">ROUND(L247*Accounts!W53,2)</f>
        <v>0</v>
      </c>
      <c r="T247" s="17" t="n">
        <f aca="false">ROUND(L247-SUM(M247:S247),2)</f>
        <v>96113.18</v>
      </c>
      <c r="U247" s="17" t="n">
        <f aca="false">ROUND(F247*H247,2)</f>
        <v>67644</v>
      </c>
      <c r="V247" s="17" t="n">
        <f aca="false">ROUND(L247*Assumptions!$C$25,2)</f>
        <v>1933.87</v>
      </c>
      <c r="W247" s="17" t="n">
        <f aca="false">ROUND(T247-U247-V247,2)</f>
        <v>26535.31</v>
      </c>
      <c r="X247" s="28" t="n">
        <f aca="false">T247/I247</f>
        <v>0.825020000343353</v>
      </c>
      <c r="Y247" s="17" t="n">
        <f aca="false">T247/F247</f>
        <v>51.1512400212879</v>
      </c>
      <c r="Z247" s="26" t="n">
        <f aca="false">Accounts!H53</f>
        <v>2483</v>
      </c>
      <c r="AA247" s="28" t="n">
        <f aca="false">IF(Z247&gt;=Assumptions!$B$44,Assumptions!$C$44,IF(Z247&gt;=Assumptions!$B$45,Assumptions!$C$45,IF(Z247&gt;=Assumptions!$B$46,Assumptions!$C$46,Assumptions!$C$47)))</f>
        <v>0</v>
      </c>
      <c r="AB247" s="26" t="n">
        <f aca="false">IF(Z247&gt;=Assumptions!$B$44,Assumptions!$B$44,IF(Z247&gt;=Assumptions!$B$45,Assumptions!$B$45,IF(Z247&gt;=Assumptions!$B$46,Assumptions!$B$46,0)))</f>
        <v>0</v>
      </c>
    </row>
    <row r="248" customFormat="false" ht="15" hidden="false" customHeight="false" outlineLevel="0" collapsed="false">
      <c r="B248" s="14" t="s">
        <v>209</v>
      </c>
      <c r="C248" s="14" t="s">
        <v>194</v>
      </c>
      <c r="D248" s="14" t="s">
        <v>174</v>
      </c>
      <c r="E248" s="14" t="s">
        <v>62</v>
      </c>
      <c r="F248" s="26" t="n">
        <f aca="false">Accounts!F61</f>
        <v>923</v>
      </c>
      <c r="G248" s="17" t="n">
        <f aca="false">Assumptions!$D$9</f>
        <v>62</v>
      </c>
      <c r="H248" s="17" t="n">
        <f aca="false">Assumptions!$E$9</f>
        <v>36</v>
      </c>
      <c r="I248" s="17" t="n">
        <f aca="false">ROUND(F248*G248,2)</f>
        <v>57226</v>
      </c>
      <c r="J248" s="17" t="n">
        <f aca="false">ROUND(I248*Accounts!O61,2)</f>
        <v>2289.04</v>
      </c>
      <c r="K248" s="17" t="n">
        <f aca="false">ROUND(I248*Accounts!M61,2)</f>
        <v>1859.85</v>
      </c>
      <c r="L248" s="17" t="n">
        <f aca="false">ROUND(I248-J248-K248,2)</f>
        <v>53077.11</v>
      </c>
      <c r="M248" s="17" t="n">
        <f aca="false">ROUND(L248*AA248,2)</f>
        <v>0</v>
      </c>
      <c r="N248" s="17" t="n">
        <f aca="false">ROUND(L248*Accounts!R61,2)</f>
        <v>1061.54</v>
      </c>
      <c r="O248" s="17" t="n">
        <f aca="false">ROUND(L248*Accounts!S61,2)</f>
        <v>796.16</v>
      </c>
      <c r="P248" s="17" t="n">
        <f aca="false">ROUND(L248*Accounts!T61,2)</f>
        <v>0</v>
      </c>
      <c r="Q248" s="17" t="n">
        <f aca="false">ROUND(L248*Accounts!U61,2)</f>
        <v>0</v>
      </c>
      <c r="R248" s="17" t="n">
        <f aca="false">ROUND(L248*Accounts!V61,2)</f>
        <v>318.46</v>
      </c>
      <c r="S248" s="17" t="n">
        <f aca="false">ROUND(L248*Accounts!W61,2)</f>
        <v>0</v>
      </c>
      <c r="T248" s="17" t="n">
        <f aca="false">ROUND(L248-SUM(M248:S248),2)</f>
        <v>50900.95</v>
      </c>
      <c r="U248" s="17" t="n">
        <f aca="false">ROUND(F248*H248,2)</f>
        <v>33228</v>
      </c>
      <c r="V248" s="17" t="n">
        <f aca="false">ROUND(L248*Assumptions!$C$25,2)</f>
        <v>1061.54</v>
      </c>
      <c r="W248" s="17" t="n">
        <f aca="false">ROUND(T248-U248-V248,2)</f>
        <v>16611.41</v>
      </c>
      <c r="X248" s="28" t="n">
        <f aca="false">T248/I248</f>
        <v>0.889472442596023</v>
      </c>
      <c r="Y248" s="17" t="n">
        <f aca="false">T248/F248</f>
        <v>55.1472914409534</v>
      </c>
      <c r="Z248" s="26" t="n">
        <f aca="false">Accounts!H61</f>
        <v>923</v>
      </c>
      <c r="AA248" s="28" t="n">
        <f aca="false">IF(Z248&gt;=Assumptions!$B$44,Assumptions!$C$44,IF(Z248&gt;=Assumptions!$B$45,Assumptions!$C$45,IF(Z248&gt;=Assumptions!$B$46,Assumptions!$C$46,Assumptions!$C$47)))</f>
        <v>0</v>
      </c>
      <c r="AB248" s="26" t="n">
        <f aca="false">IF(Z248&gt;=Assumptions!$B$44,Assumptions!$B$44,IF(Z248&gt;=Assumptions!$B$45,Assumptions!$B$45,IF(Z248&gt;=Assumptions!$B$46,Assumptions!$B$46,0)))</f>
        <v>0</v>
      </c>
    </row>
    <row r="249" customFormat="false" ht="15" hidden="false" customHeight="false" outlineLevel="0" collapsed="false">
      <c r="B249" s="14" t="s">
        <v>225</v>
      </c>
      <c r="C249" s="14" t="s">
        <v>194</v>
      </c>
      <c r="D249" s="14" t="s">
        <v>218</v>
      </c>
      <c r="E249" s="14" t="s">
        <v>62</v>
      </c>
      <c r="F249" s="26" t="n">
        <f aca="false">Accounts!F77</f>
        <v>1289</v>
      </c>
      <c r="G249" s="17" t="n">
        <f aca="false">Assumptions!$D$9</f>
        <v>62</v>
      </c>
      <c r="H249" s="17" t="n">
        <f aca="false">Assumptions!$E$9</f>
        <v>36</v>
      </c>
      <c r="I249" s="17" t="n">
        <f aca="false">ROUND(F249*G249,2)</f>
        <v>79918</v>
      </c>
      <c r="J249" s="17" t="n">
        <f aca="false">ROUND(I249*Accounts!O77,2)</f>
        <v>3196.72</v>
      </c>
      <c r="K249" s="17" t="n">
        <f aca="false">ROUND(I249*Accounts!M77,2)</f>
        <v>3116.8</v>
      </c>
      <c r="L249" s="17" t="n">
        <f aca="false">ROUND(I249-J249-K249,2)</f>
        <v>73604.48</v>
      </c>
      <c r="M249" s="17" t="n">
        <f aca="false">ROUND(L249*AA249,2)</f>
        <v>0</v>
      </c>
      <c r="N249" s="17" t="n">
        <f aca="false">ROUND(L249*Accounts!R77,2)</f>
        <v>1472.09</v>
      </c>
      <c r="O249" s="17" t="n">
        <f aca="false">ROUND(L249*Accounts!S77,2)</f>
        <v>0</v>
      </c>
      <c r="P249" s="17" t="n">
        <f aca="false">ROUND(L249*Accounts!T77,2)</f>
        <v>0</v>
      </c>
      <c r="Q249" s="17" t="n">
        <f aca="false">ROUND(L249*Accounts!U77,2)</f>
        <v>0</v>
      </c>
      <c r="R249" s="17" t="n">
        <f aca="false">ROUND(L249*Accounts!V77,2)</f>
        <v>441.63</v>
      </c>
      <c r="S249" s="17" t="n">
        <f aca="false">ROUND(L249*Accounts!W77,2)</f>
        <v>0</v>
      </c>
      <c r="T249" s="17" t="n">
        <f aca="false">ROUND(L249-SUM(M249:S249),2)</f>
        <v>71690.76</v>
      </c>
      <c r="U249" s="17" t="n">
        <f aca="false">ROUND(F249*H249,2)</f>
        <v>46404</v>
      </c>
      <c r="V249" s="17" t="n">
        <f aca="false">ROUND(L249*Assumptions!$C$25,2)</f>
        <v>1472.09</v>
      </c>
      <c r="W249" s="17" t="n">
        <f aca="false">ROUND(T249-U249-V249,2)</f>
        <v>23814.67</v>
      </c>
      <c r="X249" s="28" t="n">
        <f aca="false">T249/I249</f>
        <v>0.897053980329838</v>
      </c>
      <c r="Y249" s="17" t="n">
        <f aca="false">T249/F249</f>
        <v>55.61734678045</v>
      </c>
      <c r="Z249" s="26" t="n">
        <f aca="false">Accounts!H77</f>
        <v>1921</v>
      </c>
      <c r="AA249" s="28" t="n">
        <f aca="false">IF(Z249&gt;=Assumptions!$B$44,Assumptions!$C$44,IF(Z249&gt;=Assumptions!$B$45,Assumptions!$C$45,IF(Z249&gt;=Assumptions!$B$46,Assumptions!$C$46,Assumptions!$C$47)))</f>
        <v>0</v>
      </c>
      <c r="AB249" s="26" t="n">
        <f aca="false">IF(Z249&gt;=Assumptions!$B$44,Assumptions!$B$44,IF(Z249&gt;=Assumptions!$B$45,Assumptions!$B$45,IF(Z249&gt;=Assumptions!$B$46,Assumptions!$B$46,0)))</f>
        <v>0</v>
      </c>
    </row>
    <row r="250" customFormat="false" ht="15" hidden="false" customHeight="false" outlineLevel="0" collapsed="false">
      <c r="B250" s="14" t="s">
        <v>275</v>
      </c>
      <c r="C250" s="14" t="s">
        <v>259</v>
      </c>
      <c r="D250" s="14" t="s">
        <v>227</v>
      </c>
      <c r="E250" s="14" t="s">
        <v>62</v>
      </c>
      <c r="F250" s="26" t="n">
        <f aca="false">Accounts!F122</f>
        <v>1711</v>
      </c>
      <c r="G250" s="17" t="n">
        <f aca="false">Assumptions!$D$9</f>
        <v>62</v>
      </c>
      <c r="H250" s="17" t="n">
        <f aca="false">Assumptions!$E$9</f>
        <v>36</v>
      </c>
      <c r="I250" s="17" t="n">
        <f aca="false">ROUND(F250*G250,2)</f>
        <v>106082</v>
      </c>
      <c r="J250" s="17" t="n">
        <f aca="false">ROUND(I250*Accounts!O122,2)</f>
        <v>2121.64</v>
      </c>
      <c r="K250" s="17" t="n">
        <f aca="false">ROUND(I250*Accounts!M122,2)</f>
        <v>3447.67</v>
      </c>
      <c r="L250" s="17" t="n">
        <f aca="false">ROUND(I250-J250-K250,2)</f>
        <v>100512.69</v>
      </c>
      <c r="M250" s="17" t="n">
        <f aca="false">ROUND(L250*AA250,2)</f>
        <v>2010.25</v>
      </c>
      <c r="N250" s="17" t="n">
        <f aca="false">ROUND(L250*Accounts!R122,2)</f>
        <v>0</v>
      </c>
      <c r="O250" s="17" t="n">
        <f aca="false">ROUND(L250*Accounts!S122,2)</f>
        <v>0</v>
      </c>
      <c r="P250" s="17" t="n">
        <f aca="false">ROUND(L250*Accounts!T122,2)</f>
        <v>0</v>
      </c>
      <c r="Q250" s="17" t="n">
        <f aca="false">ROUND(L250*Accounts!U122,2)</f>
        <v>0</v>
      </c>
      <c r="R250" s="17" t="n">
        <f aca="false">ROUND(L250*Accounts!V122,2)</f>
        <v>1005.13</v>
      </c>
      <c r="S250" s="17" t="n">
        <f aca="false">ROUND(L250*Accounts!W122,2)</f>
        <v>0</v>
      </c>
      <c r="T250" s="17" t="n">
        <f aca="false">ROUND(L250-SUM(M250:S250),2)</f>
        <v>97497.31</v>
      </c>
      <c r="U250" s="17" t="n">
        <f aca="false">ROUND(F250*H250,2)</f>
        <v>61596</v>
      </c>
      <c r="V250" s="17" t="n">
        <f aca="false">ROUND(L250*Assumptions!$C$25,2)</f>
        <v>2010.25</v>
      </c>
      <c r="W250" s="17" t="n">
        <f aca="false">ROUND(T250-U250-V250,2)</f>
        <v>33891.06</v>
      </c>
      <c r="X250" s="28" t="n">
        <f aca="false">T250/I250</f>
        <v>0.91907496087932</v>
      </c>
      <c r="Y250" s="17" t="n">
        <f aca="false">T250/F250</f>
        <v>56.9826475745178</v>
      </c>
      <c r="Z250" s="26" t="n">
        <f aca="false">Accounts!H122</f>
        <v>3032</v>
      </c>
      <c r="AA250" s="28" t="n">
        <f aca="false">IF(Z250&gt;=Assumptions!$B$44,Assumptions!$C$44,IF(Z250&gt;=Assumptions!$B$45,Assumptions!$C$45,IF(Z250&gt;=Assumptions!$B$46,Assumptions!$C$46,Assumptions!$C$47)))</f>
        <v>0.02</v>
      </c>
      <c r="AB250" s="26" t="n">
        <f aca="false">IF(Z250&gt;=Assumptions!$B$44,Assumptions!$B$44,IF(Z250&gt;=Assumptions!$B$45,Assumptions!$B$45,IF(Z250&gt;=Assumptions!$B$46,Assumptions!$B$46,0)))</f>
        <v>3000</v>
      </c>
    </row>
    <row r="251" customFormat="false" ht="15" hidden="false" customHeight="false" outlineLevel="0" collapsed="false">
      <c r="B251" s="14" t="s">
        <v>307</v>
      </c>
      <c r="C251" s="14" t="s">
        <v>259</v>
      </c>
      <c r="D251" s="14" t="s">
        <v>243</v>
      </c>
      <c r="E251" s="14" t="s">
        <v>62</v>
      </c>
      <c r="F251" s="26" t="n">
        <f aca="false">Accounts!F154</f>
        <v>706</v>
      </c>
      <c r="G251" s="17" t="n">
        <f aca="false">Assumptions!$D$9</f>
        <v>62</v>
      </c>
      <c r="H251" s="17" t="n">
        <f aca="false">Assumptions!$E$9</f>
        <v>36</v>
      </c>
      <c r="I251" s="17" t="n">
        <f aca="false">ROUND(F251*G251,2)</f>
        <v>43772</v>
      </c>
      <c r="J251" s="17" t="n">
        <f aca="false">ROUND(I251*Accounts!O154,2)</f>
        <v>875.44</v>
      </c>
      <c r="K251" s="17" t="n">
        <f aca="false">ROUND(I251*Accounts!M154,2)</f>
        <v>0</v>
      </c>
      <c r="L251" s="17" t="n">
        <f aca="false">ROUND(I251-J251-K251,2)</f>
        <v>42896.56</v>
      </c>
      <c r="M251" s="17" t="n">
        <f aca="false">ROUND(L251*AA251,2)</f>
        <v>0</v>
      </c>
      <c r="N251" s="17" t="n">
        <f aca="false">ROUND(L251*Accounts!R154,2)</f>
        <v>0</v>
      </c>
      <c r="O251" s="17" t="n">
        <f aca="false">ROUND(L251*Accounts!S154,2)</f>
        <v>0</v>
      </c>
      <c r="P251" s="17" t="n">
        <f aca="false">ROUND(L251*Accounts!T154,2)</f>
        <v>0</v>
      </c>
      <c r="Q251" s="17" t="n">
        <f aca="false">ROUND(L251*Accounts!U154,2)</f>
        <v>0</v>
      </c>
      <c r="R251" s="17" t="n">
        <f aca="false">ROUND(L251*Accounts!V154,2)</f>
        <v>428.97</v>
      </c>
      <c r="S251" s="17" t="n">
        <f aca="false">ROUND(L251*Accounts!W154,2)</f>
        <v>0</v>
      </c>
      <c r="T251" s="17" t="n">
        <f aca="false">ROUND(L251-SUM(M251:S251),2)</f>
        <v>42467.59</v>
      </c>
      <c r="U251" s="17" t="n">
        <f aca="false">ROUND(F251*H251,2)</f>
        <v>25416</v>
      </c>
      <c r="V251" s="17" t="n">
        <f aca="false">ROUND(L251*Assumptions!$C$25,2)</f>
        <v>857.93</v>
      </c>
      <c r="W251" s="17" t="n">
        <f aca="false">ROUND(T251-U251-V251,2)</f>
        <v>16193.66</v>
      </c>
      <c r="X251" s="28" t="n">
        <f aca="false">T251/I251</f>
        <v>0.970199899479119</v>
      </c>
      <c r="Y251" s="17" t="n">
        <f aca="false">T251/F251</f>
        <v>60.1523937677054</v>
      </c>
      <c r="Z251" s="26" t="n">
        <f aca="false">Accounts!H154</f>
        <v>1159</v>
      </c>
      <c r="AA251" s="28" t="n">
        <f aca="false">IF(Z251&gt;=Assumptions!$B$44,Assumptions!$C$44,IF(Z251&gt;=Assumptions!$B$45,Assumptions!$C$45,IF(Z251&gt;=Assumptions!$B$46,Assumptions!$C$46,Assumptions!$C$47)))</f>
        <v>0</v>
      </c>
      <c r="AB251" s="26" t="n">
        <f aca="false">IF(Z251&gt;=Assumptions!$B$44,Assumptions!$B$44,IF(Z251&gt;=Assumptions!$B$45,Assumptions!$B$45,IF(Z251&gt;=Assumptions!$B$46,Assumptions!$B$46,0)))</f>
        <v>0</v>
      </c>
    </row>
    <row r="252" customFormat="false" ht="15" hidden="false" customHeight="false" outlineLevel="0" collapsed="false">
      <c r="B252" s="14" t="s">
        <v>323</v>
      </c>
      <c r="C252" s="14" t="s">
        <v>259</v>
      </c>
      <c r="D252" s="14" t="s">
        <v>251</v>
      </c>
      <c r="E252" s="14" t="s">
        <v>62</v>
      </c>
      <c r="F252" s="26" t="n">
        <f aca="false">Accounts!F170</f>
        <v>2253</v>
      </c>
      <c r="G252" s="17" t="n">
        <f aca="false">Assumptions!$D$9</f>
        <v>62</v>
      </c>
      <c r="H252" s="17" t="n">
        <f aca="false">Assumptions!$E$9</f>
        <v>36</v>
      </c>
      <c r="I252" s="17" t="n">
        <f aca="false">ROUND(F252*G252,2)</f>
        <v>139686</v>
      </c>
      <c r="J252" s="17" t="n">
        <f aca="false">ROUND(I252*Accounts!O170,2)</f>
        <v>2793.72</v>
      </c>
      <c r="K252" s="17" t="n">
        <f aca="false">ROUND(I252*Accounts!M170,2)</f>
        <v>11803.47</v>
      </c>
      <c r="L252" s="17" t="n">
        <f aca="false">ROUND(I252-J252-K252,2)</f>
        <v>125088.81</v>
      </c>
      <c r="M252" s="17" t="n">
        <f aca="false">ROUND(L252*AA252,2)</f>
        <v>2501.78</v>
      </c>
      <c r="N252" s="17" t="n">
        <f aca="false">ROUND(L252*Accounts!R170,2)</f>
        <v>0</v>
      </c>
      <c r="O252" s="17" t="n">
        <f aca="false">ROUND(L252*Accounts!S170,2)</f>
        <v>0</v>
      </c>
      <c r="P252" s="17" t="n">
        <f aca="false">ROUND(L252*Accounts!T170,2)</f>
        <v>0</v>
      </c>
      <c r="Q252" s="17" t="n">
        <f aca="false">ROUND(L252*Accounts!U170,2)</f>
        <v>0</v>
      </c>
      <c r="R252" s="17" t="n">
        <f aca="false">ROUND(L252*Accounts!V170,2)</f>
        <v>1250.89</v>
      </c>
      <c r="S252" s="17" t="n">
        <f aca="false">ROUND(L252*Accounts!W170,2)</f>
        <v>0</v>
      </c>
      <c r="T252" s="17" t="n">
        <f aca="false">ROUND(L252-SUM(M252:S252),2)</f>
        <v>121336.14</v>
      </c>
      <c r="U252" s="17" t="n">
        <f aca="false">ROUND(F252*H252,2)</f>
        <v>81108</v>
      </c>
      <c r="V252" s="17" t="n">
        <f aca="false">ROUND(L252*Assumptions!$C$25,2)</f>
        <v>2501.78</v>
      </c>
      <c r="W252" s="17" t="n">
        <f aca="false">ROUND(T252-U252-V252,2)</f>
        <v>37726.36</v>
      </c>
      <c r="X252" s="28" t="n">
        <f aca="false">T252/I252</f>
        <v>0.868634938361754</v>
      </c>
      <c r="Y252" s="17" t="n">
        <f aca="false">T252/F252</f>
        <v>53.8553661784288</v>
      </c>
      <c r="Z252" s="26" t="n">
        <f aca="false">Accounts!H170</f>
        <v>3616</v>
      </c>
      <c r="AA252" s="28" t="n">
        <f aca="false">IF(Z252&gt;=Assumptions!$B$44,Assumptions!$C$44,IF(Z252&gt;=Assumptions!$B$45,Assumptions!$C$45,IF(Z252&gt;=Assumptions!$B$46,Assumptions!$C$46,Assumptions!$C$47)))</f>
        <v>0.02</v>
      </c>
      <c r="AB252" s="26" t="n">
        <f aca="false">IF(Z252&gt;=Assumptions!$B$44,Assumptions!$B$44,IF(Z252&gt;=Assumptions!$B$45,Assumptions!$B$45,IF(Z252&gt;=Assumptions!$B$46,Assumptions!$B$46,0)))</f>
        <v>3000</v>
      </c>
    </row>
    <row r="253" customFormat="false" ht="15" hidden="false" customHeight="false" outlineLevel="0" collapsed="false">
      <c r="B253" s="14" t="s">
        <v>260</v>
      </c>
      <c r="C253" s="14" t="s">
        <v>259</v>
      </c>
      <c r="D253" s="14" t="s">
        <v>218</v>
      </c>
      <c r="E253" s="14" t="s">
        <v>62</v>
      </c>
      <c r="F253" s="26" t="n">
        <f aca="false">Accounts!F107</f>
        <v>410</v>
      </c>
      <c r="G253" s="17" t="n">
        <f aca="false">Assumptions!$D$9</f>
        <v>62</v>
      </c>
      <c r="H253" s="17" t="n">
        <f aca="false">Assumptions!$E$9</f>
        <v>36</v>
      </c>
      <c r="I253" s="17" t="n">
        <f aca="false">ROUND(F253*G253,2)</f>
        <v>25420</v>
      </c>
      <c r="J253" s="17" t="n">
        <f aca="false">ROUND(I253*Accounts!O107,2)</f>
        <v>0</v>
      </c>
      <c r="K253" s="17" t="n">
        <f aca="false">ROUND(I253*Accounts!M107,2)</f>
        <v>660.92</v>
      </c>
      <c r="L253" s="17" t="n">
        <f aca="false">ROUND(I253-J253-K253,2)</f>
        <v>24759.08</v>
      </c>
      <c r="M253" s="17" t="n">
        <f aca="false">ROUND(L253*AA253,2)</f>
        <v>0</v>
      </c>
      <c r="N253" s="17" t="n">
        <f aca="false">ROUND(L253*Accounts!R107,2)</f>
        <v>0</v>
      </c>
      <c r="O253" s="17" t="n">
        <f aca="false">ROUND(L253*Accounts!S107,2)</f>
        <v>0</v>
      </c>
      <c r="P253" s="17" t="n">
        <f aca="false">ROUND(L253*Accounts!T107,2)</f>
        <v>0</v>
      </c>
      <c r="Q253" s="17" t="n">
        <f aca="false">ROUND(L253*Accounts!U107,2)</f>
        <v>0</v>
      </c>
      <c r="R253" s="17" t="n">
        <f aca="false">ROUND(L253*Accounts!V107,2)</f>
        <v>247.59</v>
      </c>
      <c r="S253" s="17" t="n">
        <f aca="false">ROUND(L253*Accounts!W107,2)</f>
        <v>0</v>
      </c>
      <c r="T253" s="17" t="n">
        <f aca="false">ROUND(L253-SUM(M253:S253),2)</f>
        <v>24511.49</v>
      </c>
      <c r="U253" s="17" t="n">
        <f aca="false">ROUND(F253*H253,2)</f>
        <v>14760</v>
      </c>
      <c r="V253" s="17" t="n">
        <f aca="false">ROUND(L253*Assumptions!$C$25,2)</f>
        <v>495.18</v>
      </c>
      <c r="W253" s="17" t="n">
        <f aca="false">ROUND(T253-U253-V253,2)</f>
        <v>9256.31</v>
      </c>
      <c r="X253" s="28" t="n">
        <f aca="false">T253/I253</f>
        <v>0.964260031471283</v>
      </c>
      <c r="Y253" s="17" t="n">
        <f aca="false">T253/F253</f>
        <v>59.7841219512195</v>
      </c>
      <c r="Z253" s="26" t="n">
        <f aca="false">Accounts!H107</f>
        <v>506</v>
      </c>
      <c r="AA253" s="28" t="n">
        <f aca="false">IF(Z253&gt;=Assumptions!$B$44,Assumptions!$C$44,IF(Z253&gt;=Assumptions!$B$45,Assumptions!$C$45,IF(Z253&gt;=Assumptions!$B$46,Assumptions!$C$46,Assumptions!$C$47)))</f>
        <v>0</v>
      </c>
      <c r="AB253" s="26" t="n">
        <f aca="false">IF(Z253&gt;=Assumptions!$B$44,Assumptions!$B$44,IF(Z253&gt;=Assumptions!$B$45,Assumptions!$B$45,IF(Z253&gt;=Assumptions!$B$46,Assumptions!$B$46,0)))</f>
        <v>0</v>
      </c>
    </row>
    <row r="254" customFormat="false" ht="15" hidden="false" customHeight="false" outlineLevel="0" collapsed="false">
      <c r="B254" s="14" t="s">
        <v>276</v>
      </c>
      <c r="C254" s="14" t="s">
        <v>259</v>
      </c>
      <c r="D254" s="14" t="s">
        <v>227</v>
      </c>
      <c r="E254" s="14" t="s">
        <v>62</v>
      </c>
      <c r="F254" s="26" t="n">
        <f aca="false">Accounts!F123</f>
        <v>1372</v>
      </c>
      <c r="G254" s="17" t="n">
        <f aca="false">Assumptions!$D$9</f>
        <v>62</v>
      </c>
      <c r="H254" s="17" t="n">
        <f aca="false">Assumptions!$E$9</f>
        <v>36</v>
      </c>
      <c r="I254" s="17" t="n">
        <f aca="false">ROUND(F254*G254,2)</f>
        <v>85064</v>
      </c>
      <c r="J254" s="17" t="n">
        <f aca="false">ROUND(I254*Accounts!O123,2)</f>
        <v>1701.28</v>
      </c>
      <c r="K254" s="17" t="n">
        <f aca="false">ROUND(I254*Accounts!M123,2)</f>
        <v>5529.16</v>
      </c>
      <c r="L254" s="17" t="n">
        <f aca="false">ROUND(I254-J254-K254,2)</f>
        <v>77833.56</v>
      </c>
      <c r="M254" s="17" t="n">
        <f aca="false">ROUND(L254*AA254,2)</f>
        <v>0</v>
      </c>
      <c r="N254" s="17" t="n">
        <f aca="false">ROUND(L254*Accounts!R123,2)</f>
        <v>0</v>
      </c>
      <c r="O254" s="17" t="n">
        <f aca="false">ROUND(L254*Accounts!S123,2)</f>
        <v>0</v>
      </c>
      <c r="P254" s="17" t="n">
        <f aca="false">ROUND(L254*Accounts!T123,2)</f>
        <v>0</v>
      </c>
      <c r="Q254" s="17" t="n">
        <f aca="false">ROUND(L254*Accounts!U123,2)</f>
        <v>0</v>
      </c>
      <c r="R254" s="17" t="n">
        <f aca="false">ROUND(L254*Accounts!V123,2)</f>
        <v>778.34</v>
      </c>
      <c r="S254" s="17" t="n">
        <f aca="false">ROUND(L254*Accounts!W123,2)</f>
        <v>0</v>
      </c>
      <c r="T254" s="17" t="n">
        <f aca="false">ROUND(L254-SUM(M254:S254),2)</f>
        <v>77055.22</v>
      </c>
      <c r="U254" s="17" t="n">
        <f aca="false">ROUND(F254*H254,2)</f>
        <v>49392</v>
      </c>
      <c r="V254" s="17" t="n">
        <f aca="false">ROUND(L254*Assumptions!$C$25,2)</f>
        <v>1556.67</v>
      </c>
      <c r="W254" s="17" t="n">
        <f aca="false">ROUND(T254-U254-V254,2)</f>
        <v>26106.55</v>
      </c>
      <c r="X254" s="28" t="n">
        <f aca="false">T254/I254</f>
        <v>0.905849948274241</v>
      </c>
      <c r="Y254" s="17" t="n">
        <f aca="false">T254/F254</f>
        <v>56.1626967930029</v>
      </c>
      <c r="Z254" s="26" t="n">
        <f aca="false">Accounts!H123</f>
        <v>2345</v>
      </c>
      <c r="AA254" s="28" t="n">
        <f aca="false">IF(Z254&gt;=Assumptions!$B$44,Assumptions!$C$44,IF(Z254&gt;=Assumptions!$B$45,Assumptions!$C$45,IF(Z254&gt;=Assumptions!$B$46,Assumptions!$C$46,Assumptions!$C$47)))</f>
        <v>0</v>
      </c>
      <c r="AB254" s="26" t="n">
        <f aca="false">IF(Z254&gt;=Assumptions!$B$44,Assumptions!$B$44,IF(Z254&gt;=Assumptions!$B$45,Assumptions!$B$45,IF(Z254&gt;=Assumptions!$B$46,Assumptions!$B$46,0)))</f>
        <v>0</v>
      </c>
    </row>
    <row r="255" customFormat="false" ht="15" hidden="false" customHeight="false" outlineLevel="0" collapsed="false">
      <c r="B255" s="14" t="s">
        <v>292</v>
      </c>
      <c r="C255" s="14" t="s">
        <v>259</v>
      </c>
      <c r="D255" s="14" t="s">
        <v>235</v>
      </c>
      <c r="E255" s="14" t="s">
        <v>62</v>
      </c>
      <c r="F255" s="26" t="n">
        <f aca="false">Accounts!F139</f>
        <v>1345</v>
      </c>
      <c r="G255" s="17" t="n">
        <f aca="false">Assumptions!$D$9</f>
        <v>62</v>
      </c>
      <c r="H255" s="17" t="n">
        <f aca="false">Assumptions!$E$9</f>
        <v>36</v>
      </c>
      <c r="I255" s="17" t="n">
        <f aca="false">ROUND(F255*G255,2)</f>
        <v>83390</v>
      </c>
      <c r="J255" s="17" t="n">
        <f aca="false">ROUND(I255*Accounts!O139,2)</f>
        <v>1667.8</v>
      </c>
      <c r="K255" s="17" t="n">
        <f aca="false">ROUND(I255*Accounts!M139,2)</f>
        <v>0</v>
      </c>
      <c r="L255" s="17" t="n">
        <f aca="false">ROUND(I255-J255-K255,2)</f>
        <v>81722.2</v>
      </c>
      <c r="M255" s="17" t="n">
        <f aca="false">ROUND(L255*AA255,2)</f>
        <v>0</v>
      </c>
      <c r="N255" s="17" t="n">
        <f aca="false">ROUND(L255*Accounts!R139,2)</f>
        <v>0</v>
      </c>
      <c r="O255" s="17" t="n">
        <f aca="false">ROUND(L255*Accounts!S139,2)</f>
        <v>0</v>
      </c>
      <c r="P255" s="17" t="n">
        <f aca="false">ROUND(L255*Accounts!T139,2)</f>
        <v>0</v>
      </c>
      <c r="Q255" s="17" t="n">
        <f aca="false">ROUND(L255*Accounts!U139,2)</f>
        <v>0</v>
      </c>
      <c r="R255" s="17" t="n">
        <f aca="false">ROUND(L255*Accounts!V139,2)</f>
        <v>817.22</v>
      </c>
      <c r="S255" s="17" t="n">
        <f aca="false">ROUND(L255*Accounts!W139,2)</f>
        <v>0</v>
      </c>
      <c r="T255" s="17" t="n">
        <f aca="false">ROUND(L255-SUM(M255:S255),2)</f>
        <v>80904.98</v>
      </c>
      <c r="U255" s="17" t="n">
        <f aca="false">ROUND(F255*H255,2)</f>
        <v>48420</v>
      </c>
      <c r="V255" s="17" t="n">
        <f aca="false">ROUND(L255*Assumptions!$C$25,2)</f>
        <v>1634.44</v>
      </c>
      <c r="W255" s="17" t="n">
        <f aca="false">ROUND(T255-U255-V255,2)</f>
        <v>30850.54</v>
      </c>
      <c r="X255" s="28" t="n">
        <f aca="false">T255/I255</f>
        <v>0.970200023983691</v>
      </c>
      <c r="Y255" s="17" t="n">
        <f aca="false">T255/F255</f>
        <v>60.1524014869888</v>
      </c>
      <c r="Z255" s="26" t="n">
        <f aca="false">Accounts!H139</f>
        <v>2219</v>
      </c>
      <c r="AA255" s="28" t="n">
        <f aca="false">IF(Z255&gt;=Assumptions!$B$44,Assumptions!$C$44,IF(Z255&gt;=Assumptions!$B$45,Assumptions!$C$45,IF(Z255&gt;=Assumptions!$B$46,Assumptions!$C$46,Assumptions!$C$47)))</f>
        <v>0</v>
      </c>
      <c r="AB255" s="26" t="n">
        <f aca="false">IF(Z255&gt;=Assumptions!$B$44,Assumptions!$B$44,IF(Z255&gt;=Assumptions!$B$45,Assumptions!$B$45,IF(Z255&gt;=Assumptions!$B$46,Assumptions!$B$46,0)))</f>
        <v>0</v>
      </c>
    </row>
    <row r="256" customFormat="false" ht="15" hidden="false" customHeight="false" outlineLevel="0" collapsed="false">
      <c r="B256" s="14" t="s">
        <v>308</v>
      </c>
      <c r="C256" s="14" t="s">
        <v>259</v>
      </c>
      <c r="D256" s="14" t="s">
        <v>243</v>
      </c>
      <c r="E256" s="14" t="s">
        <v>62</v>
      </c>
      <c r="F256" s="26" t="n">
        <f aca="false">Accounts!F155</f>
        <v>951</v>
      </c>
      <c r="G256" s="17" t="n">
        <f aca="false">Assumptions!$D$9</f>
        <v>62</v>
      </c>
      <c r="H256" s="17" t="n">
        <f aca="false">Assumptions!$E$9</f>
        <v>36</v>
      </c>
      <c r="I256" s="17" t="n">
        <f aca="false">ROUND(F256*G256,2)</f>
        <v>58962</v>
      </c>
      <c r="J256" s="17" t="n">
        <f aca="false">ROUND(I256*Accounts!O155,2)</f>
        <v>0</v>
      </c>
      <c r="K256" s="17" t="n">
        <f aca="false">ROUND(I256*Accounts!M155,2)</f>
        <v>2682.77</v>
      </c>
      <c r="L256" s="17" t="n">
        <f aca="false">ROUND(I256-J256-K256,2)</f>
        <v>56279.23</v>
      </c>
      <c r="M256" s="17" t="n">
        <f aca="false">ROUND(L256*AA256,2)</f>
        <v>0</v>
      </c>
      <c r="N256" s="17" t="n">
        <f aca="false">ROUND(L256*Accounts!R155,2)</f>
        <v>0</v>
      </c>
      <c r="O256" s="17" t="n">
        <f aca="false">ROUND(L256*Accounts!S155,2)</f>
        <v>0</v>
      </c>
      <c r="P256" s="17" t="n">
        <f aca="false">ROUND(L256*Accounts!T155,2)</f>
        <v>0</v>
      </c>
      <c r="Q256" s="17" t="n">
        <f aca="false">ROUND(L256*Accounts!U155,2)</f>
        <v>0</v>
      </c>
      <c r="R256" s="17" t="n">
        <f aca="false">ROUND(L256*Accounts!V155,2)</f>
        <v>562.79</v>
      </c>
      <c r="S256" s="17" t="n">
        <f aca="false">ROUND(L256*Accounts!W155,2)</f>
        <v>0</v>
      </c>
      <c r="T256" s="17" t="n">
        <f aca="false">ROUND(L256-SUM(M256:S256),2)</f>
        <v>55716.44</v>
      </c>
      <c r="U256" s="17" t="n">
        <f aca="false">ROUND(F256*H256,2)</f>
        <v>34236</v>
      </c>
      <c r="V256" s="17" t="n">
        <f aca="false">ROUND(L256*Assumptions!$C$25,2)</f>
        <v>1125.58</v>
      </c>
      <c r="W256" s="17" t="n">
        <f aca="false">ROUND(T256-U256-V256,2)</f>
        <v>20354.86</v>
      </c>
      <c r="X256" s="28" t="n">
        <f aca="false">T256/I256</f>
        <v>0.94495505579865</v>
      </c>
      <c r="Y256" s="17" t="n">
        <f aca="false">T256/F256</f>
        <v>58.5872134595163</v>
      </c>
      <c r="Z256" s="26" t="n">
        <f aca="false">Accounts!H155</f>
        <v>1483</v>
      </c>
      <c r="AA256" s="28" t="n">
        <f aca="false">IF(Z256&gt;=Assumptions!$B$44,Assumptions!$C$44,IF(Z256&gt;=Assumptions!$B$45,Assumptions!$C$45,IF(Z256&gt;=Assumptions!$B$46,Assumptions!$C$46,Assumptions!$C$47)))</f>
        <v>0</v>
      </c>
      <c r="AB256" s="26" t="n">
        <f aca="false">IF(Z256&gt;=Assumptions!$B$44,Assumptions!$B$44,IF(Z256&gt;=Assumptions!$B$45,Assumptions!$B$45,IF(Z256&gt;=Assumptions!$B$46,Assumptions!$B$46,0)))</f>
        <v>0</v>
      </c>
    </row>
    <row r="257" customFormat="false" ht="15" hidden="false" customHeight="false" outlineLevel="0" collapsed="false">
      <c r="B257" s="14" t="s">
        <v>324</v>
      </c>
      <c r="C257" s="14" t="s">
        <v>259</v>
      </c>
      <c r="D257" s="14" t="s">
        <v>251</v>
      </c>
      <c r="E257" s="14" t="s">
        <v>62</v>
      </c>
      <c r="F257" s="26" t="n">
        <f aca="false">Accounts!F171</f>
        <v>495</v>
      </c>
      <c r="G257" s="17" t="n">
        <f aca="false">Assumptions!$D$9</f>
        <v>62</v>
      </c>
      <c r="H257" s="17" t="n">
        <f aca="false">Assumptions!$E$9</f>
        <v>36</v>
      </c>
      <c r="I257" s="17" t="n">
        <f aca="false">ROUND(F257*G257,2)</f>
        <v>30690</v>
      </c>
      <c r="J257" s="17" t="n">
        <f aca="false">ROUND(I257*Accounts!O171,2)</f>
        <v>0</v>
      </c>
      <c r="K257" s="17" t="n">
        <f aca="false">ROUND(I257*Accounts!M171,2)</f>
        <v>2792.79</v>
      </c>
      <c r="L257" s="17" t="n">
        <f aca="false">ROUND(I257-J257-K257,2)</f>
        <v>27897.21</v>
      </c>
      <c r="M257" s="17" t="n">
        <f aca="false">ROUND(L257*AA257,2)</f>
        <v>0</v>
      </c>
      <c r="N257" s="17" t="n">
        <f aca="false">ROUND(L257*Accounts!R171,2)</f>
        <v>0</v>
      </c>
      <c r="O257" s="17" t="n">
        <f aca="false">ROUND(L257*Accounts!S171,2)</f>
        <v>0</v>
      </c>
      <c r="P257" s="17" t="n">
        <f aca="false">ROUND(L257*Accounts!T171,2)</f>
        <v>0</v>
      </c>
      <c r="Q257" s="17" t="n">
        <f aca="false">ROUND(L257*Accounts!U171,2)</f>
        <v>0</v>
      </c>
      <c r="R257" s="17" t="n">
        <f aca="false">ROUND(L257*Accounts!V171,2)</f>
        <v>278.97</v>
      </c>
      <c r="S257" s="17" t="n">
        <f aca="false">ROUND(L257*Accounts!W171,2)</f>
        <v>0</v>
      </c>
      <c r="T257" s="17" t="n">
        <f aca="false">ROUND(L257-SUM(M257:S257),2)</f>
        <v>27618.24</v>
      </c>
      <c r="U257" s="17" t="n">
        <f aca="false">ROUND(F257*H257,2)</f>
        <v>17820</v>
      </c>
      <c r="V257" s="17" t="n">
        <f aca="false">ROUND(L257*Assumptions!$C$25,2)</f>
        <v>557.94</v>
      </c>
      <c r="W257" s="17" t="n">
        <f aca="false">ROUND(T257-U257-V257,2)</f>
        <v>9240.3</v>
      </c>
      <c r="X257" s="28" t="n">
        <f aca="false">T257/I257</f>
        <v>0.899910068426198</v>
      </c>
      <c r="Y257" s="17" t="n">
        <f aca="false">T257/F257</f>
        <v>55.7944242424243</v>
      </c>
      <c r="Z257" s="26" t="n">
        <f aca="false">Accounts!H171</f>
        <v>780</v>
      </c>
      <c r="AA257" s="28" t="n">
        <f aca="false">IF(Z257&gt;=Assumptions!$B$44,Assumptions!$C$44,IF(Z257&gt;=Assumptions!$B$45,Assumptions!$C$45,IF(Z257&gt;=Assumptions!$B$46,Assumptions!$C$46,Assumptions!$C$47)))</f>
        <v>0</v>
      </c>
      <c r="AB257" s="26" t="n">
        <f aca="false">IF(Z257&gt;=Assumptions!$B$44,Assumptions!$B$44,IF(Z257&gt;=Assumptions!$B$45,Assumptions!$B$45,IF(Z257&gt;=Assumptions!$B$46,Assumptions!$B$46,0)))</f>
        <v>0</v>
      </c>
    </row>
    <row r="258" customFormat="false" ht="15" hidden="false" customHeight="false" outlineLevel="0" collapsed="false">
      <c r="B258" s="14" t="s">
        <v>277</v>
      </c>
      <c r="C258" s="14" t="s">
        <v>259</v>
      </c>
      <c r="D258" s="14" t="s">
        <v>227</v>
      </c>
      <c r="E258" s="14" t="s">
        <v>62</v>
      </c>
      <c r="F258" s="26" t="n">
        <f aca="false">Accounts!F124</f>
        <v>573</v>
      </c>
      <c r="G258" s="17" t="n">
        <f aca="false">Assumptions!$D$9</f>
        <v>62</v>
      </c>
      <c r="H258" s="17" t="n">
        <f aca="false">Assumptions!$E$9</f>
        <v>36</v>
      </c>
      <c r="I258" s="17" t="n">
        <f aca="false">ROUND(F258*G258,2)</f>
        <v>35526</v>
      </c>
      <c r="J258" s="17" t="n">
        <f aca="false">ROUND(I258*Accounts!O124,2)</f>
        <v>0</v>
      </c>
      <c r="K258" s="17" t="n">
        <f aca="false">ROUND(I258*Accounts!M124,2)</f>
        <v>0</v>
      </c>
      <c r="L258" s="17" t="n">
        <f aca="false">ROUND(I258-J258-K258,2)</f>
        <v>35526</v>
      </c>
      <c r="M258" s="17" t="n">
        <f aca="false">ROUND(L258*AA258,2)</f>
        <v>0</v>
      </c>
      <c r="N258" s="17" t="n">
        <f aca="false">ROUND(L258*Accounts!R124,2)</f>
        <v>0</v>
      </c>
      <c r="O258" s="17" t="n">
        <f aca="false">ROUND(L258*Accounts!S124,2)</f>
        <v>0</v>
      </c>
      <c r="P258" s="17" t="n">
        <f aca="false">ROUND(L258*Accounts!T124,2)</f>
        <v>0</v>
      </c>
      <c r="Q258" s="17" t="n">
        <f aca="false">ROUND(L258*Accounts!U124,2)</f>
        <v>0</v>
      </c>
      <c r="R258" s="17" t="n">
        <f aca="false">ROUND(L258*Accounts!V124,2)</f>
        <v>355.26</v>
      </c>
      <c r="S258" s="17" t="n">
        <f aca="false">ROUND(L258*Accounts!W124,2)</f>
        <v>0</v>
      </c>
      <c r="T258" s="17" t="n">
        <f aca="false">ROUND(L258-SUM(M258:S258),2)</f>
        <v>35170.74</v>
      </c>
      <c r="U258" s="17" t="n">
        <f aca="false">ROUND(F258*H258,2)</f>
        <v>20628</v>
      </c>
      <c r="V258" s="17" t="n">
        <f aca="false">ROUND(L258*Assumptions!$C$25,2)</f>
        <v>710.52</v>
      </c>
      <c r="W258" s="17" t="n">
        <f aca="false">ROUND(T258-U258-V258,2)</f>
        <v>13832.22</v>
      </c>
      <c r="X258" s="28" t="n">
        <f aca="false">T258/I258</f>
        <v>0.99</v>
      </c>
      <c r="Y258" s="17" t="n">
        <f aca="false">T258/F258</f>
        <v>61.38</v>
      </c>
      <c r="Z258" s="26" t="n">
        <f aca="false">Accounts!H124</f>
        <v>718</v>
      </c>
      <c r="AA258" s="28" t="n">
        <f aca="false">IF(Z258&gt;=Assumptions!$B$44,Assumptions!$C$44,IF(Z258&gt;=Assumptions!$B$45,Assumptions!$C$45,IF(Z258&gt;=Assumptions!$B$46,Assumptions!$C$46,Assumptions!$C$47)))</f>
        <v>0</v>
      </c>
      <c r="AB258" s="26" t="n">
        <f aca="false">IF(Z258&gt;=Assumptions!$B$44,Assumptions!$B$44,IF(Z258&gt;=Assumptions!$B$45,Assumptions!$B$45,IF(Z258&gt;=Assumptions!$B$46,Assumptions!$B$46,0)))</f>
        <v>0</v>
      </c>
    </row>
    <row r="259" customFormat="false" ht="15" hidden="false" customHeight="false" outlineLevel="0" collapsed="false">
      <c r="B259" s="14" t="s">
        <v>293</v>
      </c>
      <c r="C259" s="14" t="s">
        <v>259</v>
      </c>
      <c r="D259" s="14" t="s">
        <v>235</v>
      </c>
      <c r="E259" s="14" t="s">
        <v>62</v>
      </c>
      <c r="F259" s="26" t="n">
        <f aca="false">Accounts!F140</f>
        <v>706</v>
      </c>
      <c r="G259" s="17" t="n">
        <f aca="false">Assumptions!$D$9</f>
        <v>62</v>
      </c>
      <c r="H259" s="17" t="n">
        <f aca="false">Assumptions!$E$9</f>
        <v>36</v>
      </c>
      <c r="I259" s="17" t="n">
        <f aca="false">ROUND(F259*G259,2)</f>
        <v>43772</v>
      </c>
      <c r="J259" s="17" t="n">
        <f aca="false">ROUND(I259*Accounts!O140,2)</f>
        <v>875.44</v>
      </c>
      <c r="K259" s="17" t="n">
        <f aca="false">ROUND(I259*Accounts!M140,2)</f>
        <v>1707.11</v>
      </c>
      <c r="L259" s="17" t="n">
        <f aca="false">ROUND(I259-J259-K259,2)</f>
        <v>41189.45</v>
      </c>
      <c r="M259" s="17" t="n">
        <f aca="false">ROUND(L259*AA259,2)</f>
        <v>0</v>
      </c>
      <c r="N259" s="17" t="n">
        <f aca="false">ROUND(L259*Accounts!R140,2)</f>
        <v>0</v>
      </c>
      <c r="O259" s="17" t="n">
        <f aca="false">ROUND(L259*Accounts!S140,2)</f>
        <v>0</v>
      </c>
      <c r="P259" s="17" t="n">
        <f aca="false">ROUND(L259*Accounts!T140,2)</f>
        <v>0</v>
      </c>
      <c r="Q259" s="17" t="n">
        <f aca="false">ROUND(L259*Accounts!U140,2)</f>
        <v>0</v>
      </c>
      <c r="R259" s="17" t="n">
        <f aca="false">ROUND(L259*Accounts!V140,2)</f>
        <v>411.89</v>
      </c>
      <c r="S259" s="17" t="n">
        <f aca="false">ROUND(L259*Accounts!W140,2)</f>
        <v>0</v>
      </c>
      <c r="T259" s="17" t="n">
        <f aca="false">ROUND(L259-SUM(M259:S259),2)</f>
        <v>40777.56</v>
      </c>
      <c r="U259" s="17" t="n">
        <f aca="false">ROUND(F259*H259,2)</f>
        <v>25416</v>
      </c>
      <c r="V259" s="17" t="n">
        <f aca="false">ROUND(L259*Assumptions!$C$25,2)</f>
        <v>823.79</v>
      </c>
      <c r="W259" s="17" t="n">
        <f aca="false">ROUND(T259-U259-V259,2)</f>
        <v>14537.77</v>
      </c>
      <c r="X259" s="28" t="n">
        <f aca="false">T259/I259</f>
        <v>0.93159005757105</v>
      </c>
      <c r="Y259" s="17" t="n">
        <f aca="false">T259/F259</f>
        <v>57.7585835694051</v>
      </c>
      <c r="Z259" s="26" t="n">
        <f aca="false">Accounts!H140</f>
        <v>1087</v>
      </c>
      <c r="AA259" s="28" t="n">
        <f aca="false">IF(Z259&gt;=Assumptions!$B$44,Assumptions!$C$44,IF(Z259&gt;=Assumptions!$B$45,Assumptions!$C$45,IF(Z259&gt;=Assumptions!$B$46,Assumptions!$C$46,Assumptions!$C$47)))</f>
        <v>0</v>
      </c>
      <c r="AB259" s="26" t="n">
        <f aca="false">IF(Z259&gt;=Assumptions!$B$44,Assumptions!$B$44,IF(Z259&gt;=Assumptions!$B$45,Assumptions!$B$45,IF(Z259&gt;=Assumptions!$B$46,Assumptions!$B$46,0)))</f>
        <v>0</v>
      </c>
    </row>
    <row r="260" customFormat="false" ht="15" hidden="false" customHeight="false" outlineLevel="0" collapsed="false">
      <c r="B260" s="14" t="s">
        <v>309</v>
      </c>
      <c r="C260" s="14" t="s">
        <v>259</v>
      </c>
      <c r="D260" s="14" t="s">
        <v>243</v>
      </c>
      <c r="E260" s="14" t="s">
        <v>62</v>
      </c>
      <c r="F260" s="26" t="n">
        <f aca="false">Accounts!F156</f>
        <v>130</v>
      </c>
      <c r="G260" s="17" t="n">
        <f aca="false">Assumptions!$D$9</f>
        <v>62</v>
      </c>
      <c r="H260" s="17" t="n">
        <f aca="false">Assumptions!$E$9</f>
        <v>36</v>
      </c>
      <c r="I260" s="17" t="n">
        <f aca="false">ROUND(F260*G260,2)</f>
        <v>8060</v>
      </c>
      <c r="J260" s="17" t="n">
        <f aca="false">ROUND(I260*Accounts!O156,2)</f>
        <v>0</v>
      </c>
      <c r="K260" s="17" t="n">
        <f aca="false">ROUND(I260*Accounts!M156,2)</f>
        <v>419.12</v>
      </c>
      <c r="L260" s="17" t="n">
        <f aca="false">ROUND(I260-J260-K260,2)</f>
        <v>7640.88</v>
      </c>
      <c r="M260" s="17" t="n">
        <f aca="false">ROUND(L260*AA260,2)</f>
        <v>0</v>
      </c>
      <c r="N260" s="17" t="n">
        <f aca="false">ROUND(L260*Accounts!R156,2)</f>
        <v>0</v>
      </c>
      <c r="O260" s="17" t="n">
        <f aca="false">ROUND(L260*Accounts!S156,2)</f>
        <v>0</v>
      </c>
      <c r="P260" s="17" t="n">
        <f aca="false">ROUND(L260*Accounts!T156,2)</f>
        <v>0</v>
      </c>
      <c r="Q260" s="17" t="n">
        <f aca="false">ROUND(L260*Accounts!U156,2)</f>
        <v>0</v>
      </c>
      <c r="R260" s="17" t="n">
        <f aca="false">ROUND(L260*Accounts!V156,2)</f>
        <v>76.41</v>
      </c>
      <c r="S260" s="17" t="n">
        <f aca="false">ROUND(L260*Accounts!W156,2)</f>
        <v>0</v>
      </c>
      <c r="T260" s="17" t="n">
        <f aca="false">ROUND(L260-SUM(M260:S260),2)</f>
        <v>7564.47</v>
      </c>
      <c r="U260" s="17" t="n">
        <f aca="false">ROUND(F260*H260,2)</f>
        <v>4680</v>
      </c>
      <c r="V260" s="17" t="n">
        <f aca="false">ROUND(L260*Assumptions!$C$25,2)</f>
        <v>152.82</v>
      </c>
      <c r="W260" s="17" t="n">
        <f aca="false">ROUND(T260-U260-V260,2)</f>
        <v>2731.65</v>
      </c>
      <c r="X260" s="28" t="n">
        <f aca="false">T260/I260</f>
        <v>0.938519851116625</v>
      </c>
      <c r="Y260" s="17" t="n">
        <f aca="false">T260/F260</f>
        <v>58.1882307692308</v>
      </c>
      <c r="Z260" s="26" t="n">
        <f aca="false">Accounts!H156</f>
        <v>208</v>
      </c>
      <c r="AA260" s="28" t="n">
        <f aca="false">IF(Z260&gt;=Assumptions!$B$44,Assumptions!$C$44,IF(Z260&gt;=Assumptions!$B$45,Assumptions!$C$45,IF(Z260&gt;=Assumptions!$B$46,Assumptions!$C$46,Assumptions!$C$47)))</f>
        <v>0</v>
      </c>
      <c r="AB260" s="26" t="n">
        <f aca="false">IF(Z260&gt;=Assumptions!$B$44,Assumptions!$B$44,IF(Z260&gt;=Assumptions!$B$45,Assumptions!$B$45,IF(Z260&gt;=Assumptions!$B$46,Assumptions!$B$46,0)))</f>
        <v>0</v>
      </c>
    </row>
    <row r="261" customFormat="false" ht="15" hidden="false" customHeight="false" outlineLevel="0" collapsed="false">
      <c r="B261" s="14" t="s">
        <v>325</v>
      </c>
      <c r="C261" s="14" t="s">
        <v>259</v>
      </c>
      <c r="D261" s="14" t="s">
        <v>251</v>
      </c>
      <c r="E261" s="14" t="s">
        <v>62</v>
      </c>
      <c r="F261" s="26" t="n">
        <f aca="false">Accounts!F172</f>
        <v>896</v>
      </c>
      <c r="G261" s="17" t="n">
        <f aca="false">Assumptions!$D$9</f>
        <v>62</v>
      </c>
      <c r="H261" s="17" t="n">
        <f aca="false">Assumptions!$E$9</f>
        <v>36</v>
      </c>
      <c r="I261" s="17" t="n">
        <f aca="false">ROUND(F261*G261,2)</f>
        <v>55552</v>
      </c>
      <c r="J261" s="17" t="n">
        <f aca="false">ROUND(I261*Accounts!O172,2)</f>
        <v>1111.04</v>
      </c>
      <c r="K261" s="17" t="n">
        <f aca="false">ROUND(I261*Accounts!M172,2)</f>
        <v>1444.35</v>
      </c>
      <c r="L261" s="17" t="n">
        <f aca="false">ROUND(I261-J261-K261,2)</f>
        <v>52996.61</v>
      </c>
      <c r="M261" s="17" t="n">
        <f aca="false">ROUND(L261*AA261,2)</f>
        <v>0</v>
      </c>
      <c r="N261" s="17" t="n">
        <f aca="false">ROUND(L261*Accounts!R172,2)</f>
        <v>0</v>
      </c>
      <c r="O261" s="17" t="n">
        <f aca="false">ROUND(L261*Accounts!S172,2)</f>
        <v>0</v>
      </c>
      <c r="P261" s="17" t="n">
        <f aca="false">ROUND(L261*Accounts!T172,2)</f>
        <v>0</v>
      </c>
      <c r="Q261" s="17" t="n">
        <f aca="false">ROUND(L261*Accounts!U172,2)</f>
        <v>0</v>
      </c>
      <c r="R261" s="17" t="n">
        <f aca="false">ROUND(L261*Accounts!V172,2)</f>
        <v>529.97</v>
      </c>
      <c r="S261" s="17" t="n">
        <f aca="false">ROUND(L261*Accounts!W172,2)</f>
        <v>0</v>
      </c>
      <c r="T261" s="17" t="n">
        <f aca="false">ROUND(L261-SUM(M261:S261),2)</f>
        <v>52466.64</v>
      </c>
      <c r="U261" s="17" t="n">
        <f aca="false">ROUND(F261*H261,2)</f>
        <v>32256</v>
      </c>
      <c r="V261" s="17" t="n">
        <f aca="false">ROUND(L261*Assumptions!$C$25,2)</f>
        <v>1059.93</v>
      </c>
      <c r="W261" s="17" t="n">
        <f aca="false">ROUND(T261-U261-V261,2)</f>
        <v>19150.71</v>
      </c>
      <c r="X261" s="28" t="n">
        <f aca="false">T261/I261</f>
        <v>0.944459965437788</v>
      </c>
      <c r="Y261" s="17" t="n">
        <f aca="false">T261/F261</f>
        <v>58.5565178571429</v>
      </c>
      <c r="Z261" s="26" t="n">
        <f aca="false">Accounts!H172</f>
        <v>896</v>
      </c>
      <c r="AA261" s="28" t="n">
        <f aca="false">IF(Z261&gt;=Assumptions!$B$44,Assumptions!$C$44,IF(Z261&gt;=Assumptions!$B$45,Assumptions!$C$45,IF(Z261&gt;=Assumptions!$B$46,Assumptions!$C$46,Assumptions!$C$47)))</f>
        <v>0</v>
      </c>
      <c r="AB261" s="26" t="n">
        <f aca="false">IF(Z261&gt;=Assumptions!$B$44,Assumptions!$B$44,IF(Z261&gt;=Assumptions!$B$45,Assumptions!$B$45,IF(Z261&gt;=Assumptions!$B$46,Assumptions!$B$46,0)))</f>
        <v>0</v>
      </c>
    </row>
    <row r="262" customFormat="false" ht="15" hidden="false" customHeight="false" outlineLevel="0" collapsed="false">
      <c r="B262" s="14" t="s">
        <v>278</v>
      </c>
      <c r="C262" s="14" t="s">
        <v>259</v>
      </c>
      <c r="D262" s="14" t="s">
        <v>227</v>
      </c>
      <c r="E262" s="14" t="s">
        <v>62</v>
      </c>
      <c r="F262" s="26" t="n">
        <f aca="false">Accounts!F125</f>
        <v>2274</v>
      </c>
      <c r="G262" s="17" t="n">
        <f aca="false">Assumptions!$D$9</f>
        <v>62</v>
      </c>
      <c r="H262" s="17" t="n">
        <f aca="false">Assumptions!$E$9</f>
        <v>36</v>
      </c>
      <c r="I262" s="17" t="n">
        <f aca="false">ROUND(F262*G262,2)</f>
        <v>140988</v>
      </c>
      <c r="J262" s="17" t="n">
        <f aca="false">ROUND(I262*Accounts!O125,2)</f>
        <v>0</v>
      </c>
      <c r="K262" s="17" t="n">
        <f aca="false">ROUND(I262*Accounts!M125,2)</f>
        <v>10080.64</v>
      </c>
      <c r="L262" s="17" t="n">
        <f aca="false">ROUND(I262-J262-K262,2)</f>
        <v>130907.36</v>
      </c>
      <c r="M262" s="17" t="n">
        <f aca="false">ROUND(L262*AA262,2)</f>
        <v>2618.15</v>
      </c>
      <c r="N262" s="17" t="n">
        <f aca="false">ROUND(L262*Accounts!R125,2)</f>
        <v>0</v>
      </c>
      <c r="O262" s="17" t="n">
        <f aca="false">ROUND(L262*Accounts!S125,2)</f>
        <v>0</v>
      </c>
      <c r="P262" s="17" t="n">
        <f aca="false">ROUND(L262*Accounts!T125,2)</f>
        <v>0</v>
      </c>
      <c r="Q262" s="17" t="n">
        <f aca="false">ROUND(L262*Accounts!U125,2)</f>
        <v>0</v>
      </c>
      <c r="R262" s="17" t="n">
        <f aca="false">ROUND(L262*Accounts!V125,2)</f>
        <v>1309.07</v>
      </c>
      <c r="S262" s="17" t="n">
        <f aca="false">ROUND(L262*Accounts!W125,2)</f>
        <v>0</v>
      </c>
      <c r="T262" s="17" t="n">
        <f aca="false">ROUND(L262-SUM(M262:S262),2)</f>
        <v>126980.14</v>
      </c>
      <c r="U262" s="17" t="n">
        <f aca="false">ROUND(F262*H262,2)</f>
        <v>81864</v>
      </c>
      <c r="V262" s="17" t="n">
        <f aca="false">ROUND(L262*Assumptions!$C$25,2)</f>
        <v>2618.15</v>
      </c>
      <c r="W262" s="17" t="n">
        <f aca="false">ROUND(T262-U262-V262,2)</f>
        <v>42497.99</v>
      </c>
      <c r="X262" s="28" t="n">
        <f aca="false">T262/I262</f>
        <v>0.900645019434278</v>
      </c>
      <c r="Y262" s="17" t="n">
        <f aca="false">T262/F262</f>
        <v>55.8399912049252</v>
      </c>
      <c r="Z262" s="26" t="n">
        <f aca="false">Accounts!H125</f>
        <v>3596</v>
      </c>
      <c r="AA262" s="28" t="n">
        <f aca="false">IF(Z262&gt;=Assumptions!$B$44,Assumptions!$C$44,IF(Z262&gt;=Assumptions!$B$45,Assumptions!$C$45,IF(Z262&gt;=Assumptions!$B$46,Assumptions!$C$46,Assumptions!$C$47)))</f>
        <v>0.02</v>
      </c>
      <c r="AB262" s="26" t="n">
        <f aca="false">IF(Z262&gt;=Assumptions!$B$44,Assumptions!$B$44,IF(Z262&gt;=Assumptions!$B$45,Assumptions!$B$45,IF(Z262&gt;=Assumptions!$B$46,Assumptions!$B$46,0)))</f>
        <v>3000</v>
      </c>
    </row>
    <row r="263" customFormat="false" ht="15" hidden="false" customHeight="false" outlineLevel="0" collapsed="false">
      <c r="B263" s="14" t="s">
        <v>294</v>
      </c>
      <c r="C263" s="14" t="s">
        <v>259</v>
      </c>
      <c r="D263" s="14" t="s">
        <v>235</v>
      </c>
      <c r="E263" s="14" t="s">
        <v>62</v>
      </c>
      <c r="F263" s="26" t="n">
        <f aca="false">Accounts!F141</f>
        <v>192</v>
      </c>
      <c r="G263" s="17" t="n">
        <f aca="false">Assumptions!$D$9</f>
        <v>62</v>
      </c>
      <c r="H263" s="17" t="n">
        <f aca="false">Assumptions!$E$9</f>
        <v>36</v>
      </c>
      <c r="I263" s="17" t="n">
        <f aca="false">ROUND(F263*G263,2)</f>
        <v>11904</v>
      </c>
      <c r="J263" s="17" t="n">
        <f aca="false">ROUND(I263*Accounts!O141,2)</f>
        <v>0</v>
      </c>
      <c r="K263" s="17" t="n">
        <f aca="false">ROUND(I263*Accounts!M141,2)</f>
        <v>232.13</v>
      </c>
      <c r="L263" s="17" t="n">
        <f aca="false">ROUND(I263-J263-K263,2)</f>
        <v>11671.87</v>
      </c>
      <c r="M263" s="17" t="n">
        <f aca="false">ROUND(L263*AA263,2)</f>
        <v>0</v>
      </c>
      <c r="N263" s="17" t="n">
        <f aca="false">ROUND(L263*Accounts!R141,2)</f>
        <v>0</v>
      </c>
      <c r="O263" s="17" t="n">
        <f aca="false">ROUND(L263*Accounts!S141,2)</f>
        <v>0</v>
      </c>
      <c r="P263" s="17" t="n">
        <f aca="false">ROUND(L263*Accounts!T141,2)</f>
        <v>0</v>
      </c>
      <c r="Q263" s="17" t="n">
        <f aca="false">ROUND(L263*Accounts!U141,2)</f>
        <v>0</v>
      </c>
      <c r="R263" s="17" t="n">
        <f aca="false">ROUND(L263*Accounts!V141,2)</f>
        <v>116.72</v>
      </c>
      <c r="S263" s="17" t="n">
        <f aca="false">ROUND(L263*Accounts!W141,2)</f>
        <v>0</v>
      </c>
      <c r="T263" s="17" t="n">
        <f aca="false">ROUND(L263-SUM(M263:S263),2)</f>
        <v>11555.15</v>
      </c>
      <c r="U263" s="17" t="n">
        <f aca="false">ROUND(F263*H263,2)</f>
        <v>6912</v>
      </c>
      <c r="V263" s="17" t="n">
        <f aca="false">ROUND(L263*Assumptions!$C$25,2)</f>
        <v>233.44</v>
      </c>
      <c r="W263" s="17" t="n">
        <f aca="false">ROUND(T263-U263-V263,2)</f>
        <v>4409.71</v>
      </c>
      <c r="X263" s="28" t="n">
        <f aca="false">T263/I263</f>
        <v>0.970694724462366</v>
      </c>
      <c r="Y263" s="17" t="n">
        <f aca="false">T263/F263</f>
        <v>60.1830729166667</v>
      </c>
      <c r="Z263" s="26" t="n">
        <f aca="false">Accounts!H141</f>
        <v>220</v>
      </c>
      <c r="AA263" s="28" t="n">
        <f aca="false">IF(Z263&gt;=Assumptions!$B$44,Assumptions!$C$44,IF(Z263&gt;=Assumptions!$B$45,Assumptions!$C$45,IF(Z263&gt;=Assumptions!$B$46,Assumptions!$C$46,Assumptions!$C$47)))</f>
        <v>0</v>
      </c>
      <c r="AB263" s="26" t="n">
        <f aca="false">IF(Z263&gt;=Assumptions!$B$44,Assumptions!$B$44,IF(Z263&gt;=Assumptions!$B$45,Assumptions!$B$45,IF(Z263&gt;=Assumptions!$B$46,Assumptions!$B$46,0)))</f>
        <v>0</v>
      </c>
    </row>
    <row r="264" customFormat="false" ht="15" hidden="false" customHeight="false" outlineLevel="0" collapsed="false">
      <c r="B264" s="14" t="s">
        <v>310</v>
      </c>
      <c r="C264" s="14" t="s">
        <v>259</v>
      </c>
      <c r="D264" s="14" t="s">
        <v>243</v>
      </c>
      <c r="E264" s="14" t="s">
        <v>62</v>
      </c>
      <c r="F264" s="26" t="n">
        <f aca="false">Accounts!F157</f>
        <v>216</v>
      </c>
      <c r="G264" s="17" t="n">
        <f aca="false">Assumptions!$D$9</f>
        <v>62</v>
      </c>
      <c r="H264" s="17" t="n">
        <f aca="false">Assumptions!$E$9</f>
        <v>36</v>
      </c>
      <c r="I264" s="17" t="n">
        <f aca="false">ROUND(F264*G264,2)</f>
        <v>13392</v>
      </c>
      <c r="J264" s="17" t="n">
        <f aca="false">ROUND(I264*Accounts!O157,2)</f>
        <v>0</v>
      </c>
      <c r="K264" s="17" t="n">
        <f aca="false">ROUND(I264*Accounts!M157,2)</f>
        <v>783.43</v>
      </c>
      <c r="L264" s="17" t="n">
        <f aca="false">ROUND(I264-J264-K264,2)</f>
        <v>12608.57</v>
      </c>
      <c r="M264" s="17" t="n">
        <f aca="false">ROUND(L264*AA264,2)</f>
        <v>0</v>
      </c>
      <c r="N264" s="17" t="n">
        <f aca="false">ROUND(L264*Accounts!R157,2)</f>
        <v>0</v>
      </c>
      <c r="O264" s="17" t="n">
        <f aca="false">ROUND(L264*Accounts!S157,2)</f>
        <v>0</v>
      </c>
      <c r="P264" s="17" t="n">
        <f aca="false">ROUND(L264*Accounts!T157,2)</f>
        <v>0</v>
      </c>
      <c r="Q264" s="17" t="n">
        <f aca="false">ROUND(L264*Accounts!U157,2)</f>
        <v>0</v>
      </c>
      <c r="R264" s="17" t="n">
        <f aca="false">ROUND(L264*Accounts!V157,2)</f>
        <v>126.09</v>
      </c>
      <c r="S264" s="17" t="n">
        <f aca="false">ROUND(L264*Accounts!W157,2)</f>
        <v>0</v>
      </c>
      <c r="T264" s="17" t="n">
        <f aca="false">ROUND(L264-SUM(M264:S264),2)</f>
        <v>12482.48</v>
      </c>
      <c r="U264" s="17" t="n">
        <f aca="false">ROUND(F264*H264,2)</f>
        <v>7776</v>
      </c>
      <c r="V264" s="17" t="n">
        <f aca="false">ROUND(L264*Assumptions!$C$25,2)</f>
        <v>252.17</v>
      </c>
      <c r="W264" s="17" t="n">
        <f aca="false">ROUND(T264-U264-V264,2)</f>
        <v>4454.31</v>
      </c>
      <c r="X264" s="28" t="n">
        <f aca="false">T264/I264</f>
        <v>0.932084826762246</v>
      </c>
      <c r="Y264" s="17" t="n">
        <f aca="false">T264/F264</f>
        <v>57.7892592592593</v>
      </c>
      <c r="Z264" s="26" t="n">
        <f aca="false">Accounts!H157</f>
        <v>257</v>
      </c>
      <c r="AA264" s="28" t="n">
        <f aca="false">IF(Z264&gt;=Assumptions!$B$44,Assumptions!$C$44,IF(Z264&gt;=Assumptions!$B$45,Assumptions!$C$45,IF(Z264&gt;=Assumptions!$B$46,Assumptions!$C$46,Assumptions!$C$47)))</f>
        <v>0</v>
      </c>
      <c r="AB264" s="26" t="n">
        <f aca="false">IF(Z264&gt;=Assumptions!$B$44,Assumptions!$B$44,IF(Z264&gt;=Assumptions!$B$45,Assumptions!$B$45,IF(Z264&gt;=Assumptions!$B$46,Assumptions!$B$46,0)))</f>
        <v>0</v>
      </c>
    </row>
    <row r="265" customFormat="false" ht="15" hidden="false" customHeight="false" outlineLevel="0" collapsed="false">
      <c r="B265" s="14" t="s">
        <v>326</v>
      </c>
      <c r="C265" s="14" t="s">
        <v>259</v>
      </c>
      <c r="D265" s="14" t="s">
        <v>251</v>
      </c>
      <c r="E265" s="14" t="s">
        <v>62</v>
      </c>
      <c r="F265" s="26" t="n">
        <f aca="false">Accounts!F173</f>
        <v>1016</v>
      </c>
      <c r="G265" s="17" t="n">
        <f aca="false">Assumptions!$D$9</f>
        <v>62</v>
      </c>
      <c r="H265" s="17" t="n">
        <f aca="false">Assumptions!$E$9</f>
        <v>36</v>
      </c>
      <c r="I265" s="17" t="n">
        <f aca="false">ROUND(F265*G265,2)</f>
        <v>62992</v>
      </c>
      <c r="J265" s="17" t="n">
        <f aca="false">ROUND(I265*Accounts!O173,2)</f>
        <v>1259.84</v>
      </c>
      <c r="K265" s="17" t="n">
        <f aca="false">ROUND(I265*Accounts!M173,2)</f>
        <v>4913.38</v>
      </c>
      <c r="L265" s="17" t="n">
        <f aca="false">ROUND(I265-J265-K265,2)</f>
        <v>56818.78</v>
      </c>
      <c r="M265" s="17" t="n">
        <f aca="false">ROUND(L265*AA265,2)</f>
        <v>0</v>
      </c>
      <c r="N265" s="17" t="n">
        <f aca="false">ROUND(L265*Accounts!R173,2)</f>
        <v>0</v>
      </c>
      <c r="O265" s="17" t="n">
        <f aca="false">ROUND(L265*Accounts!S173,2)</f>
        <v>0</v>
      </c>
      <c r="P265" s="17" t="n">
        <f aca="false">ROUND(L265*Accounts!T173,2)</f>
        <v>0</v>
      </c>
      <c r="Q265" s="17" t="n">
        <f aca="false">ROUND(L265*Accounts!U173,2)</f>
        <v>0</v>
      </c>
      <c r="R265" s="17" t="n">
        <f aca="false">ROUND(L265*Accounts!V173,2)</f>
        <v>568.19</v>
      </c>
      <c r="S265" s="17" t="n">
        <f aca="false">ROUND(L265*Accounts!W173,2)</f>
        <v>0</v>
      </c>
      <c r="T265" s="17" t="n">
        <f aca="false">ROUND(L265-SUM(M265:S265),2)</f>
        <v>56250.59</v>
      </c>
      <c r="U265" s="17" t="n">
        <f aca="false">ROUND(F265*H265,2)</f>
        <v>36576</v>
      </c>
      <c r="V265" s="17" t="n">
        <f aca="false">ROUND(L265*Assumptions!$C$25,2)</f>
        <v>1136.38</v>
      </c>
      <c r="W265" s="17" t="n">
        <f aca="false">ROUND(T265-U265-V265,2)</f>
        <v>18538.21</v>
      </c>
      <c r="X265" s="28" t="n">
        <f aca="false">T265/I265</f>
        <v>0.892979902209804</v>
      </c>
      <c r="Y265" s="17" t="n">
        <f aca="false">T265/F265</f>
        <v>55.3647539370079</v>
      </c>
      <c r="Z265" s="26" t="n">
        <f aca="false">Accounts!H173</f>
        <v>1785</v>
      </c>
      <c r="AA265" s="28" t="n">
        <f aca="false">IF(Z265&gt;=Assumptions!$B$44,Assumptions!$C$44,IF(Z265&gt;=Assumptions!$B$45,Assumptions!$C$45,IF(Z265&gt;=Assumptions!$B$46,Assumptions!$C$46,Assumptions!$C$47)))</f>
        <v>0</v>
      </c>
      <c r="AB265" s="26" t="n">
        <f aca="false">IF(Z265&gt;=Assumptions!$B$44,Assumptions!$B$44,IF(Z265&gt;=Assumptions!$B$45,Assumptions!$B$45,IF(Z265&gt;=Assumptions!$B$46,Assumptions!$B$46,0)))</f>
        <v>0</v>
      </c>
    </row>
    <row r="266" customFormat="false" ht="15" hidden="false" customHeight="false" outlineLevel="0" collapsed="false">
      <c r="B266" s="14" t="s">
        <v>279</v>
      </c>
      <c r="C266" s="14" t="s">
        <v>259</v>
      </c>
      <c r="D266" s="14" t="s">
        <v>227</v>
      </c>
      <c r="E266" s="14" t="s">
        <v>62</v>
      </c>
      <c r="F266" s="26" t="n">
        <f aca="false">Accounts!F126</f>
        <v>952</v>
      </c>
      <c r="G266" s="17" t="n">
        <f aca="false">Assumptions!$D$9</f>
        <v>62</v>
      </c>
      <c r="H266" s="17" t="n">
        <f aca="false">Assumptions!$E$9</f>
        <v>36</v>
      </c>
      <c r="I266" s="17" t="n">
        <f aca="false">ROUND(F266*G266,2)</f>
        <v>59024</v>
      </c>
      <c r="J266" s="17" t="n">
        <f aca="false">ROUND(I266*Accounts!O126,2)</f>
        <v>1180.48</v>
      </c>
      <c r="K266" s="17" t="n">
        <f aca="false">ROUND(I266*Accounts!M126,2)</f>
        <v>7289.46</v>
      </c>
      <c r="L266" s="17" t="n">
        <f aca="false">ROUND(I266-J266-K266,2)</f>
        <v>50554.06</v>
      </c>
      <c r="M266" s="17" t="n">
        <f aca="false">ROUND(L266*AA266,2)</f>
        <v>0</v>
      </c>
      <c r="N266" s="17" t="n">
        <f aca="false">ROUND(L266*Accounts!R126,2)</f>
        <v>0</v>
      </c>
      <c r="O266" s="17" t="n">
        <f aca="false">ROUND(L266*Accounts!S126,2)</f>
        <v>0</v>
      </c>
      <c r="P266" s="17" t="n">
        <f aca="false">ROUND(L266*Accounts!T126,2)</f>
        <v>0</v>
      </c>
      <c r="Q266" s="17" t="n">
        <f aca="false">ROUND(L266*Accounts!U126,2)</f>
        <v>0</v>
      </c>
      <c r="R266" s="17" t="n">
        <f aca="false">ROUND(L266*Accounts!V126,2)</f>
        <v>505.54</v>
      </c>
      <c r="S266" s="17" t="n">
        <f aca="false">ROUND(L266*Accounts!W126,2)</f>
        <v>0</v>
      </c>
      <c r="T266" s="17" t="n">
        <f aca="false">ROUND(L266-SUM(M266:S266),2)</f>
        <v>50048.52</v>
      </c>
      <c r="U266" s="17" t="n">
        <f aca="false">ROUND(F266*H266,2)</f>
        <v>34272</v>
      </c>
      <c r="V266" s="17" t="n">
        <f aca="false">ROUND(L266*Assumptions!$C$25,2)</f>
        <v>1011.08</v>
      </c>
      <c r="W266" s="17" t="n">
        <f aca="false">ROUND(T266-U266-V266,2)</f>
        <v>14765.44</v>
      </c>
      <c r="X266" s="28" t="n">
        <f aca="false">T266/I266</f>
        <v>0.847935077256709</v>
      </c>
      <c r="Y266" s="17" t="n">
        <f aca="false">T266/F266</f>
        <v>52.571974789916</v>
      </c>
      <c r="Z266" s="26" t="n">
        <f aca="false">Accounts!H126</f>
        <v>1221</v>
      </c>
      <c r="AA266" s="28" t="n">
        <f aca="false">IF(Z266&gt;=Assumptions!$B$44,Assumptions!$C$44,IF(Z266&gt;=Assumptions!$B$45,Assumptions!$C$45,IF(Z266&gt;=Assumptions!$B$46,Assumptions!$C$46,Assumptions!$C$47)))</f>
        <v>0</v>
      </c>
      <c r="AB266" s="26" t="n">
        <f aca="false">IF(Z266&gt;=Assumptions!$B$44,Assumptions!$B$44,IF(Z266&gt;=Assumptions!$B$45,Assumptions!$B$45,IF(Z266&gt;=Assumptions!$B$46,Assumptions!$B$46,0)))</f>
        <v>0</v>
      </c>
    </row>
    <row r="267" customFormat="false" ht="15" hidden="false" customHeight="false" outlineLevel="0" collapsed="false">
      <c r="B267" s="14" t="s">
        <v>295</v>
      </c>
      <c r="C267" s="14" t="s">
        <v>259</v>
      </c>
      <c r="D267" s="14" t="s">
        <v>235</v>
      </c>
      <c r="E267" s="14" t="s">
        <v>62</v>
      </c>
      <c r="F267" s="26" t="n">
        <f aca="false">Accounts!F142</f>
        <v>711</v>
      </c>
      <c r="G267" s="17" t="n">
        <f aca="false">Assumptions!$D$9</f>
        <v>62</v>
      </c>
      <c r="H267" s="17" t="n">
        <f aca="false">Assumptions!$E$9</f>
        <v>36</v>
      </c>
      <c r="I267" s="17" t="n">
        <f aca="false">ROUND(F267*G267,2)</f>
        <v>44082</v>
      </c>
      <c r="J267" s="17" t="n">
        <f aca="false">ROUND(I267*Accounts!O142,2)</f>
        <v>0</v>
      </c>
      <c r="K267" s="17" t="n">
        <f aca="false">ROUND(I267*Accounts!M142,2)</f>
        <v>0</v>
      </c>
      <c r="L267" s="17" t="n">
        <f aca="false">ROUND(I267-J267-K267,2)</f>
        <v>44082</v>
      </c>
      <c r="M267" s="17" t="n">
        <f aca="false">ROUND(L267*AA267,2)</f>
        <v>0</v>
      </c>
      <c r="N267" s="17" t="n">
        <f aca="false">ROUND(L267*Accounts!R142,2)</f>
        <v>0</v>
      </c>
      <c r="O267" s="17" t="n">
        <f aca="false">ROUND(L267*Accounts!S142,2)</f>
        <v>0</v>
      </c>
      <c r="P267" s="17" t="n">
        <f aca="false">ROUND(L267*Accounts!T142,2)</f>
        <v>0</v>
      </c>
      <c r="Q267" s="17" t="n">
        <f aca="false">ROUND(L267*Accounts!U142,2)</f>
        <v>0</v>
      </c>
      <c r="R267" s="17" t="n">
        <f aca="false">ROUND(L267*Accounts!V142,2)</f>
        <v>440.82</v>
      </c>
      <c r="S267" s="17" t="n">
        <f aca="false">ROUND(L267*Accounts!W142,2)</f>
        <v>0</v>
      </c>
      <c r="T267" s="17" t="n">
        <f aca="false">ROUND(L267-SUM(M267:S267),2)</f>
        <v>43641.18</v>
      </c>
      <c r="U267" s="17" t="n">
        <f aca="false">ROUND(F267*H267,2)</f>
        <v>25596</v>
      </c>
      <c r="V267" s="17" t="n">
        <f aca="false">ROUND(L267*Assumptions!$C$25,2)</f>
        <v>881.64</v>
      </c>
      <c r="W267" s="17" t="n">
        <f aca="false">ROUND(T267-U267-V267,2)</f>
        <v>17163.54</v>
      </c>
      <c r="X267" s="28" t="n">
        <f aca="false">T267/I267</f>
        <v>0.99</v>
      </c>
      <c r="Y267" s="17" t="n">
        <f aca="false">T267/F267</f>
        <v>61.38</v>
      </c>
      <c r="Z267" s="26" t="n">
        <f aca="false">Accounts!H142</f>
        <v>984</v>
      </c>
      <c r="AA267" s="28" t="n">
        <f aca="false">IF(Z267&gt;=Assumptions!$B$44,Assumptions!$C$44,IF(Z267&gt;=Assumptions!$B$45,Assumptions!$C$45,IF(Z267&gt;=Assumptions!$B$46,Assumptions!$C$46,Assumptions!$C$47)))</f>
        <v>0</v>
      </c>
      <c r="AB267" s="26" t="n">
        <f aca="false">IF(Z267&gt;=Assumptions!$B$44,Assumptions!$B$44,IF(Z267&gt;=Assumptions!$B$45,Assumptions!$B$45,IF(Z267&gt;=Assumptions!$B$46,Assumptions!$B$46,0)))</f>
        <v>0</v>
      </c>
    </row>
    <row r="268" customFormat="false" ht="15" hidden="false" customHeight="false" outlineLevel="0" collapsed="false">
      <c r="B268" s="14" t="s">
        <v>311</v>
      </c>
      <c r="C268" s="14" t="s">
        <v>259</v>
      </c>
      <c r="D268" s="14" t="s">
        <v>243</v>
      </c>
      <c r="E268" s="14" t="s">
        <v>62</v>
      </c>
      <c r="F268" s="26" t="n">
        <f aca="false">Accounts!F158</f>
        <v>310</v>
      </c>
      <c r="G268" s="17" t="n">
        <f aca="false">Assumptions!$D$9</f>
        <v>62</v>
      </c>
      <c r="H268" s="17" t="n">
        <f aca="false">Assumptions!$E$9</f>
        <v>36</v>
      </c>
      <c r="I268" s="17" t="n">
        <f aca="false">ROUND(F268*G268,2)</f>
        <v>19220</v>
      </c>
      <c r="J268" s="17" t="n">
        <f aca="false">ROUND(I268*Accounts!O158,2)</f>
        <v>0</v>
      </c>
      <c r="K268" s="17" t="n">
        <f aca="false">ROUND(I268*Accounts!M158,2)</f>
        <v>0</v>
      </c>
      <c r="L268" s="17" t="n">
        <f aca="false">ROUND(I268-J268-K268,2)</f>
        <v>19220</v>
      </c>
      <c r="M268" s="17" t="n">
        <f aca="false">ROUND(L268*AA268,2)</f>
        <v>0</v>
      </c>
      <c r="N268" s="17" t="n">
        <f aca="false">ROUND(L268*Accounts!R158,2)</f>
        <v>0</v>
      </c>
      <c r="O268" s="17" t="n">
        <f aca="false">ROUND(L268*Accounts!S158,2)</f>
        <v>0</v>
      </c>
      <c r="P268" s="17" t="n">
        <f aca="false">ROUND(L268*Accounts!T158,2)</f>
        <v>0</v>
      </c>
      <c r="Q268" s="17" t="n">
        <f aca="false">ROUND(L268*Accounts!U158,2)</f>
        <v>0</v>
      </c>
      <c r="R268" s="17" t="n">
        <f aca="false">ROUND(L268*Accounts!V158,2)</f>
        <v>192.2</v>
      </c>
      <c r="S268" s="17" t="n">
        <f aca="false">ROUND(L268*Accounts!W158,2)</f>
        <v>0</v>
      </c>
      <c r="T268" s="17" t="n">
        <f aca="false">ROUND(L268-SUM(M268:S268),2)</f>
        <v>19027.8</v>
      </c>
      <c r="U268" s="17" t="n">
        <f aca="false">ROUND(F268*H268,2)</f>
        <v>11160</v>
      </c>
      <c r="V268" s="17" t="n">
        <f aca="false">ROUND(L268*Assumptions!$C$25,2)</f>
        <v>384.4</v>
      </c>
      <c r="W268" s="17" t="n">
        <f aca="false">ROUND(T268-U268-V268,2)</f>
        <v>7483.4</v>
      </c>
      <c r="X268" s="28" t="n">
        <f aca="false">T268/I268</f>
        <v>0.99</v>
      </c>
      <c r="Y268" s="17" t="n">
        <f aca="false">T268/F268</f>
        <v>61.38</v>
      </c>
      <c r="Z268" s="26" t="n">
        <f aca="false">Accounts!H158</f>
        <v>513</v>
      </c>
      <c r="AA268" s="28" t="n">
        <f aca="false">IF(Z268&gt;=Assumptions!$B$44,Assumptions!$C$44,IF(Z268&gt;=Assumptions!$B$45,Assumptions!$C$45,IF(Z268&gt;=Assumptions!$B$46,Assumptions!$C$46,Assumptions!$C$47)))</f>
        <v>0</v>
      </c>
      <c r="AB268" s="26" t="n">
        <f aca="false">IF(Z268&gt;=Assumptions!$B$44,Assumptions!$B$44,IF(Z268&gt;=Assumptions!$B$45,Assumptions!$B$45,IF(Z268&gt;=Assumptions!$B$46,Assumptions!$B$46,0)))</f>
        <v>0</v>
      </c>
    </row>
    <row r="269" customFormat="false" ht="15" hidden="false" customHeight="false" outlineLevel="0" collapsed="false">
      <c r="B269" s="14" t="s">
        <v>327</v>
      </c>
      <c r="C269" s="14" t="s">
        <v>259</v>
      </c>
      <c r="D269" s="14" t="s">
        <v>251</v>
      </c>
      <c r="E269" s="14" t="s">
        <v>62</v>
      </c>
      <c r="F269" s="26" t="n">
        <f aca="false">Accounts!F174</f>
        <v>555</v>
      </c>
      <c r="G269" s="17" t="n">
        <f aca="false">Assumptions!$D$9</f>
        <v>62</v>
      </c>
      <c r="H269" s="17" t="n">
        <f aca="false">Assumptions!$E$9</f>
        <v>36</v>
      </c>
      <c r="I269" s="17" t="n">
        <f aca="false">ROUND(F269*G269,2)</f>
        <v>34410</v>
      </c>
      <c r="J269" s="17" t="n">
        <f aca="false">ROUND(I269*Accounts!O174,2)</f>
        <v>688.2</v>
      </c>
      <c r="K269" s="17" t="n">
        <f aca="false">ROUND(I269*Accounts!M174,2)</f>
        <v>2236.65</v>
      </c>
      <c r="L269" s="17" t="n">
        <f aca="false">ROUND(I269-J269-K269,2)</f>
        <v>31485.15</v>
      </c>
      <c r="M269" s="17" t="n">
        <f aca="false">ROUND(L269*AA269,2)</f>
        <v>0</v>
      </c>
      <c r="N269" s="17" t="n">
        <f aca="false">ROUND(L269*Accounts!R174,2)</f>
        <v>0</v>
      </c>
      <c r="O269" s="17" t="n">
        <f aca="false">ROUND(L269*Accounts!S174,2)</f>
        <v>0</v>
      </c>
      <c r="P269" s="17" t="n">
        <f aca="false">ROUND(L269*Accounts!T174,2)</f>
        <v>0</v>
      </c>
      <c r="Q269" s="17" t="n">
        <f aca="false">ROUND(L269*Accounts!U174,2)</f>
        <v>0</v>
      </c>
      <c r="R269" s="17" t="n">
        <f aca="false">ROUND(L269*Accounts!V174,2)</f>
        <v>314.85</v>
      </c>
      <c r="S269" s="17" t="n">
        <f aca="false">ROUND(L269*Accounts!W174,2)</f>
        <v>0</v>
      </c>
      <c r="T269" s="17" t="n">
        <f aca="false">ROUND(L269-SUM(M269:S269),2)</f>
        <v>31170.3</v>
      </c>
      <c r="U269" s="17" t="n">
        <f aca="false">ROUND(F269*H269,2)</f>
        <v>19980</v>
      </c>
      <c r="V269" s="17" t="n">
        <f aca="false">ROUND(L269*Assumptions!$C$25,2)</f>
        <v>629.7</v>
      </c>
      <c r="W269" s="17" t="n">
        <f aca="false">ROUND(T269-U269-V269,2)</f>
        <v>10560.6</v>
      </c>
      <c r="X269" s="28" t="n">
        <f aca="false">T269/I269</f>
        <v>0.905850043591979</v>
      </c>
      <c r="Y269" s="17" t="n">
        <f aca="false">T269/F269</f>
        <v>56.1627027027027</v>
      </c>
      <c r="Z269" s="26" t="n">
        <f aca="false">Accounts!H174</f>
        <v>792</v>
      </c>
      <c r="AA269" s="28" t="n">
        <f aca="false">IF(Z269&gt;=Assumptions!$B$44,Assumptions!$C$44,IF(Z269&gt;=Assumptions!$B$45,Assumptions!$C$45,IF(Z269&gt;=Assumptions!$B$46,Assumptions!$C$46,Assumptions!$C$47)))</f>
        <v>0</v>
      </c>
      <c r="AB269" s="26" t="n">
        <f aca="false">IF(Z269&gt;=Assumptions!$B$44,Assumptions!$B$44,IF(Z269&gt;=Assumptions!$B$45,Assumptions!$B$45,IF(Z269&gt;=Assumptions!$B$46,Assumptions!$B$46,0)))</f>
        <v>0</v>
      </c>
    </row>
    <row r="270" customFormat="false" ht="15" hidden="false" customHeight="false" outlineLevel="0" collapsed="false">
      <c r="B270" s="14" t="s">
        <v>280</v>
      </c>
      <c r="C270" s="14" t="s">
        <v>259</v>
      </c>
      <c r="D270" s="14" t="s">
        <v>227</v>
      </c>
      <c r="E270" s="14" t="s">
        <v>62</v>
      </c>
      <c r="F270" s="26" t="n">
        <f aca="false">Accounts!F127</f>
        <v>722</v>
      </c>
      <c r="G270" s="17" t="n">
        <f aca="false">Assumptions!$D$9</f>
        <v>62</v>
      </c>
      <c r="H270" s="17" t="n">
        <f aca="false">Assumptions!$E$9</f>
        <v>36</v>
      </c>
      <c r="I270" s="17" t="n">
        <f aca="false">ROUND(F270*G270,2)</f>
        <v>44764</v>
      </c>
      <c r="J270" s="17" t="n">
        <f aca="false">ROUND(I270*Accounts!O127,2)</f>
        <v>895.28</v>
      </c>
      <c r="K270" s="17" t="n">
        <f aca="false">ROUND(I270*Accounts!M127,2)</f>
        <v>1454.83</v>
      </c>
      <c r="L270" s="17" t="n">
        <f aca="false">ROUND(I270-J270-K270,2)</f>
        <v>42413.89</v>
      </c>
      <c r="M270" s="17" t="n">
        <f aca="false">ROUND(L270*AA270,2)</f>
        <v>0</v>
      </c>
      <c r="N270" s="17" t="n">
        <f aca="false">ROUND(L270*Accounts!R127,2)</f>
        <v>0</v>
      </c>
      <c r="O270" s="17" t="n">
        <f aca="false">ROUND(L270*Accounts!S127,2)</f>
        <v>0</v>
      </c>
      <c r="P270" s="17" t="n">
        <f aca="false">ROUND(L270*Accounts!T127,2)</f>
        <v>0</v>
      </c>
      <c r="Q270" s="17" t="n">
        <f aca="false">ROUND(L270*Accounts!U127,2)</f>
        <v>0</v>
      </c>
      <c r="R270" s="17" t="n">
        <f aca="false">ROUND(L270*Accounts!V127,2)</f>
        <v>424.14</v>
      </c>
      <c r="S270" s="17" t="n">
        <f aca="false">ROUND(L270*Accounts!W127,2)</f>
        <v>0</v>
      </c>
      <c r="T270" s="17" t="n">
        <f aca="false">ROUND(L270-SUM(M270:S270),2)</f>
        <v>41989.75</v>
      </c>
      <c r="U270" s="17" t="n">
        <f aca="false">ROUND(F270*H270,2)</f>
        <v>25992</v>
      </c>
      <c r="V270" s="17" t="n">
        <f aca="false">ROUND(L270*Assumptions!$C$25,2)</f>
        <v>848.28</v>
      </c>
      <c r="W270" s="17" t="n">
        <f aca="false">ROUND(T270-U270-V270,2)</f>
        <v>15149.47</v>
      </c>
      <c r="X270" s="28" t="n">
        <f aca="false">T270/I270</f>
        <v>0.938024975426682</v>
      </c>
      <c r="Y270" s="17" t="n">
        <f aca="false">T270/F270</f>
        <v>58.1575484764543</v>
      </c>
      <c r="Z270" s="26" t="n">
        <f aca="false">Accounts!H127</f>
        <v>909</v>
      </c>
      <c r="AA270" s="28" t="n">
        <f aca="false">IF(Z270&gt;=Assumptions!$B$44,Assumptions!$C$44,IF(Z270&gt;=Assumptions!$B$45,Assumptions!$C$45,IF(Z270&gt;=Assumptions!$B$46,Assumptions!$C$46,Assumptions!$C$47)))</f>
        <v>0</v>
      </c>
      <c r="AB270" s="26" t="n">
        <f aca="false">IF(Z270&gt;=Assumptions!$B$44,Assumptions!$B$44,IF(Z270&gt;=Assumptions!$B$45,Assumptions!$B$45,IF(Z270&gt;=Assumptions!$B$46,Assumptions!$B$46,0)))</f>
        <v>0</v>
      </c>
    </row>
    <row r="271" customFormat="false" ht="15" hidden="false" customHeight="false" outlineLevel="0" collapsed="false">
      <c r="B271" s="14" t="s">
        <v>296</v>
      </c>
      <c r="C271" s="14" t="s">
        <v>259</v>
      </c>
      <c r="D271" s="14" t="s">
        <v>235</v>
      </c>
      <c r="E271" s="14" t="s">
        <v>62</v>
      </c>
      <c r="F271" s="26" t="n">
        <f aca="false">Accounts!F143</f>
        <v>104</v>
      </c>
      <c r="G271" s="17" t="n">
        <f aca="false">Assumptions!$D$9</f>
        <v>62</v>
      </c>
      <c r="H271" s="17" t="n">
        <f aca="false">Assumptions!$E$9</f>
        <v>36</v>
      </c>
      <c r="I271" s="17" t="n">
        <f aca="false">ROUND(F271*G271,2)</f>
        <v>6448</v>
      </c>
      <c r="J271" s="17" t="n">
        <f aca="false">ROUND(I271*Accounts!O143,2)</f>
        <v>0</v>
      </c>
      <c r="K271" s="17" t="n">
        <f aca="false">ROUND(I271*Accounts!M143,2)</f>
        <v>293.38</v>
      </c>
      <c r="L271" s="17" t="n">
        <f aca="false">ROUND(I271-J271-K271,2)</f>
        <v>6154.62</v>
      </c>
      <c r="M271" s="17" t="n">
        <f aca="false">ROUND(L271*AA271,2)</f>
        <v>0</v>
      </c>
      <c r="N271" s="17" t="n">
        <f aca="false">ROUND(L271*Accounts!R143,2)</f>
        <v>0</v>
      </c>
      <c r="O271" s="17" t="n">
        <f aca="false">ROUND(L271*Accounts!S143,2)</f>
        <v>0</v>
      </c>
      <c r="P271" s="17" t="n">
        <f aca="false">ROUND(L271*Accounts!T143,2)</f>
        <v>0</v>
      </c>
      <c r="Q271" s="17" t="n">
        <f aca="false">ROUND(L271*Accounts!U143,2)</f>
        <v>0</v>
      </c>
      <c r="R271" s="17" t="n">
        <f aca="false">ROUND(L271*Accounts!V143,2)</f>
        <v>61.55</v>
      </c>
      <c r="S271" s="17" t="n">
        <f aca="false">ROUND(L271*Accounts!W143,2)</f>
        <v>0</v>
      </c>
      <c r="T271" s="17" t="n">
        <f aca="false">ROUND(L271-SUM(M271:S271),2)</f>
        <v>6093.07</v>
      </c>
      <c r="U271" s="17" t="n">
        <f aca="false">ROUND(F271*H271,2)</f>
        <v>3744</v>
      </c>
      <c r="V271" s="17" t="n">
        <f aca="false">ROUND(L271*Assumptions!$C$25,2)</f>
        <v>123.09</v>
      </c>
      <c r="W271" s="17" t="n">
        <f aca="false">ROUND(T271-U271-V271,2)</f>
        <v>2225.98</v>
      </c>
      <c r="X271" s="28" t="n">
        <f aca="false">T271/I271</f>
        <v>0.944955024813896</v>
      </c>
      <c r="Y271" s="17" t="n">
        <f aca="false">T271/F271</f>
        <v>58.5872115384615</v>
      </c>
      <c r="Z271" s="26" t="n">
        <f aca="false">Accounts!H143</f>
        <v>149</v>
      </c>
      <c r="AA271" s="28" t="n">
        <f aca="false">IF(Z271&gt;=Assumptions!$B$44,Assumptions!$C$44,IF(Z271&gt;=Assumptions!$B$45,Assumptions!$C$45,IF(Z271&gt;=Assumptions!$B$46,Assumptions!$C$46,Assumptions!$C$47)))</f>
        <v>0</v>
      </c>
      <c r="AB271" s="26" t="n">
        <f aca="false">IF(Z271&gt;=Assumptions!$B$44,Assumptions!$B$44,IF(Z271&gt;=Assumptions!$B$45,Assumptions!$B$45,IF(Z271&gt;=Assumptions!$B$46,Assumptions!$B$46,0)))</f>
        <v>0</v>
      </c>
    </row>
    <row r="272" customFormat="false" ht="15" hidden="false" customHeight="false" outlineLevel="0" collapsed="false">
      <c r="B272" s="14" t="s">
        <v>265</v>
      </c>
      <c r="C272" s="14" t="s">
        <v>259</v>
      </c>
      <c r="D272" s="14" t="s">
        <v>218</v>
      </c>
      <c r="E272" s="14" t="s">
        <v>62</v>
      </c>
      <c r="F272" s="26" t="n">
        <f aca="false">Accounts!F112</f>
        <v>244</v>
      </c>
      <c r="G272" s="17" t="n">
        <f aca="false">Assumptions!$D$9</f>
        <v>62</v>
      </c>
      <c r="H272" s="17" t="n">
        <f aca="false">Assumptions!$E$9</f>
        <v>36</v>
      </c>
      <c r="I272" s="17" t="n">
        <f aca="false">ROUND(F272*G272,2)</f>
        <v>15128</v>
      </c>
      <c r="J272" s="17" t="n">
        <f aca="false">ROUND(I272*Accounts!O112,2)</f>
        <v>0</v>
      </c>
      <c r="K272" s="17" t="n">
        <f aca="false">ROUND(I272*Accounts!M112,2)</f>
        <v>0</v>
      </c>
      <c r="L272" s="17" t="n">
        <f aca="false">ROUND(I272-J272-K272,2)</f>
        <v>15128</v>
      </c>
      <c r="M272" s="17" t="n">
        <f aca="false">ROUND(L272*AA272,2)</f>
        <v>0</v>
      </c>
      <c r="N272" s="17" t="n">
        <f aca="false">ROUND(L272*Accounts!R112,2)</f>
        <v>0</v>
      </c>
      <c r="O272" s="17" t="n">
        <f aca="false">ROUND(L272*Accounts!S112,2)</f>
        <v>0</v>
      </c>
      <c r="P272" s="17" t="n">
        <f aca="false">ROUND(L272*Accounts!T112,2)</f>
        <v>0</v>
      </c>
      <c r="Q272" s="17" t="n">
        <f aca="false">ROUND(L272*Accounts!U112,2)</f>
        <v>0</v>
      </c>
      <c r="R272" s="17" t="n">
        <f aca="false">ROUND(L272*Accounts!V112,2)</f>
        <v>151.28</v>
      </c>
      <c r="S272" s="17" t="n">
        <f aca="false">ROUND(L272*Accounts!W112,2)</f>
        <v>0</v>
      </c>
      <c r="T272" s="17" t="n">
        <f aca="false">ROUND(L272-SUM(M272:S272),2)</f>
        <v>14976.72</v>
      </c>
      <c r="U272" s="17" t="n">
        <f aca="false">ROUND(F272*H272,2)</f>
        <v>8784</v>
      </c>
      <c r="V272" s="17" t="n">
        <f aca="false">ROUND(L272*Assumptions!$C$25,2)</f>
        <v>302.56</v>
      </c>
      <c r="W272" s="17" t="n">
        <f aca="false">ROUND(T272-U272-V272,2)</f>
        <v>5890.16</v>
      </c>
      <c r="X272" s="28" t="n">
        <f aca="false">T272/I272</f>
        <v>0.99</v>
      </c>
      <c r="Y272" s="17" t="n">
        <f aca="false">T272/F272</f>
        <v>61.38</v>
      </c>
      <c r="Z272" s="26" t="n">
        <f aca="false">Accounts!H112</f>
        <v>390</v>
      </c>
      <c r="AA272" s="28" t="n">
        <f aca="false">IF(Z272&gt;=Assumptions!$B$44,Assumptions!$C$44,IF(Z272&gt;=Assumptions!$B$45,Assumptions!$C$45,IF(Z272&gt;=Assumptions!$B$46,Assumptions!$C$46,Assumptions!$C$47)))</f>
        <v>0</v>
      </c>
      <c r="AB272" s="26" t="n">
        <f aca="false">IF(Z272&gt;=Assumptions!$B$44,Assumptions!$B$44,IF(Z272&gt;=Assumptions!$B$45,Assumptions!$B$45,IF(Z272&gt;=Assumptions!$B$46,Assumptions!$B$46,0)))</f>
        <v>0</v>
      </c>
    </row>
    <row r="273" customFormat="false" ht="15" hidden="false" customHeight="false" outlineLevel="0" collapsed="false">
      <c r="B273" s="14" t="s">
        <v>281</v>
      </c>
      <c r="C273" s="14" t="s">
        <v>259</v>
      </c>
      <c r="D273" s="14" t="s">
        <v>227</v>
      </c>
      <c r="E273" s="14" t="s">
        <v>62</v>
      </c>
      <c r="F273" s="26" t="n">
        <f aca="false">Accounts!F128</f>
        <v>1545</v>
      </c>
      <c r="G273" s="17" t="n">
        <f aca="false">Assumptions!$D$9</f>
        <v>62</v>
      </c>
      <c r="H273" s="17" t="n">
        <f aca="false">Assumptions!$E$9</f>
        <v>36</v>
      </c>
      <c r="I273" s="17" t="n">
        <f aca="false">ROUND(F273*G273,2)</f>
        <v>95790</v>
      </c>
      <c r="J273" s="17" t="n">
        <f aca="false">ROUND(I273*Accounts!O128,2)</f>
        <v>1915.8</v>
      </c>
      <c r="K273" s="17" t="n">
        <f aca="false">ROUND(I273*Accounts!M128,2)</f>
        <v>5603.72</v>
      </c>
      <c r="L273" s="17" t="n">
        <f aca="false">ROUND(I273-J273-K273,2)</f>
        <v>88270.48</v>
      </c>
      <c r="M273" s="17" t="n">
        <f aca="false">ROUND(L273*AA273,2)</f>
        <v>0</v>
      </c>
      <c r="N273" s="17" t="n">
        <f aca="false">ROUND(L273*Accounts!R128,2)</f>
        <v>0</v>
      </c>
      <c r="O273" s="17" t="n">
        <f aca="false">ROUND(L273*Accounts!S128,2)</f>
        <v>0</v>
      </c>
      <c r="P273" s="17" t="n">
        <f aca="false">ROUND(L273*Accounts!T128,2)</f>
        <v>0</v>
      </c>
      <c r="Q273" s="17" t="n">
        <f aca="false">ROUND(L273*Accounts!U128,2)</f>
        <v>0</v>
      </c>
      <c r="R273" s="17" t="n">
        <f aca="false">ROUND(L273*Accounts!V128,2)</f>
        <v>882.7</v>
      </c>
      <c r="S273" s="17" t="n">
        <f aca="false">ROUND(L273*Accounts!W128,2)</f>
        <v>0</v>
      </c>
      <c r="T273" s="17" t="n">
        <f aca="false">ROUND(L273-SUM(M273:S273),2)</f>
        <v>87387.78</v>
      </c>
      <c r="U273" s="17" t="n">
        <f aca="false">ROUND(F273*H273,2)</f>
        <v>55620</v>
      </c>
      <c r="V273" s="17" t="n">
        <f aca="false">ROUND(L273*Assumptions!$C$25,2)</f>
        <v>1765.41</v>
      </c>
      <c r="W273" s="17" t="n">
        <f aca="false">ROUND(T273-U273-V273,2)</f>
        <v>30002.37</v>
      </c>
      <c r="X273" s="28" t="n">
        <f aca="false">T273/I273</f>
        <v>0.912284998434075</v>
      </c>
      <c r="Y273" s="17" t="n">
        <f aca="false">T273/F273</f>
        <v>56.5616699029126</v>
      </c>
      <c r="Z273" s="26" t="n">
        <f aca="false">Accounts!H128</f>
        <v>2276</v>
      </c>
      <c r="AA273" s="28" t="n">
        <f aca="false">IF(Z273&gt;=Assumptions!$B$44,Assumptions!$C$44,IF(Z273&gt;=Assumptions!$B$45,Assumptions!$C$45,IF(Z273&gt;=Assumptions!$B$46,Assumptions!$C$46,Assumptions!$C$47)))</f>
        <v>0</v>
      </c>
      <c r="AB273" s="26" t="n">
        <f aca="false">IF(Z273&gt;=Assumptions!$B$44,Assumptions!$B$44,IF(Z273&gt;=Assumptions!$B$45,Assumptions!$B$45,IF(Z273&gt;=Assumptions!$B$46,Assumptions!$B$46,0)))</f>
        <v>0</v>
      </c>
    </row>
    <row r="274" customFormat="false" ht="15" hidden="false" customHeight="false" outlineLevel="0" collapsed="false">
      <c r="B274" s="14" t="s">
        <v>313</v>
      </c>
      <c r="C274" s="14" t="s">
        <v>259</v>
      </c>
      <c r="D274" s="14" t="s">
        <v>243</v>
      </c>
      <c r="E274" s="14" t="s">
        <v>62</v>
      </c>
      <c r="F274" s="26" t="n">
        <f aca="false">Accounts!F160</f>
        <v>518</v>
      </c>
      <c r="G274" s="17" t="n">
        <f aca="false">Assumptions!$D$9</f>
        <v>62</v>
      </c>
      <c r="H274" s="17" t="n">
        <f aca="false">Assumptions!$E$9</f>
        <v>36</v>
      </c>
      <c r="I274" s="17" t="n">
        <f aca="false">ROUND(F274*G274,2)</f>
        <v>32116</v>
      </c>
      <c r="J274" s="17" t="n">
        <f aca="false">ROUND(I274*Accounts!O160,2)</f>
        <v>642.32</v>
      </c>
      <c r="K274" s="17" t="n">
        <f aca="false">ROUND(I274*Accounts!M160,2)</f>
        <v>0</v>
      </c>
      <c r="L274" s="17" t="n">
        <f aca="false">ROUND(I274-J274-K274,2)</f>
        <v>31473.68</v>
      </c>
      <c r="M274" s="17" t="n">
        <f aca="false">ROUND(L274*AA274,2)</f>
        <v>0</v>
      </c>
      <c r="N274" s="17" t="n">
        <f aca="false">ROUND(L274*Accounts!R160,2)</f>
        <v>0</v>
      </c>
      <c r="O274" s="17" t="n">
        <f aca="false">ROUND(L274*Accounts!S160,2)</f>
        <v>0</v>
      </c>
      <c r="P274" s="17" t="n">
        <f aca="false">ROUND(L274*Accounts!T160,2)</f>
        <v>0</v>
      </c>
      <c r="Q274" s="17" t="n">
        <f aca="false">ROUND(L274*Accounts!U160,2)</f>
        <v>0</v>
      </c>
      <c r="R274" s="17" t="n">
        <f aca="false">ROUND(L274*Accounts!V160,2)</f>
        <v>314.74</v>
      </c>
      <c r="S274" s="17" t="n">
        <f aca="false">ROUND(L274*Accounts!W160,2)</f>
        <v>0</v>
      </c>
      <c r="T274" s="17" t="n">
        <f aca="false">ROUND(L274-SUM(M274:S274),2)</f>
        <v>31158.94</v>
      </c>
      <c r="U274" s="17" t="n">
        <f aca="false">ROUND(F274*H274,2)</f>
        <v>18648</v>
      </c>
      <c r="V274" s="17" t="n">
        <f aca="false">ROUND(L274*Assumptions!$C$25,2)</f>
        <v>629.47</v>
      </c>
      <c r="W274" s="17" t="n">
        <f aca="false">ROUND(T274-U274-V274,2)</f>
        <v>11881.47</v>
      </c>
      <c r="X274" s="28" t="n">
        <f aca="false">T274/I274</f>
        <v>0.970199900361191</v>
      </c>
      <c r="Y274" s="17" t="n">
        <f aca="false">T274/F274</f>
        <v>60.1523938223938</v>
      </c>
      <c r="Z274" s="26" t="n">
        <f aca="false">Accounts!H160</f>
        <v>744</v>
      </c>
      <c r="AA274" s="28" t="n">
        <f aca="false">IF(Z274&gt;=Assumptions!$B$44,Assumptions!$C$44,IF(Z274&gt;=Assumptions!$B$45,Assumptions!$C$45,IF(Z274&gt;=Assumptions!$B$46,Assumptions!$C$46,Assumptions!$C$47)))</f>
        <v>0</v>
      </c>
      <c r="AB274" s="26" t="n">
        <f aca="false">IF(Z274&gt;=Assumptions!$B$44,Assumptions!$B$44,IF(Z274&gt;=Assumptions!$B$45,Assumptions!$B$45,IF(Z274&gt;=Assumptions!$B$46,Assumptions!$B$46,0)))</f>
        <v>0</v>
      </c>
    </row>
    <row r="275" customFormat="false" ht="15" hidden="false" customHeight="false" outlineLevel="0" collapsed="false">
      <c r="B275" s="14" t="s">
        <v>329</v>
      </c>
      <c r="C275" s="14" t="s">
        <v>259</v>
      </c>
      <c r="D275" s="14" t="s">
        <v>251</v>
      </c>
      <c r="E275" s="14" t="s">
        <v>62</v>
      </c>
      <c r="F275" s="26" t="n">
        <f aca="false">Accounts!F176</f>
        <v>1116</v>
      </c>
      <c r="G275" s="17" t="n">
        <f aca="false">Assumptions!$D$9</f>
        <v>62</v>
      </c>
      <c r="H275" s="17" t="n">
        <f aca="false">Assumptions!$E$9</f>
        <v>36</v>
      </c>
      <c r="I275" s="17" t="n">
        <f aca="false">ROUND(F275*G275,2)</f>
        <v>69192</v>
      </c>
      <c r="J275" s="17" t="n">
        <f aca="false">ROUND(I275*Accounts!O176,2)</f>
        <v>1383.84</v>
      </c>
      <c r="K275" s="17" t="n">
        <f aca="false">ROUND(I275*Accounts!M176,2)</f>
        <v>4947.23</v>
      </c>
      <c r="L275" s="17" t="n">
        <f aca="false">ROUND(I275-J275-K275,2)</f>
        <v>62860.93</v>
      </c>
      <c r="M275" s="17" t="n">
        <f aca="false">ROUND(L275*AA275,2)</f>
        <v>0</v>
      </c>
      <c r="N275" s="17" t="n">
        <f aca="false">ROUND(L275*Accounts!R176,2)</f>
        <v>0</v>
      </c>
      <c r="O275" s="17" t="n">
        <f aca="false">ROUND(L275*Accounts!S176,2)</f>
        <v>0</v>
      </c>
      <c r="P275" s="17" t="n">
        <f aca="false">ROUND(L275*Accounts!T176,2)</f>
        <v>0</v>
      </c>
      <c r="Q275" s="17" t="n">
        <f aca="false">ROUND(L275*Accounts!U176,2)</f>
        <v>0</v>
      </c>
      <c r="R275" s="17" t="n">
        <f aca="false">ROUND(L275*Accounts!V176,2)</f>
        <v>628.61</v>
      </c>
      <c r="S275" s="17" t="n">
        <f aca="false">ROUND(L275*Accounts!W176,2)</f>
        <v>0</v>
      </c>
      <c r="T275" s="17" t="n">
        <f aca="false">ROUND(L275-SUM(M275:S275),2)</f>
        <v>62232.32</v>
      </c>
      <c r="U275" s="17" t="n">
        <f aca="false">ROUND(F275*H275,2)</f>
        <v>40176</v>
      </c>
      <c r="V275" s="17" t="n">
        <f aca="false">ROUND(L275*Assumptions!$C$25,2)</f>
        <v>1257.22</v>
      </c>
      <c r="W275" s="17" t="n">
        <f aca="false">ROUND(T275-U275-V275,2)</f>
        <v>20799.1</v>
      </c>
      <c r="X275" s="28" t="n">
        <f aca="false">T275/I275</f>
        <v>0.899414961267199</v>
      </c>
      <c r="Y275" s="17" t="n">
        <f aca="false">T275/F275</f>
        <v>55.7637275985663</v>
      </c>
      <c r="Z275" s="26" t="n">
        <f aca="false">Accounts!H176</f>
        <v>1800</v>
      </c>
      <c r="AA275" s="28" t="n">
        <f aca="false">IF(Z275&gt;=Assumptions!$B$44,Assumptions!$C$44,IF(Z275&gt;=Assumptions!$B$45,Assumptions!$C$45,IF(Z275&gt;=Assumptions!$B$46,Assumptions!$C$46,Assumptions!$C$47)))</f>
        <v>0</v>
      </c>
      <c r="AB275" s="26" t="n">
        <f aca="false">IF(Z275&gt;=Assumptions!$B$44,Assumptions!$B$44,IF(Z275&gt;=Assumptions!$B$45,Assumptions!$B$45,IF(Z275&gt;=Assumptions!$B$46,Assumptions!$B$46,0)))</f>
        <v>0</v>
      </c>
    </row>
    <row r="276" customFormat="false" ht="15" hidden="false" customHeight="false" outlineLevel="0" collapsed="false">
      <c r="B276" s="14" t="s">
        <v>298</v>
      </c>
      <c r="C276" s="14" t="s">
        <v>259</v>
      </c>
      <c r="D276" s="14" t="s">
        <v>235</v>
      </c>
      <c r="E276" s="14" t="s">
        <v>62</v>
      </c>
      <c r="F276" s="26" t="n">
        <f aca="false">Accounts!F145</f>
        <v>846</v>
      </c>
      <c r="G276" s="17" t="n">
        <f aca="false">Assumptions!$D$9</f>
        <v>62</v>
      </c>
      <c r="H276" s="17" t="n">
        <f aca="false">Assumptions!$E$9</f>
        <v>36</v>
      </c>
      <c r="I276" s="17" t="n">
        <f aca="false">ROUND(F276*G276,2)</f>
        <v>52452</v>
      </c>
      <c r="J276" s="17" t="n">
        <f aca="false">ROUND(I276*Accounts!O145,2)</f>
        <v>1049.04</v>
      </c>
      <c r="K276" s="17" t="n">
        <f aca="false">ROUND(I276*Accounts!M145,2)</f>
        <v>4432.19</v>
      </c>
      <c r="L276" s="17" t="n">
        <f aca="false">ROUND(I276-J276-K276,2)</f>
        <v>46970.77</v>
      </c>
      <c r="M276" s="17" t="n">
        <f aca="false">ROUND(L276*AA276,2)</f>
        <v>0</v>
      </c>
      <c r="N276" s="17" t="n">
        <f aca="false">ROUND(L276*Accounts!R145,2)</f>
        <v>0</v>
      </c>
      <c r="O276" s="17" t="n">
        <f aca="false">ROUND(L276*Accounts!S145,2)</f>
        <v>0</v>
      </c>
      <c r="P276" s="17" t="n">
        <f aca="false">ROUND(L276*Accounts!T145,2)</f>
        <v>0</v>
      </c>
      <c r="Q276" s="17" t="n">
        <f aca="false">ROUND(L276*Accounts!U145,2)</f>
        <v>0</v>
      </c>
      <c r="R276" s="17" t="n">
        <f aca="false">ROUND(L276*Accounts!V145,2)</f>
        <v>469.71</v>
      </c>
      <c r="S276" s="17" t="n">
        <f aca="false">ROUND(L276*Accounts!W145,2)</f>
        <v>0</v>
      </c>
      <c r="T276" s="17" t="n">
        <f aca="false">ROUND(L276-SUM(M276:S276),2)</f>
        <v>46501.06</v>
      </c>
      <c r="U276" s="17" t="n">
        <f aca="false">ROUND(F276*H276,2)</f>
        <v>30456</v>
      </c>
      <c r="V276" s="17" t="n">
        <f aca="false">ROUND(L276*Assumptions!$C$25,2)</f>
        <v>939.42</v>
      </c>
      <c r="W276" s="17" t="n">
        <f aca="false">ROUND(T276-U276-V276,2)</f>
        <v>15105.64</v>
      </c>
      <c r="X276" s="28" t="n">
        <f aca="false">T276/I276</f>
        <v>0.886545031647983</v>
      </c>
      <c r="Y276" s="17" t="n">
        <f aca="false">T276/F276</f>
        <v>54.9657919621749</v>
      </c>
      <c r="Z276" s="26" t="n">
        <f aca="false">Accounts!H145</f>
        <v>1438</v>
      </c>
      <c r="AA276" s="28" t="n">
        <f aca="false">IF(Z276&gt;=Assumptions!$B$44,Assumptions!$C$44,IF(Z276&gt;=Assumptions!$B$45,Assumptions!$C$45,IF(Z276&gt;=Assumptions!$B$46,Assumptions!$C$46,Assumptions!$C$47)))</f>
        <v>0</v>
      </c>
      <c r="AB276" s="26" t="n">
        <f aca="false">IF(Z276&gt;=Assumptions!$B$44,Assumptions!$B$44,IF(Z276&gt;=Assumptions!$B$45,Assumptions!$B$45,IF(Z276&gt;=Assumptions!$B$46,Assumptions!$B$46,0)))</f>
        <v>0</v>
      </c>
    </row>
    <row r="277" customFormat="false" ht="15" hidden="false" customHeight="false" outlineLevel="0" collapsed="false">
      <c r="B277" s="14" t="s">
        <v>267</v>
      </c>
      <c r="C277" s="14" t="s">
        <v>259</v>
      </c>
      <c r="D277" s="14" t="s">
        <v>218</v>
      </c>
      <c r="E277" s="14" t="s">
        <v>62</v>
      </c>
      <c r="F277" s="26" t="n">
        <f aca="false">Accounts!F114</f>
        <v>643</v>
      </c>
      <c r="G277" s="17" t="n">
        <f aca="false">Assumptions!$D$9</f>
        <v>62</v>
      </c>
      <c r="H277" s="17" t="n">
        <f aca="false">Assumptions!$E$9</f>
        <v>36</v>
      </c>
      <c r="I277" s="17" t="n">
        <f aca="false">ROUND(F277*G277,2)</f>
        <v>39866</v>
      </c>
      <c r="J277" s="17" t="n">
        <f aca="false">ROUND(I277*Accounts!O114,2)</f>
        <v>797.32</v>
      </c>
      <c r="K277" s="17" t="n">
        <f aca="false">ROUND(I277*Accounts!M114,2)</f>
        <v>4664.32</v>
      </c>
      <c r="L277" s="17" t="n">
        <f aca="false">ROUND(I277-J277-K277,2)</f>
        <v>34404.36</v>
      </c>
      <c r="M277" s="17" t="n">
        <f aca="false">ROUND(L277*AA277,2)</f>
        <v>0</v>
      </c>
      <c r="N277" s="17" t="n">
        <f aca="false">ROUND(L277*Accounts!R114,2)</f>
        <v>0</v>
      </c>
      <c r="O277" s="17" t="n">
        <f aca="false">ROUND(L277*Accounts!S114,2)</f>
        <v>0</v>
      </c>
      <c r="P277" s="17" t="n">
        <f aca="false">ROUND(L277*Accounts!T114,2)</f>
        <v>0</v>
      </c>
      <c r="Q277" s="17" t="n">
        <f aca="false">ROUND(L277*Accounts!U114,2)</f>
        <v>0</v>
      </c>
      <c r="R277" s="17" t="n">
        <f aca="false">ROUND(L277*Accounts!V114,2)</f>
        <v>344.04</v>
      </c>
      <c r="S277" s="17" t="n">
        <f aca="false">ROUND(L277*Accounts!W114,2)</f>
        <v>0</v>
      </c>
      <c r="T277" s="17" t="n">
        <f aca="false">ROUND(L277-SUM(M277:S277),2)</f>
        <v>34060.32</v>
      </c>
      <c r="U277" s="17" t="n">
        <f aca="false">ROUND(F277*H277,2)</f>
        <v>23148</v>
      </c>
      <c r="V277" s="17" t="n">
        <f aca="false">ROUND(L277*Assumptions!$C$25,2)</f>
        <v>688.09</v>
      </c>
      <c r="W277" s="17" t="n">
        <f aca="false">ROUND(T277-U277-V277,2)</f>
        <v>10224.23</v>
      </c>
      <c r="X277" s="28" t="n">
        <f aca="false">T277/I277</f>
        <v>0.854370139968896</v>
      </c>
      <c r="Y277" s="17" t="n">
        <f aca="false">T277/F277</f>
        <v>52.9709486780715</v>
      </c>
      <c r="Z277" s="26" t="n">
        <f aca="false">Accounts!H114</f>
        <v>1155</v>
      </c>
      <c r="AA277" s="28" t="n">
        <f aca="false">IF(Z277&gt;=Assumptions!$B$44,Assumptions!$C$44,IF(Z277&gt;=Assumptions!$B$45,Assumptions!$C$45,IF(Z277&gt;=Assumptions!$B$46,Assumptions!$C$46,Assumptions!$C$47)))</f>
        <v>0</v>
      </c>
      <c r="AB277" s="26" t="n">
        <f aca="false">IF(Z277&gt;=Assumptions!$B$44,Assumptions!$B$44,IF(Z277&gt;=Assumptions!$B$45,Assumptions!$B$45,IF(Z277&gt;=Assumptions!$B$46,Assumptions!$B$46,0)))</f>
        <v>0</v>
      </c>
    </row>
    <row r="278" customFormat="false" ht="15" hidden="false" customHeight="false" outlineLevel="0" collapsed="false">
      <c r="B278" s="14" t="s">
        <v>283</v>
      </c>
      <c r="C278" s="14" t="s">
        <v>259</v>
      </c>
      <c r="D278" s="14" t="s">
        <v>227</v>
      </c>
      <c r="E278" s="14" t="s">
        <v>62</v>
      </c>
      <c r="F278" s="26" t="n">
        <f aca="false">Accounts!F130</f>
        <v>862</v>
      </c>
      <c r="G278" s="17" t="n">
        <f aca="false">Assumptions!$D$9</f>
        <v>62</v>
      </c>
      <c r="H278" s="17" t="n">
        <f aca="false">Assumptions!$E$9</f>
        <v>36</v>
      </c>
      <c r="I278" s="17" t="n">
        <f aca="false">ROUND(F278*G278,2)</f>
        <v>53444</v>
      </c>
      <c r="J278" s="17" t="n">
        <f aca="false">ROUND(I278*Accounts!O130,2)</f>
        <v>1068.88</v>
      </c>
      <c r="K278" s="17" t="n">
        <f aca="false">ROUND(I278*Accounts!M130,2)</f>
        <v>2084.32</v>
      </c>
      <c r="L278" s="17" t="n">
        <f aca="false">ROUND(I278-J278-K278,2)</f>
        <v>50290.8</v>
      </c>
      <c r="M278" s="17" t="n">
        <f aca="false">ROUND(L278*AA278,2)</f>
        <v>0</v>
      </c>
      <c r="N278" s="17" t="n">
        <f aca="false">ROUND(L278*Accounts!R130,2)</f>
        <v>0</v>
      </c>
      <c r="O278" s="17" t="n">
        <f aca="false">ROUND(L278*Accounts!S130,2)</f>
        <v>0</v>
      </c>
      <c r="P278" s="17" t="n">
        <f aca="false">ROUND(L278*Accounts!T130,2)</f>
        <v>0</v>
      </c>
      <c r="Q278" s="17" t="n">
        <f aca="false">ROUND(L278*Accounts!U130,2)</f>
        <v>0</v>
      </c>
      <c r="R278" s="17" t="n">
        <f aca="false">ROUND(L278*Accounts!V130,2)</f>
        <v>502.91</v>
      </c>
      <c r="S278" s="17" t="n">
        <f aca="false">ROUND(L278*Accounts!W130,2)</f>
        <v>0</v>
      </c>
      <c r="T278" s="17" t="n">
        <f aca="false">ROUND(L278-SUM(M278:S278),2)</f>
        <v>49787.89</v>
      </c>
      <c r="U278" s="17" t="n">
        <f aca="false">ROUND(F278*H278,2)</f>
        <v>31032</v>
      </c>
      <c r="V278" s="17" t="n">
        <f aca="false">ROUND(L278*Assumptions!$C$25,2)</f>
        <v>1005.82</v>
      </c>
      <c r="W278" s="17" t="n">
        <f aca="false">ROUND(T278-U278-V278,2)</f>
        <v>17750.07</v>
      </c>
      <c r="X278" s="28" t="n">
        <f aca="false">T278/I278</f>
        <v>0.931589888481401</v>
      </c>
      <c r="Y278" s="17" t="n">
        <f aca="false">T278/F278</f>
        <v>57.7585730858469</v>
      </c>
      <c r="Z278" s="26" t="n">
        <f aca="false">Accounts!H130</f>
        <v>1343</v>
      </c>
      <c r="AA278" s="28" t="n">
        <f aca="false">IF(Z278&gt;=Assumptions!$B$44,Assumptions!$C$44,IF(Z278&gt;=Assumptions!$B$45,Assumptions!$C$45,IF(Z278&gt;=Assumptions!$B$46,Assumptions!$C$46,Assumptions!$C$47)))</f>
        <v>0</v>
      </c>
      <c r="AB278" s="26" t="n">
        <f aca="false">IF(Z278&gt;=Assumptions!$B$44,Assumptions!$B$44,IF(Z278&gt;=Assumptions!$B$45,Assumptions!$B$45,IF(Z278&gt;=Assumptions!$B$46,Assumptions!$B$46,0)))</f>
        <v>0</v>
      </c>
    </row>
    <row r="279" customFormat="false" ht="15" hidden="false" customHeight="false" outlineLevel="0" collapsed="false">
      <c r="B279" s="14" t="s">
        <v>299</v>
      </c>
      <c r="C279" s="14" t="s">
        <v>259</v>
      </c>
      <c r="D279" s="14" t="s">
        <v>235</v>
      </c>
      <c r="E279" s="14" t="s">
        <v>62</v>
      </c>
      <c r="F279" s="26" t="n">
        <f aca="false">Accounts!F146</f>
        <v>499</v>
      </c>
      <c r="G279" s="17" t="n">
        <f aca="false">Assumptions!$D$9</f>
        <v>62</v>
      </c>
      <c r="H279" s="17" t="n">
        <f aca="false">Assumptions!$E$9</f>
        <v>36</v>
      </c>
      <c r="I279" s="17" t="n">
        <f aca="false">ROUND(F279*G279,2)</f>
        <v>30938</v>
      </c>
      <c r="J279" s="17" t="n">
        <f aca="false">ROUND(I279*Accounts!O146,2)</f>
        <v>618.76</v>
      </c>
      <c r="K279" s="17" t="n">
        <f aca="false">ROUND(I279*Accounts!M146,2)</f>
        <v>1005.49</v>
      </c>
      <c r="L279" s="17" t="n">
        <f aca="false">ROUND(I279-J279-K279,2)</f>
        <v>29313.75</v>
      </c>
      <c r="M279" s="17" t="n">
        <f aca="false">ROUND(L279*AA279,2)</f>
        <v>0</v>
      </c>
      <c r="N279" s="17" t="n">
        <f aca="false">ROUND(L279*Accounts!R146,2)</f>
        <v>0</v>
      </c>
      <c r="O279" s="17" t="n">
        <f aca="false">ROUND(L279*Accounts!S146,2)</f>
        <v>0</v>
      </c>
      <c r="P279" s="17" t="n">
        <f aca="false">ROUND(L279*Accounts!T146,2)</f>
        <v>0</v>
      </c>
      <c r="Q279" s="17" t="n">
        <f aca="false">ROUND(L279*Accounts!U146,2)</f>
        <v>0</v>
      </c>
      <c r="R279" s="17" t="n">
        <f aca="false">ROUND(L279*Accounts!V146,2)</f>
        <v>293.14</v>
      </c>
      <c r="S279" s="17" t="n">
        <f aca="false">ROUND(L279*Accounts!W146,2)</f>
        <v>0</v>
      </c>
      <c r="T279" s="17" t="n">
        <f aca="false">ROUND(L279-SUM(M279:S279),2)</f>
        <v>29020.61</v>
      </c>
      <c r="U279" s="17" t="n">
        <f aca="false">ROUND(F279*H279,2)</f>
        <v>17964</v>
      </c>
      <c r="V279" s="17" t="n">
        <f aca="false">ROUND(L279*Assumptions!$C$25,2)</f>
        <v>586.28</v>
      </c>
      <c r="W279" s="17" t="n">
        <f aca="false">ROUND(T279-U279-V279,2)</f>
        <v>10470.33</v>
      </c>
      <c r="X279" s="28" t="n">
        <f aca="false">T279/I279</f>
        <v>0.938024759195811</v>
      </c>
      <c r="Y279" s="17" t="n">
        <f aca="false">T279/F279</f>
        <v>58.1575350701403</v>
      </c>
      <c r="Z279" s="26" t="n">
        <f aca="false">Accounts!H146</f>
        <v>499</v>
      </c>
      <c r="AA279" s="28" t="n">
        <f aca="false">IF(Z279&gt;=Assumptions!$B$44,Assumptions!$C$44,IF(Z279&gt;=Assumptions!$B$45,Assumptions!$C$45,IF(Z279&gt;=Assumptions!$B$46,Assumptions!$C$46,Assumptions!$C$47)))</f>
        <v>0</v>
      </c>
      <c r="AB279" s="26" t="n">
        <f aca="false">IF(Z279&gt;=Assumptions!$B$44,Assumptions!$B$44,IF(Z279&gt;=Assumptions!$B$45,Assumptions!$B$45,IF(Z279&gt;=Assumptions!$B$46,Assumptions!$B$46,0)))</f>
        <v>0</v>
      </c>
    </row>
    <row r="280" customFormat="false" ht="15" hidden="false" customHeight="false" outlineLevel="0" collapsed="false">
      <c r="B280" s="14" t="s">
        <v>315</v>
      </c>
      <c r="C280" s="14" t="s">
        <v>259</v>
      </c>
      <c r="D280" s="14" t="s">
        <v>243</v>
      </c>
      <c r="E280" s="14" t="s">
        <v>62</v>
      </c>
      <c r="F280" s="26" t="n">
        <f aca="false">Accounts!F162</f>
        <v>2092</v>
      </c>
      <c r="G280" s="17" t="n">
        <f aca="false">Assumptions!$D$9</f>
        <v>62</v>
      </c>
      <c r="H280" s="17" t="n">
        <f aca="false">Assumptions!$E$9</f>
        <v>36</v>
      </c>
      <c r="I280" s="17" t="n">
        <f aca="false">ROUND(F280*G280,2)</f>
        <v>129704</v>
      </c>
      <c r="J280" s="17" t="n">
        <f aca="false">ROUND(I280*Accounts!O162,2)</f>
        <v>2594.08</v>
      </c>
      <c r="K280" s="17" t="n">
        <f aca="false">ROUND(I280*Accounts!M162,2)</f>
        <v>5058.46</v>
      </c>
      <c r="L280" s="17" t="n">
        <f aca="false">ROUND(I280-J280-K280,2)</f>
        <v>122051.46</v>
      </c>
      <c r="M280" s="17" t="n">
        <f aca="false">ROUND(L280*AA280,2)</f>
        <v>0</v>
      </c>
      <c r="N280" s="17" t="n">
        <f aca="false">ROUND(L280*Accounts!R162,2)</f>
        <v>0</v>
      </c>
      <c r="O280" s="17" t="n">
        <f aca="false">ROUND(L280*Accounts!S162,2)</f>
        <v>0</v>
      </c>
      <c r="P280" s="17" t="n">
        <f aca="false">ROUND(L280*Accounts!T162,2)</f>
        <v>0</v>
      </c>
      <c r="Q280" s="17" t="n">
        <f aca="false">ROUND(L280*Accounts!U162,2)</f>
        <v>0</v>
      </c>
      <c r="R280" s="17" t="n">
        <f aca="false">ROUND(L280*Accounts!V162,2)</f>
        <v>1220.51</v>
      </c>
      <c r="S280" s="17" t="n">
        <f aca="false">ROUND(L280*Accounts!W162,2)</f>
        <v>0</v>
      </c>
      <c r="T280" s="17" t="n">
        <f aca="false">ROUND(L280-SUM(M280:S280),2)</f>
        <v>120830.95</v>
      </c>
      <c r="U280" s="17" t="n">
        <f aca="false">ROUND(F280*H280,2)</f>
        <v>75312</v>
      </c>
      <c r="V280" s="17" t="n">
        <f aca="false">ROUND(L280*Assumptions!$C$25,2)</f>
        <v>2441.03</v>
      </c>
      <c r="W280" s="17" t="n">
        <f aca="false">ROUND(T280-U280-V280,2)</f>
        <v>43077.92</v>
      </c>
      <c r="X280" s="28" t="n">
        <f aca="false">T280/I280</f>
        <v>0.931590004934312</v>
      </c>
      <c r="Y280" s="17" t="n">
        <f aca="false">T280/F280</f>
        <v>57.7585803059273</v>
      </c>
      <c r="Z280" s="26" t="n">
        <f aca="false">Accounts!H162</f>
        <v>2092</v>
      </c>
      <c r="AA280" s="28" t="n">
        <f aca="false">IF(Z280&gt;=Assumptions!$B$44,Assumptions!$C$44,IF(Z280&gt;=Assumptions!$B$45,Assumptions!$C$45,IF(Z280&gt;=Assumptions!$B$46,Assumptions!$C$46,Assumptions!$C$47)))</f>
        <v>0</v>
      </c>
      <c r="AB280" s="26" t="n">
        <f aca="false">IF(Z280&gt;=Assumptions!$B$44,Assumptions!$B$44,IF(Z280&gt;=Assumptions!$B$45,Assumptions!$B$45,IF(Z280&gt;=Assumptions!$B$46,Assumptions!$B$46,0)))</f>
        <v>0</v>
      </c>
    </row>
    <row r="281" customFormat="false" ht="15" hidden="false" customHeight="false" outlineLevel="0" collapsed="false">
      <c r="B281" s="14" t="s">
        <v>268</v>
      </c>
      <c r="C281" s="14" t="s">
        <v>259</v>
      </c>
      <c r="D281" s="14" t="s">
        <v>218</v>
      </c>
      <c r="E281" s="14" t="s">
        <v>62</v>
      </c>
      <c r="F281" s="26" t="n">
        <f aca="false">Accounts!F115</f>
        <v>651</v>
      </c>
      <c r="G281" s="17" t="n">
        <f aca="false">Assumptions!$D$9</f>
        <v>62</v>
      </c>
      <c r="H281" s="17" t="n">
        <f aca="false">Assumptions!$E$9</f>
        <v>36</v>
      </c>
      <c r="I281" s="17" t="n">
        <f aca="false">ROUND(F281*G281,2)</f>
        <v>40362</v>
      </c>
      <c r="J281" s="17" t="n">
        <f aca="false">ROUND(I281*Accounts!O115,2)</f>
        <v>0</v>
      </c>
      <c r="K281" s="17" t="n">
        <f aca="false">ROUND(I281*Accounts!M115,2)</f>
        <v>1311.77</v>
      </c>
      <c r="L281" s="17" t="n">
        <f aca="false">ROUND(I281-J281-K281,2)</f>
        <v>39050.23</v>
      </c>
      <c r="M281" s="17" t="n">
        <f aca="false">ROUND(L281*AA281,2)</f>
        <v>0</v>
      </c>
      <c r="N281" s="17" t="n">
        <f aca="false">ROUND(L281*Accounts!R115,2)</f>
        <v>0</v>
      </c>
      <c r="O281" s="17" t="n">
        <f aca="false">ROUND(L281*Accounts!S115,2)</f>
        <v>0</v>
      </c>
      <c r="P281" s="17" t="n">
        <f aca="false">ROUND(L281*Accounts!T115,2)</f>
        <v>0</v>
      </c>
      <c r="Q281" s="17" t="n">
        <f aca="false">ROUND(L281*Accounts!U115,2)</f>
        <v>0</v>
      </c>
      <c r="R281" s="17" t="n">
        <f aca="false">ROUND(L281*Accounts!V115,2)</f>
        <v>390.5</v>
      </c>
      <c r="S281" s="17" t="n">
        <f aca="false">ROUND(L281*Accounts!W115,2)</f>
        <v>0</v>
      </c>
      <c r="T281" s="17" t="n">
        <f aca="false">ROUND(L281-SUM(M281:S281),2)</f>
        <v>38659.73</v>
      </c>
      <c r="U281" s="17" t="n">
        <f aca="false">ROUND(F281*H281,2)</f>
        <v>23436</v>
      </c>
      <c r="V281" s="17" t="n">
        <f aca="false">ROUND(L281*Assumptions!$C$25,2)</f>
        <v>781</v>
      </c>
      <c r="W281" s="17" t="n">
        <f aca="false">ROUND(T281-U281-V281,2)</f>
        <v>14442.73</v>
      </c>
      <c r="X281" s="28" t="n">
        <f aca="false">T281/I281</f>
        <v>0.957824934344185</v>
      </c>
      <c r="Y281" s="17" t="n">
        <f aca="false">T281/F281</f>
        <v>59.3851459293395</v>
      </c>
      <c r="Z281" s="26" t="n">
        <f aca="false">Accounts!H115</f>
        <v>929</v>
      </c>
      <c r="AA281" s="28" t="n">
        <f aca="false">IF(Z281&gt;=Assumptions!$B$44,Assumptions!$C$44,IF(Z281&gt;=Assumptions!$B$45,Assumptions!$C$45,IF(Z281&gt;=Assumptions!$B$46,Assumptions!$C$46,Assumptions!$C$47)))</f>
        <v>0</v>
      </c>
      <c r="AB281" s="26" t="n">
        <f aca="false">IF(Z281&gt;=Assumptions!$B$44,Assumptions!$B$44,IF(Z281&gt;=Assumptions!$B$45,Assumptions!$B$45,IF(Z281&gt;=Assumptions!$B$46,Assumptions!$B$46,0)))</f>
        <v>0</v>
      </c>
    </row>
    <row r="282" customFormat="false" ht="15" hidden="false" customHeight="false" outlineLevel="0" collapsed="false">
      <c r="B282" s="14" t="s">
        <v>284</v>
      </c>
      <c r="C282" s="14" t="s">
        <v>259</v>
      </c>
      <c r="D282" s="14" t="s">
        <v>227</v>
      </c>
      <c r="E282" s="14" t="s">
        <v>62</v>
      </c>
      <c r="F282" s="26" t="n">
        <f aca="false">Accounts!F131</f>
        <v>1317</v>
      </c>
      <c r="G282" s="17" t="n">
        <f aca="false">Assumptions!$D$9</f>
        <v>62</v>
      </c>
      <c r="H282" s="17" t="n">
        <f aca="false">Assumptions!$E$9</f>
        <v>36</v>
      </c>
      <c r="I282" s="17" t="n">
        <f aca="false">ROUND(F282*G282,2)</f>
        <v>81654</v>
      </c>
      <c r="J282" s="17" t="n">
        <f aca="false">ROUND(I282*Accounts!O131,2)</f>
        <v>0</v>
      </c>
      <c r="K282" s="17" t="n">
        <f aca="false">ROUND(I282*Accounts!M131,2)</f>
        <v>2123</v>
      </c>
      <c r="L282" s="17" t="n">
        <f aca="false">ROUND(I282-J282-K282,2)</f>
        <v>79531</v>
      </c>
      <c r="M282" s="17" t="n">
        <f aca="false">ROUND(L282*AA282,2)</f>
        <v>0</v>
      </c>
      <c r="N282" s="17" t="n">
        <f aca="false">ROUND(L282*Accounts!R131,2)</f>
        <v>0</v>
      </c>
      <c r="O282" s="17" t="n">
        <f aca="false">ROUND(L282*Accounts!S131,2)</f>
        <v>0</v>
      </c>
      <c r="P282" s="17" t="n">
        <f aca="false">ROUND(L282*Accounts!T131,2)</f>
        <v>0</v>
      </c>
      <c r="Q282" s="17" t="n">
        <f aca="false">ROUND(L282*Accounts!U131,2)</f>
        <v>0</v>
      </c>
      <c r="R282" s="17" t="n">
        <f aca="false">ROUND(L282*Accounts!V131,2)</f>
        <v>795.31</v>
      </c>
      <c r="S282" s="17" t="n">
        <f aca="false">ROUND(L282*Accounts!W131,2)</f>
        <v>0</v>
      </c>
      <c r="T282" s="17" t="n">
        <f aca="false">ROUND(L282-SUM(M282:S282),2)</f>
        <v>78735.69</v>
      </c>
      <c r="U282" s="17" t="n">
        <f aca="false">ROUND(F282*H282,2)</f>
        <v>47412</v>
      </c>
      <c r="V282" s="17" t="n">
        <f aca="false">ROUND(L282*Assumptions!$C$25,2)</f>
        <v>1590.62</v>
      </c>
      <c r="W282" s="17" t="n">
        <f aca="false">ROUND(T282-U282-V282,2)</f>
        <v>29733.07</v>
      </c>
      <c r="X282" s="28" t="n">
        <f aca="false">T282/I282</f>
        <v>0.964260048497318</v>
      </c>
      <c r="Y282" s="17" t="n">
        <f aca="false">T282/F282</f>
        <v>59.7841230068337</v>
      </c>
      <c r="Z282" s="26" t="n">
        <f aca="false">Accounts!H131</f>
        <v>1491</v>
      </c>
      <c r="AA282" s="28" t="n">
        <f aca="false">IF(Z282&gt;=Assumptions!$B$44,Assumptions!$C$44,IF(Z282&gt;=Assumptions!$B$45,Assumptions!$C$45,IF(Z282&gt;=Assumptions!$B$46,Assumptions!$C$46,Assumptions!$C$47)))</f>
        <v>0</v>
      </c>
      <c r="AB282" s="26" t="n">
        <f aca="false">IF(Z282&gt;=Assumptions!$B$44,Assumptions!$B$44,IF(Z282&gt;=Assumptions!$B$45,Assumptions!$B$45,IF(Z282&gt;=Assumptions!$B$46,Assumptions!$B$46,0)))</f>
        <v>0</v>
      </c>
    </row>
    <row r="283" customFormat="false" ht="15" hidden="false" customHeight="false" outlineLevel="0" collapsed="false">
      <c r="B283" s="14" t="s">
        <v>300</v>
      </c>
      <c r="C283" s="14" t="s">
        <v>259</v>
      </c>
      <c r="D283" s="14" t="s">
        <v>235</v>
      </c>
      <c r="E283" s="14" t="s">
        <v>62</v>
      </c>
      <c r="F283" s="26" t="n">
        <f aca="false">Accounts!F147</f>
        <v>2040</v>
      </c>
      <c r="G283" s="17" t="n">
        <f aca="false">Assumptions!$D$9</f>
        <v>62</v>
      </c>
      <c r="H283" s="17" t="n">
        <f aca="false">Assumptions!$E$9</f>
        <v>36</v>
      </c>
      <c r="I283" s="17" t="n">
        <f aca="false">ROUND(F283*G283,2)</f>
        <v>126480</v>
      </c>
      <c r="J283" s="17" t="n">
        <f aca="false">ROUND(I283*Accounts!O147,2)</f>
        <v>2529.6</v>
      </c>
      <c r="K283" s="17" t="n">
        <f aca="false">ROUND(I283*Accounts!M147,2)</f>
        <v>12331.8</v>
      </c>
      <c r="L283" s="17" t="n">
        <f aca="false">ROUND(I283-J283-K283,2)</f>
        <v>111618.6</v>
      </c>
      <c r="M283" s="17" t="n">
        <f aca="false">ROUND(L283*AA283,2)</f>
        <v>2232.37</v>
      </c>
      <c r="N283" s="17" t="n">
        <f aca="false">ROUND(L283*Accounts!R147,2)</f>
        <v>0</v>
      </c>
      <c r="O283" s="17" t="n">
        <f aca="false">ROUND(L283*Accounts!S147,2)</f>
        <v>0</v>
      </c>
      <c r="P283" s="17" t="n">
        <f aca="false">ROUND(L283*Accounts!T147,2)</f>
        <v>0</v>
      </c>
      <c r="Q283" s="17" t="n">
        <f aca="false">ROUND(L283*Accounts!U147,2)</f>
        <v>0</v>
      </c>
      <c r="R283" s="17" t="n">
        <f aca="false">ROUND(L283*Accounts!V147,2)</f>
        <v>1116.19</v>
      </c>
      <c r="S283" s="17" t="n">
        <f aca="false">ROUND(L283*Accounts!W147,2)</f>
        <v>0</v>
      </c>
      <c r="T283" s="17" t="n">
        <f aca="false">ROUND(L283-SUM(M283:S283),2)</f>
        <v>108270.04</v>
      </c>
      <c r="U283" s="17" t="n">
        <f aca="false">ROUND(F283*H283,2)</f>
        <v>73440</v>
      </c>
      <c r="V283" s="17" t="n">
        <f aca="false">ROUND(L283*Assumptions!$C$25,2)</f>
        <v>2232.37</v>
      </c>
      <c r="W283" s="17" t="n">
        <f aca="false">ROUND(T283-U283-V283,2)</f>
        <v>32597.67</v>
      </c>
      <c r="X283" s="28" t="n">
        <f aca="false">T283/I283</f>
        <v>0.856024984187223</v>
      </c>
      <c r="Y283" s="17" t="n">
        <f aca="false">T283/F283</f>
        <v>53.0735490196078</v>
      </c>
      <c r="Z283" s="26" t="n">
        <f aca="false">Accounts!H147</f>
        <v>3127</v>
      </c>
      <c r="AA283" s="28" t="n">
        <f aca="false">IF(Z283&gt;=Assumptions!$B$44,Assumptions!$C$44,IF(Z283&gt;=Assumptions!$B$45,Assumptions!$C$45,IF(Z283&gt;=Assumptions!$B$46,Assumptions!$C$46,Assumptions!$C$47)))</f>
        <v>0.02</v>
      </c>
      <c r="AB283" s="26" t="n">
        <f aca="false">IF(Z283&gt;=Assumptions!$B$44,Assumptions!$B$44,IF(Z283&gt;=Assumptions!$B$45,Assumptions!$B$45,IF(Z283&gt;=Assumptions!$B$46,Assumptions!$B$46,0)))</f>
        <v>3000</v>
      </c>
    </row>
    <row r="284" customFormat="false" ht="15" hidden="false" customHeight="false" outlineLevel="0" collapsed="false">
      <c r="B284" s="14" t="s">
        <v>316</v>
      </c>
      <c r="C284" s="14" t="s">
        <v>259</v>
      </c>
      <c r="D284" s="14" t="s">
        <v>243</v>
      </c>
      <c r="E284" s="14" t="s">
        <v>62</v>
      </c>
      <c r="F284" s="26" t="n">
        <f aca="false">Accounts!F163</f>
        <v>607</v>
      </c>
      <c r="G284" s="17" t="n">
        <f aca="false">Assumptions!$D$9</f>
        <v>62</v>
      </c>
      <c r="H284" s="17" t="n">
        <f aca="false">Assumptions!$E$9</f>
        <v>36</v>
      </c>
      <c r="I284" s="17" t="n">
        <f aca="false">ROUND(F284*G284,2)</f>
        <v>37634</v>
      </c>
      <c r="J284" s="17" t="n">
        <f aca="false">ROUND(I284*Accounts!O163,2)</f>
        <v>0</v>
      </c>
      <c r="K284" s="17" t="n">
        <f aca="false">ROUND(I284*Accounts!M163,2)</f>
        <v>1467.73</v>
      </c>
      <c r="L284" s="17" t="n">
        <f aca="false">ROUND(I284-J284-K284,2)</f>
        <v>36166.27</v>
      </c>
      <c r="M284" s="17" t="n">
        <f aca="false">ROUND(L284*AA284,2)</f>
        <v>0</v>
      </c>
      <c r="N284" s="17" t="n">
        <f aca="false">ROUND(L284*Accounts!R163,2)</f>
        <v>0</v>
      </c>
      <c r="O284" s="17" t="n">
        <f aca="false">ROUND(L284*Accounts!S163,2)</f>
        <v>0</v>
      </c>
      <c r="P284" s="17" t="n">
        <f aca="false">ROUND(L284*Accounts!T163,2)</f>
        <v>0</v>
      </c>
      <c r="Q284" s="17" t="n">
        <f aca="false">ROUND(L284*Accounts!U163,2)</f>
        <v>0</v>
      </c>
      <c r="R284" s="17" t="n">
        <f aca="false">ROUND(L284*Accounts!V163,2)</f>
        <v>361.66</v>
      </c>
      <c r="S284" s="17" t="n">
        <f aca="false">ROUND(L284*Accounts!W163,2)</f>
        <v>0</v>
      </c>
      <c r="T284" s="17" t="n">
        <f aca="false">ROUND(L284-SUM(M284:S284),2)</f>
        <v>35804.61</v>
      </c>
      <c r="U284" s="17" t="n">
        <f aca="false">ROUND(F284*H284,2)</f>
        <v>21852</v>
      </c>
      <c r="V284" s="17" t="n">
        <f aca="false">ROUND(L284*Assumptions!$C$25,2)</f>
        <v>723.33</v>
      </c>
      <c r="W284" s="17" t="n">
        <f aca="false">ROUND(T284-U284-V284,2)</f>
        <v>13229.28</v>
      </c>
      <c r="X284" s="28" t="n">
        <f aca="false">T284/I284</f>
        <v>0.951389966519637</v>
      </c>
      <c r="Y284" s="17" t="n">
        <f aca="false">T284/F284</f>
        <v>58.9861779242175</v>
      </c>
      <c r="Z284" s="26" t="n">
        <f aca="false">Accounts!H163</f>
        <v>866</v>
      </c>
      <c r="AA284" s="28" t="n">
        <f aca="false">IF(Z284&gt;=Assumptions!$B$44,Assumptions!$C$44,IF(Z284&gt;=Assumptions!$B$45,Assumptions!$C$45,IF(Z284&gt;=Assumptions!$B$46,Assumptions!$C$46,Assumptions!$C$47)))</f>
        <v>0</v>
      </c>
      <c r="AB284" s="26" t="n">
        <f aca="false">IF(Z284&gt;=Assumptions!$B$44,Assumptions!$B$44,IF(Z284&gt;=Assumptions!$B$45,Assumptions!$B$45,IF(Z284&gt;=Assumptions!$B$46,Assumptions!$B$46,0)))</f>
        <v>0</v>
      </c>
    </row>
    <row r="285" customFormat="false" ht="15" hidden="false" customHeight="false" outlineLevel="0" collapsed="false">
      <c r="B285" s="14" t="s">
        <v>332</v>
      </c>
      <c r="C285" s="14" t="s">
        <v>259</v>
      </c>
      <c r="D285" s="14" t="s">
        <v>251</v>
      </c>
      <c r="E285" s="14" t="s">
        <v>62</v>
      </c>
      <c r="F285" s="26" t="n">
        <f aca="false">Accounts!F179</f>
        <v>518</v>
      </c>
      <c r="G285" s="17" t="n">
        <f aca="false">Assumptions!$D$9</f>
        <v>62</v>
      </c>
      <c r="H285" s="17" t="n">
        <f aca="false">Assumptions!$E$9</f>
        <v>36</v>
      </c>
      <c r="I285" s="17" t="n">
        <f aca="false">ROUND(F285*G285,2)</f>
        <v>32116</v>
      </c>
      <c r="J285" s="17" t="n">
        <f aca="false">ROUND(I285*Accounts!O179,2)</f>
        <v>642.32</v>
      </c>
      <c r="K285" s="17" t="n">
        <f aca="false">ROUND(I285*Accounts!M179,2)</f>
        <v>2087.54</v>
      </c>
      <c r="L285" s="17" t="n">
        <f aca="false">ROUND(I285-J285-K285,2)</f>
        <v>29386.14</v>
      </c>
      <c r="M285" s="17" t="n">
        <f aca="false">ROUND(L285*AA285,2)</f>
        <v>0</v>
      </c>
      <c r="N285" s="17" t="n">
        <f aca="false">ROUND(L285*Accounts!R179,2)</f>
        <v>0</v>
      </c>
      <c r="O285" s="17" t="n">
        <f aca="false">ROUND(L285*Accounts!S179,2)</f>
        <v>0</v>
      </c>
      <c r="P285" s="17" t="n">
        <f aca="false">ROUND(L285*Accounts!T179,2)</f>
        <v>0</v>
      </c>
      <c r="Q285" s="17" t="n">
        <f aca="false">ROUND(L285*Accounts!U179,2)</f>
        <v>0</v>
      </c>
      <c r="R285" s="17" t="n">
        <f aca="false">ROUND(L285*Accounts!V179,2)</f>
        <v>293.86</v>
      </c>
      <c r="S285" s="17" t="n">
        <f aca="false">ROUND(L285*Accounts!W179,2)</f>
        <v>0</v>
      </c>
      <c r="T285" s="17" t="n">
        <f aca="false">ROUND(L285-SUM(M285:S285),2)</f>
        <v>29092.28</v>
      </c>
      <c r="U285" s="17" t="n">
        <f aca="false">ROUND(F285*H285,2)</f>
        <v>18648</v>
      </c>
      <c r="V285" s="17" t="n">
        <f aca="false">ROUND(L285*Assumptions!$C$25,2)</f>
        <v>587.72</v>
      </c>
      <c r="W285" s="17" t="n">
        <f aca="false">ROUND(T285-U285-V285,2)</f>
        <v>9856.56</v>
      </c>
      <c r="X285" s="28" t="n">
        <f aca="false">T285/I285</f>
        <v>0.905850043591979</v>
      </c>
      <c r="Y285" s="17" t="n">
        <f aca="false">T285/F285</f>
        <v>56.1627027027027</v>
      </c>
      <c r="Z285" s="26" t="n">
        <f aca="false">Accounts!H179</f>
        <v>780</v>
      </c>
      <c r="AA285" s="28" t="n">
        <f aca="false">IF(Z285&gt;=Assumptions!$B$44,Assumptions!$C$44,IF(Z285&gt;=Assumptions!$B$45,Assumptions!$C$45,IF(Z285&gt;=Assumptions!$B$46,Assumptions!$C$46,Assumptions!$C$47)))</f>
        <v>0</v>
      </c>
      <c r="AB285" s="26" t="n">
        <f aca="false">IF(Z285&gt;=Assumptions!$B$44,Assumptions!$B$44,IF(Z285&gt;=Assumptions!$B$45,Assumptions!$B$45,IF(Z285&gt;=Assumptions!$B$46,Assumptions!$B$46,0)))</f>
        <v>0</v>
      </c>
    </row>
    <row r="286" customFormat="false" ht="15" hidden="false" customHeight="false" outlineLevel="0" collapsed="false">
      <c r="B286" s="14" t="s">
        <v>269</v>
      </c>
      <c r="C286" s="14" t="s">
        <v>259</v>
      </c>
      <c r="D286" s="14" t="s">
        <v>218</v>
      </c>
      <c r="E286" s="14" t="s">
        <v>62</v>
      </c>
      <c r="F286" s="26" t="n">
        <f aca="false">Accounts!F116</f>
        <v>481</v>
      </c>
      <c r="G286" s="17" t="n">
        <f aca="false">Assumptions!$D$9</f>
        <v>62</v>
      </c>
      <c r="H286" s="17" t="n">
        <f aca="false">Assumptions!$E$9</f>
        <v>36</v>
      </c>
      <c r="I286" s="17" t="n">
        <f aca="false">ROUND(F286*G286,2)</f>
        <v>29822</v>
      </c>
      <c r="J286" s="17" t="n">
        <f aca="false">ROUND(I286*Accounts!O116,2)</f>
        <v>596.44</v>
      </c>
      <c r="K286" s="17" t="n">
        <f aca="false">ROUND(I286*Accounts!M116,2)</f>
        <v>581.53</v>
      </c>
      <c r="L286" s="17" t="n">
        <f aca="false">ROUND(I286-J286-K286,2)</f>
        <v>28644.03</v>
      </c>
      <c r="M286" s="17" t="n">
        <f aca="false">ROUND(L286*AA286,2)</f>
        <v>0</v>
      </c>
      <c r="N286" s="17" t="n">
        <f aca="false">ROUND(L286*Accounts!R116,2)</f>
        <v>0</v>
      </c>
      <c r="O286" s="17" t="n">
        <f aca="false">ROUND(L286*Accounts!S116,2)</f>
        <v>0</v>
      </c>
      <c r="P286" s="17" t="n">
        <f aca="false">ROUND(L286*Accounts!T116,2)</f>
        <v>0</v>
      </c>
      <c r="Q286" s="17" t="n">
        <f aca="false">ROUND(L286*Accounts!U116,2)</f>
        <v>0</v>
      </c>
      <c r="R286" s="17" t="n">
        <f aca="false">ROUND(L286*Accounts!V116,2)</f>
        <v>286.44</v>
      </c>
      <c r="S286" s="17" t="n">
        <f aca="false">ROUND(L286*Accounts!W116,2)</f>
        <v>0</v>
      </c>
      <c r="T286" s="17" t="n">
        <f aca="false">ROUND(L286-SUM(M286:S286),2)</f>
        <v>28357.59</v>
      </c>
      <c r="U286" s="17" t="n">
        <f aca="false">ROUND(F286*H286,2)</f>
        <v>17316</v>
      </c>
      <c r="V286" s="17" t="n">
        <f aca="false">ROUND(L286*Assumptions!$C$25,2)</f>
        <v>572.88</v>
      </c>
      <c r="W286" s="17" t="n">
        <f aca="false">ROUND(T286-U286-V286,2)</f>
        <v>10468.71</v>
      </c>
      <c r="X286" s="28" t="n">
        <f aca="false">T286/I286</f>
        <v>0.950894976862719</v>
      </c>
      <c r="Y286" s="17" t="n">
        <f aca="false">T286/F286</f>
        <v>58.9554885654886</v>
      </c>
      <c r="Z286" s="26" t="n">
        <f aca="false">Accounts!H116</f>
        <v>745</v>
      </c>
      <c r="AA286" s="28" t="n">
        <f aca="false">IF(Z286&gt;=Assumptions!$B$44,Assumptions!$C$44,IF(Z286&gt;=Assumptions!$B$45,Assumptions!$C$45,IF(Z286&gt;=Assumptions!$B$46,Assumptions!$C$46,Assumptions!$C$47)))</f>
        <v>0</v>
      </c>
      <c r="AB286" s="26" t="n">
        <f aca="false">IF(Z286&gt;=Assumptions!$B$44,Assumptions!$B$44,IF(Z286&gt;=Assumptions!$B$45,Assumptions!$B$45,IF(Z286&gt;=Assumptions!$B$46,Assumptions!$B$46,0)))</f>
        <v>0</v>
      </c>
    </row>
    <row r="287" customFormat="false" ht="15" hidden="false" customHeight="false" outlineLevel="0" collapsed="false">
      <c r="B287" s="14" t="s">
        <v>301</v>
      </c>
      <c r="C287" s="14" t="s">
        <v>259</v>
      </c>
      <c r="D287" s="14" t="s">
        <v>235</v>
      </c>
      <c r="E287" s="14" t="s">
        <v>62</v>
      </c>
      <c r="F287" s="26" t="n">
        <f aca="false">Accounts!F148</f>
        <v>567</v>
      </c>
      <c r="G287" s="17" t="n">
        <f aca="false">Assumptions!$D$9</f>
        <v>62</v>
      </c>
      <c r="H287" s="17" t="n">
        <f aca="false">Assumptions!$E$9</f>
        <v>36</v>
      </c>
      <c r="I287" s="17" t="n">
        <f aca="false">ROUND(F287*G287,2)</f>
        <v>35154</v>
      </c>
      <c r="J287" s="17" t="n">
        <f aca="false">ROUND(I287*Accounts!O148,2)</f>
        <v>0</v>
      </c>
      <c r="K287" s="17" t="n">
        <f aca="false">ROUND(I287*Accounts!M148,2)</f>
        <v>2742.01</v>
      </c>
      <c r="L287" s="17" t="n">
        <f aca="false">ROUND(I287-J287-K287,2)</f>
        <v>32411.99</v>
      </c>
      <c r="M287" s="17" t="n">
        <f aca="false">ROUND(L287*AA287,2)</f>
        <v>0</v>
      </c>
      <c r="N287" s="17" t="n">
        <f aca="false">ROUND(L287*Accounts!R148,2)</f>
        <v>0</v>
      </c>
      <c r="O287" s="17" t="n">
        <f aca="false">ROUND(L287*Accounts!S148,2)</f>
        <v>0</v>
      </c>
      <c r="P287" s="17" t="n">
        <f aca="false">ROUND(L287*Accounts!T148,2)</f>
        <v>0</v>
      </c>
      <c r="Q287" s="17" t="n">
        <f aca="false">ROUND(L287*Accounts!U148,2)</f>
        <v>0</v>
      </c>
      <c r="R287" s="17" t="n">
        <f aca="false">ROUND(L287*Accounts!V148,2)</f>
        <v>324.12</v>
      </c>
      <c r="S287" s="17" t="n">
        <f aca="false">ROUND(L287*Accounts!W148,2)</f>
        <v>0</v>
      </c>
      <c r="T287" s="17" t="n">
        <f aca="false">ROUND(L287-SUM(M287:S287),2)</f>
        <v>32087.87</v>
      </c>
      <c r="U287" s="17" t="n">
        <f aca="false">ROUND(F287*H287,2)</f>
        <v>20412</v>
      </c>
      <c r="V287" s="17" t="n">
        <f aca="false">ROUND(L287*Assumptions!$C$25,2)</f>
        <v>648.24</v>
      </c>
      <c r="W287" s="17" t="n">
        <f aca="false">ROUND(T287-U287-V287,2)</f>
        <v>11027.63</v>
      </c>
      <c r="X287" s="28" t="n">
        <f aca="false">T287/I287</f>
        <v>0.912780053478978</v>
      </c>
      <c r="Y287" s="17" t="n">
        <f aca="false">T287/F287</f>
        <v>56.5923633156966</v>
      </c>
      <c r="Z287" s="26" t="n">
        <f aca="false">Accounts!H148</f>
        <v>864</v>
      </c>
      <c r="AA287" s="28" t="n">
        <f aca="false">IF(Z287&gt;=Assumptions!$B$44,Assumptions!$C$44,IF(Z287&gt;=Assumptions!$B$45,Assumptions!$C$45,IF(Z287&gt;=Assumptions!$B$46,Assumptions!$C$46,Assumptions!$C$47)))</f>
        <v>0</v>
      </c>
      <c r="AB287" s="26" t="n">
        <f aca="false">IF(Z287&gt;=Assumptions!$B$44,Assumptions!$B$44,IF(Z287&gt;=Assumptions!$B$45,Assumptions!$B$45,IF(Z287&gt;=Assumptions!$B$46,Assumptions!$B$46,0)))</f>
        <v>0</v>
      </c>
    </row>
    <row r="288" customFormat="false" ht="15" hidden="false" customHeight="false" outlineLevel="0" collapsed="false">
      <c r="B288" s="14" t="s">
        <v>317</v>
      </c>
      <c r="C288" s="14" t="s">
        <v>259</v>
      </c>
      <c r="D288" s="14" t="s">
        <v>243</v>
      </c>
      <c r="E288" s="14" t="s">
        <v>62</v>
      </c>
      <c r="F288" s="26" t="n">
        <f aca="false">Accounts!F164</f>
        <v>507</v>
      </c>
      <c r="G288" s="17" t="n">
        <f aca="false">Assumptions!$D$9</f>
        <v>62</v>
      </c>
      <c r="H288" s="17" t="n">
        <f aca="false">Assumptions!$E$9</f>
        <v>36</v>
      </c>
      <c r="I288" s="17" t="n">
        <f aca="false">ROUND(F288*G288,2)</f>
        <v>31434</v>
      </c>
      <c r="J288" s="17" t="n">
        <f aca="false">ROUND(I288*Accounts!O164,2)</f>
        <v>0</v>
      </c>
      <c r="K288" s="17" t="n">
        <f aca="false">ROUND(I288*Accounts!M164,2)</f>
        <v>3677.78</v>
      </c>
      <c r="L288" s="17" t="n">
        <f aca="false">ROUND(I288-J288-K288,2)</f>
        <v>27756.22</v>
      </c>
      <c r="M288" s="17" t="n">
        <f aca="false">ROUND(L288*AA288,2)</f>
        <v>0</v>
      </c>
      <c r="N288" s="17" t="n">
        <f aca="false">ROUND(L288*Accounts!R164,2)</f>
        <v>0</v>
      </c>
      <c r="O288" s="17" t="n">
        <f aca="false">ROUND(L288*Accounts!S164,2)</f>
        <v>0</v>
      </c>
      <c r="P288" s="17" t="n">
        <f aca="false">ROUND(L288*Accounts!T164,2)</f>
        <v>0</v>
      </c>
      <c r="Q288" s="17" t="n">
        <f aca="false">ROUND(L288*Accounts!U164,2)</f>
        <v>0</v>
      </c>
      <c r="R288" s="17" t="n">
        <f aca="false">ROUND(L288*Accounts!V164,2)</f>
        <v>277.56</v>
      </c>
      <c r="S288" s="17" t="n">
        <f aca="false">ROUND(L288*Accounts!W164,2)</f>
        <v>0</v>
      </c>
      <c r="T288" s="17" t="n">
        <f aca="false">ROUND(L288-SUM(M288:S288),2)</f>
        <v>27478.66</v>
      </c>
      <c r="U288" s="17" t="n">
        <f aca="false">ROUND(F288*H288,2)</f>
        <v>18252</v>
      </c>
      <c r="V288" s="17" t="n">
        <f aca="false">ROUND(L288*Assumptions!$C$25,2)</f>
        <v>555.12</v>
      </c>
      <c r="W288" s="17" t="n">
        <f aca="false">ROUND(T288-U288-V288,2)</f>
        <v>8671.54</v>
      </c>
      <c r="X288" s="28" t="n">
        <f aca="false">T288/I288</f>
        <v>0.874170006998791</v>
      </c>
      <c r="Y288" s="17" t="n">
        <f aca="false">T288/F288</f>
        <v>54.1985404339251</v>
      </c>
      <c r="Z288" s="26" t="n">
        <f aca="false">Accounts!H164</f>
        <v>699</v>
      </c>
      <c r="AA288" s="28" t="n">
        <f aca="false">IF(Z288&gt;=Assumptions!$B$44,Assumptions!$C$44,IF(Z288&gt;=Assumptions!$B$45,Assumptions!$C$45,IF(Z288&gt;=Assumptions!$B$46,Assumptions!$C$46,Assumptions!$C$47)))</f>
        <v>0</v>
      </c>
      <c r="AB288" s="26" t="n">
        <f aca="false">IF(Z288&gt;=Assumptions!$B$44,Assumptions!$B$44,IF(Z288&gt;=Assumptions!$B$45,Assumptions!$B$45,IF(Z288&gt;=Assumptions!$B$46,Assumptions!$B$46,0)))</f>
        <v>0</v>
      </c>
    </row>
    <row r="289" customFormat="false" ht="15" hidden="false" customHeight="false" outlineLevel="0" collapsed="false">
      <c r="B289" s="14" t="s">
        <v>333</v>
      </c>
      <c r="C289" s="14" t="s">
        <v>259</v>
      </c>
      <c r="D289" s="14" t="s">
        <v>251</v>
      </c>
      <c r="E289" s="14" t="s">
        <v>62</v>
      </c>
      <c r="F289" s="26" t="n">
        <f aca="false">Accounts!F180</f>
        <v>240</v>
      </c>
      <c r="G289" s="17" t="n">
        <f aca="false">Assumptions!$D$9</f>
        <v>62</v>
      </c>
      <c r="H289" s="17" t="n">
        <f aca="false">Assumptions!$E$9</f>
        <v>36</v>
      </c>
      <c r="I289" s="17" t="n">
        <f aca="false">ROUND(F289*G289,2)</f>
        <v>14880</v>
      </c>
      <c r="J289" s="17" t="n">
        <f aca="false">ROUND(I289*Accounts!O180,2)</f>
        <v>0</v>
      </c>
      <c r="K289" s="17" t="n">
        <f aca="false">ROUND(I289*Accounts!M180,2)</f>
        <v>1257.36</v>
      </c>
      <c r="L289" s="17" t="n">
        <f aca="false">ROUND(I289-J289-K289,2)</f>
        <v>13622.64</v>
      </c>
      <c r="M289" s="17" t="n">
        <f aca="false">ROUND(L289*AA289,2)</f>
        <v>0</v>
      </c>
      <c r="N289" s="17" t="n">
        <f aca="false">ROUND(L289*Accounts!R180,2)</f>
        <v>0</v>
      </c>
      <c r="O289" s="17" t="n">
        <f aca="false">ROUND(L289*Accounts!S180,2)</f>
        <v>0</v>
      </c>
      <c r="P289" s="17" t="n">
        <f aca="false">ROUND(L289*Accounts!T180,2)</f>
        <v>0</v>
      </c>
      <c r="Q289" s="17" t="n">
        <f aca="false">ROUND(L289*Accounts!U180,2)</f>
        <v>0</v>
      </c>
      <c r="R289" s="17" t="n">
        <f aca="false">ROUND(L289*Accounts!V180,2)</f>
        <v>136.23</v>
      </c>
      <c r="S289" s="17" t="n">
        <f aca="false">ROUND(L289*Accounts!W180,2)</f>
        <v>0</v>
      </c>
      <c r="T289" s="17" t="n">
        <f aca="false">ROUND(L289-SUM(M289:S289),2)</f>
        <v>13486.41</v>
      </c>
      <c r="U289" s="17" t="n">
        <f aca="false">ROUND(F289*H289,2)</f>
        <v>8640</v>
      </c>
      <c r="V289" s="17" t="n">
        <f aca="false">ROUND(L289*Assumptions!$C$25,2)</f>
        <v>272.45</v>
      </c>
      <c r="W289" s="17" t="n">
        <f aca="false">ROUND(T289-U289-V289,2)</f>
        <v>4573.96</v>
      </c>
      <c r="X289" s="28" t="n">
        <f aca="false">T289/I289</f>
        <v>0.906344758064516</v>
      </c>
      <c r="Y289" s="17" t="n">
        <f aca="false">T289/F289</f>
        <v>56.193375</v>
      </c>
      <c r="Z289" s="26" t="n">
        <f aca="false">Accounts!H180</f>
        <v>436</v>
      </c>
      <c r="AA289" s="28" t="n">
        <f aca="false">IF(Z289&gt;=Assumptions!$B$44,Assumptions!$C$44,IF(Z289&gt;=Assumptions!$B$45,Assumptions!$C$45,IF(Z289&gt;=Assumptions!$B$46,Assumptions!$C$46,Assumptions!$C$47)))</f>
        <v>0</v>
      </c>
      <c r="AB289" s="26" t="n">
        <f aca="false">IF(Z289&gt;=Assumptions!$B$44,Assumptions!$B$44,IF(Z289&gt;=Assumptions!$B$45,Assumptions!$B$45,IF(Z289&gt;=Assumptions!$B$46,Assumptions!$B$46,0)))</f>
        <v>0</v>
      </c>
    </row>
    <row r="290" customFormat="false" ht="15" hidden="false" customHeight="false" outlineLevel="0" collapsed="false">
      <c r="B290" s="14" t="s">
        <v>270</v>
      </c>
      <c r="C290" s="14" t="s">
        <v>259</v>
      </c>
      <c r="D290" s="14" t="s">
        <v>218</v>
      </c>
      <c r="E290" s="14" t="s">
        <v>62</v>
      </c>
      <c r="F290" s="26" t="n">
        <f aca="false">Accounts!F117</f>
        <v>401</v>
      </c>
      <c r="G290" s="17" t="n">
        <f aca="false">Assumptions!$D$9</f>
        <v>62</v>
      </c>
      <c r="H290" s="17" t="n">
        <f aca="false">Assumptions!$E$9</f>
        <v>36</v>
      </c>
      <c r="I290" s="17" t="n">
        <f aca="false">ROUND(F290*G290,2)</f>
        <v>24862</v>
      </c>
      <c r="J290" s="17" t="n">
        <f aca="false">ROUND(I290*Accounts!O117,2)</f>
        <v>0</v>
      </c>
      <c r="K290" s="17" t="n">
        <f aca="false">ROUND(I290*Accounts!M117,2)</f>
        <v>0</v>
      </c>
      <c r="L290" s="17" t="n">
        <f aca="false">ROUND(I290-J290-K290,2)</f>
        <v>24862</v>
      </c>
      <c r="M290" s="17" t="n">
        <f aca="false">ROUND(L290*AA290,2)</f>
        <v>0</v>
      </c>
      <c r="N290" s="17" t="n">
        <f aca="false">ROUND(L290*Accounts!R117,2)</f>
        <v>0</v>
      </c>
      <c r="O290" s="17" t="n">
        <f aca="false">ROUND(L290*Accounts!S117,2)</f>
        <v>0</v>
      </c>
      <c r="P290" s="17" t="n">
        <f aca="false">ROUND(L290*Accounts!T117,2)</f>
        <v>0</v>
      </c>
      <c r="Q290" s="17" t="n">
        <f aca="false">ROUND(L290*Accounts!U117,2)</f>
        <v>0</v>
      </c>
      <c r="R290" s="17" t="n">
        <f aca="false">ROUND(L290*Accounts!V117,2)</f>
        <v>248.62</v>
      </c>
      <c r="S290" s="17" t="n">
        <f aca="false">ROUND(L290*Accounts!W117,2)</f>
        <v>0</v>
      </c>
      <c r="T290" s="17" t="n">
        <f aca="false">ROUND(L290-SUM(M290:S290),2)</f>
        <v>24613.38</v>
      </c>
      <c r="U290" s="17" t="n">
        <f aca="false">ROUND(F290*H290,2)</f>
        <v>14436</v>
      </c>
      <c r="V290" s="17" t="n">
        <f aca="false">ROUND(L290*Assumptions!$C$25,2)</f>
        <v>497.24</v>
      </c>
      <c r="W290" s="17" t="n">
        <f aca="false">ROUND(T290-U290-V290,2)</f>
        <v>9680.14</v>
      </c>
      <c r="X290" s="28" t="n">
        <f aca="false">T290/I290</f>
        <v>0.99</v>
      </c>
      <c r="Y290" s="17" t="n">
        <f aca="false">T290/F290</f>
        <v>61.38</v>
      </c>
      <c r="Z290" s="26" t="n">
        <f aca="false">Accounts!H117</f>
        <v>616</v>
      </c>
      <c r="AA290" s="28" t="n">
        <f aca="false">IF(Z290&gt;=Assumptions!$B$44,Assumptions!$C$44,IF(Z290&gt;=Assumptions!$B$45,Assumptions!$C$45,IF(Z290&gt;=Assumptions!$B$46,Assumptions!$C$46,Assumptions!$C$47)))</f>
        <v>0</v>
      </c>
      <c r="AB290" s="26" t="n">
        <f aca="false">IF(Z290&gt;=Assumptions!$B$44,Assumptions!$B$44,IF(Z290&gt;=Assumptions!$B$45,Assumptions!$B$45,IF(Z290&gt;=Assumptions!$B$46,Assumptions!$B$46,0)))</f>
        <v>0</v>
      </c>
    </row>
    <row r="291" customFormat="false" ht="15" hidden="false" customHeight="false" outlineLevel="0" collapsed="false">
      <c r="B291" s="14" t="s">
        <v>286</v>
      </c>
      <c r="C291" s="14" t="s">
        <v>259</v>
      </c>
      <c r="D291" s="14" t="s">
        <v>227</v>
      </c>
      <c r="E291" s="14" t="s">
        <v>62</v>
      </c>
      <c r="F291" s="26" t="n">
        <f aca="false">Accounts!F133</f>
        <v>538</v>
      </c>
      <c r="G291" s="17" t="n">
        <f aca="false">Assumptions!$D$9</f>
        <v>62</v>
      </c>
      <c r="H291" s="17" t="n">
        <f aca="false">Assumptions!$E$9</f>
        <v>36</v>
      </c>
      <c r="I291" s="17" t="n">
        <f aca="false">ROUND(F291*G291,2)</f>
        <v>33356</v>
      </c>
      <c r="J291" s="17" t="n">
        <f aca="false">ROUND(I291*Accounts!O133,2)</f>
        <v>0</v>
      </c>
      <c r="K291" s="17" t="n">
        <f aca="false">ROUND(I291*Accounts!M133,2)</f>
        <v>0</v>
      </c>
      <c r="L291" s="17" t="n">
        <f aca="false">ROUND(I291-J291-K291,2)</f>
        <v>33356</v>
      </c>
      <c r="M291" s="17" t="n">
        <f aca="false">ROUND(L291*AA291,2)</f>
        <v>0</v>
      </c>
      <c r="N291" s="17" t="n">
        <f aca="false">ROUND(L291*Accounts!R133,2)</f>
        <v>0</v>
      </c>
      <c r="O291" s="17" t="n">
        <f aca="false">ROUND(L291*Accounts!S133,2)</f>
        <v>0</v>
      </c>
      <c r="P291" s="17" t="n">
        <f aca="false">ROUND(L291*Accounts!T133,2)</f>
        <v>0</v>
      </c>
      <c r="Q291" s="17" t="n">
        <f aca="false">ROUND(L291*Accounts!U133,2)</f>
        <v>0</v>
      </c>
      <c r="R291" s="17" t="n">
        <f aca="false">ROUND(L291*Accounts!V133,2)</f>
        <v>333.56</v>
      </c>
      <c r="S291" s="17" t="n">
        <f aca="false">ROUND(L291*Accounts!W133,2)</f>
        <v>0</v>
      </c>
      <c r="T291" s="17" t="n">
        <f aca="false">ROUND(L291-SUM(M291:S291),2)</f>
        <v>33022.44</v>
      </c>
      <c r="U291" s="17" t="n">
        <f aca="false">ROUND(F291*H291,2)</f>
        <v>19368</v>
      </c>
      <c r="V291" s="17" t="n">
        <f aca="false">ROUND(L291*Assumptions!$C$25,2)</f>
        <v>667.12</v>
      </c>
      <c r="W291" s="17" t="n">
        <f aca="false">ROUND(T291-U291-V291,2)</f>
        <v>12987.32</v>
      </c>
      <c r="X291" s="28" t="n">
        <f aca="false">T291/I291</f>
        <v>0.99</v>
      </c>
      <c r="Y291" s="17" t="n">
        <f aca="false">T291/F291</f>
        <v>61.38</v>
      </c>
      <c r="Z291" s="26" t="n">
        <f aca="false">Accounts!H133</f>
        <v>618</v>
      </c>
      <c r="AA291" s="28" t="n">
        <f aca="false">IF(Z291&gt;=Assumptions!$B$44,Assumptions!$C$44,IF(Z291&gt;=Assumptions!$B$45,Assumptions!$C$45,IF(Z291&gt;=Assumptions!$B$46,Assumptions!$C$46,Assumptions!$C$47)))</f>
        <v>0</v>
      </c>
      <c r="AB291" s="26" t="n">
        <f aca="false">IF(Z291&gt;=Assumptions!$B$44,Assumptions!$B$44,IF(Z291&gt;=Assumptions!$B$45,Assumptions!$B$45,IF(Z291&gt;=Assumptions!$B$46,Assumptions!$B$46,0)))</f>
        <v>0</v>
      </c>
    </row>
    <row r="292" customFormat="false" ht="15" hidden="false" customHeight="false" outlineLevel="0" collapsed="false">
      <c r="B292" s="14" t="s">
        <v>318</v>
      </c>
      <c r="C292" s="14" t="s">
        <v>259</v>
      </c>
      <c r="D292" s="14" t="s">
        <v>243</v>
      </c>
      <c r="E292" s="14" t="s">
        <v>62</v>
      </c>
      <c r="F292" s="26" t="n">
        <f aca="false">Accounts!F165</f>
        <v>2402</v>
      </c>
      <c r="G292" s="17" t="n">
        <f aca="false">Assumptions!$D$9</f>
        <v>62</v>
      </c>
      <c r="H292" s="17" t="n">
        <f aca="false">Assumptions!$E$9</f>
        <v>36</v>
      </c>
      <c r="I292" s="17" t="n">
        <f aca="false">ROUND(F292*G292,2)</f>
        <v>148924</v>
      </c>
      <c r="J292" s="17" t="n">
        <f aca="false">ROUND(I292*Accounts!O165,2)</f>
        <v>2978.48</v>
      </c>
      <c r="K292" s="17" t="n">
        <f aca="false">ROUND(I292*Accounts!M165,2)</f>
        <v>20328.13</v>
      </c>
      <c r="L292" s="17" t="n">
        <f aca="false">ROUND(I292-J292-K292,2)</f>
        <v>125617.39</v>
      </c>
      <c r="M292" s="17" t="n">
        <f aca="false">ROUND(L292*AA292,2)</f>
        <v>2512.35</v>
      </c>
      <c r="N292" s="17" t="n">
        <f aca="false">ROUND(L292*Accounts!R165,2)</f>
        <v>0</v>
      </c>
      <c r="O292" s="17" t="n">
        <f aca="false">ROUND(L292*Accounts!S165,2)</f>
        <v>0</v>
      </c>
      <c r="P292" s="17" t="n">
        <f aca="false">ROUND(L292*Accounts!T165,2)</f>
        <v>0</v>
      </c>
      <c r="Q292" s="17" t="n">
        <f aca="false">ROUND(L292*Accounts!U165,2)</f>
        <v>0</v>
      </c>
      <c r="R292" s="17" t="n">
        <f aca="false">ROUND(L292*Accounts!V165,2)</f>
        <v>1256.17</v>
      </c>
      <c r="S292" s="17" t="n">
        <f aca="false">ROUND(L292*Accounts!W165,2)</f>
        <v>0</v>
      </c>
      <c r="T292" s="17" t="n">
        <f aca="false">ROUND(L292-SUM(M292:S292),2)</f>
        <v>121848.87</v>
      </c>
      <c r="U292" s="17" t="n">
        <f aca="false">ROUND(F292*H292,2)</f>
        <v>86472</v>
      </c>
      <c r="V292" s="17" t="n">
        <f aca="false">ROUND(L292*Assumptions!$C$25,2)</f>
        <v>2512.35</v>
      </c>
      <c r="W292" s="17" t="n">
        <f aca="false">ROUND(T292-U292-V292,2)</f>
        <v>32864.52</v>
      </c>
      <c r="X292" s="28" t="n">
        <f aca="false">T292/I292</f>
        <v>0.818194985361661</v>
      </c>
      <c r="Y292" s="17" t="n">
        <f aca="false">T292/F292</f>
        <v>50.728089092423</v>
      </c>
      <c r="Z292" s="26" t="n">
        <f aca="false">Accounts!H165</f>
        <v>3601</v>
      </c>
      <c r="AA292" s="28" t="n">
        <f aca="false">IF(Z292&gt;=Assumptions!$B$44,Assumptions!$C$44,IF(Z292&gt;=Assumptions!$B$45,Assumptions!$C$45,IF(Z292&gt;=Assumptions!$B$46,Assumptions!$C$46,Assumptions!$C$47)))</f>
        <v>0.02</v>
      </c>
      <c r="AB292" s="26" t="n">
        <f aca="false">IF(Z292&gt;=Assumptions!$B$44,Assumptions!$B$44,IF(Z292&gt;=Assumptions!$B$45,Assumptions!$B$45,IF(Z292&gt;=Assumptions!$B$46,Assumptions!$B$46,0)))</f>
        <v>3000</v>
      </c>
    </row>
    <row r="293" customFormat="false" ht="15" hidden="false" customHeight="false" outlineLevel="0" collapsed="false">
      <c r="B293" s="14" t="s">
        <v>334</v>
      </c>
      <c r="C293" s="14" t="s">
        <v>259</v>
      </c>
      <c r="D293" s="14" t="s">
        <v>251</v>
      </c>
      <c r="E293" s="14" t="s">
        <v>62</v>
      </c>
      <c r="F293" s="26" t="n">
        <f aca="false">Accounts!F181</f>
        <v>836</v>
      </c>
      <c r="G293" s="17" t="n">
        <f aca="false">Assumptions!$D$9</f>
        <v>62</v>
      </c>
      <c r="H293" s="17" t="n">
        <f aca="false">Assumptions!$E$9</f>
        <v>36</v>
      </c>
      <c r="I293" s="17" t="n">
        <f aca="false">ROUND(F293*G293,2)</f>
        <v>51832</v>
      </c>
      <c r="J293" s="17" t="n">
        <f aca="false">ROUND(I293*Accounts!O181,2)</f>
        <v>0</v>
      </c>
      <c r="K293" s="17" t="n">
        <f aca="false">ROUND(I293*Accounts!M181,2)</f>
        <v>3032.17</v>
      </c>
      <c r="L293" s="17" t="n">
        <f aca="false">ROUND(I293-J293-K293,2)</f>
        <v>48799.83</v>
      </c>
      <c r="M293" s="17" t="n">
        <f aca="false">ROUND(L293*AA293,2)</f>
        <v>0</v>
      </c>
      <c r="N293" s="17" t="n">
        <f aca="false">ROUND(L293*Accounts!R181,2)</f>
        <v>0</v>
      </c>
      <c r="O293" s="17" t="n">
        <f aca="false">ROUND(L293*Accounts!S181,2)</f>
        <v>0</v>
      </c>
      <c r="P293" s="17" t="n">
        <f aca="false">ROUND(L293*Accounts!T181,2)</f>
        <v>0</v>
      </c>
      <c r="Q293" s="17" t="n">
        <f aca="false">ROUND(L293*Accounts!U181,2)</f>
        <v>0</v>
      </c>
      <c r="R293" s="17" t="n">
        <f aca="false">ROUND(L293*Accounts!V181,2)</f>
        <v>488</v>
      </c>
      <c r="S293" s="17" t="n">
        <f aca="false">ROUND(L293*Accounts!W181,2)</f>
        <v>0</v>
      </c>
      <c r="T293" s="17" t="n">
        <f aca="false">ROUND(L293-SUM(M293:S293),2)</f>
        <v>48311.83</v>
      </c>
      <c r="U293" s="17" t="n">
        <f aca="false">ROUND(F293*H293,2)</f>
        <v>30096</v>
      </c>
      <c r="V293" s="17" t="n">
        <f aca="false">ROUND(L293*Assumptions!$C$25,2)</f>
        <v>976</v>
      </c>
      <c r="W293" s="17" t="n">
        <f aca="false">ROUND(T293-U293-V293,2)</f>
        <v>17239.83</v>
      </c>
      <c r="X293" s="28" t="n">
        <f aca="false">T293/I293</f>
        <v>0.932085005402068</v>
      </c>
      <c r="Y293" s="17" t="n">
        <f aca="false">T293/F293</f>
        <v>57.7892703349282</v>
      </c>
      <c r="Z293" s="26" t="n">
        <f aca="false">Accounts!H181</f>
        <v>1172</v>
      </c>
      <c r="AA293" s="28" t="n">
        <f aca="false">IF(Z293&gt;=Assumptions!$B$44,Assumptions!$C$44,IF(Z293&gt;=Assumptions!$B$45,Assumptions!$C$45,IF(Z293&gt;=Assumptions!$B$46,Assumptions!$C$46,Assumptions!$C$47)))</f>
        <v>0</v>
      </c>
      <c r="AB293" s="26" t="n">
        <f aca="false">IF(Z293&gt;=Assumptions!$B$44,Assumptions!$B$44,IF(Z293&gt;=Assumptions!$B$45,Assumptions!$B$45,IF(Z293&gt;=Assumptions!$B$46,Assumptions!$B$46,0)))</f>
        <v>0</v>
      </c>
    </row>
    <row r="294" customFormat="false" ht="15" hidden="false" customHeight="false" outlineLevel="0" collapsed="false">
      <c r="B294" s="14" t="s">
        <v>303</v>
      </c>
      <c r="C294" s="14" t="s">
        <v>259</v>
      </c>
      <c r="D294" s="14" t="s">
        <v>235</v>
      </c>
      <c r="E294" s="14" t="s">
        <v>62</v>
      </c>
      <c r="F294" s="26" t="n">
        <f aca="false">Accounts!F150</f>
        <v>779</v>
      </c>
      <c r="G294" s="17" t="n">
        <f aca="false">Assumptions!$D$9</f>
        <v>62</v>
      </c>
      <c r="H294" s="17" t="n">
        <f aca="false">Assumptions!$E$9</f>
        <v>36</v>
      </c>
      <c r="I294" s="17" t="n">
        <f aca="false">ROUND(F294*G294,2)</f>
        <v>48298</v>
      </c>
      <c r="J294" s="17" t="n">
        <f aca="false">ROUND(I294*Accounts!O150,2)</f>
        <v>0</v>
      </c>
      <c r="K294" s="17" t="n">
        <f aca="false">ROUND(I294*Accounts!M150,2)</f>
        <v>627.87</v>
      </c>
      <c r="L294" s="17" t="n">
        <f aca="false">ROUND(I294-J294-K294,2)</f>
        <v>47670.13</v>
      </c>
      <c r="M294" s="17" t="n">
        <f aca="false">ROUND(L294*AA294,2)</f>
        <v>0</v>
      </c>
      <c r="N294" s="17" t="n">
        <f aca="false">ROUND(L294*Accounts!R150,2)</f>
        <v>0</v>
      </c>
      <c r="O294" s="17" t="n">
        <f aca="false">ROUND(L294*Accounts!S150,2)</f>
        <v>0</v>
      </c>
      <c r="P294" s="17" t="n">
        <f aca="false">ROUND(L294*Accounts!T150,2)</f>
        <v>0</v>
      </c>
      <c r="Q294" s="17" t="n">
        <f aca="false">ROUND(L294*Accounts!U150,2)</f>
        <v>0</v>
      </c>
      <c r="R294" s="17" t="n">
        <f aca="false">ROUND(L294*Accounts!V150,2)</f>
        <v>476.7</v>
      </c>
      <c r="S294" s="17" t="n">
        <f aca="false">ROUND(L294*Accounts!W150,2)</f>
        <v>0</v>
      </c>
      <c r="T294" s="17" t="n">
        <f aca="false">ROUND(L294-SUM(M294:S294),2)</f>
        <v>47193.43</v>
      </c>
      <c r="U294" s="17" t="n">
        <f aca="false">ROUND(F294*H294,2)</f>
        <v>28044</v>
      </c>
      <c r="V294" s="17" t="n">
        <f aca="false">ROUND(L294*Assumptions!$C$25,2)</f>
        <v>953.4</v>
      </c>
      <c r="W294" s="17" t="n">
        <f aca="false">ROUND(T294-U294-V294,2)</f>
        <v>18196.03</v>
      </c>
      <c r="X294" s="28" t="n">
        <f aca="false">T294/I294</f>
        <v>0.977130108907201</v>
      </c>
      <c r="Y294" s="17" t="n">
        <f aca="false">T294/F294</f>
        <v>60.5820667522465</v>
      </c>
      <c r="Z294" s="26" t="n">
        <f aca="false">Accounts!H150</f>
        <v>1233</v>
      </c>
      <c r="AA294" s="28" t="n">
        <f aca="false">IF(Z294&gt;=Assumptions!$B$44,Assumptions!$C$44,IF(Z294&gt;=Assumptions!$B$45,Assumptions!$C$45,IF(Z294&gt;=Assumptions!$B$46,Assumptions!$C$46,Assumptions!$C$47)))</f>
        <v>0</v>
      </c>
      <c r="AB294" s="26" t="n">
        <f aca="false">IF(Z294&gt;=Assumptions!$B$44,Assumptions!$B$44,IF(Z294&gt;=Assumptions!$B$45,Assumptions!$B$45,IF(Z294&gt;=Assumptions!$B$46,Assumptions!$B$46,0)))</f>
        <v>0</v>
      </c>
    </row>
    <row r="295" customFormat="false" ht="15" hidden="false" customHeight="false" outlineLevel="0" collapsed="false">
      <c r="B295" s="14" t="s">
        <v>319</v>
      </c>
      <c r="C295" s="14" t="s">
        <v>259</v>
      </c>
      <c r="D295" s="14" t="s">
        <v>243</v>
      </c>
      <c r="E295" s="14" t="s">
        <v>62</v>
      </c>
      <c r="F295" s="26" t="n">
        <f aca="false">Accounts!F166</f>
        <v>591</v>
      </c>
      <c r="G295" s="17" t="n">
        <f aca="false">Assumptions!$D$9</f>
        <v>62</v>
      </c>
      <c r="H295" s="17" t="n">
        <f aca="false">Assumptions!$E$9</f>
        <v>36</v>
      </c>
      <c r="I295" s="17" t="n">
        <f aca="false">ROUND(F295*G295,2)</f>
        <v>36642</v>
      </c>
      <c r="J295" s="17" t="n">
        <f aca="false">ROUND(I295*Accounts!O166,2)</f>
        <v>0</v>
      </c>
      <c r="K295" s="17" t="n">
        <f aca="false">ROUND(I295*Accounts!M166,2)</f>
        <v>1667.21</v>
      </c>
      <c r="L295" s="17" t="n">
        <f aca="false">ROUND(I295-J295-K295,2)</f>
        <v>34974.79</v>
      </c>
      <c r="M295" s="17" t="n">
        <f aca="false">ROUND(L295*AA295,2)</f>
        <v>0</v>
      </c>
      <c r="N295" s="17" t="n">
        <f aca="false">ROUND(L295*Accounts!R166,2)</f>
        <v>0</v>
      </c>
      <c r="O295" s="17" t="n">
        <f aca="false">ROUND(L295*Accounts!S166,2)</f>
        <v>0</v>
      </c>
      <c r="P295" s="17" t="n">
        <f aca="false">ROUND(L295*Accounts!T166,2)</f>
        <v>0</v>
      </c>
      <c r="Q295" s="17" t="n">
        <f aca="false">ROUND(L295*Accounts!U166,2)</f>
        <v>0</v>
      </c>
      <c r="R295" s="17" t="n">
        <f aca="false">ROUND(L295*Accounts!V166,2)</f>
        <v>349.75</v>
      </c>
      <c r="S295" s="17" t="n">
        <f aca="false">ROUND(L295*Accounts!W166,2)</f>
        <v>0</v>
      </c>
      <c r="T295" s="17" t="n">
        <f aca="false">ROUND(L295-SUM(M295:S295),2)</f>
        <v>34625.04</v>
      </c>
      <c r="U295" s="17" t="n">
        <f aca="false">ROUND(F295*H295,2)</f>
        <v>21276</v>
      </c>
      <c r="V295" s="17" t="n">
        <f aca="false">ROUND(L295*Assumptions!$C$25,2)</f>
        <v>699.5</v>
      </c>
      <c r="W295" s="17" t="n">
        <f aca="false">ROUND(T295-U295-V295,2)</f>
        <v>12649.54</v>
      </c>
      <c r="X295" s="28" t="n">
        <f aca="false">T295/I295</f>
        <v>0.944954969706894</v>
      </c>
      <c r="Y295" s="17" t="n">
        <f aca="false">T295/F295</f>
        <v>58.5872081218274</v>
      </c>
      <c r="Z295" s="26" t="n">
        <f aca="false">Accounts!H166</f>
        <v>748</v>
      </c>
      <c r="AA295" s="28" t="n">
        <f aca="false">IF(Z295&gt;=Assumptions!$B$44,Assumptions!$C$44,IF(Z295&gt;=Assumptions!$B$45,Assumptions!$C$45,IF(Z295&gt;=Assumptions!$B$46,Assumptions!$C$46,Assumptions!$C$47)))</f>
        <v>0</v>
      </c>
      <c r="AB295" s="26" t="n">
        <f aca="false">IF(Z295&gt;=Assumptions!$B$44,Assumptions!$B$44,IF(Z295&gt;=Assumptions!$B$45,Assumptions!$B$45,IF(Z295&gt;=Assumptions!$B$46,Assumptions!$B$46,0)))</f>
        <v>0</v>
      </c>
    </row>
    <row r="296" customFormat="false" ht="15" hidden="false" customHeight="false" outlineLevel="0" collapsed="false">
      <c r="B296" s="14" t="s">
        <v>272</v>
      </c>
      <c r="C296" s="14" t="s">
        <v>259</v>
      </c>
      <c r="D296" s="14" t="s">
        <v>218</v>
      </c>
      <c r="E296" s="14" t="s">
        <v>62</v>
      </c>
      <c r="F296" s="26" t="n">
        <f aca="false">Accounts!F119</f>
        <v>2123</v>
      </c>
      <c r="G296" s="17" t="n">
        <f aca="false">Assumptions!$D$9</f>
        <v>62</v>
      </c>
      <c r="H296" s="17" t="n">
        <f aca="false">Assumptions!$E$9</f>
        <v>36</v>
      </c>
      <c r="I296" s="17" t="n">
        <f aca="false">ROUND(F296*G296,2)</f>
        <v>131626</v>
      </c>
      <c r="J296" s="17" t="n">
        <f aca="false">ROUND(I296*Accounts!O119,2)</f>
        <v>2632.52</v>
      </c>
      <c r="K296" s="17" t="n">
        <f aca="false">ROUND(I296*Accounts!M119,2)</f>
        <v>8555.69</v>
      </c>
      <c r="L296" s="17" t="n">
        <f aca="false">ROUND(I296-J296-K296,2)</f>
        <v>120437.79</v>
      </c>
      <c r="M296" s="17" t="n">
        <f aca="false">ROUND(L296*AA296,2)</f>
        <v>0</v>
      </c>
      <c r="N296" s="17" t="n">
        <f aca="false">ROUND(L296*Accounts!R119,2)</f>
        <v>0</v>
      </c>
      <c r="O296" s="17" t="n">
        <f aca="false">ROUND(L296*Accounts!S119,2)</f>
        <v>0</v>
      </c>
      <c r="P296" s="17" t="n">
        <f aca="false">ROUND(L296*Accounts!T119,2)</f>
        <v>0</v>
      </c>
      <c r="Q296" s="17" t="n">
        <f aca="false">ROUND(L296*Accounts!U119,2)</f>
        <v>0</v>
      </c>
      <c r="R296" s="17" t="n">
        <f aca="false">ROUND(L296*Accounts!V119,2)</f>
        <v>1204.38</v>
      </c>
      <c r="S296" s="17" t="n">
        <f aca="false">ROUND(L296*Accounts!W119,2)</f>
        <v>0</v>
      </c>
      <c r="T296" s="17" t="n">
        <f aca="false">ROUND(L296-SUM(M296:S296),2)</f>
        <v>119233.41</v>
      </c>
      <c r="U296" s="17" t="n">
        <f aca="false">ROUND(F296*H296,2)</f>
        <v>76428</v>
      </c>
      <c r="V296" s="17" t="n">
        <f aca="false">ROUND(L296*Assumptions!$C$25,2)</f>
        <v>2408.76</v>
      </c>
      <c r="W296" s="17" t="n">
        <f aca="false">ROUND(T296-U296-V296,2)</f>
        <v>40396.65</v>
      </c>
      <c r="X296" s="28" t="n">
        <f aca="false">T296/I296</f>
        <v>0.905849984045705</v>
      </c>
      <c r="Y296" s="17" t="n">
        <f aca="false">T296/F296</f>
        <v>56.1626990108337</v>
      </c>
      <c r="Z296" s="26" t="n">
        <f aca="false">Accounts!H119</f>
        <v>2961</v>
      </c>
      <c r="AA296" s="28" t="n">
        <f aca="false">IF(Z296&gt;=Assumptions!$B$44,Assumptions!$C$44,IF(Z296&gt;=Assumptions!$B$45,Assumptions!$C$45,IF(Z296&gt;=Assumptions!$B$46,Assumptions!$C$46,Assumptions!$C$47)))</f>
        <v>0</v>
      </c>
      <c r="AB296" s="26" t="n">
        <f aca="false">IF(Z296&gt;=Assumptions!$B$44,Assumptions!$B$44,IF(Z296&gt;=Assumptions!$B$45,Assumptions!$B$45,IF(Z296&gt;=Assumptions!$B$46,Assumptions!$B$46,0)))</f>
        <v>0</v>
      </c>
    </row>
    <row r="297" customFormat="false" ht="15" hidden="false" customHeight="false" outlineLevel="0" collapsed="false">
      <c r="B297" s="14" t="s">
        <v>288</v>
      </c>
      <c r="C297" s="14" t="s">
        <v>259</v>
      </c>
      <c r="D297" s="14" t="s">
        <v>227</v>
      </c>
      <c r="E297" s="14" t="s">
        <v>62</v>
      </c>
      <c r="F297" s="26" t="n">
        <f aca="false">Accounts!F135</f>
        <v>2393</v>
      </c>
      <c r="G297" s="17" t="n">
        <f aca="false">Assumptions!$D$9</f>
        <v>62</v>
      </c>
      <c r="H297" s="17" t="n">
        <f aca="false">Assumptions!$E$9</f>
        <v>36</v>
      </c>
      <c r="I297" s="17" t="n">
        <f aca="false">ROUND(F297*G297,2)</f>
        <v>148366</v>
      </c>
      <c r="J297" s="17" t="n">
        <f aca="false">ROUND(I297*Accounts!O135,2)</f>
        <v>2967.32</v>
      </c>
      <c r="K297" s="17" t="n">
        <f aca="false">ROUND(I297*Accounts!M135,2)</f>
        <v>2893.14</v>
      </c>
      <c r="L297" s="17" t="n">
        <f aca="false">ROUND(I297-J297-K297,2)</f>
        <v>142505.54</v>
      </c>
      <c r="M297" s="17" t="n">
        <f aca="false">ROUND(L297*AA297,2)</f>
        <v>2850.11</v>
      </c>
      <c r="N297" s="17" t="n">
        <f aca="false">ROUND(L297*Accounts!R135,2)</f>
        <v>0</v>
      </c>
      <c r="O297" s="17" t="n">
        <f aca="false">ROUND(L297*Accounts!S135,2)</f>
        <v>0</v>
      </c>
      <c r="P297" s="17" t="n">
        <f aca="false">ROUND(L297*Accounts!T135,2)</f>
        <v>0</v>
      </c>
      <c r="Q297" s="17" t="n">
        <f aca="false">ROUND(L297*Accounts!U135,2)</f>
        <v>0</v>
      </c>
      <c r="R297" s="17" t="n">
        <f aca="false">ROUND(L297*Accounts!V135,2)</f>
        <v>1425.06</v>
      </c>
      <c r="S297" s="17" t="n">
        <f aca="false">ROUND(L297*Accounts!W135,2)</f>
        <v>0</v>
      </c>
      <c r="T297" s="17" t="n">
        <f aca="false">ROUND(L297-SUM(M297:S297),2)</f>
        <v>138230.37</v>
      </c>
      <c r="U297" s="17" t="n">
        <f aca="false">ROUND(F297*H297,2)</f>
        <v>86148</v>
      </c>
      <c r="V297" s="17" t="n">
        <f aca="false">ROUND(L297*Assumptions!$C$25,2)</f>
        <v>2850.11</v>
      </c>
      <c r="W297" s="17" t="n">
        <f aca="false">ROUND(T297-U297-V297,2)</f>
        <v>49232.26</v>
      </c>
      <c r="X297" s="28" t="n">
        <f aca="false">T297/I297</f>
        <v>0.931684954774005</v>
      </c>
      <c r="Y297" s="17" t="n">
        <f aca="false">T297/F297</f>
        <v>57.7644671959883</v>
      </c>
      <c r="Z297" s="26" t="n">
        <f aca="false">Accounts!H135</f>
        <v>3033</v>
      </c>
      <c r="AA297" s="28" t="n">
        <f aca="false">IF(Z297&gt;=Assumptions!$B$44,Assumptions!$C$44,IF(Z297&gt;=Assumptions!$B$45,Assumptions!$C$45,IF(Z297&gt;=Assumptions!$B$46,Assumptions!$C$46,Assumptions!$C$47)))</f>
        <v>0.02</v>
      </c>
      <c r="AB297" s="26" t="n">
        <f aca="false">IF(Z297&gt;=Assumptions!$B$44,Assumptions!$B$44,IF(Z297&gt;=Assumptions!$B$45,Assumptions!$B$45,IF(Z297&gt;=Assumptions!$B$46,Assumptions!$B$46,0)))</f>
        <v>3000</v>
      </c>
    </row>
    <row r="298" customFormat="false" ht="15" hidden="false" customHeight="false" outlineLevel="0" collapsed="false">
      <c r="B298" s="14" t="s">
        <v>304</v>
      </c>
      <c r="C298" s="14" t="s">
        <v>259</v>
      </c>
      <c r="D298" s="14" t="s">
        <v>235</v>
      </c>
      <c r="E298" s="14" t="s">
        <v>62</v>
      </c>
      <c r="F298" s="26" t="n">
        <f aca="false">Accounts!F151</f>
        <v>984</v>
      </c>
      <c r="G298" s="17" t="n">
        <f aca="false">Assumptions!$D$9</f>
        <v>62</v>
      </c>
      <c r="H298" s="17" t="n">
        <f aca="false">Assumptions!$E$9</f>
        <v>36</v>
      </c>
      <c r="I298" s="17" t="n">
        <f aca="false">ROUND(F298*G298,2)</f>
        <v>61008</v>
      </c>
      <c r="J298" s="17" t="n">
        <f aca="false">ROUND(I298*Accounts!O151,2)</f>
        <v>1220.16</v>
      </c>
      <c r="K298" s="17" t="n">
        <f aca="false">ROUND(I298*Accounts!M151,2)</f>
        <v>1189.66</v>
      </c>
      <c r="L298" s="17" t="n">
        <f aca="false">ROUND(I298-J298-K298,2)</f>
        <v>58598.18</v>
      </c>
      <c r="M298" s="17" t="n">
        <f aca="false">ROUND(L298*AA298,2)</f>
        <v>0</v>
      </c>
      <c r="N298" s="17" t="n">
        <f aca="false">ROUND(L298*Accounts!R151,2)</f>
        <v>0</v>
      </c>
      <c r="O298" s="17" t="n">
        <f aca="false">ROUND(L298*Accounts!S151,2)</f>
        <v>0</v>
      </c>
      <c r="P298" s="17" t="n">
        <f aca="false">ROUND(L298*Accounts!T151,2)</f>
        <v>0</v>
      </c>
      <c r="Q298" s="17" t="n">
        <f aca="false">ROUND(L298*Accounts!U151,2)</f>
        <v>0</v>
      </c>
      <c r="R298" s="17" t="n">
        <f aca="false">ROUND(L298*Accounts!V151,2)</f>
        <v>585.98</v>
      </c>
      <c r="S298" s="17" t="n">
        <f aca="false">ROUND(L298*Accounts!W151,2)</f>
        <v>0</v>
      </c>
      <c r="T298" s="17" t="n">
        <f aca="false">ROUND(L298-SUM(M298:S298),2)</f>
        <v>58012.2</v>
      </c>
      <c r="U298" s="17" t="n">
        <f aca="false">ROUND(F298*H298,2)</f>
        <v>35424</v>
      </c>
      <c r="V298" s="17" t="n">
        <f aca="false">ROUND(L298*Assumptions!$C$25,2)</f>
        <v>1171.96</v>
      </c>
      <c r="W298" s="17" t="n">
        <f aca="false">ROUND(T298-U298-V298,2)</f>
        <v>21416.24</v>
      </c>
      <c r="X298" s="28" t="n">
        <f aca="false">T298/I298</f>
        <v>0.950894964594807</v>
      </c>
      <c r="Y298" s="17" t="n">
        <f aca="false">T298/F298</f>
        <v>58.9554878048781</v>
      </c>
      <c r="Z298" s="26" t="n">
        <f aca="false">Accounts!H151</f>
        <v>1480</v>
      </c>
      <c r="AA298" s="28" t="n">
        <f aca="false">IF(Z298&gt;=Assumptions!$B$44,Assumptions!$C$44,IF(Z298&gt;=Assumptions!$B$45,Assumptions!$C$45,IF(Z298&gt;=Assumptions!$B$46,Assumptions!$C$46,Assumptions!$C$47)))</f>
        <v>0</v>
      </c>
      <c r="AB298" s="26" t="n">
        <f aca="false">IF(Z298&gt;=Assumptions!$B$44,Assumptions!$B$44,IF(Z298&gt;=Assumptions!$B$45,Assumptions!$B$45,IF(Z298&gt;=Assumptions!$B$46,Assumptions!$B$46,0)))</f>
        <v>0</v>
      </c>
    </row>
    <row r="299" customFormat="false" ht="15" hidden="false" customHeight="false" outlineLevel="0" collapsed="false">
      <c r="B299" s="14" t="s">
        <v>320</v>
      </c>
      <c r="C299" s="14" t="s">
        <v>259</v>
      </c>
      <c r="D299" s="14" t="s">
        <v>243</v>
      </c>
      <c r="E299" s="14" t="s">
        <v>62</v>
      </c>
      <c r="F299" s="26" t="n">
        <f aca="false">Accounts!F167</f>
        <v>1868</v>
      </c>
      <c r="G299" s="17" t="n">
        <f aca="false">Assumptions!$D$9</f>
        <v>62</v>
      </c>
      <c r="H299" s="17" t="n">
        <f aca="false">Assumptions!$E$9</f>
        <v>36</v>
      </c>
      <c r="I299" s="17" t="n">
        <f aca="false">ROUND(F299*G299,2)</f>
        <v>115816</v>
      </c>
      <c r="J299" s="17" t="n">
        <f aca="false">ROUND(I299*Accounts!O167,2)</f>
        <v>2316.32</v>
      </c>
      <c r="K299" s="17" t="n">
        <f aca="false">ROUND(I299*Accounts!M167,2)</f>
        <v>6775.24</v>
      </c>
      <c r="L299" s="17" t="n">
        <f aca="false">ROUND(I299-J299-K299,2)</f>
        <v>106724.44</v>
      </c>
      <c r="M299" s="17" t="n">
        <f aca="false">ROUND(L299*AA299,2)</f>
        <v>0</v>
      </c>
      <c r="N299" s="17" t="n">
        <f aca="false">ROUND(L299*Accounts!R167,2)</f>
        <v>0</v>
      </c>
      <c r="O299" s="17" t="n">
        <f aca="false">ROUND(L299*Accounts!S167,2)</f>
        <v>0</v>
      </c>
      <c r="P299" s="17" t="n">
        <f aca="false">ROUND(L299*Accounts!T167,2)</f>
        <v>0</v>
      </c>
      <c r="Q299" s="17" t="n">
        <f aca="false">ROUND(L299*Accounts!U167,2)</f>
        <v>0</v>
      </c>
      <c r="R299" s="17" t="n">
        <f aca="false">ROUND(L299*Accounts!V167,2)</f>
        <v>1067.24</v>
      </c>
      <c r="S299" s="17" t="n">
        <f aca="false">ROUND(L299*Accounts!W167,2)</f>
        <v>0</v>
      </c>
      <c r="T299" s="17" t="n">
        <f aca="false">ROUND(L299-SUM(M299:S299),2)</f>
        <v>105657.2</v>
      </c>
      <c r="U299" s="17" t="n">
        <f aca="false">ROUND(F299*H299,2)</f>
        <v>67248</v>
      </c>
      <c r="V299" s="17" t="n">
        <f aca="false">ROUND(L299*Assumptions!$C$25,2)</f>
        <v>2134.49</v>
      </c>
      <c r="W299" s="17" t="n">
        <f aca="false">ROUND(T299-U299-V299,2)</f>
        <v>36274.71</v>
      </c>
      <c r="X299" s="28" t="n">
        <f aca="false">T299/I299</f>
        <v>0.91228500379913</v>
      </c>
      <c r="Y299" s="17" t="n">
        <f aca="false">T299/F299</f>
        <v>56.561670235546</v>
      </c>
      <c r="Z299" s="26" t="n">
        <f aca="false">Accounts!H167</f>
        <v>2608</v>
      </c>
      <c r="AA299" s="28" t="n">
        <f aca="false">IF(Z299&gt;=Assumptions!$B$44,Assumptions!$C$44,IF(Z299&gt;=Assumptions!$B$45,Assumptions!$C$45,IF(Z299&gt;=Assumptions!$B$46,Assumptions!$C$46,Assumptions!$C$47)))</f>
        <v>0</v>
      </c>
      <c r="AB299" s="26" t="n">
        <f aca="false">IF(Z299&gt;=Assumptions!$B$44,Assumptions!$B$44,IF(Z299&gt;=Assumptions!$B$45,Assumptions!$B$45,IF(Z299&gt;=Assumptions!$B$46,Assumptions!$B$46,0)))</f>
        <v>0</v>
      </c>
    </row>
    <row r="300" customFormat="false" ht="15" hidden="false" customHeight="false" outlineLevel="0" collapsed="false">
      <c r="B300" s="14" t="s">
        <v>336</v>
      </c>
      <c r="C300" s="14" t="s">
        <v>259</v>
      </c>
      <c r="D300" s="14" t="s">
        <v>251</v>
      </c>
      <c r="E300" s="14" t="s">
        <v>62</v>
      </c>
      <c r="F300" s="26" t="n">
        <f aca="false">Accounts!F183</f>
        <v>1859</v>
      </c>
      <c r="G300" s="17" t="n">
        <f aca="false">Assumptions!$D$9</f>
        <v>62</v>
      </c>
      <c r="H300" s="17" t="n">
        <f aca="false">Assumptions!$E$9</f>
        <v>36</v>
      </c>
      <c r="I300" s="17" t="n">
        <f aca="false">ROUND(F300*G300,2)</f>
        <v>115258</v>
      </c>
      <c r="J300" s="17" t="n">
        <f aca="false">ROUND(I300*Accounts!O183,2)</f>
        <v>2305.16</v>
      </c>
      <c r="K300" s="17" t="n">
        <f aca="false">ROUND(I300*Accounts!M183,2)</f>
        <v>13485.19</v>
      </c>
      <c r="L300" s="17" t="n">
        <f aca="false">ROUND(I300-J300-K300,2)</f>
        <v>99467.65</v>
      </c>
      <c r="M300" s="17" t="n">
        <f aca="false">ROUND(L300*AA300,2)</f>
        <v>0</v>
      </c>
      <c r="N300" s="17" t="n">
        <f aca="false">ROUND(L300*Accounts!R183,2)</f>
        <v>0</v>
      </c>
      <c r="O300" s="17" t="n">
        <f aca="false">ROUND(L300*Accounts!S183,2)</f>
        <v>0</v>
      </c>
      <c r="P300" s="17" t="n">
        <f aca="false">ROUND(L300*Accounts!T183,2)</f>
        <v>0</v>
      </c>
      <c r="Q300" s="17" t="n">
        <f aca="false">ROUND(L300*Accounts!U183,2)</f>
        <v>0</v>
      </c>
      <c r="R300" s="17" t="n">
        <f aca="false">ROUND(L300*Accounts!V183,2)</f>
        <v>994.68</v>
      </c>
      <c r="S300" s="17" t="n">
        <f aca="false">ROUND(L300*Accounts!W183,2)</f>
        <v>0</v>
      </c>
      <c r="T300" s="17" t="n">
        <f aca="false">ROUND(L300-SUM(M300:S300),2)</f>
        <v>98472.97</v>
      </c>
      <c r="U300" s="17" t="n">
        <f aca="false">ROUND(F300*H300,2)</f>
        <v>66924</v>
      </c>
      <c r="V300" s="17" t="n">
        <f aca="false">ROUND(L300*Assumptions!$C$25,2)</f>
        <v>1989.35</v>
      </c>
      <c r="W300" s="17" t="n">
        <f aca="false">ROUND(T300-U300-V300,2)</f>
        <v>29559.62</v>
      </c>
      <c r="X300" s="28" t="n">
        <f aca="false">T300/I300</f>
        <v>0.854369935275643</v>
      </c>
      <c r="Y300" s="17" t="n">
        <f aca="false">T300/F300</f>
        <v>52.9709359870898</v>
      </c>
      <c r="Z300" s="26" t="n">
        <f aca="false">Accounts!H183</f>
        <v>2848</v>
      </c>
      <c r="AA300" s="28" t="n">
        <f aca="false">IF(Z300&gt;=Assumptions!$B$44,Assumptions!$C$44,IF(Z300&gt;=Assumptions!$B$45,Assumptions!$C$45,IF(Z300&gt;=Assumptions!$B$46,Assumptions!$C$46,Assumptions!$C$47)))</f>
        <v>0</v>
      </c>
      <c r="AB300" s="26" t="n">
        <f aca="false">IF(Z300&gt;=Assumptions!$B$44,Assumptions!$B$44,IF(Z300&gt;=Assumptions!$B$45,Assumptions!$B$45,IF(Z300&gt;=Assumptions!$B$46,Assumptions!$B$46,0)))</f>
        <v>0</v>
      </c>
    </row>
    <row r="301" customFormat="false" ht="15" hidden="false" customHeight="false" outlineLevel="0" collapsed="false">
      <c r="B301" s="14" t="s">
        <v>273</v>
      </c>
      <c r="C301" s="14" t="s">
        <v>259</v>
      </c>
      <c r="D301" s="14" t="s">
        <v>218</v>
      </c>
      <c r="E301" s="14" t="s">
        <v>62</v>
      </c>
      <c r="F301" s="26" t="n">
        <f aca="false">Accounts!F120</f>
        <v>742</v>
      </c>
      <c r="G301" s="17" t="n">
        <f aca="false">Assumptions!$D$9</f>
        <v>62</v>
      </c>
      <c r="H301" s="17" t="n">
        <f aca="false">Assumptions!$E$9</f>
        <v>36</v>
      </c>
      <c r="I301" s="17" t="n">
        <f aca="false">ROUND(F301*G301,2)</f>
        <v>46004</v>
      </c>
      <c r="J301" s="17" t="n">
        <f aca="false">ROUND(I301*Accounts!O120,2)</f>
        <v>0</v>
      </c>
      <c r="K301" s="17" t="n">
        <f aca="false">ROUND(I301*Accounts!M120,2)</f>
        <v>598.05</v>
      </c>
      <c r="L301" s="17" t="n">
        <f aca="false">ROUND(I301-J301-K301,2)</f>
        <v>45405.95</v>
      </c>
      <c r="M301" s="17" t="n">
        <f aca="false">ROUND(L301*AA301,2)</f>
        <v>0</v>
      </c>
      <c r="N301" s="17" t="n">
        <f aca="false">ROUND(L301*Accounts!R120,2)</f>
        <v>0</v>
      </c>
      <c r="O301" s="17" t="n">
        <f aca="false">ROUND(L301*Accounts!S120,2)</f>
        <v>0</v>
      </c>
      <c r="P301" s="17" t="n">
        <f aca="false">ROUND(L301*Accounts!T120,2)</f>
        <v>0</v>
      </c>
      <c r="Q301" s="17" t="n">
        <f aca="false">ROUND(L301*Accounts!U120,2)</f>
        <v>0</v>
      </c>
      <c r="R301" s="17" t="n">
        <f aca="false">ROUND(L301*Accounts!V120,2)</f>
        <v>454.06</v>
      </c>
      <c r="S301" s="17" t="n">
        <f aca="false">ROUND(L301*Accounts!W120,2)</f>
        <v>0</v>
      </c>
      <c r="T301" s="17" t="n">
        <f aca="false">ROUND(L301-SUM(M301:S301),2)</f>
        <v>44951.89</v>
      </c>
      <c r="U301" s="17" t="n">
        <f aca="false">ROUND(F301*H301,2)</f>
        <v>26712</v>
      </c>
      <c r="V301" s="17" t="n">
        <f aca="false">ROUND(L301*Assumptions!$C$25,2)</f>
        <v>908.12</v>
      </c>
      <c r="W301" s="17" t="n">
        <f aca="false">ROUND(T301-U301-V301,2)</f>
        <v>17331.77</v>
      </c>
      <c r="X301" s="28" t="n">
        <f aca="false">T301/I301</f>
        <v>0.977130032171116</v>
      </c>
      <c r="Y301" s="17" t="n">
        <f aca="false">T301/F301</f>
        <v>60.5820619946092</v>
      </c>
      <c r="Z301" s="26" t="n">
        <f aca="false">Accounts!H120</f>
        <v>1002</v>
      </c>
      <c r="AA301" s="28" t="n">
        <f aca="false">IF(Z301&gt;=Assumptions!$B$44,Assumptions!$C$44,IF(Z301&gt;=Assumptions!$B$45,Assumptions!$C$45,IF(Z301&gt;=Assumptions!$B$46,Assumptions!$C$46,Assumptions!$C$47)))</f>
        <v>0</v>
      </c>
      <c r="AB301" s="26" t="n">
        <f aca="false">IF(Z301&gt;=Assumptions!$B$44,Assumptions!$B$44,IF(Z301&gt;=Assumptions!$B$45,Assumptions!$B$45,IF(Z301&gt;=Assumptions!$B$46,Assumptions!$B$46,0)))</f>
        <v>0</v>
      </c>
    </row>
    <row r="302" customFormat="false" ht="15" hidden="false" customHeight="false" outlineLevel="0" collapsed="false">
      <c r="B302" s="14" t="s">
        <v>305</v>
      </c>
      <c r="C302" s="14" t="s">
        <v>259</v>
      </c>
      <c r="D302" s="14" t="s">
        <v>235</v>
      </c>
      <c r="E302" s="14" t="s">
        <v>62</v>
      </c>
      <c r="F302" s="26" t="n">
        <f aca="false">Accounts!F152</f>
        <v>469</v>
      </c>
      <c r="G302" s="17" t="n">
        <f aca="false">Assumptions!$D$9</f>
        <v>62</v>
      </c>
      <c r="H302" s="17" t="n">
        <f aca="false">Assumptions!$E$9</f>
        <v>36</v>
      </c>
      <c r="I302" s="17" t="n">
        <f aca="false">ROUND(F302*G302,2)</f>
        <v>29078</v>
      </c>
      <c r="J302" s="17" t="n">
        <f aca="false">ROUND(I302*Accounts!O152,2)</f>
        <v>0</v>
      </c>
      <c r="K302" s="17" t="n">
        <f aca="false">ROUND(I302*Accounts!M152,2)</f>
        <v>0</v>
      </c>
      <c r="L302" s="17" t="n">
        <f aca="false">ROUND(I302-J302-K302,2)</f>
        <v>29078</v>
      </c>
      <c r="M302" s="17" t="n">
        <f aca="false">ROUND(L302*AA302,2)</f>
        <v>0</v>
      </c>
      <c r="N302" s="17" t="n">
        <f aca="false">ROUND(L302*Accounts!R152,2)</f>
        <v>0</v>
      </c>
      <c r="O302" s="17" t="n">
        <f aca="false">ROUND(L302*Accounts!S152,2)</f>
        <v>0</v>
      </c>
      <c r="P302" s="17" t="n">
        <f aca="false">ROUND(L302*Accounts!T152,2)</f>
        <v>0</v>
      </c>
      <c r="Q302" s="17" t="n">
        <f aca="false">ROUND(L302*Accounts!U152,2)</f>
        <v>0</v>
      </c>
      <c r="R302" s="17" t="n">
        <f aca="false">ROUND(L302*Accounts!V152,2)</f>
        <v>290.78</v>
      </c>
      <c r="S302" s="17" t="n">
        <f aca="false">ROUND(L302*Accounts!W152,2)</f>
        <v>0</v>
      </c>
      <c r="T302" s="17" t="n">
        <f aca="false">ROUND(L302-SUM(M302:S302),2)</f>
        <v>28787.22</v>
      </c>
      <c r="U302" s="17" t="n">
        <f aca="false">ROUND(F302*H302,2)</f>
        <v>16884</v>
      </c>
      <c r="V302" s="17" t="n">
        <f aca="false">ROUND(L302*Assumptions!$C$25,2)</f>
        <v>581.56</v>
      </c>
      <c r="W302" s="17" t="n">
        <f aca="false">ROUND(T302-U302-V302,2)</f>
        <v>11321.66</v>
      </c>
      <c r="X302" s="28" t="n">
        <f aca="false">T302/I302</f>
        <v>0.99</v>
      </c>
      <c r="Y302" s="17" t="n">
        <f aca="false">T302/F302</f>
        <v>61.38</v>
      </c>
      <c r="Z302" s="26" t="n">
        <f aca="false">Accounts!H152</f>
        <v>792</v>
      </c>
      <c r="AA302" s="28" t="n">
        <f aca="false">IF(Z302&gt;=Assumptions!$B$44,Assumptions!$C$44,IF(Z302&gt;=Assumptions!$B$45,Assumptions!$C$45,IF(Z302&gt;=Assumptions!$B$46,Assumptions!$C$46,Assumptions!$C$47)))</f>
        <v>0</v>
      </c>
      <c r="AB302" s="26" t="n">
        <f aca="false">IF(Z302&gt;=Assumptions!$B$44,Assumptions!$B$44,IF(Z302&gt;=Assumptions!$B$45,Assumptions!$B$45,IF(Z302&gt;=Assumptions!$B$46,Assumptions!$B$46,0)))</f>
        <v>0</v>
      </c>
    </row>
    <row r="303" customFormat="false" ht="15" hidden="false" customHeight="false" outlineLevel="0" collapsed="false">
      <c r="B303" s="14" t="s">
        <v>337</v>
      </c>
      <c r="C303" s="14" t="s">
        <v>259</v>
      </c>
      <c r="D303" s="14" t="s">
        <v>251</v>
      </c>
      <c r="E303" s="14" t="s">
        <v>62</v>
      </c>
      <c r="F303" s="26" t="n">
        <f aca="false">Accounts!F184</f>
        <v>1531</v>
      </c>
      <c r="G303" s="17" t="n">
        <f aca="false">Assumptions!$D$9</f>
        <v>62</v>
      </c>
      <c r="H303" s="17" t="n">
        <f aca="false">Assumptions!$E$9</f>
        <v>36</v>
      </c>
      <c r="I303" s="17" t="n">
        <f aca="false">ROUND(F303*G303,2)</f>
        <v>94922</v>
      </c>
      <c r="J303" s="17" t="n">
        <f aca="false">ROUND(I303*Accounts!O184,2)</f>
        <v>1898.44</v>
      </c>
      <c r="K303" s="17" t="n">
        <f aca="false">ROUND(I303*Accounts!M184,2)</f>
        <v>8637.9</v>
      </c>
      <c r="L303" s="17" t="n">
        <f aca="false">ROUND(I303-J303-K303,2)</f>
        <v>84385.66</v>
      </c>
      <c r="M303" s="17" t="n">
        <f aca="false">ROUND(L303*AA303,2)</f>
        <v>0</v>
      </c>
      <c r="N303" s="17" t="n">
        <f aca="false">ROUND(L303*Accounts!R184,2)</f>
        <v>0</v>
      </c>
      <c r="O303" s="17" t="n">
        <f aca="false">ROUND(L303*Accounts!S184,2)</f>
        <v>0</v>
      </c>
      <c r="P303" s="17" t="n">
        <f aca="false">ROUND(L303*Accounts!T184,2)</f>
        <v>0</v>
      </c>
      <c r="Q303" s="17" t="n">
        <f aca="false">ROUND(L303*Accounts!U184,2)</f>
        <v>0</v>
      </c>
      <c r="R303" s="17" t="n">
        <f aca="false">ROUND(L303*Accounts!V184,2)</f>
        <v>843.86</v>
      </c>
      <c r="S303" s="17" t="n">
        <f aca="false">ROUND(L303*Accounts!W184,2)</f>
        <v>0</v>
      </c>
      <c r="T303" s="17" t="n">
        <f aca="false">ROUND(L303-SUM(M303:S303),2)</f>
        <v>83541.8</v>
      </c>
      <c r="U303" s="17" t="n">
        <f aca="false">ROUND(F303*H303,2)</f>
        <v>55116</v>
      </c>
      <c r="V303" s="17" t="n">
        <f aca="false">ROUND(L303*Assumptions!$C$25,2)</f>
        <v>1687.71</v>
      </c>
      <c r="W303" s="17" t="n">
        <f aca="false">ROUND(T303-U303-V303,2)</f>
        <v>26738.09</v>
      </c>
      <c r="X303" s="28" t="n">
        <f aca="false">T303/I303</f>
        <v>0.880109985040349</v>
      </c>
      <c r="Y303" s="17" t="n">
        <f aca="false">T303/F303</f>
        <v>54.5668190725016</v>
      </c>
      <c r="Z303" s="26" t="n">
        <f aca="false">Accounts!H184</f>
        <v>1695</v>
      </c>
      <c r="AA303" s="28" t="n">
        <f aca="false">IF(Z303&gt;=Assumptions!$B$44,Assumptions!$C$44,IF(Z303&gt;=Assumptions!$B$45,Assumptions!$C$45,IF(Z303&gt;=Assumptions!$B$46,Assumptions!$C$46,Assumptions!$C$47)))</f>
        <v>0</v>
      </c>
      <c r="AB303" s="26" t="n">
        <f aca="false">IF(Z303&gt;=Assumptions!$B$44,Assumptions!$B$44,IF(Z303&gt;=Assumptions!$B$45,Assumptions!$B$45,IF(Z303&gt;=Assumptions!$B$46,Assumptions!$B$46,0)))</f>
        <v>0</v>
      </c>
    </row>
    <row r="304" customFormat="false" ht="15" hidden="false" customHeight="false" outlineLevel="0" collapsed="false">
      <c r="B304" s="14" t="s">
        <v>274</v>
      </c>
      <c r="C304" s="14" t="s">
        <v>259</v>
      </c>
      <c r="D304" s="14" t="s">
        <v>218</v>
      </c>
      <c r="E304" s="14" t="s">
        <v>62</v>
      </c>
      <c r="F304" s="26" t="n">
        <f aca="false">Accounts!F121</f>
        <v>233</v>
      </c>
      <c r="G304" s="17" t="n">
        <f aca="false">Assumptions!$D$9</f>
        <v>62</v>
      </c>
      <c r="H304" s="17" t="n">
        <f aca="false">Assumptions!$E$9</f>
        <v>36</v>
      </c>
      <c r="I304" s="17" t="n">
        <f aca="false">ROUND(F304*G304,2)</f>
        <v>14446</v>
      </c>
      <c r="J304" s="17" t="n">
        <f aca="false">ROUND(I304*Accounts!O121,2)</f>
        <v>0</v>
      </c>
      <c r="K304" s="17" t="n">
        <f aca="false">ROUND(I304*Accounts!M121,2)</f>
        <v>187.8</v>
      </c>
      <c r="L304" s="17" t="n">
        <f aca="false">ROUND(I304-J304-K304,2)</f>
        <v>14258.2</v>
      </c>
      <c r="M304" s="17" t="n">
        <f aca="false">ROUND(L304*AA304,2)</f>
        <v>0</v>
      </c>
      <c r="N304" s="17" t="n">
        <f aca="false">ROUND(L304*Accounts!R121,2)</f>
        <v>0</v>
      </c>
      <c r="O304" s="17" t="n">
        <f aca="false">ROUND(L304*Accounts!S121,2)</f>
        <v>0</v>
      </c>
      <c r="P304" s="17" t="n">
        <f aca="false">ROUND(L304*Accounts!T121,2)</f>
        <v>0</v>
      </c>
      <c r="Q304" s="17" t="n">
        <f aca="false">ROUND(L304*Accounts!U121,2)</f>
        <v>0</v>
      </c>
      <c r="R304" s="17" t="n">
        <f aca="false">ROUND(L304*Accounts!V121,2)</f>
        <v>142.58</v>
      </c>
      <c r="S304" s="17" t="n">
        <f aca="false">ROUND(L304*Accounts!W121,2)</f>
        <v>0</v>
      </c>
      <c r="T304" s="17" t="n">
        <f aca="false">ROUND(L304-SUM(M304:S304),2)</f>
        <v>14115.62</v>
      </c>
      <c r="U304" s="17" t="n">
        <f aca="false">ROUND(F304*H304,2)</f>
        <v>8388</v>
      </c>
      <c r="V304" s="17" t="n">
        <f aca="false">ROUND(L304*Assumptions!$C$25,2)</f>
        <v>285.16</v>
      </c>
      <c r="W304" s="17" t="n">
        <f aca="false">ROUND(T304-U304-V304,2)</f>
        <v>5442.46</v>
      </c>
      <c r="X304" s="28" t="n">
        <f aca="false">T304/I304</f>
        <v>0.977130001384466</v>
      </c>
      <c r="Y304" s="17" t="n">
        <f aca="false">T304/F304</f>
        <v>60.5820600858369</v>
      </c>
      <c r="Z304" s="26" t="n">
        <f aca="false">Accounts!H121</f>
        <v>329</v>
      </c>
      <c r="AA304" s="28" t="n">
        <f aca="false">IF(Z304&gt;=Assumptions!$B$44,Assumptions!$C$44,IF(Z304&gt;=Assumptions!$B$45,Assumptions!$C$45,IF(Z304&gt;=Assumptions!$B$46,Assumptions!$C$46,Assumptions!$C$47)))</f>
        <v>0</v>
      </c>
      <c r="AB304" s="26" t="n">
        <f aca="false">IF(Z304&gt;=Assumptions!$B$44,Assumptions!$B$44,IF(Z304&gt;=Assumptions!$B$45,Assumptions!$B$45,IF(Z304&gt;=Assumptions!$B$46,Assumptions!$B$46,0)))</f>
        <v>0</v>
      </c>
    </row>
    <row r="305" customFormat="false" ht="15" hidden="false" customHeight="false" outlineLevel="0" collapsed="false">
      <c r="B305" s="14" t="s">
        <v>290</v>
      </c>
      <c r="C305" s="14" t="s">
        <v>259</v>
      </c>
      <c r="D305" s="14" t="s">
        <v>227</v>
      </c>
      <c r="E305" s="14" t="s">
        <v>62</v>
      </c>
      <c r="F305" s="26" t="n">
        <f aca="false">Accounts!F137</f>
        <v>756</v>
      </c>
      <c r="G305" s="17" t="n">
        <f aca="false">Assumptions!$D$9</f>
        <v>62</v>
      </c>
      <c r="H305" s="17" t="n">
        <f aca="false">Assumptions!$E$9</f>
        <v>36</v>
      </c>
      <c r="I305" s="17" t="n">
        <f aca="false">ROUND(F305*G305,2)</f>
        <v>46872</v>
      </c>
      <c r="J305" s="17" t="n">
        <f aca="false">ROUND(I305*Accounts!O137,2)</f>
        <v>937.44</v>
      </c>
      <c r="K305" s="17" t="n">
        <f aca="false">ROUND(I305*Accounts!M137,2)</f>
        <v>2742.01</v>
      </c>
      <c r="L305" s="17" t="n">
        <f aca="false">ROUND(I305-J305-K305,2)</f>
        <v>43192.55</v>
      </c>
      <c r="M305" s="17" t="n">
        <f aca="false">ROUND(L305*AA305,2)</f>
        <v>0</v>
      </c>
      <c r="N305" s="17" t="n">
        <f aca="false">ROUND(L305*Accounts!R137,2)</f>
        <v>0</v>
      </c>
      <c r="O305" s="17" t="n">
        <f aca="false">ROUND(L305*Accounts!S137,2)</f>
        <v>0</v>
      </c>
      <c r="P305" s="17" t="n">
        <f aca="false">ROUND(L305*Accounts!T137,2)</f>
        <v>0</v>
      </c>
      <c r="Q305" s="17" t="n">
        <f aca="false">ROUND(L305*Accounts!U137,2)</f>
        <v>0</v>
      </c>
      <c r="R305" s="17" t="n">
        <f aca="false">ROUND(L305*Accounts!V137,2)</f>
        <v>431.93</v>
      </c>
      <c r="S305" s="17" t="n">
        <f aca="false">ROUND(L305*Accounts!W137,2)</f>
        <v>0</v>
      </c>
      <c r="T305" s="17" t="n">
        <f aca="false">ROUND(L305-SUM(M305:S305),2)</f>
        <v>42760.62</v>
      </c>
      <c r="U305" s="17" t="n">
        <f aca="false">ROUND(F305*H305,2)</f>
        <v>27216</v>
      </c>
      <c r="V305" s="17" t="n">
        <f aca="false">ROUND(L305*Assumptions!$C$25,2)</f>
        <v>863.85</v>
      </c>
      <c r="W305" s="17" t="n">
        <f aca="false">ROUND(T305-U305-V305,2)</f>
        <v>14680.77</v>
      </c>
      <c r="X305" s="28" t="n">
        <f aca="false">T305/I305</f>
        <v>0.912284946236559</v>
      </c>
      <c r="Y305" s="17" t="n">
        <f aca="false">T305/F305</f>
        <v>56.5616666666667</v>
      </c>
      <c r="Z305" s="26" t="n">
        <f aca="false">Accounts!H137</f>
        <v>1108</v>
      </c>
      <c r="AA305" s="28" t="n">
        <f aca="false">IF(Z305&gt;=Assumptions!$B$44,Assumptions!$C$44,IF(Z305&gt;=Assumptions!$B$45,Assumptions!$C$45,IF(Z305&gt;=Assumptions!$B$46,Assumptions!$C$46,Assumptions!$C$47)))</f>
        <v>0</v>
      </c>
      <c r="AB305" s="26" t="n">
        <f aca="false">IF(Z305&gt;=Assumptions!$B$44,Assumptions!$B$44,IF(Z305&gt;=Assumptions!$B$45,Assumptions!$B$45,IF(Z305&gt;=Assumptions!$B$46,Assumptions!$B$46,0)))</f>
        <v>0</v>
      </c>
    </row>
    <row r="306" customFormat="false" ht="15" hidden="false" customHeight="false" outlineLevel="0" collapsed="false">
      <c r="B306" s="14" t="s">
        <v>306</v>
      </c>
      <c r="C306" s="14" t="s">
        <v>259</v>
      </c>
      <c r="D306" s="14" t="s">
        <v>235</v>
      </c>
      <c r="E306" s="14" t="s">
        <v>62</v>
      </c>
      <c r="F306" s="26" t="n">
        <f aca="false">Accounts!F153</f>
        <v>1089</v>
      </c>
      <c r="G306" s="17" t="n">
        <f aca="false">Assumptions!$D$9</f>
        <v>62</v>
      </c>
      <c r="H306" s="17" t="n">
        <f aca="false">Assumptions!$E$9</f>
        <v>36</v>
      </c>
      <c r="I306" s="17" t="n">
        <f aca="false">ROUND(F306*G306,2)</f>
        <v>67518</v>
      </c>
      <c r="J306" s="17" t="n">
        <f aca="false">ROUND(I306*Accounts!O153,2)</f>
        <v>0</v>
      </c>
      <c r="K306" s="17" t="n">
        <f aca="false">ROUND(I306*Accounts!M153,2)</f>
        <v>0</v>
      </c>
      <c r="L306" s="17" t="n">
        <f aca="false">ROUND(I306-J306-K306,2)</f>
        <v>67518</v>
      </c>
      <c r="M306" s="17" t="n">
        <f aca="false">ROUND(L306*AA306,2)</f>
        <v>0</v>
      </c>
      <c r="N306" s="17" t="n">
        <f aca="false">ROUND(L306*Accounts!R153,2)</f>
        <v>0</v>
      </c>
      <c r="O306" s="17" t="n">
        <f aca="false">ROUND(L306*Accounts!S153,2)</f>
        <v>0</v>
      </c>
      <c r="P306" s="17" t="n">
        <f aca="false">ROUND(L306*Accounts!T153,2)</f>
        <v>0</v>
      </c>
      <c r="Q306" s="17" t="n">
        <f aca="false">ROUND(L306*Accounts!U153,2)</f>
        <v>0</v>
      </c>
      <c r="R306" s="17" t="n">
        <f aca="false">ROUND(L306*Accounts!V153,2)</f>
        <v>675.18</v>
      </c>
      <c r="S306" s="17" t="n">
        <f aca="false">ROUND(L306*Accounts!W153,2)</f>
        <v>0</v>
      </c>
      <c r="T306" s="17" t="n">
        <f aca="false">ROUND(L306-SUM(M306:S306),2)</f>
        <v>66842.82</v>
      </c>
      <c r="U306" s="17" t="n">
        <f aca="false">ROUND(F306*H306,2)</f>
        <v>39204</v>
      </c>
      <c r="V306" s="17" t="n">
        <f aca="false">ROUND(L306*Assumptions!$C$25,2)</f>
        <v>1350.36</v>
      </c>
      <c r="W306" s="17" t="n">
        <f aca="false">ROUND(T306-U306-V306,2)</f>
        <v>26288.46</v>
      </c>
      <c r="X306" s="28" t="n">
        <f aca="false">T306/I306</f>
        <v>0.99</v>
      </c>
      <c r="Y306" s="17" t="n">
        <f aca="false">T306/F306</f>
        <v>61.38</v>
      </c>
      <c r="Z306" s="26" t="n">
        <f aca="false">Accounts!H153</f>
        <v>1743</v>
      </c>
      <c r="AA306" s="28" t="n">
        <f aca="false">IF(Z306&gt;=Assumptions!$B$44,Assumptions!$C$44,IF(Z306&gt;=Assumptions!$B$45,Assumptions!$C$45,IF(Z306&gt;=Assumptions!$B$46,Assumptions!$C$46,Assumptions!$C$47)))</f>
        <v>0</v>
      </c>
      <c r="AB306" s="26" t="n">
        <f aca="false">IF(Z306&gt;=Assumptions!$B$44,Assumptions!$B$44,IF(Z306&gt;=Assumptions!$B$45,Assumptions!$B$45,IF(Z306&gt;=Assumptions!$B$46,Assumptions!$B$46,0)))</f>
        <v>0</v>
      </c>
    </row>
    <row r="307" customFormat="false" ht="15" hidden="false" customHeight="false" outlineLevel="0" collapsed="false">
      <c r="B307" s="14" t="s">
        <v>322</v>
      </c>
      <c r="C307" s="14" t="s">
        <v>259</v>
      </c>
      <c r="D307" s="14" t="s">
        <v>243</v>
      </c>
      <c r="E307" s="14" t="s">
        <v>62</v>
      </c>
      <c r="F307" s="26" t="n">
        <f aca="false">Accounts!F169</f>
        <v>324</v>
      </c>
      <c r="G307" s="17" t="n">
        <f aca="false">Assumptions!$D$9</f>
        <v>62</v>
      </c>
      <c r="H307" s="17" t="n">
        <f aca="false">Assumptions!$E$9</f>
        <v>36</v>
      </c>
      <c r="I307" s="17" t="n">
        <f aca="false">ROUND(F307*G307,2)</f>
        <v>20088</v>
      </c>
      <c r="J307" s="17" t="n">
        <f aca="false">ROUND(I307*Accounts!O169,2)</f>
        <v>401.76</v>
      </c>
      <c r="K307" s="17" t="n">
        <f aca="false">ROUND(I307*Accounts!M169,2)</f>
        <v>1305.72</v>
      </c>
      <c r="L307" s="17" t="n">
        <f aca="false">ROUND(I307-J307-K307,2)</f>
        <v>18380.52</v>
      </c>
      <c r="M307" s="17" t="n">
        <f aca="false">ROUND(L307*AA307,2)</f>
        <v>0</v>
      </c>
      <c r="N307" s="17" t="n">
        <f aca="false">ROUND(L307*Accounts!R169,2)</f>
        <v>0</v>
      </c>
      <c r="O307" s="17" t="n">
        <f aca="false">ROUND(L307*Accounts!S169,2)</f>
        <v>0</v>
      </c>
      <c r="P307" s="17" t="n">
        <f aca="false">ROUND(L307*Accounts!T169,2)</f>
        <v>0</v>
      </c>
      <c r="Q307" s="17" t="n">
        <f aca="false">ROUND(L307*Accounts!U169,2)</f>
        <v>0</v>
      </c>
      <c r="R307" s="17" t="n">
        <f aca="false">ROUND(L307*Accounts!V169,2)</f>
        <v>183.81</v>
      </c>
      <c r="S307" s="17" t="n">
        <f aca="false">ROUND(L307*Accounts!W169,2)</f>
        <v>0</v>
      </c>
      <c r="T307" s="17" t="n">
        <f aca="false">ROUND(L307-SUM(M307:S307),2)</f>
        <v>18196.71</v>
      </c>
      <c r="U307" s="17" t="n">
        <f aca="false">ROUND(F307*H307,2)</f>
        <v>11664</v>
      </c>
      <c r="V307" s="17" t="n">
        <f aca="false">ROUND(L307*Assumptions!$C$25,2)</f>
        <v>367.61</v>
      </c>
      <c r="W307" s="17" t="n">
        <f aca="false">ROUND(T307-U307-V307,2)</f>
        <v>6165.1</v>
      </c>
      <c r="X307" s="28" t="n">
        <f aca="false">T307/I307</f>
        <v>0.905849761051374</v>
      </c>
      <c r="Y307" s="17" t="n">
        <f aca="false">T307/F307</f>
        <v>56.1626851851852</v>
      </c>
      <c r="Z307" s="26" t="n">
        <f aca="false">Accounts!H169</f>
        <v>413</v>
      </c>
      <c r="AA307" s="28" t="n">
        <f aca="false">IF(Z307&gt;=Assumptions!$B$44,Assumptions!$C$44,IF(Z307&gt;=Assumptions!$B$45,Assumptions!$C$45,IF(Z307&gt;=Assumptions!$B$46,Assumptions!$C$46,Assumptions!$C$47)))</f>
        <v>0</v>
      </c>
      <c r="AB307" s="26" t="n">
        <f aca="false">IF(Z307&gt;=Assumptions!$B$44,Assumptions!$B$44,IF(Z307&gt;=Assumptions!$B$45,Assumptions!$B$45,IF(Z307&gt;=Assumptions!$B$46,Assumptions!$B$46,0)))</f>
        <v>0</v>
      </c>
    </row>
    <row r="308" customFormat="false" ht="15" hidden="false" customHeight="false" outlineLevel="0" collapsed="false">
      <c r="B308" s="14" t="s">
        <v>146</v>
      </c>
      <c r="C308" s="14" t="s">
        <v>147</v>
      </c>
      <c r="D308" s="14" t="s">
        <v>148</v>
      </c>
      <c r="E308" s="14" t="s">
        <v>64</v>
      </c>
      <c r="F308" s="26" t="n">
        <f aca="false">Accounts!G6</f>
        <v>6487</v>
      </c>
      <c r="G308" s="17" t="n">
        <f aca="false">Assumptions!$D$10</f>
        <v>96</v>
      </c>
      <c r="H308" s="17" t="n">
        <f aca="false">Assumptions!$E$10</f>
        <v>58</v>
      </c>
      <c r="I308" s="17" t="n">
        <f aca="false">ROUND(F308*G308,2)</f>
        <v>622752</v>
      </c>
      <c r="J308" s="17" t="n">
        <f aca="false">ROUND(I308*Accounts!O6,2)</f>
        <v>37365.12</v>
      </c>
      <c r="K308" s="17" t="n">
        <f aca="false">ROUND(I308*Accounts!N6,2)</f>
        <v>95654.71</v>
      </c>
      <c r="L308" s="17" t="n">
        <f aca="false">ROUND(I308-J308-K308,2)</f>
        <v>489732.17</v>
      </c>
      <c r="M308" s="17" t="n">
        <f aca="false">ROUND(L308*AA308,2)</f>
        <v>17140.63</v>
      </c>
      <c r="N308" s="17" t="n">
        <f aca="false">ROUND(L308*Accounts!R6,2)</f>
        <v>0</v>
      </c>
      <c r="O308" s="17" t="n">
        <f aca="false">ROUND(L308*Accounts!S6,2)</f>
        <v>14691.97</v>
      </c>
      <c r="P308" s="17" t="n">
        <f aca="false">ROUND(L308*Accounts!T6,2)</f>
        <v>0</v>
      </c>
      <c r="Q308" s="17" t="n">
        <f aca="false">ROUND(L308*Accounts!U6,2)</f>
        <v>0</v>
      </c>
      <c r="R308" s="17" t="n">
        <f aca="false">ROUND(L308*Accounts!V6,2)</f>
        <v>2448.66</v>
      </c>
      <c r="S308" s="17" t="n">
        <f aca="false">ROUND(L308*Accounts!W6,2)</f>
        <v>0</v>
      </c>
      <c r="T308" s="17" t="n">
        <f aca="false">ROUND(L308-SUM(M308:S308),2)</f>
        <v>455450.91</v>
      </c>
      <c r="U308" s="17" t="n">
        <f aca="false">ROUND(F308*H308,2)</f>
        <v>376246</v>
      </c>
      <c r="V308" s="17" t="n">
        <f aca="false">ROUND(L308*Assumptions!$C$25,2)</f>
        <v>9794.64</v>
      </c>
      <c r="W308" s="17" t="n">
        <f aca="false">ROUND(T308-U308-V308,2)</f>
        <v>69410.27</v>
      </c>
      <c r="X308" s="28" t="n">
        <f aca="false">T308/I308</f>
        <v>0.731351982811777</v>
      </c>
      <c r="Y308" s="17" t="n">
        <f aca="false">T308/F308</f>
        <v>70.2097903499306</v>
      </c>
      <c r="Z308" s="26" t="n">
        <f aca="false">Accounts!H6</f>
        <v>21795</v>
      </c>
      <c r="AA308" s="28" t="n">
        <f aca="false">IF(Z308&gt;=Assumptions!$B$44,Assumptions!$C$44,IF(Z308&gt;=Assumptions!$B$45,Assumptions!$C$45,IF(Z308&gt;=Assumptions!$B$46,Assumptions!$C$46,Assumptions!$C$47)))</f>
        <v>0.035</v>
      </c>
      <c r="AB308" s="26" t="n">
        <f aca="false">IF(Z308&gt;=Assumptions!$B$44,Assumptions!$B$44,IF(Z308&gt;=Assumptions!$B$45,Assumptions!$B$45,IF(Z308&gt;=Assumptions!$B$46,Assumptions!$B$46,0)))</f>
        <v>10000</v>
      </c>
    </row>
    <row r="309" customFormat="false" ht="15" hidden="false" customHeight="false" outlineLevel="0" collapsed="false">
      <c r="B309" s="14" t="s">
        <v>154</v>
      </c>
      <c r="C309" s="14" t="s">
        <v>147</v>
      </c>
      <c r="D309" s="14" t="s">
        <v>155</v>
      </c>
      <c r="E309" s="14" t="s">
        <v>64</v>
      </c>
      <c r="F309" s="26" t="n">
        <f aca="false">Accounts!G12</f>
        <v>7713</v>
      </c>
      <c r="G309" s="17" t="n">
        <f aca="false">Assumptions!$D$10</f>
        <v>96</v>
      </c>
      <c r="H309" s="17" t="n">
        <f aca="false">Assumptions!$E$10</f>
        <v>58</v>
      </c>
      <c r="I309" s="17" t="n">
        <f aca="false">ROUND(F309*G309,2)</f>
        <v>740448</v>
      </c>
      <c r="J309" s="17" t="n">
        <f aca="false">ROUND(I309*Accounts!O12,2)</f>
        <v>44426.88</v>
      </c>
      <c r="K309" s="17" t="n">
        <f aca="false">ROUND(I309*Accounts!N12,2)</f>
        <v>88853.76</v>
      </c>
      <c r="L309" s="17" t="n">
        <f aca="false">ROUND(I309-J309-K309,2)</f>
        <v>607167.36</v>
      </c>
      <c r="M309" s="17" t="n">
        <f aca="false">ROUND(L309*AA309,2)</f>
        <v>21250.86</v>
      </c>
      <c r="N309" s="17" t="n">
        <f aca="false">ROUND(L309*Accounts!R12,2)</f>
        <v>0</v>
      </c>
      <c r="O309" s="17" t="n">
        <f aca="false">ROUND(L309*Accounts!S12,2)</f>
        <v>18215.02</v>
      </c>
      <c r="P309" s="17" t="n">
        <f aca="false">ROUND(L309*Accounts!T12,2)</f>
        <v>0</v>
      </c>
      <c r="Q309" s="17" t="n">
        <f aca="false">ROUND(L309*Accounts!U12,2)</f>
        <v>0</v>
      </c>
      <c r="R309" s="17" t="n">
        <f aca="false">ROUND(L309*Accounts!V12,2)</f>
        <v>3035.84</v>
      </c>
      <c r="S309" s="17" t="n">
        <f aca="false">ROUND(L309*Accounts!W12,2)</f>
        <v>0</v>
      </c>
      <c r="T309" s="17" t="n">
        <f aca="false">ROUND(L309-SUM(M309:S309),2)</f>
        <v>564665.64</v>
      </c>
      <c r="U309" s="17" t="n">
        <f aca="false">ROUND(F309*H309,2)</f>
        <v>447354</v>
      </c>
      <c r="V309" s="17" t="n">
        <f aca="false">ROUND(L309*Assumptions!$C$25,2)</f>
        <v>12143.35</v>
      </c>
      <c r="W309" s="17" t="n">
        <f aca="false">ROUND(T309-U309-V309,2)</f>
        <v>105168.29</v>
      </c>
      <c r="X309" s="28" t="n">
        <f aca="false">T309/I309</f>
        <v>0.762599993517438</v>
      </c>
      <c r="Y309" s="17" t="n">
        <f aca="false">T309/F309</f>
        <v>73.2095993776741</v>
      </c>
      <c r="Z309" s="26" t="n">
        <f aca="false">Accounts!H12</f>
        <v>23170</v>
      </c>
      <c r="AA309" s="28" t="n">
        <f aca="false">IF(Z309&gt;=Assumptions!$B$44,Assumptions!$C$44,IF(Z309&gt;=Assumptions!$B$45,Assumptions!$C$45,IF(Z309&gt;=Assumptions!$B$46,Assumptions!$C$46,Assumptions!$C$47)))</f>
        <v>0.035</v>
      </c>
      <c r="AB309" s="26" t="n">
        <f aca="false">IF(Z309&gt;=Assumptions!$B$44,Assumptions!$B$44,IF(Z309&gt;=Assumptions!$B$45,Assumptions!$B$45,IF(Z309&gt;=Assumptions!$B$46,Assumptions!$B$46,0)))</f>
        <v>10000</v>
      </c>
    </row>
    <row r="310" customFormat="false" ht="15" hidden="false" customHeight="false" outlineLevel="0" collapsed="false">
      <c r="B310" s="14" t="s">
        <v>149</v>
      </c>
      <c r="C310" s="14" t="s">
        <v>147</v>
      </c>
      <c r="D310" s="14" t="s">
        <v>148</v>
      </c>
      <c r="E310" s="14" t="s">
        <v>64</v>
      </c>
      <c r="F310" s="26" t="n">
        <f aca="false">Accounts!G7</f>
        <v>8285</v>
      </c>
      <c r="G310" s="17" t="n">
        <f aca="false">Assumptions!$D$10</f>
        <v>96</v>
      </c>
      <c r="H310" s="17" t="n">
        <f aca="false">Assumptions!$E$10</f>
        <v>58</v>
      </c>
      <c r="I310" s="17" t="n">
        <f aca="false">ROUND(F310*G310,2)</f>
        <v>795360</v>
      </c>
      <c r="J310" s="17" t="n">
        <f aca="false">ROUND(I310*Accounts!O7,2)</f>
        <v>47721.6</v>
      </c>
      <c r="K310" s="17" t="n">
        <f aca="false">ROUND(I310*Accounts!N7,2)</f>
        <v>103078.66</v>
      </c>
      <c r="L310" s="17" t="n">
        <f aca="false">ROUND(I310-J310-K310,2)</f>
        <v>644559.74</v>
      </c>
      <c r="M310" s="17" t="n">
        <f aca="false">ROUND(L310*AA310,2)</f>
        <v>22559.59</v>
      </c>
      <c r="N310" s="17" t="n">
        <f aca="false">ROUND(L310*Accounts!R7,2)</f>
        <v>0</v>
      </c>
      <c r="O310" s="17" t="n">
        <f aca="false">ROUND(L310*Accounts!S7,2)</f>
        <v>19336.79</v>
      </c>
      <c r="P310" s="17" t="n">
        <f aca="false">ROUND(L310*Accounts!T7,2)</f>
        <v>0</v>
      </c>
      <c r="Q310" s="17" t="n">
        <f aca="false">ROUND(L310*Accounts!U7,2)</f>
        <v>0</v>
      </c>
      <c r="R310" s="17" t="n">
        <f aca="false">ROUND(L310*Accounts!V7,2)</f>
        <v>3222.8</v>
      </c>
      <c r="S310" s="17" t="n">
        <f aca="false">ROUND(L310*Accounts!W7,2)</f>
        <v>0</v>
      </c>
      <c r="T310" s="17" t="n">
        <f aca="false">ROUND(L310-SUM(M310:S310),2)</f>
        <v>599440.56</v>
      </c>
      <c r="U310" s="17" t="n">
        <f aca="false">ROUND(F310*H310,2)</f>
        <v>480530</v>
      </c>
      <c r="V310" s="17" t="n">
        <f aca="false">ROUND(L310*Assumptions!$C$25,2)</f>
        <v>12891.19</v>
      </c>
      <c r="W310" s="17" t="n">
        <f aca="false">ROUND(T310-U310-V310,2)</f>
        <v>106019.37</v>
      </c>
      <c r="X310" s="28" t="n">
        <f aca="false">T310/I310</f>
        <v>0.753671997585999</v>
      </c>
      <c r="Y310" s="17" t="n">
        <f aca="false">T310/F310</f>
        <v>72.3525117682559</v>
      </c>
      <c r="Z310" s="26" t="n">
        <f aca="false">Accounts!H7</f>
        <v>24820</v>
      </c>
      <c r="AA310" s="28" t="n">
        <f aca="false">IF(Z310&gt;=Assumptions!$B$44,Assumptions!$C$44,IF(Z310&gt;=Assumptions!$B$45,Assumptions!$C$45,IF(Z310&gt;=Assumptions!$B$46,Assumptions!$C$46,Assumptions!$C$47)))</f>
        <v>0.035</v>
      </c>
      <c r="AB310" s="26" t="n">
        <f aca="false">IF(Z310&gt;=Assumptions!$B$44,Assumptions!$B$44,IF(Z310&gt;=Assumptions!$B$45,Assumptions!$B$45,IF(Z310&gt;=Assumptions!$B$46,Assumptions!$B$46,0)))</f>
        <v>10000</v>
      </c>
    </row>
    <row r="311" customFormat="false" ht="15" hidden="false" customHeight="false" outlineLevel="0" collapsed="false">
      <c r="B311" s="14" t="s">
        <v>156</v>
      </c>
      <c r="C311" s="14" t="s">
        <v>147</v>
      </c>
      <c r="D311" s="14" t="s">
        <v>155</v>
      </c>
      <c r="E311" s="14" t="s">
        <v>64</v>
      </c>
      <c r="F311" s="26" t="n">
        <f aca="false">Accounts!G13</f>
        <v>8843</v>
      </c>
      <c r="G311" s="17" t="n">
        <f aca="false">Assumptions!$D$10</f>
        <v>96</v>
      </c>
      <c r="H311" s="17" t="n">
        <f aca="false">Assumptions!$E$10</f>
        <v>58</v>
      </c>
      <c r="I311" s="17" t="n">
        <f aca="false">ROUND(F311*G311,2)</f>
        <v>848928</v>
      </c>
      <c r="J311" s="17" t="n">
        <f aca="false">ROUND(I311*Accounts!O13,2)</f>
        <v>50935.68</v>
      </c>
      <c r="K311" s="17" t="n">
        <f aca="false">ROUND(I311*Accounts!N13,2)</f>
        <v>101871.36</v>
      </c>
      <c r="L311" s="17" t="n">
        <f aca="false">ROUND(I311-J311-K311,2)</f>
        <v>696120.96</v>
      </c>
      <c r="M311" s="17" t="n">
        <f aca="false">ROUND(L311*AA311,2)</f>
        <v>34806.05</v>
      </c>
      <c r="N311" s="17" t="n">
        <f aca="false">ROUND(L311*Accounts!R13,2)</f>
        <v>0</v>
      </c>
      <c r="O311" s="17" t="n">
        <f aca="false">ROUND(L311*Accounts!S13,2)</f>
        <v>20883.63</v>
      </c>
      <c r="P311" s="17" t="n">
        <f aca="false">ROUND(L311*Accounts!T13,2)</f>
        <v>0</v>
      </c>
      <c r="Q311" s="17" t="n">
        <f aca="false">ROUND(L311*Accounts!U13,2)</f>
        <v>0</v>
      </c>
      <c r="R311" s="17" t="n">
        <f aca="false">ROUND(L311*Accounts!V13,2)</f>
        <v>3480.6</v>
      </c>
      <c r="S311" s="17" t="n">
        <f aca="false">ROUND(L311*Accounts!W13,2)</f>
        <v>0</v>
      </c>
      <c r="T311" s="17" t="n">
        <f aca="false">ROUND(L311-SUM(M311:S311),2)</f>
        <v>636950.68</v>
      </c>
      <c r="U311" s="17" t="n">
        <f aca="false">ROUND(F311*H311,2)</f>
        <v>512894</v>
      </c>
      <c r="V311" s="17" t="n">
        <f aca="false">ROUND(L311*Assumptions!$C$25,2)</f>
        <v>13922.42</v>
      </c>
      <c r="W311" s="17" t="n">
        <f aca="false">ROUND(T311-U311-V311,2)</f>
        <v>110134.26</v>
      </c>
      <c r="X311" s="28" t="n">
        <f aca="false">T311/I311</f>
        <v>0.75030000188473</v>
      </c>
      <c r="Y311" s="17" t="n">
        <f aca="false">T311/F311</f>
        <v>72.0288001809341</v>
      </c>
      <c r="Z311" s="26" t="n">
        <f aca="false">Accounts!H13</f>
        <v>27573</v>
      </c>
      <c r="AA311" s="28" t="n">
        <f aca="false">IF(Z311&gt;=Assumptions!$B$44,Assumptions!$C$44,IF(Z311&gt;=Assumptions!$B$45,Assumptions!$C$45,IF(Z311&gt;=Assumptions!$B$46,Assumptions!$C$46,Assumptions!$C$47)))</f>
        <v>0.05</v>
      </c>
      <c r="AB311" s="26" t="n">
        <f aca="false">IF(Z311&gt;=Assumptions!$B$44,Assumptions!$B$44,IF(Z311&gt;=Assumptions!$B$45,Assumptions!$B$45,IF(Z311&gt;=Assumptions!$B$46,Assumptions!$B$46,0)))</f>
        <v>25000</v>
      </c>
    </row>
    <row r="312" customFormat="false" ht="15" hidden="false" customHeight="false" outlineLevel="0" collapsed="false">
      <c r="B312" s="14" t="s">
        <v>150</v>
      </c>
      <c r="C312" s="14" t="s">
        <v>147</v>
      </c>
      <c r="D312" s="14" t="s">
        <v>148</v>
      </c>
      <c r="E312" s="14" t="s">
        <v>64</v>
      </c>
      <c r="F312" s="26" t="n">
        <f aca="false">Accounts!G8</f>
        <v>15641</v>
      </c>
      <c r="G312" s="17" t="n">
        <f aca="false">Assumptions!$D$10</f>
        <v>96</v>
      </c>
      <c r="H312" s="17" t="n">
        <f aca="false">Assumptions!$E$10</f>
        <v>58</v>
      </c>
      <c r="I312" s="17" t="n">
        <f aca="false">ROUND(F312*G312,2)</f>
        <v>1501536</v>
      </c>
      <c r="J312" s="17" t="n">
        <f aca="false">ROUND(I312*Accounts!O8,2)</f>
        <v>90092.16</v>
      </c>
      <c r="K312" s="17" t="n">
        <f aca="false">ROUND(I312*Accounts!N8,2)</f>
        <v>230635.93</v>
      </c>
      <c r="L312" s="17" t="n">
        <f aca="false">ROUND(I312-J312-K312,2)</f>
        <v>1180807.91</v>
      </c>
      <c r="M312" s="17" t="n">
        <f aca="false">ROUND(L312*AA312,2)</f>
        <v>59040.4</v>
      </c>
      <c r="N312" s="17" t="n">
        <f aca="false">ROUND(L312*Accounts!R8,2)</f>
        <v>0</v>
      </c>
      <c r="O312" s="17" t="n">
        <f aca="false">ROUND(L312*Accounts!S8,2)</f>
        <v>35424.24</v>
      </c>
      <c r="P312" s="17" t="n">
        <f aca="false">ROUND(L312*Accounts!T8,2)</f>
        <v>0</v>
      </c>
      <c r="Q312" s="17" t="n">
        <f aca="false">ROUND(L312*Accounts!U8,2)</f>
        <v>0</v>
      </c>
      <c r="R312" s="17" t="n">
        <f aca="false">ROUND(L312*Accounts!V8,2)</f>
        <v>5904.04</v>
      </c>
      <c r="S312" s="17" t="n">
        <f aca="false">ROUND(L312*Accounts!W8,2)</f>
        <v>0</v>
      </c>
      <c r="T312" s="17" t="n">
        <f aca="false">ROUND(L312-SUM(M312:S312),2)</f>
        <v>1080439.23</v>
      </c>
      <c r="U312" s="17" t="n">
        <f aca="false">ROUND(F312*H312,2)</f>
        <v>907178</v>
      </c>
      <c r="V312" s="17" t="n">
        <f aca="false">ROUND(L312*Assumptions!$C$25,2)</f>
        <v>23616.16</v>
      </c>
      <c r="W312" s="17" t="n">
        <f aca="false">ROUND(T312-U312-V312,2)</f>
        <v>149645.07</v>
      </c>
      <c r="X312" s="28" t="n">
        <f aca="false">T312/I312</f>
        <v>0.719555994661467</v>
      </c>
      <c r="Y312" s="17" t="n">
        <f aca="false">T312/F312</f>
        <v>69.0773754875008</v>
      </c>
      <c r="Z312" s="26" t="n">
        <f aca="false">Accounts!H8</f>
        <v>47590</v>
      </c>
      <c r="AA312" s="28" t="n">
        <f aca="false">IF(Z312&gt;=Assumptions!$B$44,Assumptions!$C$44,IF(Z312&gt;=Assumptions!$B$45,Assumptions!$C$45,IF(Z312&gt;=Assumptions!$B$46,Assumptions!$C$46,Assumptions!$C$47)))</f>
        <v>0.05</v>
      </c>
      <c r="AB312" s="26" t="n">
        <f aca="false">IF(Z312&gt;=Assumptions!$B$44,Assumptions!$B$44,IF(Z312&gt;=Assumptions!$B$45,Assumptions!$B$45,IF(Z312&gt;=Assumptions!$B$46,Assumptions!$B$46,0)))</f>
        <v>25000</v>
      </c>
    </row>
    <row r="313" customFormat="false" ht="15" hidden="false" customHeight="false" outlineLevel="0" collapsed="false">
      <c r="B313" s="14" t="s">
        <v>157</v>
      </c>
      <c r="C313" s="14" t="s">
        <v>147</v>
      </c>
      <c r="D313" s="14" t="s">
        <v>155</v>
      </c>
      <c r="E313" s="14" t="s">
        <v>64</v>
      </c>
      <c r="F313" s="26" t="n">
        <f aca="false">Accounts!G14</f>
        <v>6919</v>
      </c>
      <c r="G313" s="17" t="n">
        <f aca="false">Assumptions!$D$10</f>
        <v>96</v>
      </c>
      <c r="H313" s="17" t="n">
        <f aca="false">Assumptions!$E$10</f>
        <v>58</v>
      </c>
      <c r="I313" s="17" t="n">
        <f aca="false">ROUND(F313*G313,2)</f>
        <v>664224</v>
      </c>
      <c r="J313" s="17" t="n">
        <f aca="false">ROUND(I313*Accounts!O14,2)</f>
        <v>39853.44</v>
      </c>
      <c r="K313" s="17" t="n">
        <f aca="false">ROUND(I313*Accounts!N14,2)</f>
        <v>86083.43</v>
      </c>
      <c r="L313" s="17" t="n">
        <f aca="false">ROUND(I313-J313-K313,2)</f>
        <v>538287.13</v>
      </c>
      <c r="M313" s="17" t="n">
        <f aca="false">ROUND(L313*AA313,2)</f>
        <v>18840.05</v>
      </c>
      <c r="N313" s="17" t="n">
        <f aca="false">ROUND(L313*Accounts!R14,2)</f>
        <v>0</v>
      </c>
      <c r="O313" s="17" t="n">
        <f aca="false">ROUND(L313*Accounts!S14,2)</f>
        <v>16148.61</v>
      </c>
      <c r="P313" s="17" t="n">
        <f aca="false">ROUND(L313*Accounts!T14,2)</f>
        <v>0</v>
      </c>
      <c r="Q313" s="17" t="n">
        <f aca="false">ROUND(L313*Accounts!U14,2)</f>
        <v>0</v>
      </c>
      <c r="R313" s="17" t="n">
        <f aca="false">ROUND(L313*Accounts!V14,2)</f>
        <v>2691.44</v>
      </c>
      <c r="S313" s="17" t="n">
        <f aca="false">ROUND(L313*Accounts!W14,2)</f>
        <v>0</v>
      </c>
      <c r="T313" s="17" t="n">
        <f aca="false">ROUND(L313-SUM(M313:S313),2)</f>
        <v>500607.03</v>
      </c>
      <c r="U313" s="17" t="n">
        <f aca="false">ROUND(F313*H313,2)</f>
        <v>401302</v>
      </c>
      <c r="V313" s="17" t="n">
        <f aca="false">ROUND(L313*Assumptions!$C$25,2)</f>
        <v>10765.74</v>
      </c>
      <c r="W313" s="17" t="n">
        <f aca="false">ROUND(T313-U313-V313,2)</f>
        <v>88539.29</v>
      </c>
      <c r="X313" s="28" t="n">
        <f aca="false">T313/I313</f>
        <v>0.753671999205087</v>
      </c>
      <c r="Y313" s="17" t="n">
        <f aca="false">T313/F313</f>
        <v>72.3525119236884</v>
      </c>
      <c r="Z313" s="26" t="n">
        <f aca="false">Accounts!H14</f>
        <v>21054</v>
      </c>
      <c r="AA313" s="28" t="n">
        <f aca="false">IF(Z313&gt;=Assumptions!$B$44,Assumptions!$C$44,IF(Z313&gt;=Assumptions!$B$45,Assumptions!$C$45,IF(Z313&gt;=Assumptions!$B$46,Assumptions!$C$46,Assumptions!$C$47)))</f>
        <v>0.035</v>
      </c>
      <c r="AB313" s="26" t="n">
        <f aca="false">IF(Z313&gt;=Assumptions!$B$44,Assumptions!$B$44,IF(Z313&gt;=Assumptions!$B$45,Assumptions!$B$45,IF(Z313&gt;=Assumptions!$B$46,Assumptions!$B$46,0)))</f>
        <v>10000</v>
      </c>
    </row>
    <row r="314" customFormat="false" ht="15" hidden="false" customHeight="false" outlineLevel="0" collapsed="false">
      <c r="B314" s="14" t="s">
        <v>151</v>
      </c>
      <c r="C314" s="14" t="s">
        <v>147</v>
      </c>
      <c r="D314" s="14" t="s">
        <v>148</v>
      </c>
      <c r="E314" s="14" t="s">
        <v>64</v>
      </c>
      <c r="F314" s="26" t="n">
        <f aca="false">Accounts!G9</f>
        <v>2814</v>
      </c>
      <c r="G314" s="17" t="n">
        <f aca="false">Assumptions!$D$10</f>
        <v>96</v>
      </c>
      <c r="H314" s="17" t="n">
        <f aca="false">Assumptions!$E$10</f>
        <v>58</v>
      </c>
      <c r="I314" s="17" t="n">
        <f aca="false">ROUND(F314*G314,2)</f>
        <v>270144</v>
      </c>
      <c r="J314" s="17" t="n">
        <f aca="false">ROUND(I314*Accounts!O9,2)</f>
        <v>16208.64</v>
      </c>
      <c r="K314" s="17" t="n">
        <f aca="false">ROUND(I314*Accounts!N9,2)</f>
        <v>24637.13</v>
      </c>
      <c r="L314" s="17" t="n">
        <f aca="false">ROUND(I314-J314-K314,2)</f>
        <v>229298.23</v>
      </c>
      <c r="M314" s="17" t="n">
        <f aca="false">ROUND(L314*AA314,2)</f>
        <v>4585.96</v>
      </c>
      <c r="N314" s="17" t="n">
        <f aca="false">ROUND(L314*Accounts!R9,2)</f>
        <v>0</v>
      </c>
      <c r="O314" s="17" t="n">
        <f aca="false">ROUND(L314*Accounts!S9,2)</f>
        <v>6878.95</v>
      </c>
      <c r="P314" s="17" t="n">
        <f aca="false">ROUND(L314*Accounts!T9,2)</f>
        <v>0</v>
      </c>
      <c r="Q314" s="17" t="n">
        <f aca="false">ROUND(L314*Accounts!U9,2)</f>
        <v>0</v>
      </c>
      <c r="R314" s="17" t="n">
        <f aca="false">ROUND(L314*Accounts!V9,2)</f>
        <v>1146.49</v>
      </c>
      <c r="S314" s="17" t="n">
        <f aca="false">ROUND(L314*Accounts!W9,2)</f>
        <v>0</v>
      </c>
      <c r="T314" s="17" t="n">
        <f aca="false">ROUND(L314-SUM(M314:S314),2)</f>
        <v>216686.83</v>
      </c>
      <c r="U314" s="17" t="n">
        <f aca="false">ROUND(F314*H314,2)</f>
        <v>163212</v>
      </c>
      <c r="V314" s="17" t="n">
        <f aca="false">ROUND(L314*Assumptions!$C$25,2)</f>
        <v>4585.96</v>
      </c>
      <c r="W314" s="17" t="n">
        <f aca="false">ROUND(T314-U314-V314,2)</f>
        <v>48888.87</v>
      </c>
      <c r="X314" s="28" t="n">
        <f aca="false">T314/I314</f>
        <v>0.802116019604359</v>
      </c>
      <c r="Y314" s="17" t="n">
        <f aca="false">T314/F314</f>
        <v>77.0031378820185</v>
      </c>
      <c r="Z314" s="26" t="n">
        <f aca="false">Accounts!H9</f>
        <v>8427</v>
      </c>
      <c r="AA314" s="28" t="n">
        <f aca="false">IF(Z314&gt;=Assumptions!$B$44,Assumptions!$C$44,IF(Z314&gt;=Assumptions!$B$45,Assumptions!$C$45,IF(Z314&gt;=Assumptions!$B$46,Assumptions!$C$46,Assumptions!$C$47)))</f>
        <v>0.02</v>
      </c>
      <c r="AB314" s="26" t="n">
        <f aca="false">IF(Z314&gt;=Assumptions!$B$44,Assumptions!$B$44,IF(Z314&gt;=Assumptions!$B$45,Assumptions!$B$45,IF(Z314&gt;=Assumptions!$B$46,Assumptions!$B$46,0)))</f>
        <v>3000</v>
      </c>
    </row>
    <row r="315" customFormat="false" ht="15" hidden="false" customHeight="false" outlineLevel="0" collapsed="false">
      <c r="B315" s="14" t="s">
        <v>158</v>
      </c>
      <c r="C315" s="14" t="s">
        <v>147</v>
      </c>
      <c r="D315" s="14" t="s">
        <v>155</v>
      </c>
      <c r="E315" s="14" t="s">
        <v>64</v>
      </c>
      <c r="F315" s="26" t="n">
        <f aca="false">Accounts!G15</f>
        <v>3179</v>
      </c>
      <c r="G315" s="17" t="n">
        <f aca="false">Assumptions!$D$10</f>
        <v>96</v>
      </c>
      <c r="H315" s="17" t="n">
        <f aca="false">Assumptions!$E$10</f>
        <v>58</v>
      </c>
      <c r="I315" s="17" t="n">
        <f aca="false">ROUND(F315*G315,2)</f>
        <v>305184</v>
      </c>
      <c r="J315" s="17" t="n">
        <f aca="false">ROUND(I315*Accounts!O15,2)</f>
        <v>18311.04</v>
      </c>
      <c r="K315" s="17" t="n">
        <f aca="false">ROUND(I315*Accounts!N15,2)</f>
        <v>45411.38</v>
      </c>
      <c r="L315" s="17" t="n">
        <f aca="false">ROUND(I315-J315-K315,2)</f>
        <v>241461.58</v>
      </c>
      <c r="M315" s="17" t="n">
        <f aca="false">ROUND(L315*AA315,2)</f>
        <v>8451.16</v>
      </c>
      <c r="N315" s="17" t="n">
        <f aca="false">ROUND(L315*Accounts!R15,2)</f>
        <v>0</v>
      </c>
      <c r="O315" s="17" t="n">
        <f aca="false">ROUND(L315*Accounts!S15,2)</f>
        <v>7243.85</v>
      </c>
      <c r="P315" s="17" t="n">
        <f aca="false">ROUND(L315*Accounts!T15,2)</f>
        <v>0</v>
      </c>
      <c r="Q315" s="17" t="n">
        <f aca="false">ROUND(L315*Accounts!U15,2)</f>
        <v>0</v>
      </c>
      <c r="R315" s="17" t="n">
        <f aca="false">ROUND(L315*Accounts!V15,2)</f>
        <v>1207.31</v>
      </c>
      <c r="S315" s="17" t="n">
        <f aca="false">ROUND(L315*Accounts!W15,2)</f>
        <v>0</v>
      </c>
      <c r="T315" s="17" t="n">
        <f aca="false">ROUND(L315-SUM(M315:S315),2)</f>
        <v>224559.26</v>
      </c>
      <c r="U315" s="17" t="n">
        <f aca="false">ROUND(F315*H315,2)</f>
        <v>184382</v>
      </c>
      <c r="V315" s="17" t="n">
        <f aca="false">ROUND(L315*Assumptions!$C$25,2)</f>
        <v>4829.23</v>
      </c>
      <c r="W315" s="17" t="n">
        <f aca="false">ROUND(T315-U315-V315,2)</f>
        <v>35348.03</v>
      </c>
      <c r="X315" s="28" t="n">
        <f aca="false">T315/I315</f>
        <v>0.735815966761036</v>
      </c>
      <c r="Y315" s="17" t="n">
        <f aca="false">T315/F315</f>
        <v>70.6383328090595</v>
      </c>
      <c r="Z315" s="26" t="n">
        <f aca="false">Accounts!H15</f>
        <v>24654</v>
      </c>
      <c r="AA315" s="28" t="n">
        <f aca="false">IF(Z315&gt;=Assumptions!$B$44,Assumptions!$C$44,IF(Z315&gt;=Assumptions!$B$45,Assumptions!$C$45,IF(Z315&gt;=Assumptions!$B$46,Assumptions!$C$46,Assumptions!$C$47)))</f>
        <v>0.035</v>
      </c>
      <c r="AB315" s="26" t="n">
        <f aca="false">IF(Z315&gt;=Assumptions!$B$44,Assumptions!$B$44,IF(Z315&gt;=Assumptions!$B$45,Assumptions!$B$45,IF(Z315&gt;=Assumptions!$B$46,Assumptions!$B$46,0)))</f>
        <v>10000</v>
      </c>
    </row>
    <row r="316" customFormat="false" ht="15" hidden="false" customHeight="false" outlineLevel="0" collapsed="false">
      <c r="B316" s="14" t="s">
        <v>152</v>
      </c>
      <c r="C316" s="14" t="s">
        <v>147</v>
      </c>
      <c r="D316" s="14" t="s">
        <v>148</v>
      </c>
      <c r="E316" s="14" t="s">
        <v>64</v>
      </c>
      <c r="F316" s="26" t="n">
        <f aca="false">Accounts!G10</f>
        <v>3193</v>
      </c>
      <c r="G316" s="17" t="n">
        <f aca="false">Assumptions!$D$10</f>
        <v>96</v>
      </c>
      <c r="H316" s="17" t="n">
        <f aca="false">Assumptions!$E$10</f>
        <v>58</v>
      </c>
      <c r="I316" s="17" t="n">
        <f aca="false">ROUND(F316*G316,2)</f>
        <v>306528</v>
      </c>
      <c r="J316" s="17" t="n">
        <f aca="false">ROUND(I316*Accounts!O10,2)</f>
        <v>18391.68</v>
      </c>
      <c r="K316" s="17" t="n">
        <f aca="false">ROUND(I316*Accounts!N10,2)</f>
        <v>20598.68</v>
      </c>
      <c r="L316" s="17" t="n">
        <f aca="false">ROUND(I316-J316-K316,2)</f>
        <v>267537.64</v>
      </c>
      <c r="M316" s="17" t="n">
        <f aca="false">ROUND(L316*AA316,2)</f>
        <v>9363.82</v>
      </c>
      <c r="N316" s="17" t="n">
        <f aca="false">ROUND(L316*Accounts!R10,2)</f>
        <v>0</v>
      </c>
      <c r="O316" s="17" t="n">
        <f aca="false">ROUND(L316*Accounts!S10,2)</f>
        <v>8026.13</v>
      </c>
      <c r="P316" s="17" t="n">
        <f aca="false">ROUND(L316*Accounts!T10,2)</f>
        <v>0</v>
      </c>
      <c r="Q316" s="17" t="n">
        <f aca="false">ROUND(L316*Accounts!U10,2)</f>
        <v>0</v>
      </c>
      <c r="R316" s="17" t="n">
        <f aca="false">ROUND(L316*Accounts!V10,2)</f>
        <v>1337.69</v>
      </c>
      <c r="S316" s="17" t="n">
        <f aca="false">ROUND(L316*Accounts!W10,2)</f>
        <v>0</v>
      </c>
      <c r="T316" s="17" t="n">
        <f aca="false">ROUND(L316-SUM(M316:S316),2)</f>
        <v>248810</v>
      </c>
      <c r="U316" s="17" t="n">
        <f aca="false">ROUND(F316*H316,2)</f>
        <v>185194</v>
      </c>
      <c r="V316" s="17" t="n">
        <f aca="false">ROUND(L316*Assumptions!$C$25,2)</f>
        <v>5350.75</v>
      </c>
      <c r="W316" s="17" t="n">
        <f aca="false">ROUND(T316-U316-V316,2)</f>
        <v>58265.25</v>
      </c>
      <c r="X316" s="28" t="n">
        <f aca="false">T316/I316</f>
        <v>0.811703987890176</v>
      </c>
      <c r="Y316" s="17" t="n">
        <f aca="false">T316/F316</f>
        <v>77.9235828374569</v>
      </c>
      <c r="Z316" s="26" t="n">
        <f aca="false">Accounts!H10</f>
        <v>10964</v>
      </c>
      <c r="AA316" s="28" t="n">
        <f aca="false">IF(Z316&gt;=Assumptions!$B$44,Assumptions!$C$44,IF(Z316&gt;=Assumptions!$B$45,Assumptions!$C$45,IF(Z316&gt;=Assumptions!$B$46,Assumptions!$C$46,Assumptions!$C$47)))</f>
        <v>0.035</v>
      </c>
      <c r="AB316" s="26" t="n">
        <f aca="false">IF(Z316&gt;=Assumptions!$B$44,Assumptions!$B$44,IF(Z316&gt;=Assumptions!$B$45,Assumptions!$B$45,IF(Z316&gt;=Assumptions!$B$46,Assumptions!$B$46,0)))</f>
        <v>10000</v>
      </c>
    </row>
    <row r="317" customFormat="false" ht="15" hidden="false" customHeight="false" outlineLevel="0" collapsed="false">
      <c r="B317" s="14" t="s">
        <v>159</v>
      </c>
      <c r="C317" s="14" t="s">
        <v>147</v>
      </c>
      <c r="D317" s="14" t="s">
        <v>155</v>
      </c>
      <c r="E317" s="14" t="s">
        <v>64</v>
      </c>
      <c r="F317" s="26" t="n">
        <f aca="false">Accounts!G16</f>
        <v>6602</v>
      </c>
      <c r="G317" s="17" t="n">
        <f aca="false">Assumptions!$D$10</f>
        <v>96</v>
      </c>
      <c r="H317" s="17" t="n">
        <f aca="false">Assumptions!$E$10</f>
        <v>58</v>
      </c>
      <c r="I317" s="17" t="n">
        <f aca="false">ROUND(F317*G317,2)</f>
        <v>633792</v>
      </c>
      <c r="J317" s="17" t="n">
        <f aca="false">ROUND(I317*Accounts!O16,2)</f>
        <v>38027.52</v>
      </c>
      <c r="K317" s="17" t="n">
        <f aca="false">ROUND(I317*Accounts!N16,2)</f>
        <v>85181.64</v>
      </c>
      <c r="L317" s="17" t="n">
        <f aca="false">ROUND(I317-J317-K317,2)</f>
        <v>510582.84</v>
      </c>
      <c r="M317" s="17" t="n">
        <f aca="false">ROUND(L317*AA317,2)</f>
        <v>17870.4</v>
      </c>
      <c r="N317" s="17" t="n">
        <f aca="false">ROUND(L317*Accounts!R16,2)</f>
        <v>0</v>
      </c>
      <c r="O317" s="17" t="n">
        <f aca="false">ROUND(L317*Accounts!S16,2)</f>
        <v>15317.49</v>
      </c>
      <c r="P317" s="17" t="n">
        <f aca="false">ROUND(L317*Accounts!T16,2)</f>
        <v>0</v>
      </c>
      <c r="Q317" s="17" t="n">
        <f aca="false">ROUND(L317*Accounts!U16,2)</f>
        <v>0</v>
      </c>
      <c r="R317" s="17" t="n">
        <f aca="false">ROUND(L317*Accounts!V16,2)</f>
        <v>2552.91</v>
      </c>
      <c r="S317" s="17" t="n">
        <f aca="false">ROUND(L317*Accounts!W16,2)</f>
        <v>0</v>
      </c>
      <c r="T317" s="17" t="n">
        <f aca="false">ROUND(L317-SUM(M317:S317),2)</f>
        <v>474842.04</v>
      </c>
      <c r="U317" s="17" t="n">
        <f aca="false">ROUND(F317*H317,2)</f>
        <v>382916</v>
      </c>
      <c r="V317" s="17" t="n">
        <f aca="false">ROUND(L317*Assumptions!$C$25,2)</f>
        <v>10211.66</v>
      </c>
      <c r="W317" s="17" t="n">
        <f aca="false">ROUND(T317-U317-V317,2)</f>
        <v>81714.38</v>
      </c>
      <c r="X317" s="28" t="n">
        <f aca="false">T317/I317</f>
        <v>0.749208005149955</v>
      </c>
      <c r="Y317" s="17" t="n">
        <f aca="false">T317/F317</f>
        <v>71.9239684943956</v>
      </c>
      <c r="Z317" s="26" t="n">
        <f aca="false">Accounts!H16</f>
        <v>20265</v>
      </c>
      <c r="AA317" s="28" t="n">
        <f aca="false">IF(Z317&gt;=Assumptions!$B$44,Assumptions!$C$44,IF(Z317&gt;=Assumptions!$B$45,Assumptions!$C$45,IF(Z317&gt;=Assumptions!$B$46,Assumptions!$C$46,Assumptions!$C$47)))</f>
        <v>0.035</v>
      </c>
      <c r="AB317" s="26" t="n">
        <f aca="false">IF(Z317&gt;=Assumptions!$B$44,Assumptions!$B$44,IF(Z317&gt;=Assumptions!$B$45,Assumptions!$B$45,IF(Z317&gt;=Assumptions!$B$46,Assumptions!$B$46,0)))</f>
        <v>10000</v>
      </c>
    </row>
    <row r="318" customFormat="false" ht="15" hidden="false" customHeight="false" outlineLevel="0" collapsed="false">
      <c r="B318" s="14" t="s">
        <v>153</v>
      </c>
      <c r="C318" s="14" t="s">
        <v>147</v>
      </c>
      <c r="D318" s="14" t="s">
        <v>148</v>
      </c>
      <c r="E318" s="14" t="s">
        <v>64</v>
      </c>
      <c r="F318" s="26" t="n">
        <f aca="false">Accounts!G11</f>
        <v>6525</v>
      </c>
      <c r="G318" s="17" t="n">
        <f aca="false">Assumptions!$D$10</f>
        <v>96</v>
      </c>
      <c r="H318" s="17" t="n">
        <f aca="false">Assumptions!$E$10</f>
        <v>58</v>
      </c>
      <c r="I318" s="17" t="n">
        <f aca="false">ROUND(F318*G318,2)</f>
        <v>626400</v>
      </c>
      <c r="J318" s="17" t="n">
        <f aca="false">ROUND(I318*Accounts!O11,2)</f>
        <v>37584</v>
      </c>
      <c r="K318" s="17" t="n">
        <f aca="false">ROUND(I318*Accounts!N11,2)</f>
        <v>99221.76</v>
      </c>
      <c r="L318" s="17" t="n">
        <f aca="false">ROUND(I318-J318-K318,2)</f>
        <v>489594.24</v>
      </c>
      <c r="M318" s="17" t="n">
        <f aca="false">ROUND(L318*AA318,2)</f>
        <v>24479.71</v>
      </c>
      <c r="N318" s="17" t="n">
        <f aca="false">ROUND(L318*Accounts!R11,2)</f>
        <v>0</v>
      </c>
      <c r="O318" s="17" t="n">
        <f aca="false">ROUND(L318*Accounts!S11,2)</f>
        <v>14687.83</v>
      </c>
      <c r="P318" s="17" t="n">
        <f aca="false">ROUND(L318*Accounts!T11,2)</f>
        <v>0</v>
      </c>
      <c r="Q318" s="17" t="n">
        <f aca="false">ROUND(L318*Accounts!U11,2)</f>
        <v>0</v>
      </c>
      <c r="R318" s="17" t="n">
        <f aca="false">ROUND(L318*Accounts!V11,2)</f>
        <v>2447.97</v>
      </c>
      <c r="S318" s="17" t="n">
        <f aca="false">ROUND(L318*Accounts!W11,2)</f>
        <v>0</v>
      </c>
      <c r="T318" s="17" t="n">
        <f aca="false">ROUND(L318-SUM(M318:S318),2)</f>
        <v>447978.73</v>
      </c>
      <c r="U318" s="17" t="n">
        <f aca="false">ROUND(F318*H318,2)</f>
        <v>378450</v>
      </c>
      <c r="V318" s="17" t="n">
        <f aca="false">ROUND(L318*Assumptions!$C$25,2)</f>
        <v>9791.88</v>
      </c>
      <c r="W318" s="17" t="n">
        <f aca="false">ROUND(T318-U318-V318,2)</f>
        <v>59736.85</v>
      </c>
      <c r="X318" s="28" t="n">
        <f aca="false">T318/I318</f>
        <v>0.71516400063857</v>
      </c>
      <c r="Y318" s="17" t="n">
        <f aca="false">T318/F318</f>
        <v>68.6557440613027</v>
      </c>
      <c r="Z318" s="26" t="n">
        <f aca="false">Accounts!H11</f>
        <v>25217</v>
      </c>
      <c r="AA318" s="28" t="n">
        <f aca="false">IF(Z318&gt;=Assumptions!$B$44,Assumptions!$C$44,IF(Z318&gt;=Assumptions!$B$45,Assumptions!$C$45,IF(Z318&gt;=Assumptions!$B$46,Assumptions!$C$46,Assumptions!$C$47)))</f>
        <v>0.05</v>
      </c>
      <c r="AB318" s="26" t="n">
        <f aca="false">IF(Z318&gt;=Assumptions!$B$44,Assumptions!$B$44,IF(Z318&gt;=Assumptions!$B$45,Assumptions!$B$45,IF(Z318&gt;=Assumptions!$B$46,Assumptions!$B$46,0)))</f>
        <v>25000</v>
      </c>
    </row>
    <row r="319" customFormat="false" ht="15" hidden="false" customHeight="false" outlineLevel="0" collapsed="false">
      <c r="B319" s="14" t="s">
        <v>160</v>
      </c>
      <c r="C319" s="14" t="s">
        <v>147</v>
      </c>
      <c r="D319" s="14" t="s">
        <v>155</v>
      </c>
      <c r="E319" s="14" t="s">
        <v>64</v>
      </c>
      <c r="F319" s="26" t="n">
        <f aca="false">Accounts!G17</f>
        <v>4431</v>
      </c>
      <c r="G319" s="17" t="n">
        <f aca="false">Assumptions!$D$10</f>
        <v>96</v>
      </c>
      <c r="H319" s="17" t="n">
        <f aca="false">Assumptions!$E$10</f>
        <v>58</v>
      </c>
      <c r="I319" s="17" t="n">
        <f aca="false">ROUND(F319*G319,2)</f>
        <v>425376</v>
      </c>
      <c r="J319" s="17" t="n">
        <f aca="false">ROUND(I319*Accounts!O17,2)</f>
        <v>25522.56</v>
      </c>
      <c r="K319" s="17" t="n">
        <f aca="false">ROUND(I319*Accounts!N17,2)</f>
        <v>79630.39</v>
      </c>
      <c r="L319" s="17" t="n">
        <f aca="false">ROUND(I319-J319-K319,2)</f>
        <v>320223.05</v>
      </c>
      <c r="M319" s="17" t="n">
        <f aca="false">ROUND(L319*AA319,2)</f>
        <v>11207.81</v>
      </c>
      <c r="N319" s="17" t="n">
        <f aca="false">ROUND(L319*Accounts!R17,2)</f>
        <v>0</v>
      </c>
      <c r="O319" s="17" t="n">
        <f aca="false">ROUND(L319*Accounts!S17,2)</f>
        <v>9606.69</v>
      </c>
      <c r="P319" s="17" t="n">
        <f aca="false">ROUND(L319*Accounts!T17,2)</f>
        <v>0</v>
      </c>
      <c r="Q319" s="17" t="n">
        <f aca="false">ROUND(L319*Accounts!U17,2)</f>
        <v>0</v>
      </c>
      <c r="R319" s="17" t="n">
        <f aca="false">ROUND(L319*Accounts!V17,2)</f>
        <v>1601.12</v>
      </c>
      <c r="S319" s="17" t="n">
        <f aca="false">ROUND(L319*Accounts!W17,2)</f>
        <v>0</v>
      </c>
      <c r="T319" s="17" t="n">
        <f aca="false">ROUND(L319-SUM(M319:S319),2)</f>
        <v>297807.43</v>
      </c>
      <c r="U319" s="17" t="n">
        <f aca="false">ROUND(F319*H319,2)</f>
        <v>256998</v>
      </c>
      <c r="V319" s="17" t="n">
        <f aca="false">ROUND(L319*Assumptions!$C$25,2)</f>
        <v>6404.46</v>
      </c>
      <c r="W319" s="17" t="n">
        <f aca="false">ROUND(T319-U319-V319,2)</f>
        <v>34404.97</v>
      </c>
      <c r="X319" s="28" t="n">
        <f aca="false">T319/I319</f>
        <v>0.700103978597758</v>
      </c>
      <c r="Y319" s="17" t="n">
        <f aca="false">T319/F319</f>
        <v>67.2099819453848</v>
      </c>
      <c r="Z319" s="26" t="n">
        <f aca="false">Accounts!H17</f>
        <v>13071</v>
      </c>
      <c r="AA319" s="28" t="n">
        <f aca="false">IF(Z319&gt;=Assumptions!$B$44,Assumptions!$C$44,IF(Z319&gt;=Assumptions!$B$45,Assumptions!$C$45,IF(Z319&gt;=Assumptions!$B$46,Assumptions!$C$46,Assumptions!$C$47)))</f>
        <v>0.035</v>
      </c>
      <c r="AB319" s="26" t="n">
        <f aca="false">IF(Z319&gt;=Assumptions!$B$44,Assumptions!$B$44,IF(Z319&gt;=Assumptions!$B$45,Assumptions!$B$45,IF(Z319&gt;=Assumptions!$B$46,Assumptions!$B$46,0)))</f>
        <v>10000</v>
      </c>
    </row>
    <row r="320" customFormat="false" ht="15" hidden="false" customHeight="false" outlineLevel="0" collapsed="false">
      <c r="B320" s="14" t="s">
        <v>161</v>
      </c>
      <c r="C320" s="14" t="s">
        <v>162</v>
      </c>
      <c r="D320" s="14" t="s">
        <v>163</v>
      </c>
      <c r="E320" s="14" t="s">
        <v>64</v>
      </c>
      <c r="F320" s="26" t="n">
        <f aca="false">Accounts!G18</f>
        <v>360</v>
      </c>
      <c r="G320" s="17" t="n">
        <f aca="false">Assumptions!$D$10</f>
        <v>96</v>
      </c>
      <c r="H320" s="17" t="n">
        <f aca="false">Assumptions!$E$10</f>
        <v>58</v>
      </c>
      <c r="I320" s="17" t="n">
        <f aca="false">ROUND(F320*G320,2)</f>
        <v>34560</v>
      </c>
      <c r="J320" s="17" t="n">
        <f aca="false">ROUND(I320*Accounts!O18,2)</f>
        <v>1382.4</v>
      </c>
      <c r="K320" s="17" t="n">
        <f aca="false">ROUND(I320*Accounts!N18,2)</f>
        <v>3483.65</v>
      </c>
      <c r="L320" s="17" t="n">
        <f aca="false">ROUND(I320-J320-K320,2)</f>
        <v>29693.95</v>
      </c>
      <c r="M320" s="17" t="n">
        <f aca="false">ROUND(L320*AA320,2)</f>
        <v>0</v>
      </c>
      <c r="N320" s="17" t="n">
        <f aca="false">ROUND(L320*Accounts!R18,2)</f>
        <v>593.88</v>
      </c>
      <c r="O320" s="17" t="n">
        <f aca="false">ROUND(L320*Accounts!S18,2)</f>
        <v>445.41</v>
      </c>
      <c r="P320" s="17" t="n">
        <f aca="false">ROUND(L320*Accounts!T18,2)</f>
        <v>742.35</v>
      </c>
      <c r="Q320" s="17" t="n">
        <f aca="false">ROUND(L320*Accounts!U18,2)</f>
        <v>445.41</v>
      </c>
      <c r="R320" s="17" t="n">
        <f aca="false">ROUND(L320*Accounts!V18,2)</f>
        <v>237.55</v>
      </c>
      <c r="S320" s="17" t="n">
        <f aca="false">ROUND(L320*Accounts!W18,2)</f>
        <v>296.94</v>
      </c>
      <c r="T320" s="17" t="n">
        <f aca="false">ROUND(L320-SUM(M320:S320),2)</f>
        <v>26932.41</v>
      </c>
      <c r="U320" s="17" t="n">
        <f aca="false">ROUND(F320*H320,2)</f>
        <v>20880</v>
      </c>
      <c r="V320" s="17" t="n">
        <f aca="false">ROUND(L320*Assumptions!$C$25,2)</f>
        <v>593.88</v>
      </c>
      <c r="W320" s="17" t="n">
        <f aca="false">ROUND(T320-U320-V320,2)</f>
        <v>5458.53</v>
      </c>
      <c r="X320" s="28" t="n">
        <f aca="false">T320/I320</f>
        <v>0.779294270833333</v>
      </c>
      <c r="Y320" s="17" t="n">
        <f aca="false">T320/F320</f>
        <v>74.81225</v>
      </c>
      <c r="Z320" s="26" t="n">
        <f aca="false">Accounts!H18</f>
        <v>1695</v>
      </c>
      <c r="AA320" s="28" t="n">
        <f aca="false">IF(Z320&gt;=Assumptions!$B$44,Assumptions!$C$44,IF(Z320&gt;=Assumptions!$B$45,Assumptions!$C$45,IF(Z320&gt;=Assumptions!$B$46,Assumptions!$C$46,Assumptions!$C$47)))</f>
        <v>0</v>
      </c>
      <c r="AB320" s="26" t="n">
        <f aca="false">IF(Z320&gt;=Assumptions!$B$44,Assumptions!$B$44,IF(Z320&gt;=Assumptions!$B$45,Assumptions!$B$45,IF(Z320&gt;=Assumptions!$B$46,Assumptions!$B$46,0)))</f>
        <v>0</v>
      </c>
    </row>
    <row r="321" customFormat="false" ht="15" hidden="false" customHeight="false" outlineLevel="0" collapsed="false">
      <c r="B321" s="14" t="s">
        <v>173</v>
      </c>
      <c r="C321" s="14" t="s">
        <v>162</v>
      </c>
      <c r="D321" s="14" t="s">
        <v>174</v>
      </c>
      <c r="E321" s="14" t="s">
        <v>64</v>
      </c>
      <c r="F321" s="26" t="n">
        <f aca="false">Accounts!G28</f>
        <v>1945</v>
      </c>
      <c r="G321" s="17" t="n">
        <f aca="false">Assumptions!$D$10</f>
        <v>96</v>
      </c>
      <c r="H321" s="17" t="n">
        <f aca="false">Assumptions!$E$10</f>
        <v>58</v>
      </c>
      <c r="I321" s="17" t="n">
        <f aca="false">ROUND(F321*G321,2)</f>
        <v>186720</v>
      </c>
      <c r="J321" s="17" t="n">
        <f aca="false">ROUND(I321*Accounts!O28,2)</f>
        <v>11203.2</v>
      </c>
      <c r="K321" s="17" t="n">
        <f aca="false">ROUND(I321*Accounts!N28,2)</f>
        <v>9858.82</v>
      </c>
      <c r="L321" s="17" t="n">
        <f aca="false">ROUND(I321-J321-K321,2)</f>
        <v>165657.98</v>
      </c>
      <c r="M321" s="17" t="n">
        <f aca="false">ROUND(L321*AA321,2)</f>
        <v>5798.03</v>
      </c>
      <c r="N321" s="17" t="n">
        <f aca="false">ROUND(L321*Accounts!R28,2)</f>
        <v>3313.16</v>
      </c>
      <c r="O321" s="17" t="n">
        <f aca="false">ROUND(L321*Accounts!S28,2)</f>
        <v>2484.87</v>
      </c>
      <c r="P321" s="17" t="n">
        <f aca="false">ROUND(L321*Accounts!T28,2)</f>
        <v>4141.45</v>
      </c>
      <c r="Q321" s="17" t="n">
        <f aca="false">ROUND(L321*Accounts!U28,2)</f>
        <v>2484.87</v>
      </c>
      <c r="R321" s="17" t="n">
        <f aca="false">ROUND(L321*Accounts!V28,2)</f>
        <v>1325.26</v>
      </c>
      <c r="S321" s="17" t="n">
        <f aca="false">ROUND(L321*Accounts!W28,2)</f>
        <v>0</v>
      </c>
      <c r="T321" s="17" t="n">
        <f aca="false">ROUND(L321-SUM(M321:S321),2)</f>
        <v>146110.34</v>
      </c>
      <c r="U321" s="17" t="n">
        <f aca="false">ROUND(F321*H321,2)</f>
        <v>112810</v>
      </c>
      <c r="V321" s="17" t="n">
        <f aca="false">ROUND(L321*Assumptions!$C$25,2)</f>
        <v>3313.16</v>
      </c>
      <c r="W321" s="17" t="n">
        <f aca="false">ROUND(T321-U321-V321,2)</f>
        <v>29987.18</v>
      </c>
      <c r="X321" s="28" t="n">
        <f aca="false">T321/I321</f>
        <v>0.782510389888603</v>
      </c>
      <c r="Y321" s="17" t="n">
        <f aca="false">T321/F321</f>
        <v>75.1209974293059</v>
      </c>
      <c r="Z321" s="26" t="n">
        <f aca="false">Accounts!H28</f>
        <v>13146</v>
      </c>
      <c r="AA321" s="28" t="n">
        <f aca="false">IF(Z321&gt;=Assumptions!$B$44,Assumptions!$C$44,IF(Z321&gt;=Assumptions!$B$45,Assumptions!$C$45,IF(Z321&gt;=Assumptions!$B$46,Assumptions!$C$46,Assumptions!$C$47)))</f>
        <v>0.035</v>
      </c>
      <c r="AB321" s="26" t="n">
        <f aca="false">IF(Z321&gt;=Assumptions!$B$44,Assumptions!$B$44,IF(Z321&gt;=Assumptions!$B$45,Assumptions!$B$45,IF(Z321&gt;=Assumptions!$B$46,Assumptions!$B$46,0)))</f>
        <v>10000</v>
      </c>
    </row>
    <row r="322" customFormat="false" ht="15" hidden="false" customHeight="false" outlineLevel="0" collapsed="false">
      <c r="B322" s="14" t="s">
        <v>183</v>
      </c>
      <c r="C322" s="14" t="s">
        <v>162</v>
      </c>
      <c r="D322" s="14" t="s">
        <v>184</v>
      </c>
      <c r="E322" s="14" t="s">
        <v>64</v>
      </c>
      <c r="F322" s="26" t="n">
        <f aca="false">Accounts!G37</f>
        <v>1362</v>
      </c>
      <c r="G322" s="17" t="n">
        <f aca="false">Assumptions!$D$10</f>
        <v>96</v>
      </c>
      <c r="H322" s="17" t="n">
        <f aca="false">Assumptions!$E$10</f>
        <v>58</v>
      </c>
      <c r="I322" s="17" t="n">
        <f aca="false">ROUND(F322*G322,2)</f>
        <v>130752</v>
      </c>
      <c r="J322" s="17" t="n">
        <f aca="false">ROUND(I322*Accounts!O37,2)</f>
        <v>5230.08</v>
      </c>
      <c r="K322" s="17" t="n">
        <f aca="false">ROUND(I322*Accounts!N37,2)</f>
        <v>3138.05</v>
      </c>
      <c r="L322" s="17" t="n">
        <f aca="false">ROUND(I322-J322-K322,2)</f>
        <v>122383.87</v>
      </c>
      <c r="M322" s="17" t="n">
        <f aca="false">ROUND(L322*AA322,2)</f>
        <v>2447.68</v>
      </c>
      <c r="N322" s="17" t="n">
        <f aca="false">ROUND(L322*Accounts!R37,2)</f>
        <v>2447.68</v>
      </c>
      <c r="O322" s="17" t="n">
        <f aca="false">ROUND(L322*Accounts!S37,2)</f>
        <v>1835.76</v>
      </c>
      <c r="P322" s="17" t="n">
        <f aca="false">ROUND(L322*Accounts!T37,2)</f>
        <v>3059.6</v>
      </c>
      <c r="Q322" s="17" t="n">
        <f aca="false">ROUND(L322*Accounts!U37,2)</f>
        <v>0</v>
      </c>
      <c r="R322" s="17" t="n">
        <f aca="false">ROUND(L322*Accounts!V37,2)</f>
        <v>979.07</v>
      </c>
      <c r="S322" s="17" t="n">
        <f aca="false">ROUND(L322*Accounts!W37,2)</f>
        <v>1223.84</v>
      </c>
      <c r="T322" s="17" t="n">
        <f aca="false">ROUND(L322-SUM(M322:S322),2)</f>
        <v>110390.24</v>
      </c>
      <c r="U322" s="17" t="n">
        <f aca="false">ROUND(F322*H322,2)</f>
        <v>78996</v>
      </c>
      <c r="V322" s="17" t="n">
        <f aca="false">ROUND(L322*Assumptions!$C$25,2)</f>
        <v>2447.68</v>
      </c>
      <c r="W322" s="17" t="n">
        <f aca="false">ROUND(T322-U322-V322,2)</f>
        <v>28946.56</v>
      </c>
      <c r="X322" s="28" t="n">
        <f aca="false">T322/I322</f>
        <v>0.844271904062653</v>
      </c>
      <c r="Y322" s="17" t="n">
        <f aca="false">T322/F322</f>
        <v>81.0501027900147</v>
      </c>
      <c r="Z322" s="26" t="n">
        <f aca="false">Accounts!H37</f>
        <v>3542</v>
      </c>
      <c r="AA322" s="28" t="n">
        <f aca="false">IF(Z322&gt;=Assumptions!$B$44,Assumptions!$C$44,IF(Z322&gt;=Assumptions!$B$45,Assumptions!$C$45,IF(Z322&gt;=Assumptions!$B$46,Assumptions!$C$46,Assumptions!$C$47)))</f>
        <v>0.02</v>
      </c>
      <c r="AB322" s="26" t="n">
        <f aca="false">IF(Z322&gt;=Assumptions!$B$44,Assumptions!$B$44,IF(Z322&gt;=Assumptions!$B$45,Assumptions!$B$45,IF(Z322&gt;=Assumptions!$B$46,Assumptions!$B$46,0)))</f>
        <v>3000</v>
      </c>
    </row>
    <row r="323" customFormat="false" ht="15" hidden="false" customHeight="false" outlineLevel="0" collapsed="false">
      <c r="B323" s="14" t="s">
        <v>164</v>
      </c>
      <c r="C323" s="14" t="s">
        <v>162</v>
      </c>
      <c r="D323" s="14" t="s">
        <v>163</v>
      </c>
      <c r="E323" s="14" t="s">
        <v>64</v>
      </c>
      <c r="F323" s="26" t="n">
        <f aca="false">Accounts!G19</f>
        <v>2492</v>
      </c>
      <c r="G323" s="17" t="n">
        <f aca="false">Assumptions!$D$10</f>
        <v>96</v>
      </c>
      <c r="H323" s="17" t="n">
        <f aca="false">Assumptions!$E$10</f>
        <v>58</v>
      </c>
      <c r="I323" s="17" t="n">
        <f aca="false">ROUND(F323*G323,2)</f>
        <v>239232</v>
      </c>
      <c r="J323" s="17" t="n">
        <f aca="false">ROUND(I323*Accounts!O19,2)</f>
        <v>9569.28</v>
      </c>
      <c r="K323" s="17" t="n">
        <f aca="false">ROUND(I323*Accounts!N19,2)</f>
        <v>41339.29</v>
      </c>
      <c r="L323" s="17" t="n">
        <f aca="false">ROUND(I323-J323-K323,2)</f>
        <v>188323.43</v>
      </c>
      <c r="M323" s="17" t="n">
        <f aca="false">ROUND(L323*AA323,2)</f>
        <v>6591.32</v>
      </c>
      <c r="N323" s="17" t="n">
        <f aca="false">ROUND(L323*Accounts!R19,2)</f>
        <v>3766.47</v>
      </c>
      <c r="O323" s="17" t="n">
        <f aca="false">ROUND(L323*Accounts!S19,2)</f>
        <v>2824.85</v>
      </c>
      <c r="P323" s="17" t="n">
        <f aca="false">ROUND(L323*Accounts!T19,2)</f>
        <v>4708.09</v>
      </c>
      <c r="Q323" s="17" t="n">
        <f aca="false">ROUND(L323*Accounts!U19,2)</f>
        <v>2824.85</v>
      </c>
      <c r="R323" s="17" t="n">
        <f aca="false">ROUND(L323*Accounts!V19,2)</f>
        <v>1506.59</v>
      </c>
      <c r="S323" s="17" t="n">
        <f aca="false">ROUND(L323*Accounts!W19,2)</f>
        <v>0</v>
      </c>
      <c r="T323" s="17" t="n">
        <f aca="false">ROUND(L323-SUM(M323:S323),2)</f>
        <v>166101.26</v>
      </c>
      <c r="U323" s="17" t="n">
        <f aca="false">ROUND(F323*H323,2)</f>
        <v>144536</v>
      </c>
      <c r="V323" s="17" t="n">
        <f aca="false">ROUND(L323*Assumptions!$C$25,2)</f>
        <v>3766.47</v>
      </c>
      <c r="W323" s="17" t="n">
        <f aca="false">ROUND(T323-U323-V323,2)</f>
        <v>17798.79</v>
      </c>
      <c r="X323" s="28" t="n">
        <f aca="false">T323/I323</f>
        <v>0.694310376538256</v>
      </c>
      <c r="Y323" s="17" t="n">
        <f aca="false">T323/F323</f>
        <v>66.6537961476726</v>
      </c>
      <c r="Z323" s="26" t="n">
        <f aca="false">Accounts!H19</f>
        <v>13041</v>
      </c>
      <c r="AA323" s="28" t="n">
        <f aca="false">IF(Z323&gt;=Assumptions!$B$44,Assumptions!$C$44,IF(Z323&gt;=Assumptions!$B$45,Assumptions!$C$45,IF(Z323&gt;=Assumptions!$B$46,Assumptions!$C$46,Assumptions!$C$47)))</f>
        <v>0.035</v>
      </c>
      <c r="AB323" s="26" t="n">
        <f aca="false">IF(Z323&gt;=Assumptions!$B$44,Assumptions!$B$44,IF(Z323&gt;=Assumptions!$B$45,Assumptions!$B$45,IF(Z323&gt;=Assumptions!$B$46,Assumptions!$B$46,0)))</f>
        <v>10000</v>
      </c>
    </row>
    <row r="324" customFormat="false" ht="15" hidden="false" customHeight="false" outlineLevel="0" collapsed="false">
      <c r="B324" s="14" t="s">
        <v>175</v>
      </c>
      <c r="C324" s="14" t="s">
        <v>162</v>
      </c>
      <c r="D324" s="14" t="s">
        <v>174</v>
      </c>
      <c r="E324" s="14" t="s">
        <v>64</v>
      </c>
      <c r="F324" s="26" t="n">
        <f aca="false">Accounts!G29</f>
        <v>3698</v>
      </c>
      <c r="G324" s="17" t="n">
        <f aca="false">Assumptions!$D$10</f>
        <v>96</v>
      </c>
      <c r="H324" s="17" t="n">
        <f aca="false">Assumptions!$E$10</f>
        <v>58</v>
      </c>
      <c r="I324" s="17" t="n">
        <f aca="false">ROUND(F324*G324,2)</f>
        <v>355008</v>
      </c>
      <c r="J324" s="17" t="n">
        <f aca="false">ROUND(I324*Accounts!O29,2)</f>
        <v>14200.32</v>
      </c>
      <c r="K324" s="17" t="n">
        <f aca="false">ROUND(I324*Accounts!N29,2)</f>
        <v>27264.61</v>
      </c>
      <c r="L324" s="17" t="n">
        <f aca="false">ROUND(I324-J324-K324,2)</f>
        <v>313543.07</v>
      </c>
      <c r="M324" s="17" t="n">
        <f aca="false">ROUND(L324*AA324,2)</f>
        <v>10974.01</v>
      </c>
      <c r="N324" s="17" t="n">
        <f aca="false">ROUND(L324*Accounts!R29,2)</f>
        <v>6270.86</v>
      </c>
      <c r="O324" s="17" t="n">
        <f aca="false">ROUND(L324*Accounts!S29,2)</f>
        <v>4703.15</v>
      </c>
      <c r="P324" s="17" t="n">
        <f aca="false">ROUND(L324*Accounts!T29,2)</f>
        <v>7838.58</v>
      </c>
      <c r="Q324" s="17" t="n">
        <f aca="false">ROUND(L324*Accounts!U29,2)</f>
        <v>0</v>
      </c>
      <c r="R324" s="17" t="n">
        <f aca="false">ROUND(L324*Accounts!V29,2)</f>
        <v>2508.34</v>
      </c>
      <c r="S324" s="17" t="n">
        <f aca="false">ROUND(L324*Accounts!W29,2)</f>
        <v>3135.43</v>
      </c>
      <c r="T324" s="17" t="n">
        <f aca="false">ROUND(L324-SUM(M324:S324),2)</f>
        <v>278112.7</v>
      </c>
      <c r="U324" s="17" t="n">
        <f aca="false">ROUND(F324*H324,2)</f>
        <v>214484</v>
      </c>
      <c r="V324" s="17" t="n">
        <f aca="false">ROUND(L324*Assumptions!$C$25,2)</f>
        <v>6270.86</v>
      </c>
      <c r="W324" s="17" t="n">
        <f aca="false">ROUND(T324-U324-V324,2)</f>
        <v>57357.84</v>
      </c>
      <c r="X324" s="28" t="n">
        <f aca="false">T324/I324</f>
        <v>0.783398402289526</v>
      </c>
      <c r="Y324" s="17" t="n">
        <f aca="false">T324/F324</f>
        <v>75.2062466197945</v>
      </c>
      <c r="Z324" s="26" t="n">
        <f aca="false">Accounts!H29</f>
        <v>16145</v>
      </c>
      <c r="AA324" s="28" t="n">
        <f aca="false">IF(Z324&gt;=Assumptions!$B$44,Assumptions!$C$44,IF(Z324&gt;=Assumptions!$B$45,Assumptions!$C$45,IF(Z324&gt;=Assumptions!$B$46,Assumptions!$C$46,Assumptions!$C$47)))</f>
        <v>0.035</v>
      </c>
      <c r="AB324" s="26" t="n">
        <f aca="false">IF(Z324&gt;=Assumptions!$B$44,Assumptions!$B$44,IF(Z324&gt;=Assumptions!$B$45,Assumptions!$B$45,IF(Z324&gt;=Assumptions!$B$46,Assumptions!$B$46,0)))</f>
        <v>10000</v>
      </c>
    </row>
    <row r="325" customFormat="false" ht="15" hidden="false" customHeight="false" outlineLevel="0" collapsed="false">
      <c r="B325" s="14" t="s">
        <v>185</v>
      </c>
      <c r="C325" s="14" t="s">
        <v>162</v>
      </c>
      <c r="D325" s="14" t="s">
        <v>184</v>
      </c>
      <c r="E325" s="14" t="s">
        <v>64</v>
      </c>
      <c r="F325" s="26" t="n">
        <f aca="false">Accounts!G38</f>
        <v>1626</v>
      </c>
      <c r="G325" s="17" t="n">
        <f aca="false">Assumptions!$D$10</f>
        <v>96</v>
      </c>
      <c r="H325" s="17" t="n">
        <f aca="false">Assumptions!$E$10</f>
        <v>58</v>
      </c>
      <c r="I325" s="17" t="n">
        <f aca="false">ROUND(F325*G325,2)</f>
        <v>156096</v>
      </c>
      <c r="J325" s="17" t="n">
        <f aca="false">ROUND(I325*Accounts!O38,2)</f>
        <v>6243.84</v>
      </c>
      <c r="K325" s="17" t="n">
        <f aca="false">ROUND(I325*Accounts!N38,2)</f>
        <v>16483.74</v>
      </c>
      <c r="L325" s="17" t="n">
        <f aca="false">ROUND(I325-J325-K325,2)</f>
        <v>133368.42</v>
      </c>
      <c r="M325" s="17" t="n">
        <f aca="false">ROUND(L325*AA325,2)</f>
        <v>2667.37</v>
      </c>
      <c r="N325" s="17" t="n">
        <f aca="false">ROUND(L325*Accounts!R38,2)</f>
        <v>2667.37</v>
      </c>
      <c r="O325" s="17" t="n">
        <f aca="false">ROUND(L325*Accounts!S38,2)</f>
        <v>2000.53</v>
      </c>
      <c r="P325" s="17" t="n">
        <f aca="false">ROUND(L325*Accounts!T38,2)</f>
        <v>3334.21</v>
      </c>
      <c r="Q325" s="17" t="n">
        <f aca="false">ROUND(L325*Accounts!U38,2)</f>
        <v>2000.53</v>
      </c>
      <c r="R325" s="17" t="n">
        <f aca="false">ROUND(L325*Accounts!V38,2)</f>
        <v>1066.95</v>
      </c>
      <c r="S325" s="17" t="n">
        <f aca="false">ROUND(L325*Accounts!W38,2)</f>
        <v>1333.68</v>
      </c>
      <c r="T325" s="17" t="n">
        <f aca="false">ROUND(L325-SUM(M325:S325),2)</f>
        <v>118297.78</v>
      </c>
      <c r="U325" s="17" t="n">
        <f aca="false">ROUND(F325*H325,2)</f>
        <v>94308</v>
      </c>
      <c r="V325" s="17" t="n">
        <f aca="false">ROUND(L325*Assumptions!$C$25,2)</f>
        <v>2667.37</v>
      </c>
      <c r="W325" s="17" t="n">
        <f aca="false">ROUND(T325-U325-V325,2)</f>
        <v>21322.41</v>
      </c>
      <c r="X325" s="28" t="n">
        <f aca="false">T325/I325</f>
        <v>0.757852731652317</v>
      </c>
      <c r="Y325" s="17" t="n">
        <f aca="false">T325/F325</f>
        <v>72.7538622386224</v>
      </c>
      <c r="Z325" s="26" t="n">
        <f aca="false">Accounts!H38</f>
        <v>7835</v>
      </c>
      <c r="AA325" s="28" t="n">
        <f aca="false">IF(Z325&gt;=Assumptions!$B$44,Assumptions!$C$44,IF(Z325&gt;=Assumptions!$B$45,Assumptions!$C$45,IF(Z325&gt;=Assumptions!$B$46,Assumptions!$C$46,Assumptions!$C$47)))</f>
        <v>0.02</v>
      </c>
      <c r="AB325" s="26" t="n">
        <f aca="false">IF(Z325&gt;=Assumptions!$B$44,Assumptions!$B$44,IF(Z325&gt;=Assumptions!$B$45,Assumptions!$B$45,IF(Z325&gt;=Assumptions!$B$46,Assumptions!$B$46,0)))</f>
        <v>3000</v>
      </c>
    </row>
    <row r="326" customFormat="false" ht="15" hidden="false" customHeight="false" outlineLevel="0" collapsed="false">
      <c r="B326" s="14" t="s">
        <v>165</v>
      </c>
      <c r="C326" s="14" t="s">
        <v>162</v>
      </c>
      <c r="D326" s="14" t="s">
        <v>163</v>
      </c>
      <c r="E326" s="14" t="s">
        <v>64</v>
      </c>
      <c r="F326" s="26" t="n">
        <f aca="false">Accounts!G20</f>
        <v>2968</v>
      </c>
      <c r="G326" s="17" t="n">
        <f aca="false">Assumptions!$D$10</f>
        <v>96</v>
      </c>
      <c r="H326" s="17" t="n">
        <f aca="false">Assumptions!$E$10</f>
        <v>58</v>
      </c>
      <c r="I326" s="17" t="n">
        <f aca="false">ROUND(F326*G326,2)</f>
        <v>284928</v>
      </c>
      <c r="J326" s="17" t="n">
        <f aca="false">ROUND(I326*Accounts!O20,2)</f>
        <v>11397.12</v>
      </c>
      <c r="K326" s="17" t="n">
        <f aca="false">ROUND(I326*Accounts!N20,2)</f>
        <v>23250.12</v>
      </c>
      <c r="L326" s="17" t="n">
        <f aca="false">ROUND(I326-J326-K326,2)</f>
        <v>250280.76</v>
      </c>
      <c r="M326" s="17" t="n">
        <f aca="false">ROUND(L326*AA326,2)</f>
        <v>8759.83</v>
      </c>
      <c r="N326" s="17" t="n">
        <f aca="false">ROUND(L326*Accounts!R20,2)</f>
        <v>5005.62</v>
      </c>
      <c r="O326" s="17" t="n">
        <f aca="false">ROUND(L326*Accounts!S20,2)</f>
        <v>3754.21</v>
      </c>
      <c r="P326" s="17" t="n">
        <f aca="false">ROUND(L326*Accounts!T20,2)</f>
        <v>6257.02</v>
      </c>
      <c r="Q326" s="17" t="n">
        <f aca="false">ROUND(L326*Accounts!U20,2)</f>
        <v>3754.21</v>
      </c>
      <c r="R326" s="17" t="n">
        <f aca="false">ROUND(L326*Accounts!V20,2)</f>
        <v>2002.25</v>
      </c>
      <c r="S326" s="17" t="n">
        <f aca="false">ROUND(L326*Accounts!W20,2)</f>
        <v>2502.81</v>
      </c>
      <c r="T326" s="17" t="n">
        <f aca="false">ROUND(L326-SUM(M326:S326),2)</f>
        <v>218244.81</v>
      </c>
      <c r="U326" s="17" t="n">
        <f aca="false">ROUND(F326*H326,2)</f>
        <v>172144</v>
      </c>
      <c r="V326" s="17" t="n">
        <f aca="false">ROUND(L326*Assumptions!$C$25,2)</f>
        <v>5005.62</v>
      </c>
      <c r="W326" s="17" t="n">
        <f aca="false">ROUND(T326-U326-V326,2)</f>
        <v>41095.19</v>
      </c>
      <c r="X326" s="28" t="n">
        <f aca="false">T326/I326</f>
        <v>0.76596477004717</v>
      </c>
      <c r="Y326" s="17" t="n">
        <f aca="false">T326/F326</f>
        <v>73.5326179245283</v>
      </c>
      <c r="Z326" s="26" t="n">
        <f aca="false">Accounts!H20</f>
        <v>12871</v>
      </c>
      <c r="AA326" s="28" t="n">
        <f aca="false">IF(Z326&gt;=Assumptions!$B$44,Assumptions!$C$44,IF(Z326&gt;=Assumptions!$B$45,Assumptions!$C$45,IF(Z326&gt;=Assumptions!$B$46,Assumptions!$C$46,Assumptions!$C$47)))</f>
        <v>0.035</v>
      </c>
      <c r="AB326" s="26" t="n">
        <f aca="false">IF(Z326&gt;=Assumptions!$B$44,Assumptions!$B$44,IF(Z326&gt;=Assumptions!$B$45,Assumptions!$B$45,IF(Z326&gt;=Assumptions!$B$46,Assumptions!$B$46,0)))</f>
        <v>10000</v>
      </c>
    </row>
    <row r="327" customFormat="false" ht="15" hidden="false" customHeight="false" outlineLevel="0" collapsed="false">
      <c r="B327" s="14" t="s">
        <v>176</v>
      </c>
      <c r="C327" s="14" t="s">
        <v>162</v>
      </c>
      <c r="D327" s="14" t="s">
        <v>174</v>
      </c>
      <c r="E327" s="14" t="s">
        <v>64</v>
      </c>
      <c r="F327" s="26" t="n">
        <f aca="false">Accounts!G30</f>
        <v>357</v>
      </c>
      <c r="G327" s="17" t="n">
        <f aca="false">Assumptions!$D$10</f>
        <v>96</v>
      </c>
      <c r="H327" s="17" t="n">
        <f aca="false">Assumptions!$E$10</f>
        <v>58</v>
      </c>
      <c r="I327" s="17" t="n">
        <f aca="false">ROUND(F327*G327,2)</f>
        <v>34272</v>
      </c>
      <c r="J327" s="17" t="n">
        <f aca="false">ROUND(I327*Accounts!O30,2)</f>
        <v>1370.88</v>
      </c>
      <c r="K327" s="17" t="n">
        <f aca="false">ROUND(I327*Accounts!N30,2)</f>
        <v>3290.11</v>
      </c>
      <c r="L327" s="17" t="n">
        <f aca="false">ROUND(I327-J327-K327,2)</f>
        <v>29611.01</v>
      </c>
      <c r="M327" s="17" t="n">
        <f aca="false">ROUND(L327*AA327,2)</f>
        <v>0</v>
      </c>
      <c r="N327" s="17" t="n">
        <f aca="false">ROUND(L327*Accounts!R30,2)</f>
        <v>592.22</v>
      </c>
      <c r="O327" s="17" t="n">
        <f aca="false">ROUND(L327*Accounts!S30,2)</f>
        <v>444.17</v>
      </c>
      <c r="P327" s="17" t="n">
        <f aca="false">ROUND(L327*Accounts!T30,2)</f>
        <v>740.28</v>
      </c>
      <c r="Q327" s="17" t="n">
        <f aca="false">ROUND(L327*Accounts!U30,2)</f>
        <v>444.17</v>
      </c>
      <c r="R327" s="17" t="n">
        <f aca="false">ROUND(L327*Accounts!V30,2)</f>
        <v>236.89</v>
      </c>
      <c r="S327" s="17" t="n">
        <f aca="false">ROUND(L327*Accounts!W30,2)</f>
        <v>0</v>
      </c>
      <c r="T327" s="17" t="n">
        <f aca="false">ROUND(L327-SUM(M327:S327),2)</f>
        <v>27153.28</v>
      </c>
      <c r="U327" s="17" t="n">
        <f aca="false">ROUND(F327*H327,2)</f>
        <v>20706</v>
      </c>
      <c r="V327" s="17" t="n">
        <f aca="false">ROUND(L327*Assumptions!$C$25,2)</f>
        <v>592.22</v>
      </c>
      <c r="W327" s="17" t="n">
        <f aca="false">ROUND(T327-U327-V327,2)</f>
        <v>5855.06</v>
      </c>
      <c r="X327" s="28" t="n">
        <f aca="false">T327/I327</f>
        <v>0.792287581699346</v>
      </c>
      <c r="Y327" s="17" t="n">
        <f aca="false">T327/F327</f>
        <v>76.0596078431373</v>
      </c>
      <c r="Z327" s="26" t="n">
        <f aca="false">Accounts!H30</f>
        <v>1574</v>
      </c>
      <c r="AA327" s="28" t="n">
        <f aca="false">IF(Z327&gt;=Assumptions!$B$44,Assumptions!$C$44,IF(Z327&gt;=Assumptions!$B$45,Assumptions!$C$45,IF(Z327&gt;=Assumptions!$B$46,Assumptions!$C$46,Assumptions!$C$47)))</f>
        <v>0</v>
      </c>
      <c r="AB327" s="26" t="n">
        <f aca="false">IF(Z327&gt;=Assumptions!$B$44,Assumptions!$B$44,IF(Z327&gt;=Assumptions!$B$45,Assumptions!$B$45,IF(Z327&gt;=Assumptions!$B$46,Assumptions!$B$46,0)))</f>
        <v>0</v>
      </c>
    </row>
    <row r="328" customFormat="false" ht="15" hidden="false" customHeight="false" outlineLevel="0" collapsed="false">
      <c r="B328" s="14" t="s">
        <v>186</v>
      </c>
      <c r="C328" s="14" t="s">
        <v>162</v>
      </c>
      <c r="D328" s="14" t="s">
        <v>184</v>
      </c>
      <c r="E328" s="14" t="s">
        <v>64</v>
      </c>
      <c r="F328" s="26" t="n">
        <f aca="false">Accounts!G39</f>
        <v>1402</v>
      </c>
      <c r="G328" s="17" t="n">
        <f aca="false">Assumptions!$D$10</f>
        <v>96</v>
      </c>
      <c r="H328" s="17" t="n">
        <f aca="false">Assumptions!$E$10</f>
        <v>58</v>
      </c>
      <c r="I328" s="17" t="n">
        <f aca="false">ROUND(F328*G328,2)</f>
        <v>134592</v>
      </c>
      <c r="J328" s="17" t="n">
        <f aca="false">ROUND(I328*Accounts!O39,2)</f>
        <v>5383.68</v>
      </c>
      <c r="K328" s="17" t="n">
        <f aca="false">ROUND(I328*Accounts!N39,2)</f>
        <v>12920.83</v>
      </c>
      <c r="L328" s="17" t="n">
        <f aca="false">ROUND(I328-J328-K328,2)</f>
        <v>116287.49</v>
      </c>
      <c r="M328" s="17" t="n">
        <f aca="false">ROUND(L328*AA328,2)</f>
        <v>2325.75</v>
      </c>
      <c r="N328" s="17" t="n">
        <f aca="false">ROUND(L328*Accounts!R39,2)</f>
        <v>2325.75</v>
      </c>
      <c r="O328" s="17" t="n">
        <f aca="false">ROUND(L328*Accounts!S39,2)</f>
        <v>1744.31</v>
      </c>
      <c r="P328" s="17" t="n">
        <f aca="false">ROUND(L328*Accounts!T39,2)</f>
        <v>2907.19</v>
      </c>
      <c r="Q328" s="17" t="n">
        <f aca="false">ROUND(L328*Accounts!U39,2)</f>
        <v>1744.31</v>
      </c>
      <c r="R328" s="17" t="n">
        <f aca="false">ROUND(L328*Accounts!V39,2)</f>
        <v>930.3</v>
      </c>
      <c r="S328" s="17" t="n">
        <f aca="false">ROUND(L328*Accounts!W39,2)</f>
        <v>1162.87</v>
      </c>
      <c r="T328" s="17" t="n">
        <f aca="false">ROUND(L328-SUM(M328:S328),2)</f>
        <v>103147.01</v>
      </c>
      <c r="U328" s="17" t="n">
        <f aca="false">ROUND(F328*H328,2)</f>
        <v>81316</v>
      </c>
      <c r="V328" s="17" t="n">
        <f aca="false">ROUND(L328*Assumptions!$C$25,2)</f>
        <v>2325.75</v>
      </c>
      <c r="W328" s="17" t="n">
        <f aca="false">ROUND(T328-U328-V328,2)</f>
        <v>19505.26</v>
      </c>
      <c r="X328" s="28" t="n">
        <f aca="false">T328/I328</f>
        <v>0.766368060508797</v>
      </c>
      <c r="Y328" s="17" t="n">
        <f aca="false">T328/F328</f>
        <v>73.5713338088445</v>
      </c>
      <c r="Z328" s="26" t="n">
        <f aca="false">Accounts!H39</f>
        <v>8304</v>
      </c>
      <c r="AA328" s="28" t="n">
        <f aca="false">IF(Z328&gt;=Assumptions!$B$44,Assumptions!$C$44,IF(Z328&gt;=Assumptions!$B$45,Assumptions!$C$45,IF(Z328&gt;=Assumptions!$B$46,Assumptions!$C$46,Assumptions!$C$47)))</f>
        <v>0.02</v>
      </c>
      <c r="AB328" s="26" t="n">
        <f aca="false">IF(Z328&gt;=Assumptions!$B$44,Assumptions!$B$44,IF(Z328&gt;=Assumptions!$B$45,Assumptions!$B$45,IF(Z328&gt;=Assumptions!$B$46,Assumptions!$B$46,0)))</f>
        <v>3000</v>
      </c>
    </row>
    <row r="329" customFormat="false" ht="15" hidden="false" customHeight="false" outlineLevel="0" collapsed="false">
      <c r="B329" s="14" t="s">
        <v>166</v>
      </c>
      <c r="C329" s="14" t="s">
        <v>162</v>
      </c>
      <c r="D329" s="14" t="s">
        <v>163</v>
      </c>
      <c r="E329" s="14" t="s">
        <v>64</v>
      </c>
      <c r="F329" s="26" t="n">
        <f aca="false">Accounts!G21</f>
        <v>1080</v>
      </c>
      <c r="G329" s="17" t="n">
        <f aca="false">Assumptions!$D$10</f>
        <v>96</v>
      </c>
      <c r="H329" s="17" t="n">
        <f aca="false">Assumptions!$E$10</f>
        <v>58</v>
      </c>
      <c r="I329" s="17" t="n">
        <f aca="false">ROUND(F329*G329,2)</f>
        <v>103680</v>
      </c>
      <c r="J329" s="17" t="n">
        <f aca="false">ROUND(I329*Accounts!O21,2)</f>
        <v>4147.2</v>
      </c>
      <c r="K329" s="17" t="n">
        <f aca="false">ROUND(I329*Accounts!N21,2)</f>
        <v>16422.91</v>
      </c>
      <c r="L329" s="17" t="n">
        <f aca="false">ROUND(I329-J329-K329,2)</f>
        <v>83109.89</v>
      </c>
      <c r="M329" s="17" t="n">
        <f aca="false">ROUND(L329*AA329,2)</f>
        <v>1662.2</v>
      </c>
      <c r="N329" s="17" t="n">
        <f aca="false">ROUND(L329*Accounts!R21,2)</f>
        <v>1662.2</v>
      </c>
      <c r="O329" s="17" t="n">
        <f aca="false">ROUND(L329*Accounts!S21,2)</f>
        <v>1246.65</v>
      </c>
      <c r="P329" s="17" t="n">
        <f aca="false">ROUND(L329*Accounts!T21,2)</f>
        <v>2077.75</v>
      </c>
      <c r="Q329" s="17" t="n">
        <f aca="false">ROUND(L329*Accounts!U21,2)</f>
        <v>1246.65</v>
      </c>
      <c r="R329" s="17" t="n">
        <f aca="false">ROUND(L329*Accounts!V21,2)</f>
        <v>664.88</v>
      </c>
      <c r="S329" s="17" t="n">
        <f aca="false">ROUND(L329*Accounts!W21,2)</f>
        <v>831.1</v>
      </c>
      <c r="T329" s="17" t="n">
        <f aca="false">ROUND(L329-SUM(M329:S329),2)</f>
        <v>73718.46</v>
      </c>
      <c r="U329" s="17" t="n">
        <f aca="false">ROUND(F329*H329,2)</f>
        <v>62640</v>
      </c>
      <c r="V329" s="17" t="n">
        <f aca="false">ROUND(L329*Assumptions!$C$25,2)</f>
        <v>1662.2</v>
      </c>
      <c r="W329" s="17" t="n">
        <f aca="false">ROUND(T329-U329-V329,2)</f>
        <v>9416.26</v>
      </c>
      <c r="X329" s="28" t="n">
        <f aca="false">T329/I329</f>
        <v>0.711019097222222</v>
      </c>
      <c r="Y329" s="17" t="n">
        <f aca="false">T329/F329</f>
        <v>68.2578333333333</v>
      </c>
      <c r="Z329" s="26" t="n">
        <f aca="false">Accounts!H21</f>
        <v>4275</v>
      </c>
      <c r="AA329" s="28" t="n">
        <f aca="false">IF(Z329&gt;=Assumptions!$B$44,Assumptions!$C$44,IF(Z329&gt;=Assumptions!$B$45,Assumptions!$C$45,IF(Z329&gt;=Assumptions!$B$46,Assumptions!$C$46,Assumptions!$C$47)))</f>
        <v>0.02</v>
      </c>
      <c r="AB329" s="26" t="n">
        <f aca="false">IF(Z329&gt;=Assumptions!$B$44,Assumptions!$B$44,IF(Z329&gt;=Assumptions!$B$45,Assumptions!$B$45,IF(Z329&gt;=Assumptions!$B$46,Assumptions!$B$46,0)))</f>
        <v>3000</v>
      </c>
    </row>
    <row r="330" customFormat="false" ht="15" hidden="false" customHeight="false" outlineLevel="0" collapsed="false">
      <c r="B330" s="14" t="s">
        <v>177</v>
      </c>
      <c r="C330" s="14" t="s">
        <v>162</v>
      </c>
      <c r="D330" s="14" t="s">
        <v>174</v>
      </c>
      <c r="E330" s="14" t="s">
        <v>64</v>
      </c>
      <c r="F330" s="26" t="n">
        <f aca="false">Accounts!G31</f>
        <v>904</v>
      </c>
      <c r="G330" s="17" t="n">
        <f aca="false">Assumptions!$D$10</f>
        <v>96</v>
      </c>
      <c r="H330" s="17" t="n">
        <f aca="false">Assumptions!$E$10</f>
        <v>58</v>
      </c>
      <c r="I330" s="17" t="n">
        <f aca="false">ROUND(F330*G330,2)</f>
        <v>86784</v>
      </c>
      <c r="J330" s="17" t="n">
        <f aca="false">ROUND(I330*Accounts!O31,2)</f>
        <v>3471.36</v>
      </c>
      <c r="K330" s="17" t="n">
        <f aca="false">ROUND(I330*Accounts!N31,2)</f>
        <v>1666.25</v>
      </c>
      <c r="L330" s="17" t="n">
        <f aca="false">ROUND(I330-J330-K330,2)</f>
        <v>81646.39</v>
      </c>
      <c r="M330" s="17" t="n">
        <f aca="false">ROUND(L330*AA330,2)</f>
        <v>1632.93</v>
      </c>
      <c r="N330" s="17" t="n">
        <f aca="false">ROUND(L330*Accounts!R31,2)</f>
        <v>0</v>
      </c>
      <c r="O330" s="17" t="n">
        <f aca="false">ROUND(L330*Accounts!S31,2)</f>
        <v>1224.7</v>
      </c>
      <c r="P330" s="17" t="n">
        <f aca="false">ROUND(L330*Accounts!T31,2)</f>
        <v>2041.16</v>
      </c>
      <c r="Q330" s="17" t="n">
        <f aca="false">ROUND(L330*Accounts!U31,2)</f>
        <v>0</v>
      </c>
      <c r="R330" s="17" t="n">
        <f aca="false">ROUND(L330*Accounts!V31,2)</f>
        <v>653.17</v>
      </c>
      <c r="S330" s="17" t="n">
        <f aca="false">ROUND(L330*Accounts!W31,2)</f>
        <v>816.46</v>
      </c>
      <c r="T330" s="17" t="n">
        <f aca="false">ROUND(L330-SUM(M330:S330),2)</f>
        <v>75277.97</v>
      </c>
      <c r="U330" s="17" t="n">
        <f aca="false">ROUND(F330*H330,2)</f>
        <v>52432</v>
      </c>
      <c r="V330" s="17" t="n">
        <f aca="false">ROUND(L330*Assumptions!$C$25,2)</f>
        <v>1632.93</v>
      </c>
      <c r="W330" s="17" t="n">
        <f aca="false">ROUND(T330-U330-V330,2)</f>
        <v>21213.04</v>
      </c>
      <c r="X330" s="28" t="n">
        <f aca="false">T330/I330</f>
        <v>0.867417611541298</v>
      </c>
      <c r="Y330" s="17" t="n">
        <f aca="false">T330/F330</f>
        <v>83.2720907079646</v>
      </c>
      <c r="Z330" s="26" t="n">
        <f aca="false">Accounts!H31</f>
        <v>3885</v>
      </c>
      <c r="AA330" s="28" t="n">
        <f aca="false">IF(Z330&gt;=Assumptions!$B$44,Assumptions!$C$44,IF(Z330&gt;=Assumptions!$B$45,Assumptions!$C$45,IF(Z330&gt;=Assumptions!$B$46,Assumptions!$C$46,Assumptions!$C$47)))</f>
        <v>0.02</v>
      </c>
      <c r="AB330" s="26" t="n">
        <f aca="false">IF(Z330&gt;=Assumptions!$B$44,Assumptions!$B$44,IF(Z330&gt;=Assumptions!$B$45,Assumptions!$B$45,IF(Z330&gt;=Assumptions!$B$46,Assumptions!$B$46,0)))</f>
        <v>3000</v>
      </c>
    </row>
    <row r="331" customFormat="false" ht="15" hidden="false" customHeight="false" outlineLevel="0" collapsed="false">
      <c r="B331" s="14" t="s">
        <v>187</v>
      </c>
      <c r="C331" s="14" t="s">
        <v>162</v>
      </c>
      <c r="D331" s="14" t="s">
        <v>184</v>
      </c>
      <c r="E331" s="14" t="s">
        <v>64</v>
      </c>
      <c r="F331" s="26" t="n">
        <f aca="false">Accounts!G40</f>
        <v>2124</v>
      </c>
      <c r="G331" s="17" t="n">
        <f aca="false">Assumptions!$D$10</f>
        <v>96</v>
      </c>
      <c r="H331" s="17" t="n">
        <f aca="false">Assumptions!$E$10</f>
        <v>58</v>
      </c>
      <c r="I331" s="17" t="n">
        <f aca="false">ROUND(F331*G331,2)</f>
        <v>203904</v>
      </c>
      <c r="J331" s="17" t="n">
        <f aca="false">ROUND(I331*Accounts!O40,2)</f>
        <v>12234.24</v>
      </c>
      <c r="K331" s="17" t="n">
        <f aca="false">ROUND(I331*Accounts!N40,2)</f>
        <v>21532.26</v>
      </c>
      <c r="L331" s="17" t="n">
        <f aca="false">ROUND(I331-J331-K331,2)</f>
        <v>170137.5</v>
      </c>
      <c r="M331" s="17" t="n">
        <f aca="false">ROUND(L331*AA331,2)</f>
        <v>5954.81</v>
      </c>
      <c r="N331" s="17" t="n">
        <f aca="false">ROUND(L331*Accounts!R40,2)</f>
        <v>3402.75</v>
      </c>
      <c r="O331" s="17" t="n">
        <f aca="false">ROUND(L331*Accounts!S40,2)</f>
        <v>2552.06</v>
      </c>
      <c r="P331" s="17" t="n">
        <f aca="false">ROUND(L331*Accounts!T40,2)</f>
        <v>4253.44</v>
      </c>
      <c r="Q331" s="17" t="n">
        <f aca="false">ROUND(L331*Accounts!U40,2)</f>
        <v>2552.06</v>
      </c>
      <c r="R331" s="17" t="n">
        <f aca="false">ROUND(L331*Accounts!V40,2)</f>
        <v>1361.1</v>
      </c>
      <c r="S331" s="17" t="n">
        <f aca="false">ROUND(L331*Accounts!W40,2)</f>
        <v>1701.38</v>
      </c>
      <c r="T331" s="17" t="n">
        <f aca="false">ROUND(L331-SUM(M331:S331),2)</f>
        <v>148359.9</v>
      </c>
      <c r="U331" s="17" t="n">
        <f aca="false">ROUND(F331*H331,2)</f>
        <v>123192</v>
      </c>
      <c r="V331" s="17" t="n">
        <f aca="false">ROUND(L331*Assumptions!$C$25,2)</f>
        <v>3402.75</v>
      </c>
      <c r="W331" s="17" t="n">
        <f aca="false">ROUND(T331-U331-V331,2)</f>
        <v>21765.15</v>
      </c>
      <c r="X331" s="28" t="n">
        <f aca="false">T331/I331</f>
        <v>0.727596810263653</v>
      </c>
      <c r="Y331" s="17" t="n">
        <f aca="false">T331/F331</f>
        <v>69.8492937853107</v>
      </c>
      <c r="Z331" s="26" t="n">
        <f aca="false">Accounts!H40</f>
        <v>10172</v>
      </c>
      <c r="AA331" s="28" t="n">
        <f aca="false">IF(Z331&gt;=Assumptions!$B$44,Assumptions!$C$44,IF(Z331&gt;=Assumptions!$B$45,Assumptions!$C$45,IF(Z331&gt;=Assumptions!$B$46,Assumptions!$C$46,Assumptions!$C$47)))</f>
        <v>0.035</v>
      </c>
      <c r="AB331" s="26" t="n">
        <f aca="false">IF(Z331&gt;=Assumptions!$B$44,Assumptions!$B$44,IF(Z331&gt;=Assumptions!$B$45,Assumptions!$B$45,IF(Z331&gt;=Assumptions!$B$46,Assumptions!$B$46,0)))</f>
        <v>10000</v>
      </c>
    </row>
    <row r="332" customFormat="false" ht="15" hidden="false" customHeight="false" outlineLevel="0" collapsed="false">
      <c r="B332" s="14" t="s">
        <v>167</v>
      </c>
      <c r="C332" s="14" t="s">
        <v>162</v>
      </c>
      <c r="D332" s="14" t="s">
        <v>163</v>
      </c>
      <c r="E332" s="14" t="s">
        <v>64</v>
      </c>
      <c r="F332" s="26" t="n">
        <f aca="false">Accounts!G22</f>
        <v>2928</v>
      </c>
      <c r="G332" s="17" t="n">
        <f aca="false">Assumptions!$D$10</f>
        <v>96</v>
      </c>
      <c r="H332" s="17" t="n">
        <f aca="false">Assumptions!$E$10</f>
        <v>58</v>
      </c>
      <c r="I332" s="17" t="n">
        <f aca="false">ROUND(F332*G332,2)</f>
        <v>281088</v>
      </c>
      <c r="J332" s="17" t="n">
        <f aca="false">ROUND(I332*Accounts!O22,2)</f>
        <v>16865.28</v>
      </c>
      <c r="K332" s="17" t="n">
        <f aca="false">ROUND(I332*Accounts!N22,2)</f>
        <v>22936.78</v>
      </c>
      <c r="L332" s="17" t="n">
        <f aca="false">ROUND(I332-J332-K332,2)</f>
        <v>241285.94</v>
      </c>
      <c r="M332" s="17" t="n">
        <f aca="false">ROUND(L332*AA332,2)</f>
        <v>8445.01</v>
      </c>
      <c r="N332" s="17" t="n">
        <f aca="false">ROUND(L332*Accounts!R22,2)</f>
        <v>4825.72</v>
      </c>
      <c r="O332" s="17" t="n">
        <f aca="false">ROUND(L332*Accounts!S22,2)</f>
        <v>3619.29</v>
      </c>
      <c r="P332" s="17" t="n">
        <f aca="false">ROUND(L332*Accounts!T22,2)</f>
        <v>6032.15</v>
      </c>
      <c r="Q332" s="17" t="n">
        <f aca="false">ROUND(L332*Accounts!U22,2)</f>
        <v>0</v>
      </c>
      <c r="R332" s="17" t="n">
        <f aca="false">ROUND(L332*Accounts!V22,2)</f>
        <v>1930.29</v>
      </c>
      <c r="S332" s="17" t="n">
        <f aca="false">ROUND(L332*Accounts!W22,2)</f>
        <v>2412.86</v>
      </c>
      <c r="T332" s="17" t="n">
        <f aca="false">ROUND(L332-SUM(M332:S332),2)</f>
        <v>214020.62</v>
      </c>
      <c r="U332" s="17" t="n">
        <f aca="false">ROUND(F332*H332,2)</f>
        <v>169824</v>
      </c>
      <c r="V332" s="17" t="n">
        <f aca="false">ROUND(L332*Assumptions!$C$25,2)</f>
        <v>4825.72</v>
      </c>
      <c r="W332" s="17" t="n">
        <f aca="false">ROUND(T332-U332-V332,2)</f>
        <v>39370.9</v>
      </c>
      <c r="X332" s="28" t="n">
        <f aca="false">T332/I332</f>
        <v>0.761400771288707</v>
      </c>
      <c r="Y332" s="17" t="n">
        <f aca="false">T332/F332</f>
        <v>73.0944740437159</v>
      </c>
      <c r="Z332" s="26" t="n">
        <f aca="false">Accounts!H22</f>
        <v>14370</v>
      </c>
      <c r="AA332" s="28" t="n">
        <f aca="false">IF(Z332&gt;=Assumptions!$B$44,Assumptions!$C$44,IF(Z332&gt;=Assumptions!$B$45,Assumptions!$C$45,IF(Z332&gt;=Assumptions!$B$46,Assumptions!$C$46,Assumptions!$C$47)))</f>
        <v>0.035</v>
      </c>
      <c r="AB332" s="26" t="n">
        <f aca="false">IF(Z332&gt;=Assumptions!$B$44,Assumptions!$B$44,IF(Z332&gt;=Assumptions!$B$45,Assumptions!$B$45,IF(Z332&gt;=Assumptions!$B$46,Assumptions!$B$46,0)))</f>
        <v>10000</v>
      </c>
    </row>
    <row r="333" customFormat="false" ht="15" hidden="false" customHeight="false" outlineLevel="0" collapsed="false">
      <c r="B333" s="14" t="s">
        <v>178</v>
      </c>
      <c r="C333" s="14" t="s">
        <v>162</v>
      </c>
      <c r="D333" s="14" t="s">
        <v>174</v>
      </c>
      <c r="E333" s="14" t="s">
        <v>64</v>
      </c>
      <c r="F333" s="26" t="n">
        <f aca="false">Accounts!G32</f>
        <v>2528</v>
      </c>
      <c r="G333" s="17" t="n">
        <f aca="false">Assumptions!$D$10</f>
        <v>96</v>
      </c>
      <c r="H333" s="17" t="n">
        <f aca="false">Assumptions!$E$10</f>
        <v>58</v>
      </c>
      <c r="I333" s="17" t="n">
        <f aca="false">ROUND(F333*G333,2)</f>
        <v>242688</v>
      </c>
      <c r="J333" s="17" t="n">
        <f aca="false">ROUND(I333*Accounts!O32,2)</f>
        <v>9707.52</v>
      </c>
      <c r="K333" s="17" t="n">
        <f aca="false">ROUND(I333*Accounts!N32,2)</f>
        <v>10484.12</v>
      </c>
      <c r="L333" s="17" t="n">
        <f aca="false">ROUND(I333-J333-K333,2)</f>
        <v>222496.36</v>
      </c>
      <c r="M333" s="17" t="n">
        <f aca="false">ROUND(L333*AA333,2)</f>
        <v>4449.93</v>
      </c>
      <c r="N333" s="17" t="n">
        <f aca="false">ROUND(L333*Accounts!R32,2)</f>
        <v>4449.93</v>
      </c>
      <c r="O333" s="17" t="n">
        <f aca="false">ROUND(L333*Accounts!S32,2)</f>
        <v>3337.45</v>
      </c>
      <c r="P333" s="17" t="n">
        <f aca="false">ROUND(L333*Accounts!T32,2)</f>
        <v>5562.41</v>
      </c>
      <c r="Q333" s="17" t="n">
        <f aca="false">ROUND(L333*Accounts!U32,2)</f>
        <v>0</v>
      </c>
      <c r="R333" s="17" t="n">
        <f aca="false">ROUND(L333*Accounts!V32,2)</f>
        <v>1779.97</v>
      </c>
      <c r="S333" s="17" t="n">
        <f aca="false">ROUND(L333*Accounts!W32,2)</f>
        <v>2224.96</v>
      </c>
      <c r="T333" s="17" t="n">
        <f aca="false">ROUND(L333-SUM(M333:S333),2)</f>
        <v>200691.71</v>
      </c>
      <c r="U333" s="17" t="n">
        <f aca="false">ROUND(F333*H333,2)</f>
        <v>146624</v>
      </c>
      <c r="V333" s="17" t="n">
        <f aca="false">ROUND(L333*Assumptions!$C$25,2)</f>
        <v>4449.93</v>
      </c>
      <c r="W333" s="17" t="n">
        <f aca="false">ROUND(T333-U333-V333,2)</f>
        <v>49617.78</v>
      </c>
      <c r="X333" s="28" t="n">
        <f aca="false">T333/I333</f>
        <v>0.826953578256857</v>
      </c>
      <c r="Y333" s="17" t="n">
        <f aca="false">T333/F333</f>
        <v>79.3875435126582</v>
      </c>
      <c r="Z333" s="26" t="n">
        <f aca="false">Accounts!H32</f>
        <v>8469</v>
      </c>
      <c r="AA333" s="28" t="n">
        <f aca="false">IF(Z333&gt;=Assumptions!$B$44,Assumptions!$C$44,IF(Z333&gt;=Assumptions!$B$45,Assumptions!$C$45,IF(Z333&gt;=Assumptions!$B$46,Assumptions!$C$46,Assumptions!$C$47)))</f>
        <v>0.02</v>
      </c>
      <c r="AB333" s="26" t="n">
        <f aca="false">IF(Z333&gt;=Assumptions!$B$44,Assumptions!$B$44,IF(Z333&gt;=Assumptions!$B$45,Assumptions!$B$45,IF(Z333&gt;=Assumptions!$B$46,Assumptions!$B$46,0)))</f>
        <v>3000</v>
      </c>
    </row>
    <row r="334" customFormat="false" ht="15" hidden="false" customHeight="false" outlineLevel="0" collapsed="false">
      <c r="B334" s="14" t="s">
        <v>188</v>
      </c>
      <c r="C334" s="14" t="s">
        <v>162</v>
      </c>
      <c r="D334" s="14" t="s">
        <v>184</v>
      </c>
      <c r="E334" s="14" t="s">
        <v>64</v>
      </c>
      <c r="F334" s="26" t="n">
        <f aca="false">Accounts!G41</f>
        <v>2016</v>
      </c>
      <c r="G334" s="17" t="n">
        <f aca="false">Assumptions!$D$10</f>
        <v>96</v>
      </c>
      <c r="H334" s="17" t="n">
        <f aca="false">Assumptions!$E$10</f>
        <v>58</v>
      </c>
      <c r="I334" s="17" t="n">
        <f aca="false">ROUND(F334*G334,2)</f>
        <v>193536</v>
      </c>
      <c r="J334" s="17" t="n">
        <f aca="false">ROUND(I334*Accounts!O41,2)</f>
        <v>7741.44</v>
      </c>
      <c r="K334" s="17" t="n">
        <f aca="false">ROUND(I334*Accounts!N41,2)</f>
        <v>15792.54</v>
      </c>
      <c r="L334" s="17" t="n">
        <f aca="false">ROUND(I334-J334-K334,2)</f>
        <v>170002.02</v>
      </c>
      <c r="M334" s="17" t="n">
        <f aca="false">ROUND(L334*AA334,2)</f>
        <v>3400.04</v>
      </c>
      <c r="N334" s="17" t="n">
        <f aca="false">ROUND(L334*Accounts!R41,2)</f>
        <v>3400.04</v>
      </c>
      <c r="O334" s="17" t="n">
        <f aca="false">ROUND(L334*Accounts!S41,2)</f>
        <v>2550.03</v>
      </c>
      <c r="P334" s="17" t="n">
        <f aca="false">ROUND(L334*Accounts!T41,2)</f>
        <v>4250.05</v>
      </c>
      <c r="Q334" s="17" t="n">
        <f aca="false">ROUND(L334*Accounts!U41,2)</f>
        <v>2550.03</v>
      </c>
      <c r="R334" s="17" t="n">
        <f aca="false">ROUND(L334*Accounts!V41,2)</f>
        <v>1360.02</v>
      </c>
      <c r="S334" s="17" t="n">
        <f aca="false">ROUND(L334*Accounts!W41,2)</f>
        <v>1700.02</v>
      </c>
      <c r="T334" s="17" t="n">
        <f aca="false">ROUND(L334-SUM(M334:S334),2)</f>
        <v>150791.79</v>
      </c>
      <c r="U334" s="17" t="n">
        <f aca="false">ROUND(F334*H334,2)</f>
        <v>116928</v>
      </c>
      <c r="V334" s="17" t="n">
        <f aca="false">ROUND(L334*Assumptions!$C$25,2)</f>
        <v>3400.04</v>
      </c>
      <c r="W334" s="17" t="n">
        <f aca="false">ROUND(T334-U334-V334,2)</f>
        <v>30463.75</v>
      </c>
      <c r="X334" s="28" t="n">
        <f aca="false">T334/I334</f>
        <v>0.779140780009921</v>
      </c>
      <c r="Y334" s="17" t="n">
        <f aca="false">T334/F334</f>
        <v>74.7975148809524</v>
      </c>
      <c r="Z334" s="26" t="n">
        <f aca="false">Accounts!H41</f>
        <v>8078</v>
      </c>
      <c r="AA334" s="28" t="n">
        <f aca="false">IF(Z334&gt;=Assumptions!$B$44,Assumptions!$C$44,IF(Z334&gt;=Assumptions!$B$45,Assumptions!$C$45,IF(Z334&gt;=Assumptions!$B$46,Assumptions!$C$46,Assumptions!$C$47)))</f>
        <v>0.02</v>
      </c>
      <c r="AB334" s="26" t="n">
        <f aca="false">IF(Z334&gt;=Assumptions!$B$44,Assumptions!$B$44,IF(Z334&gt;=Assumptions!$B$45,Assumptions!$B$45,IF(Z334&gt;=Assumptions!$B$46,Assumptions!$B$46,0)))</f>
        <v>3000</v>
      </c>
    </row>
    <row r="335" customFormat="false" ht="15" hidden="false" customHeight="false" outlineLevel="0" collapsed="false">
      <c r="B335" s="14" t="s">
        <v>168</v>
      </c>
      <c r="C335" s="14" t="s">
        <v>162</v>
      </c>
      <c r="D335" s="14" t="s">
        <v>163</v>
      </c>
      <c r="E335" s="14" t="s">
        <v>64</v>
      </c>
      <c r="F335" s="26" t="n">
        <f aca="false">Accounts!G23</f>
        <v>707</v>
      </c>
      <c r="G335" s="17" t="n">
        <f aca="false">Assumptions!$D$10</f>
        <v>96</v>
      </c>
      <c r="H335" s="17" t="n">
        <f aca="false">Assumptions!$E$10</f>
        <v>58</v>
      </c>
      <c r="I335" s="17" t="n">
        <f aca="false">ROUND(F335*G335,2)</f>
        <v>67872</v>
      </c>
      <c r="J335" s="17" t="n">
        <f aca="false">ROUND(I335*Accounts!O23,2)</f>
        <v>2714.88</v>
      </c>
      <c r="K335" s="17" t="n">
        <f aca="false">ROUND(I335*Accounts!N23,2)</f>
        <v>6515.71</v>
      </c>
      <c r="L335" s="17" t="n">
        <f aca="false">ROUND(I335-J335-K335,2)</f>
        <v>58641.41</v>
      </c>
      <c r="M335" s="17" t="n">
        <f aca="false">ROUND(L335*AA335,2)</f>
        <v>0</v>
      </c>
      <c r="N335" s="17" t="n">
        <f aca="false">ROUND(L335*Accounts!R23,2)</f>
        <v>1172.83</v>
      </c>
      <c r="O335" s="17" t="n">
        <f aca="false">ROUND(L335*Accounts!S23,2)</f>
        <v>879.62</v>
      </c>
      <c r="P335" s="17" t="n">
        <f aca="false">ROUND(L335*Accounts!T23,2)</f>
        <v>1466.04</v>
      </c>
      <c r="Q335" s="17" t="n">
        <f aca="false">ROUND(L335*Accounts!U23,2)</f>
        <v>0</v>
      </c>
      <c r="R335" s="17" t="n">
        <f aca="false">ROUND(L335*Accounts!V23,2)</f>
        <v>469.13</v>
      </c>
      <c r="S335" s="17" t="n">
        <f aca="false">ROUND(L335*Accounts!W23,2)</f>
        <v>0</v>
      </c>
      <c r="T335" s="17" t="n">
        <f aca="false">ROUND(L335-SUM(M335:S335),2)</f>
        <v>54653.79</v>
      </c>
      <c r="U335" s="17" t="n">
        <f aca="false">ROUND(F335*H335,2)</f>
        <v>41006</v>
      </c>
      <c r="V335" s="17" t="n">
        <f aca="false">ROUND(L335*Assumptions!$C$25,2)</f>
        <v>1172.83</v>
      </c>
      <c r="W335" s="17" t="n">
        <f aca="false">ROUND(T335-U335-V335,2)</f>
        <v>12474.96</v>
      </c>
      <c r="X335" s="28" t="n">
        <f aca="false">T335/I335</f>
        <v>0.805247966760962</v>
      </c>
      <c r="Y335" s="17" t="n">
        <f aca="false">T335/F335</f>
        <v>77.3038048090523</v>
      </c>
      <c r="Z335" s="26" t="n">
        <f aca="false">Accounts!H23</f>
        <v>2825</v>
      </c>
      <c r="AA335" s="28" t="n">
        <f aca="false">IF(Z335&gt;=Assumptions!$B$44,Assumptions!$C$44,IF(Z335&gt;=Assumptions!$B$45,Assumptions!$C$45,IF(Z335&gt;=Assumptions!$B$46,Assumptions!$C$46,Assumptions!$C$47)))</f>
        <v>0</v>
      </c>
      <c r="AB335" s="26" t="n">
        <f aca="false">IF(Z335&gt;=Assumptions!$B$44,Assumptions!$B$44,IF(Z335&gt;=Assumptions!$B$45,Assumptions!$B$45,IF(Z335&gt;=Assumptions!$B$46,Assumptions!$B$46,0)))</f>
        <v>0</v>
      </c>
    </row>
    <row r="336" customFormat="false" ht="15" hidden="false" customHeight="false" outlineLevel="0" collapsed="false">
      <c r="B336" s="14" t="s">
        <v>179</v>
      </c>
      <c r="C336" s="14" t="s">
        <v>162</v>
      </c>
      <c r="D336" s="14" t="s">
        <v>174</v>
      </c>
      <c r="E336" s="14" t="s">
        <v>64</v>
      </c>
      <c r="F336" s="26" t="n">
        <f aca="false">Accounts!G33</f>
        <v>1695</v>
      </c>
      <c r="G336" s="17" t="n">
        <f aca="false">Assumptions!$D$10</f>
        <v>96</v>
      </c>
      <c r="H336" s="17" t="n">
        <f aca="false">Assumptions!$E$10</f>
        <v>58</v>
      </c>
      <c r="I336" s="17" t="n">
        <f aca="false">ROUND(F336*G336,2)</f>
        <v>162720</v>
      </c>
      <c r="J336" s="17" t="n">
        <f aca="false">ROUND(I336*Accounts!O33,2)</f>
        <v>6508.8</v>
      </c>
      <c r="K336" s="17" t="n">
        <f aca="false">ROUND(I336*Accounts!N33,2)</f>
        <v>2343.17</v>
      </c>
      <c r="L336" s="17" t="n">
        <f aca="false">ROUND(I336-J336-K336,2)</f>
        <v>153868.03</v>
      </c>
      <c r="M336" s="17" t="n">
        <f aca="false">ROUND(L336*AA336,2)</f>
        <v>3077.36</v>
      </c>
      <c r="N336" s="17" t="n">
        <f aca="false">ROUND(L336*Accounts!R33,2)</f>
        <v>3077.36</v>
      </c>
      <c r="O336" s="17" t="n">
        <f aca="false">ROUND(L336*Accounts!S33,2)</f>
        <v>2308.02</v>
      </c>
      <c r="P336" s="17" t="n">
        <f aca="false">ROUND(L336*Accounts!T33,2)</f>
        <v>3846.7</v>
      </c>
      <c r="Q336" s="17" t="n">
        <f aca="false">ROUND(L336*Accounts!U33,2)</f>
        <v>0</v>
      </c>
      <c r="R336" s="17" t="n">
        <f aca="false">ROUND(L336*Accounts!V33,2)</f>
        <v>1230.94</v>
      </c>
      <c r="S336" s="17" t="n">
        <f aca="false">ROUND(L336*Accounts!W33,2)</f>
        <v>0</v>
      </c>
      <c r="T336" s="17" t="n">
        <f aca="false">ROUND(L336-SUM(M336:S336),2)</f>
        <v>140327.65</v>
      </c>
      <c r="U336" s="17" t="n">
        <f aca="false">ROUND(F336*H336,2)</f>
        <v>98310</v>
      </c>
      <c r="V336" s="17" t="n">
        <f aca="false">ROUND(L336*Assumptions!$C$25,2)</f>
        <v>3077.36</v>
      </c>
      <c r="W336" s="17" t="n">
        <f aca="false">ROUND(T336-U336-V336,2)</f>
        <v>38940.29</v>
      </c>
      <c r="X336" s="28" t="n">
        <f aca="false">T336/I336</f>
        <v>0.862387229596853</v>
      </c>
      <c r="Y336" s="17" t="n">
        <f aca="false">T336/F336</f>
        <v>82.7891740412979</v>
      </c>
      <c r="Z336" s="26" t="n">
        <f aca="false">Accounts!H33</f>
        <v>7107</v>
      </c>
      <c r="AA336" s="28" t="n">
        <f aca="false">IF(Z336&gt;=Assumptions!$B$44,Assumptions!$C$44,IF(Z336&gt;=Assumptions!$B$45,Assumptions!$C$45,IF(Z336&gt;=Assumptions!$B$46,Assumptions!$C$46,Assumptions!$C$47)))</f>
        <v>0.02</v>
      </c>
      <c r="AB336" s="26" t="n">
        <f aca="false">IF(Z336&gt;=Assumptions!$B$44,Assumptions!$B$44,IF(Z336&gt;=Assumptions!$B$45,Assumptions!$B$45,IF(Z336&gt;=Assumptions!$B$46,Assumptions!$B$46,0)))</f>
        <v>3000</v>
      </c>
    </row>
    <row r="337" customFormat="false" ht="15" hidden="false" customHeight="false" outlineLevel="0" collapsed="false">
      <c r="B337" s="14" t="s">
        <v>189</v>
      </c>
      <c r="C337" s="14" t="s">
        <v>162</v>
      </c>
      <c r="D337" s="14" t="s">
        <v>184</v>
      </c>
      <c r="E337" s="14" t="s">
        <v>64</v>
      </c>
      <c r="F337" s="26" t="n">
        <f aca="false">Accounts!G42</f>
        <v>1096</v>
      </c>
      <c r="G337" s="17" t="n">
        <f aca="false">Assumptions!$D$10</f>
        <v>96</v>
      </c>
      <c r="H337" s="17" t="n">
        <f aca="false">Assumptions!$E$10</f>
        <v>58</v>
      </c>
      <c r="I337" s="17" t="n">
        <f aca="false">ROUND(F337*G337,2)</f>
        <v>105216</v>
      </c>
      <c r="J337" s="17" t="n">
        <f aca="false">ROUND(I337*Accounts!O42,2)</f>
        <v>4208.64</v>
      </c>
      <c r="K337" s="17" t="n">
        <f aca="false">ROUND(I337*Accounts!N42,2)</f>
        <v>15151.1</v>
      </c>
      <c r="L337" s="17" t="n">
        <f aca="false">ROUND(I337-J337-K337,2)</f>
        <v>85856.26</v>
      </c>
      <c r="M337" s="17" t="n">
        <f aca="false">ROUND(L337*AA337,2)</f>
        <v>1717.13</v>
      </c>
      <c r="N337" s="17" t="n">
        <f aca="false">ROUND(L337*Accounts!R42,2)</f>
        <v>1717.13</v>
      </c>
      <c r="O337" s="17" t="n">
        <f aca="false">ROUND(L337*Accounts!S42,2)</f>
        <v>1287.84</v>
      </c>
      <c r="P337" s="17" t="n">
        <f aca="false">ROUND(L337*Accounts!T42,2)</f>
        <v>2146.41</v>
      </c>
      <c r="Q337" s="17" t="n">
        <f aca="false">ROUND(L337*Accounts!U42,2)</f>
        <v>1287.84</v>
      </c>
      <c r="R337" s="17" t="n">
        <f aca="false">ROUND(L337*Accounts!V42,2)</f>
        <v>686.85</v>
      </c>
      <c r="S337" s="17" t="n">
        <f aca="false">ROUND(L337*Accounts!W42,2)</f>
        <v>0</v>
      </c>
      <c r="T337" s="17" t="n">
        <f aca="false">ROUND(L337-SUM(M337:S337),2)</f>
        <v>77013.06</v>
      </c>
      <c r="U337" s="17" t="n">
        <f aca="false">ROUND(F337*H337,2)</f>
        <v>63568</v>
      </c>
      <c r="V337" s="17" t="n">
        <f aca="false">ROUND(L337*Assumptions!$C$25,2)</f>
        <v>1717.13</v>
      </c>
      <c r="W337" s="17" t="n">
        <f aca="false">ROUND(T337-U337-V337,2)</f>
        <v>11727.93</v>
      </c>
      <c r="X337" s="28" t="n">
        <f aca="false">T337/I337</f>
        <v>0.731951984489051</v>
      </c>
      <c r="Y337" s="17" t="n">
        <f aca="false">T337/F337</f>
        <v>70.2673905109489</v>
      </c>
      <c r="Z337" s="26" t="n">
        <f aca="false">Accounts!H42</f>
        <v>5743</v>
      </c>
      <c r="AA337" s="28" t="n">
        <f aca="false">IF(Z337&gt;=Assumptions!$B$44,Assumptions!$C$44,IF(Z337&gt;=Assumptions!$B$45,Assumptions!$C$45,IF(Z337&gt;=Assumptions!$B$46,Assumptions!$C$46,Assumptions!$C$47)))</f>
        <v>0.02</v>
      </c>
      <c r="AB337" s="26" t="n">
        <f aca="false">IF(Z337&gt;=Assumptions!$B$44,Assumptions!$B$44,IF(Z337&gt;=Assumptions!$B$45,Assumptions!$B$45,IF(Z337&gt;=Assumptions!$B$46,Assumptions!$B$46,0)))</f>
        <v>3000</v>
      </c>
    </row>
    <row r="338" customFormat="false" ht="15" hidden="false" customHeight="false" outlineLevel="0" collapsed="false">
      <c r="B338" s="14" t="s">
        <v>169</v>
      </c>
      <c r="C338" s="14" t="s">
        <v>162</v>
      </c>
      <c r="D338" s="14" t="s">
        <v>163</v>
      </c>
      <c r="E338" s="14" t="s">
        <v>64</v>
      </c>
      <c r="F338" s="26" t="n">
        <f aca="false">Accounts!G24</f>
        <v>3273</v>
      </c>
      <c r="G338" s="17" t="n">
        <f aca="false">Assumptions!$D$10</f>
        <v>96</v>
      </c>
      <c r="H338" s="17" t="n">
        <f aca="false">Assumptions!$E$10</f>
        <v>58</v>
      </c>
      <c r="I338" s="17" t="n">
        <f aca="false">ROUND(F338*G338,2)</f>
        <v>314208</v>
      </c>
      <c r="J338" s="17" t="n">
        <f aca="false">ROUND(I338*Accounts!O24,2)</f>
        <v>12568.32</v>
      </c>
      <c r="K338" s="17" t="n">
        <f aca="false">ROUND(I338*Accounts!N24,2)</f>
        <v>43737.75</v>
      </c>
      <c r="L338" s="17" t="n">
        <f aca="false">ROUND(I338-J338-K338,2)</f>
        <v>257901.93</v>
      </c>
      <c r="M338" s="17" t="n">
        <f aca="false">ROUND(L338*AA338,2)</f>
        <v>9026.57</v>
      </c>
      <c r="N338" s="17" t="n">
        <f aca="false">ROUND(L338*Accounts!R24,2)</f>
        <v>5158.04</v>
      </c>
      <c r="O338" s="17" t="n">
        <f aca="false">ROUND(L338*Accounts!S24,2)</f>
        <v>3868.53</v>
      </c>
      <c r="P338" s="17" t="n">
        <f aca="false">ROUND(L338*Accounts!T24,2)</f>
        <v>6447.55</v>
      </c>
      <c r="Q338" s="17" t="n">
        <f aca="false">ROUND(L338*Accounts!U24,2)</f>
        <v>3868.53</v>
      </c>
      <c r="R338" s="17" t="n">
        <f aca="false">ROUND(L338*Accounts!V24,2)</f>
        <v>2063.22</v>
      </c>
      <c r="S338" s="17" t="n">
        <f aca="false">ROUND(L338*Accounts!W24,2)</f>
        <v>2579.02</v>
      </c>
      <c r="T338" s="17" t="n">
        <f aca="false">ROUND(L338-SUM(M338:S338),2)</f>
        <v>224890.47</v>
      </c>
      <c r="U338" s="17" t="n">
        <f aca="false">ROUND(F338*H338,2)</f>
        <v>189834</v>
      </c>
      <c r="V338" s="17" t="n">
        <f aca="false">ROUND(L338*Assumptions!$C$25,2)</f>
        <v>5158.04</v>
      </c>
      <c r="W338" s="17" t="n">
        <f aca="false">ROUND(T338-U338-V338,2)</f>
        <v>29898.43</v>
      </c>
      <c r="X338" s="28" t="n">
        <f aca="false">T338/I338</f>
        <v>0.715737568744271</v>
      </c>
      <c r="Y338" s="17" t="n">
        <f aca="false">T338/F338</f>
        <v>68.7108065994501</v>
      </c>
      <c r="Z338" s="26" t="n">
        <f aca="false">Accounts!H24</f>
        <v>11908</v>
      </c>
      <c r="AA338" s="28" t="n">
        <f aca="false">IF(Z338&gt;=Assumptions!$B$44,Assumptions!$C$44,IF(Z338&gt;=Assumptions!$B$45,Assumptions!$C$45,IF(Z338&gt;=Assumptions!$B$46,Assumptions!$C$46,Assumptions!$C$47)))</f>
        <v>0.035</v>
      </c>
      <c r="AB338" s="26" t="n">
        <f aca="false">IF(Z338&gt;=Assumptions!$B$44,Assumptions!$B$44,IF(Z338&gt;=Assumptions!$B$45,Assumptions!$B$45,IF(Z338&gt;=Assumptions!$B$46,Assumptions!$B$46,0)))</f>
        <v>10000</v>
      </c>
    </row>
    <row r="339" customFormat="false" ht="15" hidden="false" customHeight="false" outlineLevel="0" collapsed="false">
      <c r="B339" s="14" t="s">
        <v>180</v>
      </c>
      <c r="C339" s="14" t="s">
        <v>162</v>
      </c>
      <c r="D339" s="14" t="s">
        <v>174</v>
      </c>
      <c r="E339" s="14" t="s">
        <v>64</v>
      </c>
      <c r="F339" s="26" t="n">
        <f aca="false">Accounts!G34</f>
        <v>1125</v>
      </c>
      <c r="G339" s="17" t="n">
        <f aca="false">Assumptions!$D$10</f>
        <v>96</v>
      </c>
      <c r="H339" s="17" t="n">
        <f aca="false">Assumptions!$E$10</f>
        <v>58</v>
      </c>
      <c r="I339" s="17" t="n">
        <f aca="false">ROUND(F339*G339,2)</f>
        <v>108000</v>
      </c>
      <c r="J339" s="17" t="n">
        <f aca="false">ROUND(I339*Accounts!O34,2)</f>
        <v>4320</v>
      </c>
      <c r="K339" s="17" t="n">
        <f aca="false">ROUND(I339*Accounts!N34,2)</f>
        <v>12960</v>
      </c>
      <c r="L339" s="17" t="n">
        <f aca="false">ROUND(I339-J339-K339,2)</f>
        <v>90720</v>
      </c>
      <c r="M339" s="17" t="n">
        <f aca="false">ROUND(L339*AA339,2)</f>
        <v>1814.4</v>
      </c>
      <c r="N339" s="17" t="n">
        <f aca="false">ROUND(L339*Accounts!R34,2)</f>
        <v>1814.4</v>
      </c>
      <c r="O339" s="17" t="n">
        <f aca="false">ROUND(L339*Accounts!S34,2)</f>
        <v>1360.8</v>
      </c>
      <c r="P339" s="17" t="n">
        <f aca="false">ROUND(L339*Accounts!T34,2)</f>
        <v>2268</v>
      </c>
      <c r="Q339" s="17" t="n">
        <f aca="false">ROUND(L339*Accounts!U34,2)</f>
        <v>1360.8</v>
      </c>
      <c r="R339" s="17" t="n">
        <f aca="false">ROUND(L339*Accounts!V34,2)</f>
        <v>725.76</v>
      </c>
      <c r="S339" s="17" t="n">
        <f aca="false">ROUND(L339*Accounts!W34,2)</f>
        <v>907.2</v>
      </c>
      <c r="T339" s="17" t="n">
        <f aca="false">ROUND(L339-SUM(M339:S339),2)</f>
        <v>80468.64</v>
      </c>
      <c r="U339" s="17" t="n">
        <f aca="false">ROUND(F339*H339,2)</f>
        <v>65250</v>
      </c>
      <c r="V339" s="17" t="n">
        <f aca="false">ROUND(L339*Assumptions!$C$25,2)</f>
        <v>1814.4</v>
      </c>
      <c r="W339" s="17" t="n">
        <f aca="false">ROUND(T339-U339-V339,2)</f>
        <v>13404.24</v>
      </c>
      <c r="X339" s="28" t="n">
        <f aca="false">T339/I339</f>
        <v>0.74508</v>
      </c>
      <c r="Y339" s="17" t="n">
        <f aca="false">T339/F339</f>
        <v>71.52768</v>
      </c>
      <c r="Z339" s="26" t="n">
        <f aca="false">Accounts!H34</f>
        <v>4318</v>
      </c>
      <c r="AA339" s="28" t="n">
        <f aca="false">IF(Z339&gt;=Assumptions!$B$44,Assumptions!$C$44,IF(Z339&gt;=Assumptions!$B$45,Assumptions!$C$45,IF(Z339&gt;=Assumptions!$B$46,Assumptions!$C$46,Assumptions!$C$47)))</f>
        <v>0.02</v>
      </c>
      <c r="AB339" s="26" t="n">
        <f aca="false">IF(Z339&gt;=Assumptions!$B$44,Assumptions!$B$44,IF(Z339&gt;=Assumptions!$B$45,Assumptions!$B$45,IF(Z339&gt;=Assumptions!$B$46,Assumptions!$B$46,0)))</f>
        <v>3000</v>
      </c>
    </row>
    <row r="340" customFormat="false" ht="15" hidden="false" customHeight="false" outlineLevel="0" collapsed="false">
      <c r="B340" s="14" t="s">
        <v>190</v>
      </c>
      <c r="C340" s="14" t="s">
        <v>162</v>
      </c>
      <c r="D340" s="14" t="s">
        <v>184</v>
      </c>
      <c r="E340" s="14" t="s">
        <v>64</v>
      </c>
      <c r="F340" s="26" t="n">
        <f aca="false">Accounts!G43</f>
        <v>3094</v>
      </c>
      <c r="G340" s="17" t="n">
        <f aca="false">Assumptions!$D$10</f>
        <v>96</v>
      </c>
      <c r="H340" s="17" t="n">
        <f aca="false">Assumptions!$E$10</f>
        <v>58</v>
      </c>
      <c r="I340" s="17" t="n">
        <f aca="false">ROUND(F340*G340,2)</f>
        <v>297024</v>
      </c>
      <c r="J340" s="17" t="n">
        <f aca="false">ROUND(I340*Accounts!O43,2)</f>
        <v>11880.96</v>
      </c>
      <c r="K340" s="17" t="n">
        <f aca="false">ROUND(I340*Accounts!N43,2)</f>
        <v>41345.74</v>
      </c>
      <c r="L340" s="17" t="n">
        <f aca="false">ROUND(I340-J340-K340,2)</f>
        <v>243797.3</v>
      </c>
      <c r="M340" s="17" t="n">
        <f aca="false">ROUND(L340*AA340,2)</f>
        <v>4875.95</v>
      </c>
      <c r="N340" s="17" t="n">
        <f aca="false">ROUND(L340*Accounts!R43,2)</f>
        <v>4875.95</v>
      </c>
      <c r="O340" s="17" t="n">
        <f aca="false">ROUND(L340*Accounts!S43,2)</f>
        <v>3656.96</v>
      </c>
      <c r="P340" s="17" t="n">
        <f aca="false">ROUND(L340*Accounts!T43,2)</f>
        <v>6094.93</v>
      </c>
      <c r="Q340" s="17" t="n">
        <f aca="false">ROUND(L340*Accounts!U43,2)</f>
        <v>3656.96</v>
      </c>
      <c r="R340" s="17" t="n">
        <f aca="false">ROUND(L340*Accounts!V43,2)</f>
        <v>1950.38</v>
      </c>
      <c r="S340" s="17" t="n">
        <f aca="false">ROUND(L340*Accounts!W43,2)</f>
        <v>2437.97</v>
      </c>
      <c r="T340" s="17" t="n">
        <f aca="false">ROUND(L340-SUM(M340:S340),2)</f>
        <v>216248.2</v>
      </c>
      <c r="U340" s="17" t="n">
        <f aca="false">ROUND(F340*H340,2)</f>
        <v>179452</v>
      </c>
      <c r="V340" s="17" t="n">
        <f aca="false">ROUND(L340*Assumptions!$C$25,2)</f>
        <v>4875.95</v>
      </c>
      <c r="W340" s="17" t="n">
        <f aca="false">ROUND(T340-U340-V340,2)</f>
        <v>31920.25</v>
      </c>
      <c r="X340" s="28" t="n">
        <f aca="false">T340/I340</f>
        <v>0.728049585218703</v>
      </c>
      <c r="Y340" s="17" t="n">
        <f aca="false">T340/F340</f>
        <v>69.8927601809955</v>
      </c>
      <c r="Z340" s="26" t="n">
        <f aca="false">Accounts!H43</f>
        <v>9860</v>
      </c>
      <c r="AA340" s="28" t="n">
        <f aca="false">IF(Z340&gt;=Assumptions!$B$44,Assumptions!$C$44,IF(Z340&gt;=Assumptions!$B$45,Assumptions!$C$45,IF(Z340&gt;=Assumptions!$B$46,Assumptions!$C$46,Assumptions!$C$47)))</f>
        <v>0.02</v>
      </c>
      <c r="AB340" s="26" t="n">
        <f aca="false">IF(Z340&gt;=Assumptions!$B$44,Assumptions!$B$44,IF(Z340&gt;=Assumptions!$B$45,Assumptions!$B$45,IF(Z340&gt;=Assumptions!$B$46,Assumptions!$B$46,0)))</f>
        <v>3000</v>
      </c>
    </row>
    <row r="341" customFormat="false" ht="15" hidden="false" customHeight="false" outlineLevel="0" collapsed="false">
      <c r="B341" s="14" t="s">
        <v>170</v>
      </c>
      <c r="C341" s="14" t="s">
        <v>162</v>
      </c>
      <c r="D341" s="14" t="s">
        <v>163</v>
      </c>
      <c r="E341" s="14" t="s">
        <v>64</v>
      </c>
      <c r="F341" s="26" t="n">
        <f aca="false">Accounts!G25</f>
        <v>1829</v>
      </c>
      <c r="G341" s="17" t="n">
        <f aca="false">Assumptions!$D$10</f>
        <v>96</v>
      </c>
      <c r="H341" s="17" t="n">
        <f aca="false">Assumptions!$E$10</f>
        <v>58</v>
      </c>
      <c r="I341" s="17" t="n">
        <f aca="false">ROUND(F341*G341,2)</f>
        <v>175584</v>
      </c>
      <c r="J341" s="17" t="n">
        <f aca="false">ROUND(I341*Accounts!O25,2)</f>
        <v>7023.36</v>
      </c>
      <c r="K341" s="17" t="n">
        <f aca="false">ROUND(I341*Accounts!N25,2)</f>
        <v>14327.65</v>
      </c>
      <c r="L341" s="17" t="n">
        <f aca="false">ROUND(I341-J341-K341,2)</f>
        <v>154232.99</v>
      </c>
      <c r="M341" s="17" t="n">
        <f aca="false">ROUND(L341*AA341,2)</f>
        <v>5398.15</v>
      </c>
      <c r="N341" s="17" t="n">
        <f aca="false">ROUND(L341*Accounts!R25,2)</f>
        <v>3084.66</v>
      </c>
      <c r="O341" s="17" t="n">
        <f aca="false">ROUND(L341*Accounts!S25,2)</f>
        <v>2313.49</v>
      </c>
      <c r="P341" s="17" t="n">
        <f aca="false">ROUND(L341*Accounts!T25,2)</f>
        <v>3855.82</v>
      </c>
      <c r="Q341" s="17" t="n">
        <f aca="false">ROUND(L341*Accounts!U25,2)</f>
        <v>2313.49</v>
      </c>
      <c r="R341" s="17" t="n">
        <f aca="false">ROUND(L341*Accounts!V25,2)</f>
        <v>1233.86</v>
      </c>
      <c r="S341" s="17" t="n">
        <f aca="false">ROUND(L341*Accounts!W25,2)</f>
        <v>0</v>
      </c>
      <c r="T341" s="17" t="n">
        <f aca="false">ROUND(L341-SUM(M341:S341),2)</f>
        <v>136033.52</v>
      </c>
      <c r="U341" s="17" t="n">
        <f aca="false">ROUND(F341*H341,2)</f>
        <v>106082</v>
      </c>
      <c r="V341" s="17" t="n">
        <f aca="false">ROUND(L341*Assumptions!$C$25,2)</f>
        <v>3084.66</v>
      </c>
      <c r="W341" s="17" t="n">
        <f aca="false">ROUND(T341-U341-V341,2)</f>
        <v>26866.86</v>
      </c>
      <c r="X341" s="28" t="n">
        <f aca="false">T341/I341</f>
        <v>0.774748952068526</v>
      </c>
      <c r="Y341" s="17" t="n">
        <f aca="false">T341/F341</f>
        <v>74.3758993985785</v>
      </c>
      <c r="Z341" s="26" t="n">
        <f aca="false">Accounts!H25</f>
        <v>17004</v>
      </c>
      <c r="AA341" s="28" t="n">
        <f aca="false">IF(Z341&gt;=Assumptions!$B$44,Assumptions!$C$44,IF(Z341&gt;=Assumptions!$B$45,Assumptions!$C$45,IF(Z341&gt;=Assumptions!$B$46,Assumptions!$C$46,Assumptions!$C$47)))</f>
        <v>0.035</v>
      </c>
      <c r="AB341" s="26" t="n">
        <f aca="false">IF(Z341&gt;=Assumptions!$B$44,Assumptions!$B$44,IF(Z341&gt;=Assumptions!$B$45,Assumptions!$B$45,IF(Z341&gt;=Assumptions!$B$46,Assumptions!$B$46,0)))</f>
        <v>10000</v>
      </c>
    </row>
    <row r="342" customFormat="false" ht="15" hidden="false" customHeight="false" outlineLevel="0" collapsed="false">
      <c r="B342" s="14" t="s">
        <v>181</v>
      </c>
      <c r="C342" s="14" t="s">
        <v>162</v>
      </c>
      <c r="D342" s="14" t="s">
        <v>174</v>
      </c>
      <c r="E342" s="14" t="s">
        <v>64</v>
      </c>
      <c r="F342" s="26" t="n">
        <f aca="false">Accounts!G35</f>
        <v>1435</v>
      </c>
      <c r="G342" s="17" t="n">
        <f aca="false">Assumptions!$D$10</f>
        <v>96</v>
      </c>
      <c r="H342" s="17" t="n">
        <f aca="false">Assumptions!$E$10</f>
        <v>58</v>
      </c>
      <c r="I342" s="17" t="n">
        <f aca="false">ROUND(F342*G342,2)</f>
        <v>137760</v>
      </c>
      <c r="J342" s="17" t="n">
        <f aca="false">ROUND(I342*Accounts!O35,2)</f>
        <v>5510.4</v>
      </c>
      <c r="K342" s="17" t="n">
        <f aca="false">ROUND(I342*Accounts!N35,2)</f>
        <v>7934.98</v>
      </c>
      <c r="L342" s="17" t="n">
        <f aca="false">ROUND(I342-J342-K342,2)</f>
        <v>124314.62</v>
      </c>
      <c r="M342" s="17" t="n">
        <f aca="false">ROUND(L342*AA342,2)</f>
        <v>2486.29</v>
      </c>
      <c r="N342" s="17" t="n">
        <f aca="false">ROUND(L342*Accounts!R35,2)</f>
        <v>2486.29</v>
      </c>
      <c r="O342" s="17" t="n">
        <f aca="false">ROUND(L342*Accounts!S35,2)</f>
        <v>1864.72</v>
      </c>
      <c r="P342" s="17" t="n">
        <f aca="false">ROUND(L342*Accounts!T35,2)</f>
        <v>3107.87</v>
      </c>
      <c r="Q342" s="17" t="n">
        <f aca="false">ROUND(L342*Accounts!U35,2)</f>
        <v>1864.72</v>
      </c>
      <c r="R342" s="17" t="n">
        <f aca="false">ROUND(L342*Accounts!V35,2)</f>
        <v>994.52</v>
      </c>
      <c r="S342" s="17" t="n">
        <f aca="false">ROUND(L342*Accounts!W35,2)</f>
        <v>1243.15</v>
      </c>
      <c r="T342" s="17" t="n">
        <f aca="false">ROUND(L342-SUM(M342:S342),2)</f>
        <v>110267.06</v>
      </c>
      <c r="U342" s="17" t="n">
        <f aca="false">ROUND(F342*H342,2)</f>
        <v>83230</v>
      </c>
      <c r="V342" s="17" t="n">
        <f aca="false">ROUND(L342*Assumptions!$C$25,2)</f>
        <v>2486.29</v>
      </c>
      <c r="W342" s="17" t="n">
        <f aca="false">ROUND(T342-U342-V342,2)</f>
        <v>24550.77</v>
      </c>
      <c r="X342" s="28" t="n">
        <f aca="false">T342/I342</f>
        <v>0.800428716608595</v>
      </c>
      <c r="Y342" s="17" t="n">
        <f aca="false">T342/F342</f>
        <v>76.8411567944251</v>
      </c>
      <c r="Z342" s="26" t="n">
        <f aca="false">Accounts!H35</f>
        <v>8650</v>
      </c>
      <c r="AA342" s="28" t="n">
        <f aca="false">IF(Z342&gt;=Assumptions!$B$44,Assumptions!$C$44,IF(Z342&gt;=Assumptions!$B$45,Assumptions!$C$45,IF(Z342&gt;=Assumptions!$B$46,Assumptions!$C$46,Assumptions!$C$47)))</f>
        <v>0.02</v>
      </c>
      <c r="AB342" s="26" t="n">
        <f aca="false">IF(Z342&gt;=Assumptions!$B$44,Assumptions!$B$44,IF(Z342&gt;=Assumptions!$B$45,Assumptions!$B$45,IF(Z342&gt;=Assumptions!$B$46,Assumptions!$B$46,0)))</f>
        <v>3000</v>
      </c>
    </row>
    <row r="343" customFormat="false" ht="15" hidden="false" customHeight="false" outlineLevel="0" collapsed="false">
      <c r="B343" s="14" t="s">
        <v>191</v>
      </c>
      <c r="C343" s="14" t="s">
        <v>162</v>
      </c>
      <c r="D343" s="14" t="s">
        <v>184</v>
      </c>
      <c r="E343" s="14" t="s">
        <v>64</v>
      </c>
      <c r="F343" s="26" t="n">
        <f aca="false">Accounts!G44</f>
        <v>3115</v>
      </c>
      <c r="G343" s="17" t="n">
        <f aca="false">Assumptions!$D$10</f>
        <v>96</v>
      </c>
      <c r="H343" s="17" t="n">
        <f aca="false">Assumptions!$E$10</f>
        <v>58</v>
      </c>
      <c r="I343" s="17" t="n">
        <f aca="false">ROUND(F343*G343,2)</f>
        <v>299040</v>
      </c>
      <c r="J343" s="17" t="n">
        <f aca="false">ROUND(I343*Accounts!O44,2)</f>
        <v>11961.6</v>
      </c>
      <c r="K343" s="17" t="n">
        <f aca="false">ROUND(I343*Accounts!N44,2)</f>
        <v>2870.78</v>
      </c>
      <c r="L343" s="17" t="n">
        <f aca="false">ROUND(I343-J343-K343,2)</f>
        <v>284207.62</v>
      </c>
      <c r="M343" s="17" t="n">
        <f aca="false">ROUND(L343*AA343,2)</f>
        <v>9947.27</v>
      </c>
      <c r="N343" s="17" t="n">
        <f aca="false">ROUND(L343*Accounts!R44,2)</f>
        <v>0</v>
      </c>
      <c r="O343" s="17" t="n">
        <f aca="false">ROUND(L343*Accounts!S44,2)</f>
        <v>4263.11</v>
      </c>
      <c r="P343" s="17" t="n">
        <f aca="false">ROUND(L343*Accounts!T44,2)</f>
        <v>7105.19</v>
      </c>
      <c r="Q343" s="17" t="n">
        <f aca="false">ROUND(L343*Accounts!U44,2)</f>
        <v>4263.11</v>
      </c>
      <c r="R343" s="17" t="n">
        <f aca="false">ROUND(L343*Accounts!V44,2)</f>
        <v>2273.66</v>
      </c>
      <c r="S343" s="17" t="n">
        <f aca="false">ROUND(L343*Accounts!W44,2)</f>
        <v>2842.08</v>
      </c>
      <c r="T343" s="17" t="n">
        <f aca="false">ROUND(L343-SUM(M343:S343),2)</f>
        <v>253513.2</v>
      </c>
      <c r="U343" s="17" t="n">
        <f aca="false">ROUND(F343*H343,2)</f>
        <v>180670</v>
      </c>
      <c r="V343" s="17" t="n">
        <f aca="false">ROUND(L343*Assumptions!$C$25,2)</f>
        <v>5684.15</v>
      </c>
      <c r="W343" s="17" t="n">
        <f aca="false">ROUND(T343-U343-V343,2)</f>
        <v>67159.05</v>
      </c>
      <c r="X343" s="28" t="n">
        <f aca="false">T343/I343</f>
        <v>0.847756821829856</v>
      </c>
      <c r="Y343" s="17" t="n">
        <f aca="false">T343/F343</f>
        <v>81.3846548956661</v>
      </c>
      <c r="Z343" s="26" t="n">
        <f aca="false">Accounts!H44</f>
        <v>15594</v>
      </c>
      <c r="AA343" s="28" t="n">
        <f aca="false">IF(Z343&gt;=Assumptions!$B$44,Assumptions!$C$44,IF(Z343&gt;=Assumptions!$B$45,Assumptions!$C$45,IF(Z343&gt;=Assumptions!$B$46,Assumptions!$C$46,Assumptions!$C$47)))</f>
        <v>0.035</v>
      </c>
      <c r="AB343" s="26" t="n">
        <f aca="false">IF(Z343&gt;=Assumptions!$B$44,Assumptions!$B$44,IF(Z343&gt;=Assumptions!$B$45,Assumptions!$B$45,IF(Z343&gt;=Assumptions!$B$46,Assumptions!$B$46,0)))</f>
        <v>10000</v>
      </c>
    </row>
    <row r="344" customFormat="false" ht="15" hidden="false" customHeight="false" outlineLevel="0" collapsed="false">
      <c r="B344" s="14" t="s">
        <v>171</v>
      </c>
      <c r="C344" s="14" t="s">
        <v>162</v>
      </c>
      <c r="D344" s="14" t="s">
        <v>163</v>
      </c>
      <c r="E344" s="14" t="s">
        <v>64</v>
      </c>
      <c r="F344" s="26" t="n">
        <f aca="false">Accounts!G26</f>
        <v>871</v>
      </c>
      <c r="G344" s="17" t="n">
        <f aca="false">Assumptions!$D$10</f>
        <v>96</v>
      </c>
      <c r="H344" s="17" t="n">
        <f aca="false">Assumptions!$E$10</f>
        <v>58</v>
      </c>
      <c r="I344" s="17" t="n">
        <f aca="false">ROUND(F344*G344,2)</f>
        <v>83616</v>
      </c>
      <c r="J344" s="17" t="n">
        <f aca="false">ROUND(I344*Accounts!O26,2)</f>
        <v>5016.96</v>
      </c>
      <c r="K344" s="17" t="n">
        <f aca="false">ROUND(I344*Accounts!N26,2)</f>
        <v>3210.85</v>
      </c>
      <c r="L344" s="17" t="n">
        <f aca="false">ROUND(I344-J344-K344,2)</f>
        <v>75388.19</v>
      </c>
      <c r="M344" s="17" t="n">
        <f aca="false">ROUND(L344*AA344,2)</f>
        <v>2638.59</v>
      </c>
      <c r="N344" s="17" t="n">
        <f aca="false">ROUND(L344*Accounts!R26,2)</f>
        <v>1507.76</v>
      </c>
      <c r="O344" s="17" t="n">
        <f aca="false">ROUND(L344*Accounts!S26,2)</f>
        <v>1130.82</v>
      </c>
      <c r="P344" s="17" t="n">
        <f aca="false">ROUND(L344*Accounts!T26,2)</f>
        <v>1884.7</v>
      </c>
      <c r="Q344" s="17" t="n">
        <f aca="false">ROUND(L344*Accounts!U26,2)</f>
        <v>1130.82</v>
      </c>
      <c r="R344" s="17" t="n">
        <f aca="false">ROUND(L344*Accounts!V26,2)</f>
        <v>603.11</v>
      </c>
      <c r="S344" s="17" t="n">
        <f aca="false">ROUND(L344*Accounts!W26,2)</f>
        <v>753.88</v>
      </c>
      <c r="T344" s="17" t="n">
        <f aca="false">ROUND(L344-SUM(M344:S344),2)</f>
        <v>65738.51</v>
      </c>
      <c r="U344" s="17" t="n">
        <f aca="false">ROUND(F344*H344,2)</f>
        <v>50518</v>
      </c>
      <c r="V344" s="17" t="n">
        <f aca="false">ROUND(L344*Assumptions!$C$25,2)</f>
        <v>1507.76</v>
      </c>
      <c r="W344" s="17" t="n">
        <f aca="false">ROUND(T344-U344-V344,2)</f>
        <v>13712.75</v>
      </c>
      <c r="X344" s="28" t="n">
        <f aca="false">T344/I344</f>
        <v>0.786195345388442</v>
      </c>
      <c r="Y344" s="17" t="n">
        <f aca="false">T344/F344</f>
        <v>75.4747531572905</v>
      </c>
      <c r="Z344" s="26" t="n">
        <f aca="false">Accounts!H26</f>
        <v>13579</v>
      </c>
      <c r="AA344" s="28" t="n">
        <f aca="false">IF(Z344&gt;=Assumptions!$B$44,Assumptions!$C$44,IF(Z344&gt;=Assumptions!$B$45,Assumptions!$C$45,IF(Z344&gt;=Assumptions!$B$46,Assumptions!$C$46,Assumptions!$C$47)))</f>
        <v>0.035</v>
      </c>
      <c r="AB344" s="26" t="n">
        <f aca="false">IF(Z344&gt;=Assumptions!$B$44,Assumptions!$B$44,IF(Z344&gt;=Assumptions!$B$45,Assumptions!$B$45,IF(Z344&gt;=Assumptions!$B$46,Assumptions!$B$46,0)))</f>
        <v>10000</v>
      </c>
    </row>
    <row r="345" customFormat="false" ht="15" hidden="false" customHeight="false" outlineLevel="0" collapsed="false">
      <c r="B345" s="14" t="s">
        <v>182</v>
      </c>
      <c r="C345" s="14" t="s">
        <v>162</v>
      </c>
      <c r="D345" s="14" t="s">
        <v>174</v>
      </c>
      <c r="E345" s="14" t="s">
        <v>64</v>
      </c>
      <c r="F345" s="26" t="n">
        <f aca="false">Accounts!G36</f>
        <v>896</v>
      </c>
      <c r="G345" s="17" t="n">
        <f aca="false">Assumptions!$D$10</f>
        <v>96</v>
      </c>
      <c r="H345" s="17" t="n">
        <f aca="false">Assumptions!$E$10</f>
        <v>58</v>
      </c>
      <c r="I345" s="17" t="n">
        <f aca="false">ROUND(F345*G345,2)</f>
        <v>86016</v>
      </c>
      <c r="J345" s="17" t="n">
        <f aca="false">ROUND(I345*Accounts!O36,2)</f>
        <v>3440.64</v>
      </c>
      <c r="K345" s="17" t="n">
        <f aca="false">ROUND(I345*Accounts!N36,2)</f>
        <v>9496.17</v>
      </c>
      <c r="L345" s="17" t="n">
        <f aca="false">ROUND(I345-J345-K345,2)</f>
        <v>73079.19</v>
      </c>
      <c r="M345" s="17" t="n">
        <f aca="false">ROUND(L345*AA345,2)</f>
        <v>1461.58</v>
      </c>
      <c r="N345" s="17" t="n">
        <f aca="false">ROUND(L345*Accounts!R36,2)</f>
        <v>1461.58</v>
      </c>
      <c r="O345" s="17" t="n">
        <f aca="false">ROUND(L345*Accounts!S36,2)</f>
        <v>1096.19</v>
      </c>
      <c r="P345" s="17" t="n">
        <f aca="false">ROUND(L345*Accounts!T36,2)</f>
        <v>0</v>
      </c>
      <c r="Q345" s="17" t="n">
        <f aca="false">ROUND(L345*Accounts!U36,2)</f>
        <v>1096.19</v>
      </c>
      <c r="R345" s="17" t="n">
        <f aca="false">ROUND(L345*Accounts!V36,2)</f>
        <v>584.63</v>
      </c>
      <c r="S345" s="17" t="n">
        <f aca="false">ROUND(L345*Accounts!W36,2)</f>
        <v>0</v>
      </c>
      <c r="T345" s="17" t="n">
        <f aca="false">ROUND(L345-SUM(M345:S345),2)</f>
        <v>67379.02</v>
      </c>
      <c r="U345" s="17" t="n">
        <f aca="false">ROUND(F345*H345,2)</f>
        <v>51968</v>
      </c>
      <c r="V345" s="17" t="n">
        <f aca="false">ROUND(L345*Assumptions!$C$25,2)</f>
        <v>1461.58</v>
      </c>
      <c r="W345" s="17" t="n">
        <f aca="false">ROUND(T345-U345-V345,2)</f>
        <v>13949.44</v>
      </c>
      <c r="X345" s="28" t="n">
        <f aca="false">T345/I345</f>
        <v>0.783331240699405</v>
      </c>
      <c r="Y345" s="17" t="n">
        <f aca="false">T345/F345</f>
        <v>75.1997991071429</v>
      </c>
      <c r="Z345" s="26" t="n">
        <f aca="false">Accounts!H36</f>
        <v>4836</v>
      </c>
      <c r="AA345" s="28" t="n">
        <f aca="false">IF(Z345&gt;=Assumptions!$B$44,Assumptions!$C$44,IF(Z345&gt;=Assumptions!$B$45,Assumptions!$C$45,IF(Z345&gt;=Assumptions!$B$46,Assumptions!$C$46,Assumptions!$C$47)))</f>
        <v>0.02</v>
      </c>
      <c r="AB345" s="26" t="n">
        <f aca="false">IF(Z345&gt;=Assumptions!$B$44,Assumptions!$B$44,IF(Z345&gt;=Assumptions!$B$45,Assumptions!$B$45,IF(Z345&gt;=Assumptions!$B$46,Assumptions!$B$46,0)))</f>
        <v>3000</v>
      </c>
    </row>
    <row r="346" customFormat="false" ht="15" hidden="false" customHeight="false" outlineLevel="0" collapsed="false">
      <c r="B346" s="14" t="s">
        <v>192</v>
      </c>
      <c r="C346" s="14" t="s">
        <v>162</v>
      </c>
      <c r="D346" s="14" t="s">
        <v>184</v>
      </c>
      <c r="E346" s="14" t="s">
        <v>64</v>
      </c>
      <c r="F346" s="26" t="n">
        <f aca="false">Accounts!G45</f>
        <v>2110</v>
      </c>
      <c r="G346" s="17" t="n">
        <f aca="false">Assumptions!$D$10</f>
        <v>96</v>
      </c>
      <c r="H346" s="17" t="n">
        <f aca="false">Assumptions!$E$10</f>
        <v>58</v>
      </c>
      <c r="I346" s="17" t="n">
        <f aca="false">ROUND(F346*G346,2)</f>
        <v>202560</v>
      </c>
      <c r="J346" s="17" t="n">
        <f aca="false">ROUND(I346*Accounts!O45,2)</f>
        <v>8102.4</v>
      </c>
      <c r="K346" s="17" t="n">
        <f aca="false">ROUND(I346*Accounts!N45,2)</f>
        <v>17501.18</v>
      </c>
      <c r="L346" s="17" t="n">
        <f aca="false">ROUND(I346-J346-K346,2)</f>
        <v>176956.42</v>
      </c>
      <c r="M346" s="17" t="n">
        <f aca="false">ROUND(L346*AA346,2)</f>
        <v>3539.13</v>
      </c>
      <c r="N346" s="17" t="n">
        <f aca="false">ROUND(L346*Accounts!R45,2)</f>
        <v>3539.13</v>
      </c>
      <c r="O346" s="17" t="n">
        <f aca="false">ROUND(L346*Accounts!S45,2)</f>
        <v>2654.35</v>
      </c>
      <c r="P346" s="17" t="n">
        <f aca="false">ROUND(L346*Accounts!T45,2)</f>
        <v>4423.91</v>
      </c>
      <c r="Q346" s="17" t="n">
        <f aca="false">ROUND(L346*Accounts!U45,2)</f>
        <v>0</v>
      </c>
      <c r="R346" s="17" t="n">
        <f aca="false">ROUND(L346*Accounts!V45,2)</f>
        <v>1415.65</v>
      </c>
      <c r="S346" s="17" t="n">
        <f aca="false">ROUND(L346*Accounts!W45,2)</f>
        <v>1769.56</v>
      </c>
      <c r="T346" s="17" t="n">
        <f aca="false">ROUND(L346-SUM(M346:S346),2)</f>
        <v>159614.69</v>
      </c>
      <c r="U346" s="17" t="n">
        <f aca="false">ROUND(F346*H346,2)</f>
        <v>122380</v>
      </c>
      <c r="V346" s="17" t="n">
        <f aca="false">ROUND(L346*Assumptions!$C$25,2)</f>
        <v>3539.13</v>
      </c>
      <c r="W346" s="17" t="n">
        <f aca="false">ROUND(T346-U346-V346,2)</f>
        <v>33695.56</v>
      </c>
      <c r="X346" s="28" t="n">
        <f aca="false">T346/I346</f>
        <v>0.787987213665087</v>
      </c>
      <c r="Y346" s="17" t="n">
        <f aca="false">T346/F346</f>
        <v>75.6467725118483</v>
      </c>
      <c r="Z346" s="26" t="n">
        <f aca="false">Accounts!H45</f>
        <v>7930</v>
      </c>
      <c r="AA346" s="28" t="n">
        <f aca="false">IF(Z346&gt;=Assumptions!$B$44,Assumptions!$C$44,IF(Z346&gt;=Assumptions!$B$45,Assumptions!$C$45,IF(Z346&gt;=Assumptions!$B$46,Assumptions!$C$46,Assumptions!$C$47)))</f>
        <v>0.02</v>
      </c>
      <c r="AB346" s="26" t="n">
        <f aca="false">IF(Z346&gt;=Assumptions!$B$44,Assumptions!$B$44,IF(Z346&gt;=Assumptions!$B$45,Assumptions!$B$45,IF(Z346&gt;=Assumptions!$B$46,Assumptions!$B$46,0)))</f>
        <v>3000</v>
      </c>
    </row>
    <row r="347" customFormat="false" ht="15" hidden="false" customHeight="false" outlineLevel="0" collapsed="false">
      <c r="B347" s="14" t="s">
        <v>172</v>
      </c>
      <c r="C347" s="14" t="s">
        <v>162</v>
      </c>
      <c r="D347" s="14" t="s">
        <v>163</v>
      </c>
      <c r="E347" s="14" t="s">
        <v>64</v>
      </c>
      <c r="F347" s="26" t="n">
        <f aca="false">Accounts!G27</f>
        <v>2490</v>
      </c>
      <c r="G347" s="17" t="n">
        <f aca="false">Assumptions!$D$10</f>
        <v>96</v>
      </c>
      <c r="H347" s="17" t="n">
        <f aca="false">Assumptions!$E$10</f>
        <v>58</v>
      </c>
      <c r="I347" s="17" t="n">
        <f aca="false">ROUND(F347*G347,2)</f>
        <v>239040</v>
      </c>
      <c r="J347" s="17" t="n">
        <f aca="false">ROUND(I347*Accounts!O27,2)</f>
        <v>9561.6</v>
      </c>
      <c r="K347" s="17" t="n">
        <f aca="false">ROUND(I347*Accounts!N27,2)</f>
        <v>33274.37</v>
      </c>
      <c r="L347" s="17" t="n">
        <f aca="false">ROUND(I347-J347-K347,2)</f>
        <v>196204.03</v>
      </c>
      <c r="M347" s="17" t="n">
        <f aca="false">ROUND(L347*AA347,2)</f>
        <v>3924.08</v>
      </c>
      <c r="N347" s="17" t="n">
        <f aca="false">ROUND(L347*Accounts!R27,2)</f>
        <v>3924.08</v>
      </c>
      <c r="O347" s="17" t="n">
        <f aca="false">ROUND(L347*Accounts!S27,2)</f>
        <v>2943.06</v>
      </c>
      <c r="P347" s="17" t="n">
        <f aca="false">ROUND(L347*Accounts!T27,2)</f>
        <v>4905.1</v>
      </c>
      <c r="Q347" s="17" t="n">
        <f aca="false">ROUND(L347*Accounts!U27,2)</f>
        <v>2943.06</v>
      </c>
      <c r="R347" s="17" t="n">
        <f aca="false">ROUND(L347*Accounts!V27,2)</f>
        <v>1569.63</v>
      </c>
      <c r="S347" s="17" t="n">
        <f aca="false">ROUND(L347*Accounts!W27,2)</f>
        <v>1962.04</v>
      </c>
      <c r="T347" s="17" t="n">
        <f aca="false">ROUND(L347-SUM(M347:S347),2)</f>
        <v>174032.98</v>
      </c>
      <c r="U347" s="17" t="n">
        <f aca="false">ROUND(F347*H347,2)</f>
        <v>144420</v>
      </c>
      <c r="V347" s="17" t="n">
        <f aca="false">ROUND(L347*Assumptions!$C$25,2)</f>
        <v>3924.08</v>
      </c>
      <c r="W347" s="17" t="n">
        <f aca="false">ROUND(T347-U347-V347,2)</f>
        <v>25688.9</v>
      </c>
      <c r="X347" s="28" t="n">
        <f aca="false">T347/I347</f>
        <v>0.728049615127175</v>
      </c>
      <c r="Y347" s="17" t="n">
        <f aca="false">T347/F347</f>
        <v>69.8927630522088</v>
      </c>
      <c r="Z347" s="26" t="n">
        <f aca="false">Accounts!H27</f>
        <v>8144</v>
      </c>
      <c r="AA347" s="28" t="n">
        <f aca="false">IF(Z347&gt;=Assumptions!$B$44,Assumptions!$C$44,IF(Z347&gt;=Assumptions!$B$45,Assumptions!$C$45,IF(Z347&gt;=Assumptions!$B$46,Assumptions!$C$46,Assumptions!$C$47)))</f>
        <v>0.02</v>
      </c>
      <c r="AB347" s="26" t="n">
        <f aca="false">IF(Z347&gt;=Assumptions!$B$44,Assumptions!$B$44,IF(Z347&gt;=Assumptions!$B$45,Assumptions!$B$45,IF(Z347&gt;=Assumptions!$B$46,Assumptions!$B$46,0)))</f>
        <v>3000</v>
      </c>
    </row>
    <row r="348" customFormat="false" ht="15" hidden="false" customHeight="false" outlineLevel="0" collapsed="false">
      <c r="B348" s="14" t="s">
        <v>193</v>
      </c>
      <c r="C348" s="14" t="s">
        <v>194</v>
      </c>
      <c r="D348" s="14" t="s">
        <v>163</v>
      </c>
      <c r="E348" s="14" t="s">
        <v>64</v>
      </c>
      <c r="F348" s="26" t="n">
        <f aca="false">Accounts!G46</f>
        <v>2251</v>
      </c>
      <c r="G348" s="17" t="n">
        <f aca="false">Assumptions!$D$10</f>
        <v>96</v>
      </c>
      <c r="H348" s="17" t="n">
        <f aca="false">Assumptions!$E$10</f>
        <v>58</v>
      </c>
      <c r="I348" s="17" t="n">
        <f aca="false">ROUND(F348*G348,2)</f>
        <v>216096</v>
      </c>
      <c r="J348" s="17" t="n">
        <f aca="false">ROUND(I348*Accounts!O46,2)</f>
        <v>8643.84</v>
      </c>
      <c r="K348" s="17" t="n">
        <f aca="false">ROUND(I348*Accounts!N46,2)</f>
        <v>23857</v>
      </c>
      <c r="L348" s="17" t="n">
        <f aca="false">ROUND(I348-J348-K348,2)</f>
        <v>183595.16</v>
      </c>
      <c r="M348" s="17" t="n">
        <f aca="false">ROUND(L348*AA348,2)</f>
        <v>3671.9</v>
      </c>
      <c r="N348" s="17" t="n">
        <f aca="false">ROUND(L348*Accounts!R46,2)</f>
        <v>3671.9</v>
      </c>
      <c r="O348" s="17" t="n">
        <f aca="false">ROUND(L348*Accounts!S46,2)</f>
        <v>0</v>
      </c>
      <c r="P348" s="17" t="n">
        <f aca="false">ROUND(L348*Accounts!T46,2)</f>
        <v>0</v>
      </c>
      <c r="Q348" s="17" t="n">
        <f aca="false">ROUND(L348*Accounts!U46,2)</f>
        <v>0</v>
      </c>
      <c r="R348" s="17" t="n">
        <f aca="false">ROUND(L348*Accounts!V46,2)</f>
        <v>1101.57</v>
      </c>
      <c r="S348" s="17" t="n">
        <f aca="false">ROUND(L348*Accounts!W46,2)</f>
        <v>0</v>
      </c>
      <c r="T348" s="17" t="n">
        <f aca="false">ROUND(L348-SUM(M348:S348),2)</f>
        <v>175149.79</v>
      </c>
      <c r="U348" s="17" t="n">
        <f aca="false">ROUND(F348*H348,2)</f>
        <v>130558</v>
      </c>
      <c r="V348" s="17" t="n">
        <f aca="false">ROUND(L348*Assumptions!$C$25,2)</f>
        <v>3671.9</v>
      </c>
      <c r="W348" s="17" t="n">
        <f aca="false">ROUND(T348-U348-V348,2)</f>
        <v>40919.89</v>
      </c>
      <c r="X348" s="28" t="n">
        <f aca="false">T348/I348</f>
        <v>0.810518426995409</v>
      </c>
      <c r="Y348" s="17" t="n">
        <f aca="false">T348/F348</f>
        <v>77.8097689915593</v>
      </c>
      <c r="Z348" s="26" t="n">
        <f aca="false">Accounts!H46</f>
        <v>7398</v>
      </c>
      <c r="AA348" s="28" t="n">
        <f aca="false">IF(Z348&gt;=Assumptions!$B$44,Assumptions!$C$44,IF(Z348&gt;=Assumptions!$B$45,Assumptions!$C$45,IF(Z348&gt;=Assumptions!$B$46,Assumptions!$C$46,Assumptions!$C$47)))</f>
        <v>0.02</v>
      </c>
      <c r="AB348" s="26" t="n">
        <f aca="false">IF(Z348&gt;=Assumptions!$B$44,Assumptions!$B$44,IF(Z348&gt;=Assumptions!$B$45,Assumptions!$B$45,IF(Z348&gt;=Assumptions!$B$46,Assumptions!$B$46,0)))</f>
        <v>3000</v>
      </c>
    </row>
    <row r="349" customFormat="false" ht="15" hidden="false" customHeight="false" outlineLevel="0" collapsed="false">
      <c r="B349" s="14" t="s">
        <v>202</v>
      </c>
      <c r="C349" s="14" t="s">
        <v>194</v>
      </c>
      <c r="D349" s="14" t="s">
        <v>174</v>
      </c>
      <c r="E349" s="14" t="s">
        <v>64</v>
      </c>
      <c r="F349" s="26" t="n">
        <f aca="false">Accounts!G54</f>
        <v>404</v>
      </c>
      <c r="G349" s="17" t="n">
        <f aca="false">Assumptions!$D$10</f>
        <v>96</v>
      </c>
      <c r="H349" s="17" t="n">
        <f aca="false">Assumptions!$E$10</f>
        <v>58</v>
      </c>
      <c r="I349" s="17" t="n">
        <f aca="false">ROUND(F349*G349,2)</f>
        <v>38784</v>
      </c>
      <c r="J349" s="17" t="n">
        <f aca="false">ROUND(I349*Accounts!O54,2)</f>
        <v>1551.36</v>
      </c>
      <c r="K349" s="17" t="n">
        <f aca="false">ROUND(I349*Accounts!N54,2)</f>
        <v>0</v>
      </c>
      <c r="L349" s="17" t="n">
        <f aca="false">ROUND(I349-J349-K349,2)</f>
        <v>37232.64</v>
      </c>
      <c r="M349" s="17" t="n">
        <f aca="false">ROUND(L349*AA349,2)</f>
        <v>0</v>
      </c>
      <c r="N349" s="17" t="n">
        <f aca="false">ROUND(L349*Accounts!R54,2)</f>
        <v>744.65</v>
      </c>
      <c r="O349" s="17" t="n">
        <f aca="false">ROUND(L349*Accounts!S54,2)</f>
        <v>558.49</v>
      </c>
      <c r="P349" s="17" t="n">
        <f aca="false">ROUND(L349*Accounts!T54,2)</f>
        <v>0</v>
      </c>
      <c r="Q349" s="17" t="n">
        <f aca="false">ROUND(L349*Accounts!U54,2)</f>
        <v>0</v>
      </c>
      <c r="R349" s="17" t="n">
        <f aca="false">ROUND(L349*Accounts!V54,2)</f>
        <v>223.4</v>
      </c>
      <c r="S349" s="17" t="n">
        <f aca="false">ROUND(L349*Accounts!W54,2)</f>
        <v>186.16</v>
      </c>
      <c r="T349" s="17" t="n">
        <f aca="false">ROUND(L349-SUM(M349:S349),2)</f>
        <v>35519.94</v>
      </c>
      <c r="U349" s="17" t="n">
        <f aca="false">ROUND(F349*H349,2)</f>
        <v>23432</v>
      </c>
      <c r="V349" s="17" t="n">
        <f aca="false">ROUND(L349*Assumptions!$C$25,2)</f>
        <v>744.65</v>
      </c>
      <c r="W349" s="17" t="n">
        <f aca="false">ROUND(T349-U349-V349,2)</f>
        <v>11343.29</v>
      </c>
      <c r="X349" s="28" t="n">
        <f aca="false">T349/I349</f>
        <v>0.915840037128713</v>
      </c>
      <c r="Y349" s="17" t="n">
        <f aca="false">T349/F349</f>
        <v>87.9206435643564</v>
      </c>
      <c r="Z349" s="26" t="n">
        <f aca="false">Accounts!H54</f>
        <v>1503</v>
      </c>
      <c r="AA349" s="28" t="n">
        <f aca="false">IF(Z349&gt;=Assumptions!$B$44,Assumptions!$C$44,IF(Z349&gt;=Assumptions!$B$45,Assumptions!$C$45,IF(Z349&gt;=Assumptions!$B$46,Assumptions!$C$46,Assumptions!$C$47)))</f>
        <v>0</v>
      </c>
      <c r="AB349" s="26" t="n">
        <f aca="false">IF(Z349&gt;=Assumptions!$B$44,Assumptions!$B$44,IF(Z349&gt;=Assumptions!$B$45,Assumptions!$B$45,IF(Z349&gt;=Assumptions!$B$46,Assumptions!$B$46,0)))</f>
        <v>0</v>
      </c>
    </row>
    <row r="350" customFormat="false" ht="15" hidden="false" customHeight="false" outlineLevel="0" collapsed="false">
      <c r="B350" s="14" t="s">
        <v>210</v>
      </c>
      <c r="C350" s="14" t="s">
        <v>194</v>
      </c>
      <c r="D350" s="14" t="s">
        <v>184</v>
      </c>
      <c r="E350" s="14" t="s">
        <v>64</v>
      </c>
      <c r="F350" s="26" t="n">
        <f aca="false">Accounts!G62</f>
        <v>481</v>
      </c>
      <c r="G350" s="17" t="n">
        <f aca="false">Assumptions!$D$10</f>
        <v>96</v>
      </c>
      <c r="H350" s="17" t="n">
        <f aca="false">Assumptions!$E$10</f>
        <v>58</v>
      </c>
      <c r="I350" s="17" t="n">
        <f aca="false">ROUND(F350*G350,2)</f>
        <v>46176</v>
      </c>
      <c r="J350" s="17" t="n">
        <f aca="false">ROUND(I350*Accounts!O62,2)</f>
        <v>1847.04</v>
      </c>
      <c r="K350" s="17" t="n">
        <f aca="false">ROUND(I350*Accounts!N62,2)</f>
        <v>1108.22</v>
      </c>
      <c r="L350" s="17" t="n">
        <f aca="false">ROUND(I350-J350-K350,2)</f>
        <v>43220.74</v>
      </c>
      <c r="M350" s="17" t="n">
        <f aca="false">ROUND(L350*AA350,2)</f>
        <v>0</v>
      </c>
      <c r="N350" s="17" t="n">
        <f aca="false">ROUND(L350*Accounts!R62,2)</f>
        <v>0</v>
      </c>
      <c r="O350" s="17" t="n">
        <f aca="false">ROUND(L350*Accounts!S62,2)</f>
        <v>0</v>
      </c>
      <c r="P350" s="17" t="n">
        <f aca="false">ROUND(L350*Accounts!T62,2)</f>
        <v>0</v>
      </c>
      <c r="Q350" s="17" t="n">
        <f aca="false">ROUND(L350*Accounts!U62,2)</f>
        <v>0</v>
      </c>
      <c r="R350" s="17" t="n">
        <f aca="false">ROUND(L350*Accounts!V62,2)</f>
        <v>259.32</v>
      </c>
      <c r="S350" s="17" t="n">
        <f aca="false">ROUND(L350*Accounts!W62,2)</f>
        <v>0</v>
      </c>
      <c r="T350" s="17" t="n">
        <f aca="false">ROUND(L350-SUM(M350:S350),2)</f>
        <v>42961.42</v>
      </c>
      <c r="U350" s="17" t="n">
        <f aca="false">ROUND(F350*H350,2)</f>
        <v>27898</v>
      </c>
      <c r="V350" s="17" t="n">
        <f aca="false">ROUND(L350*Assumptions!$C$25,2)</f>
        <v>864.41</v>
      </c>
      <c r="W350" s="17" t="n">
        <f aca="false">ROUND(T350-U350-V350,2)</f>
        <v>14199.01</v>
      </c>
      <c r="X350" s="28" t="n">
        <f aca="false">T350/I350</f>
        <v>0.930384182259182</v>
      </c>
      <c r="Y350" s="17" t="n">
        <f aca="false">T350/F350</f>
        <v>89.3168814968815</v>
      </c>
      <c r="Z350" s="26" t="n">
        <f aca="false">Accounts!H62</f>
        <v>1999</v>
      </c>
      <c r="AA350" s="28" t="n">
        <f aca="false">IF(Z350&gt;=Assumptions!$B$44,Assumptions!$C$44,IF(Z350&gt;=Assumptions!$B$45,Assumptions!$C$45,IF(Z350&gt;=Assumptions!$B$46,Assumptions!$C$46,Assumptions!$C$47)))</f>
        <v>0</v>
      </c>
      <c r="AB350" s="26" t="n">
        <f aca="false">IF(Z350&gt;=Assumptions!$B$44,Assumptions!$B$44,IF(Z350&gt;=Assumptions!$B$45,Assumptions!$B$45,IF(Z350&gt;=Assumptions!$B$46,Assumptions!$B$46,0)))</f>
        <v>0</v>
      </c>
    </row>
    <row r="351" customFormat="false" ht="15" hidden="false" customHeight="false" outlineLevel="0" collapsed="false">
      <c r="B351" s="14" t="s">
        <v>217</v>
      </c>
      <c r="C351" s="14" t="s">
        <v>194</v>
      </c>
      <c r="D351" s="14" t="s">
        <v>218</v>
      </c>
      <c r="E351" s="14" t="s">
        <v>64</v>
      </c>
      <c r="F351" s="26" t="n">
        <f aca="false">Accounts!G70</f>
        <v>1568</v>
      </c>
      <c r="G351" s="17" t="n">
        <f aca="false">Assumptions!$D$10</f>
        <v>96</v>
      </c>
      <c r="H351" s="17" t="n">
        <f aca="false">Assumptions!$E$10</f>
        <v>58</v>
      </c>
      <c r="I351" s="17" t="n">
        <f aca="false">ROUND(F351*G351,2)</f>
        <v>150528</v>
      </c>
      <c r="J351" s="17" t="n">
        <f aca="false">ROUND(I351*Accounts!O70,2)</f>
        <v>3010.56</v>
      </c>
      <c r="K351" s="17" t="n">
        <f aca="false">ROUND(I351*Accounts!N70,2)</f>
        <v>7947.88</v>
      </c>
      <c r="L351" s="17" t="n">
        <f aca="false">ROUND(I351-J351-K351,2)</f>
        <v>139569.56</v>
      </c>
      <c r="M351" s="17" t="n">
        <f aca="false">ROUND(L351*AA351,2)</f>
        <v>2791.39</v>
      </c>
      <c r="N351" s="17" t="n">
        <f aca="false">ROUND(L351*Accounts!R70,2)</f>
        <v>0</v>
      </c>
      <c r="O351" s="17" t="n">
        <f aca="false">ROUND(L351*Accounts!S70,2)</f>
        <v>2093.54</v>
      </c>
      <c r="P351" s="17" t="n">
        <f aca="false">ROUND(L351*Accounts!T70,2)</f>
        <v>0</v>
      </c>
      <c r="Q351" s="17" t="n">
        <f aca="false">ROUND(L351*Accounts!U70,2)</f>
        <v>0</v>
      </c>
      <c r="R351" s="17" t="n">
        <f aca="false">ROUND(L351*Accounts!V70,2)</f>
        <v>837.42</v>
      </c>
      <c r="S351" s="17" t="n">
        <f aca="false">ROUND(L351*Accounts!W70,2)</f>
        <v>697.85</v>
      </c>
      <c r="T351" s="17" t="n">
        <f aca="false">ROUND(L351-SUM(M351:S351),2)</f>
        <v>133149.36</v>
      </c>
      <c r="U351" s="17" t="n">
        <f aca="false">ROUND(F351*H351,2)</f>
        <v>90944</v>
      </c>
      <c r="V351" s="17" t="n">
        <f aca="false">ROUND(L351*Assumptions!$C$25,2)</f>
        <v>2791.39</v>
      </c>
      <c r="W351" s="17" t="n">
        <f aca="false">ROUND(T351-U351-V351,2)</f>
        <v>39413.97</v>
      </c>
      <c r="X351" s="28" t="n">
        <f aca="false">T351/I351</f>
        <v>0.884548788265306</v>
      </c>
      <c r="Y351" s="17" t="n">
        <f aca="false">T351/F351</f>
        <v>84.9166836734694</v>
      </c>
      <c r="Z351" s="26" t="n">
        <f aca="false">Accounts!H70</f>
        <v>5628</v>
      </c>
      <c r="AA351" s="28" t="n">
        <f aca="false">IF(Z351&gt;=Assumptions!$B$44,Assumptions!$C$44,IF(Z351&gt;=Assumptions!$B$45,Assumptions!$C$45,IF(Z351&gt;=Assumptions!$B$46,Assumptions!$C$46,Assumptions!$C$47)))</f>
        <v>0.02</v>
      </c>
      <c r="AB351" s="26" t="n">
        <f aca="false">IF(Z351&gt;=Assumptions!$B$44,Assumptions!$B$44,IF(Z351&gt;=Assumptions!$B$45,Assumptions!$B$45,IF(Z351&gt;=Assumptions!$B$46,Assumptions!$B$46,0)))</f>
        <v>3000</v>
      </c>
    </row>
    <row r="352" customFormat="false" ht="15" hidden="false" customHeight="false" outlineLevel="0" collapsed="false">
      <c r="B352" s="14" t="s">
        <v>226</v>
      </c>
      <c r="C352" s="14" t="s">
        <v>194</v>
      </c>
      <c r="D352" s="14" t="s">
        <v>227</v>
      </c>
      <c r="E352" s="14" t="s">
        <v>64</v>
      </c>
      <c r="F352" s="26" t="n">
        <f aca="false">Accounts!G78</f>
        <v>752</v>
      </c>
      <c r="G352" s="17" t="n">
        <f aca="false">Assumptions!$D$10</f>
        <v>96</v>
      </c>
      <c r="H352" s="17" t="n">
        <f aca="false">Assumptions!$E$10</f>
        <v>58</v>
      </c>
      <c r="I352" s="17" t="n">
        <f aca="false">ROUND(F352*G352,2)</f>
        <v>72192</v>
      </c>
      <c r="J352" s="17" t="n">
        <f aca="false">ROUND(I352*Accounts!O78,2)</f>
        <v>1443.84</v>
      </c>
      <c r="K352" s="17" t="n">
        <f aca="false">ROUND(I352*Accounts!N78,2)</f>
        <v>10742.17</v>
      </c>
      <c r="L352" s="17" t="n">
        <f aca="false">ROUND(I352-J352-K352,2)</f>
        <v>60005.99</v>
      </c>
      <c r="M352" s="17" t="n">
        <f aca="false">ROUND(L352*AA352,2)</f>
        <v>0</v>
      </c>
      <c r="N352" s="17" t="n">
        <f aca="false">ROUND(L352*Accounts!R78,2)</f>
        <v>1200.12</v>
      </c>
      <c r="O352" s="17" t="n">
        <f aca="false">ROUND(L352*Accounts!S78,2)</f>
        <v>900.09</v>
      </c>
      <c r="P352" s="17" t="n">
        <f aca="false">ROUND(L352*Accounts!T78,2)</f>
        <v>0</v>
      </c>
      <c r="Q352" s="17" t="n">
        <f aca="false">ROUND(L352*Accounts!U78,2)</f>
        <v>0</v>
      </c>
      <c r="R352" s="17" t="n">
        <f aca="false">ROUND(L352*Accounts!V78,2)</f>
        <v>360.04</v>
      </c>
      <c r="S352" s="17" t="n">
        <f aca="false">ROUND(L352*Accounts!W78,2)</f>
        <v>0</v>
      </c>
      <c r="T352" s="17" t="n">
        <f aca="false">ROUND(L352-SUM(M352:S352),2)</f>
        <v>57545.74</v>
      </c>
      <c r="U352" s="17" t="n">
        <f aca="false">ROUND(F352*H352,2)</f>
        <v>43616</v>
      </c>
      <c r="V352" s="17" t="n">
        <f aca="false">ROUND(L352*Assumptions!$C$25,2)</f>
        <v>1200.12</v>
      </c>
      <c r="W352" s="17" t="n">
        <f aca="false">ROUND(T352-U352-V352,2)</f>
        <v>12729.62</v>
      </c>
      <c r="X352" s="28" t="n">
        <f aca="false">T352/I352</f>
        <v>0.797120733599291</v>
      </c>
      <c r="Y352" s="17" t="n">
        <f aca="false">T352/F352</f>
        <v>76.5235904255319</v>
      </c>
      <c r="Z352" s="26" t="n">
        <f aca="false">Accounts!H78</f>
        <v>2647</v>
      </c>
      <c r="AA352" s="28" t="n">
        <f aca="false">IF(Z352&gt;=Assumptions!$B$44,Assumptions!$C$44,IF(Z352&gt;=Assumptions!$B$45,Assumptions!$C$45,IF(Z352&gt;=Assumptions!$B$46,Assumptions!$C$46,Assumptions!$C$47)))</f>
        <v>0</v>
      </c>
      <c r="AB352" s="26" t="n">
        <f aca="false">IF(Z352&gt;=Assumptions!$B$44,Assumptions!$B$44,IF(Z352&gt;=Assumptions!$B$45,Assumptions!$B$45,IF(Z352&gt;=Assumptions!$B$46,Assumptions!$B$46,0)))</f>
        <v>0</v>
      </c>
    </row>
    <row r="353" customFormat="false" ht="15" hidden="false" customHeight="false" outlineLevel="0" collapsed="false">
      <c r="B353" s="14" t="s">
        <v>234</v>
      </c>
      <c r="C353" s="14" t="s">
        <v>194</v>
      </c>
      <c r="D353" s="14" t="s">
        <v>235</v>
      </c>
      <c r="E353" s="14" t="s">
        <v>64</v>
      </c>
      <c r="F353" s="26" t="n">
        <f aca="false">Accounts!G85</f>
        <v>921</v>
      </c>
      <c r="G353" s="17" t="n">
        <f aca="false">Assumptions!$D$10</f>
        <v>96</v>
      </c>
      <c r="H353" s="17" t="n">
        <f aca="false">Assumptions!$E$10</f>
        <v>58</v>
      </c>
      <c r="I353" s="17" t="n">
        <f aca="false">ROUND(F353*G353,2)</f>
        <v>88416</v>
      </c>
      <c r="J353" s="17" t="n">
        <f aca="false">ROUND(I353*Accounts!O85,2)</f>
        <v>3536.64</v>
      </c>
      <c r="K353" s="17" t="n">
        <f aca="false">ROUND(I353*Accounts!N85,2)</f>
        <v>0</v>
      </c>
      <c r="L353" s="17" t="n">
        <f aca="false">ROUND(I353-J353-K353,2)</f>
        <v>84879.36</v>
      </c>
      <c r="M353" s="17" t="n">
        <f aca="false">ROUND(L353*AA353,2)</f>
        <v>1697.59</v>
      </c>
      <c r="N353" s="17" t="n">
        <f aca="false">ROUND(L353*Accounts!R85,2)</f>
        <v>0</v>
      </c>
      <c r="O353" s="17" t="n">
        <f aca="false">ROUND(L353*Accounts!S85,2)</f>
        <v>0</v>
      </c>
      <c r="P353" s="17" t="n">
        <f aca="false">ROUND(L353*Accounts!T85,2)</f>
        <v>0</v>
      </c>
      <c r="Q353" s="17" t="n">
        <f aca="false">ROUND(L353*Accounts!U85,2)</f>
        <v>0</v>
      </c>
      <c r="R353" s="17" t="n">
        <f aca="false">ROUND(L353*Accounts!V85,2)</f>
        <v>509.28</v>
      </c>
      <c r="S353" s="17" t="n">
        <f aca="false">ROUND(L353*Accounts!W85,2)</f>
        <v>424.4</v>
      </c>
      <c r="T353" s="17" t="n">
        <f aca="false">ROUND(L353-SUM(M353:S353),2)</f>
        <v>82248.09</v>
      </c>
      <c r="U353" s="17" t="n">
        <f aca="false">ROUND(F353*H353,2)</f>
        <v>53418</v>
      </c>
      <c r="V353" s="17" t="n">
        <f aca="false">ROUND(L353*Assumptions!$C$25,2)</f>
        <v>1697.59</v>
      </c>
      <c r="W353" s="17" t="n">
        <f aca="false">ROUND(T353-U353-V353,2)</f>
        <v>27132.5</v>
      </c>
      <c r="X353" s="28" t="n">
        <f aca="false">T353/I353</f>
        <v>0.930239888707926</v>
      </c>
      <c r="Y353" s="17" t="n">
        <f aca="false">T353/F353</f>
        <v>89.3030293159609</v>
      </c>
      <c r="Z353" s="26" t="n">
        <f aca="false">Accounts!H85</f>
        <v>3298</v>
      </c>
      <c r="AA353" s="28" t="n">
        <f aca="false">IF(Z353&gt;=Assumptions!$B$44,Assumptions!$C$44,IF(Z353&gt;=Assumptions!$B$45,Assumptions!$C$45,IF(Z353&gt;=Assumptions!$B$46,Assumptions!$C$46,Assumptions!$C$47)))</f>
        <v>0.02</v>
      </c>
      <c r="AB353" s="26" t="n">
        <f aca="false">IF(Z353&gt;=Assumptions!$B$44,Assumptions!$B$44,IF(Z353&gt;=Assumptions!$B$45,Assumptions!$B$45,IF(Z353&gt;=Assumptions!$B$46,Assumptions!$B$46,0)))</f>
        <v>3000</v>
      </c>
    </row>
    <row r="354" customFormat="false" ht="15" hidden="false" customHeight="false" outlineLevel="0" collapsed="false">
      <c r="B354" s="14" t="s">
        <v>242</v>
      </c>
      <c r="C354" s="14" t="s">
        <v>194</v>
      </c>
      <c r="D354" s="14" t="s">
        <v>243</v>
      </c>
      <c r="E354" s="14" t="s">
        <v>64</v>
      </c>
      <c r="F354" s="26" t="n">
        <f aca="false">Accounts!G92</f>
        <v>651</v>
      </c>
      <c r="G354" s="17" t="n">
        <f aca="false">Assumptions!$D$10</f>
        <v>96</v>
      </c>
      <c r="H354" s="17" t="n">
        <f aca="false">Assumptions!$E$10</f>
        <v>58</v>
      </c>
      <c r="I354" s="17" t="n">
        <f aca="false">ROUND(F354*G354,2)</f>
        <v>62496</v>
      </c>
      <c r="J354" s="17" t="n">
        <f aca="false">ROUND(I354*Accounts!O92,2)</f>
        <v>2499.84</v>
      </c>
      <c r="K354" s="17" t="n">
        <f aca="false">ROUND(I354*Accounts!N92,2)</f>
        <v>0</v>
      </c>
      <c r="L354" s="17" t="n">
        <f aca="false">ROUND(I354-J354-K354,2)</f>
        <v>59996.16</v>
      </c>
      <c r="M354" s="17" t="n">
        <f aca="false">ROUND(L354*AA354,2)</f>
        <v>0</v>
      </c>
      <c r="N354" s="17" t="n">
        <f aca="false">ROUND(L354*Accounts!R92,2)</f>
        <v>1199.92</v>
      </c>
      <c r="O354" s="17" t="n">
        <f aca="false">ROUND(L354*Accounts!S92,2)</f>
        <v>0</v>
      </c>
      <c r="P354" s="17" t="n">
        <f aca="false">ROUND(L354*Accounts!T92,2)</f>
        <v>0</v>
      </c>
      <c r="Q354" s="17" t="n">
        <f aca="false">ROUND(L354*Accounts!U92,2)</f>
        <v>0</v>
      </c>
      <c r="R354" s="17" t="n">
        <f aca="false">ROUND(L354*Accounts!V92,2)</f>
        <v>359.98</v>
      </c>
      <c r="S354" s="17" t="n">
        <f aca="false">ROUND(L354*Accounts!W92,2)</f>
        <v>0</v>
      </c>
      <c r="T354" s="17" t="n">
        <f aca="false">ROUND(L354-SUM(M354:S354),2)</f>
        <v>58436.26</v>
      </c>
      <c r="U354" s="17" t="n">
        <f aca="false">ROUND(F354*H354,2)</f>
        <v>37758</v>
      </c>
      <c r="V354" s="17" t="n">
        <f aca="false">ROUND(L354*Assumptions!$C$25,2)</f>
        <v>1199.92</v>
      </c>
      <c r="W354" s="17" t="n">
        <f aca="false">ROUND(T354-U354-V354,2)</f>
        <v>19478.34</v>
      </c>
      <c r="X354" s="28" t="n">
        <f aca="false">T354/I354</f>
        <v>0.935040002560164</v>
      </c>
      <c r="Y354" s="17" t="n">
        <f aca="false">T354/F354</f>
        <v>89.7638402457757</v>
      </c>
      <c r="Z354" s="26" t="n">
        <f aca="false">Accounts!H92</f>
        <v>1278</v>
      </c>
      <c r="AA354" s="28" t="n">
        <f aca="false">IF(Z354&gt;=Assumptions!$B$44,Assumptions!$C$44,IF(Z354&gt;=Assumptions!$B$45,Assumptions!$C$45,IF(Z354&gt;=Assumptions!$B$46,Assumptions!$C$46,Assumptions!$C$47)))</f>
        <v>0</v>
      </c>
      <c r="AB354" s="26" t="n">
        <f aca="false">IF(Z354&gt;=Assumptions!$B$44,Assumptions!$B$44,IF(Z354&gt;=Assumptions!$B$45,Assumptions!$B$45,IF(Z354&gt;=Assumptions!$B$46,Assumptions!$B$46,0)))</f>
        <v>0</v>
      </c>
    </row>
    <row r="355" customFormat="false" ht="15" hidden="false" customHeight="false" outlineLevel="0" collapsed="false">
      <c r="B355" s="14" t="s">
        <v>250</v>
      </c>
      <c r="C355" s="14" t="s">
        <v>194</v>
      </c>
      <c r="D355" s="14" t="s">
        <v>251</v>
      </c>
      <c r="E355" s="14" t="s">
        <v>64</v>
      </c>
      <c r="F355" s="26" t="n">
        <f aca="false">Accounts!G99</f>
        <v>394</v>
      </c>
      <c r="G355" s="17" t="n">
        <f aca="false">Assumptions!$D$10</f>
        <v>96</v>
      </c>
      <c r="H355" s="17" t="n">
        <f aca="false">Assumptions!$E$10</f>
        <v>58</v>
      </c>
      <c r="I355" s="17" t="n">
        <f aca="false">ROUND(F355*G355,2)</f>
        <v>37824</v>
      </c>
      <c r="J355" s="17" t="n">
        <f aca="false">ROUND(I355*Accounts!O99,2)</f>
        <v>756.48</v>
      </c>
      <c r="K355" s="17" t="n">
        <f aca="false">ROUND(I355*Accounts!N99,2)</f>
        <v>3086.44</v>
      </c>
      <c r="L355" s="17" t="n">
        <f aca="false">ROUND(I355-J355-K355,2)</f>
        <v>33981.08</v>
      </c>
      <c r="M355" s="17" t="n">
        <f aca="false">ROUND(L355*AA355,2)</f>
        <v>0</v>
      </c>
      <c r="N355" s="17" t="n">
        <f aca="false">ROUND(L355*Accounts!R99,2)</f>
        <v>679.62</v>
      </c>
      <c r="O355" s="17" t="n">
        <f aca="false">ROUND(L355*Accounts!S99,2)</f>
        <v>509.72</v>
      </c>
      <c r="P355" s="17" t="n">
        <f aca="false">ROUND(L355*Accounts!T99,2)</f>
        <v>0</v>
      </c>
      <c r="Q355" s="17" t="n">
        <f aca="false">ROUND(L355*Accounts!U99,2)</f>
        <v>0</v>
      </c>
      <c r="R355" s="17" t="n">
        <f aca="false">ROUND(L355*Accounts!V99,2)</f>
        <v>203.89</v>
      </c>
      <c r="S355" s="17" t="n">
        <f aca="false">ROUND(L355*Accounts!W99,2)</f>
        <v>0</v>
      </c>
      <c r="T355" s="17" t="n">
        <f aca="false">ROUND(L355-SUM(M355:S355),2)</f>
        <v>32587.85</v>
      </c>
      <c r="U355" s="17" t="n">
        <f aca="false">ROUND(F355*H355,2)</f>
        <v>22852</v>
      </c>
      <c r="V355" s="17" t="n">
        <f aca="false">ROUND(L355*Assumptions!$C$25,2)</f>
        <v>679.62</v>
      </c>
      <c r="W355" s="17" t="n">
        <f aca="false">ROUND(T355-U355-V355,2)</f>
        <v>9056.23</v>
      </c>
      <c r="X355" s="28" t="n">
        <f aca="false">T355/I355</f>
        <v>0.86156540820643</v>
      </c>
      <c r="Y355" s="17" t="n">
        <f aca="false">T355/F355</f>
        <v>82.7102791878173</v>
      </c>
      <c r="Z355" s="26" t="n">
        <f aca="false">Accounts!H99</f>
        <v>1335</v>
      </c>
      <c r="AA355" s="28" t="n">
        <f aca="false">IF(Z355&gt;=Assumptions!$B$44,Assumptions!$C$44,IF(Z355&gt;=Assumptions!$B$45,Assumptions!$C$45,IF(Z355&gt;=Assumptions!$B$46,Assumptions!$C$46,Assumptions!$C$47)))</f>
        <v>0</v>
      </c>
      <c r="AB355" s="26" t="n">
        <f aca="false">IF(Z355&gt;=Assumptions!$B$44,Assumptions!$B$44,IF(Z355&gt;=Assumptions!$B$45,Assumptions!$B$45,IF(Z355&gt;=Assumptions!$B$46,Assumptions!$B$46,0)))</f>
        <v>0</v>
      </c>
    </row>
    <row r="356" customFormat="false" ht="15" hidden="false" customHeight="false" outlineLevel="0" collapsed="false">
      <c r="B356" s="14" t="s">
        <v>195</v>
      </c>
      <c r="C356" s="14" t="s">
        <v>194</v>
      </c>
      <c r="D356" s="14" t="s">
        <v>163</v>
      </c>
      <c r="E356" s="14" t="s">
        <v>64</v>
      </c>
      <c r="F356" s="26" t="n">
        <f aca="false">Accounts!G47</f>
        <v>521</v>
      </c>
      <c r="G356" s="17" t="n">
        <f aca="false">Assumptions!$D$10</f>
        <v>96</v>
      </c>
      <c r="H356" s="17" t="n">
        <f aca="false">Assumptions!$E$10</f>
        <v>58</v>
      </c>
      <c r="I356" s="17" t="n">
        <f aca="false">ROUND(F356*G356,2)</f>
        <v>50016</v>
      </c>
      <c r="J356" s="17" t="n">
        <f aca="false">ROUND(I356*Accounts!O47,2)</f>
        <v>1000.32</v>
      </c>
      <c r="K356" s="17" t="n">
        <f aca="false">ROUND(I356*Accounts!N47,2)</f>
        <v>2880.92</v>
      </c>
      <c r="L356" s="17" t="n">
        <f aca="false">ROUND(I356-J356-K356,2)</f>
        <v>46134.76</v>
      </c>
      <c r="M356" s="17" t="n">
        <f aca="false">ROUND(L356*AA356,2)</f>
        <v>0</v>
      </c>
      <c r="N356" s="17" t="n">
        <f aca="false">ROUND(L356*Accounts!R47,2)</f>
        <v>922.7</v>
      </c>
      <c r="O356" s="17" t="n">
        <f aca="false">ROUND(L356*Accounts!S47,2)</f>
        <v>0</v>
      </c>
      <c r="P356" s="17" t="n">
        <f aca="false">ROUND(L356*Accounts!T47,2)</f>
        <v>0</v>
      </c>
      <c r="Q356" s="17" t="n">
        <f aca="false">ROUND(L356*Accounts!U47,2)</f>
        <v>0</v>
      </c>
      <c r="R356" s="17" t="n">
        <f aca="false">ROUND(L356*Accounts!V47,2)</f>
        <v>276.81</v>
      </c>
      <c r="S356" s="17" t="n">
        <f aca="false">ROUND(L356*Accounts!W47,2)</f>
        <v>0</v>
      </c>
      <c r="T356" s="17" t="n">
        <f aca="false">ROUND(L356-SUM(M356:S356),2)</f>
        <v>44935.25</v>
      </c>
      <c r="U356" s="17" t="n">
        <f aca="false">ROUND(F356*H356,2)</f>
        <v>30218</v>
      </c>
      <c r="V356" s="17" t="n">
        <f aca="false">ROUND(L356*Assumptions!$C$25,2)</f>
        <v>922.7</v>
      </c>
      <c r="W356" s="17" t="n">
        <f aca="false">ROUND(T356-U356-V356,2)</f>
        <v>13794.55</v>
      </c>
      <c r="X356" s="28" t="n">
        <f aca="false">T356/I356</f>
        <v>0.898417506397953</v>
      </c>
      <c r="Y356" s="17" t="n">
        <f aca="false">T356/F356</f>
        <v>86.2480806142035</v>
      </c>
      <c r="Z356" s="26" t="n">
        <f aca="false">Accounts!H47</f>
        <v>1507</v>
      </c>
      <c r="AA356" s="28" t="n">
        <f aca="false">IF(Z356&gt;=Assumptions!$B$44,Assumptions!$C$44,IF(Z356&gt;=Assumptions!$B$45,Assumptions!$C$45,IF(Z356&gt;=Assumptions!$B$46,Assumptions!$C$46,Assumptions!$C$47)))</f>
        <v>0</v>
      </c>
      <c r="AB356" s="26" t="n">
        <f aca="false">IF(Z356&gt;=Assumptions!$B$44,Assumptions!$B$44,IF(Z356&gt;=Assumptions!$B$45,Assumptions!$B$45,IF(Z356&gt;=Assumptions!$B$46,Assumptions!$B$46,0)))</f>
        <v>0</v>
      </c>
    </row>
    <row r="357" customFormat="false" ht="15" hidden="false" customHeight="false" outlineLevel="0" collapsed="false">
      <c r="B357" s="14" t="s">
        <v>203</v>
      </c>
      <c r="C357" s="14" t="s">
        <v>194</v>
      </c>
      <c r="D357" s="14" t="s">
        <v>174</v>
      </c>
      <c r="E357" s="14" t="s">
        <v>64</v>
      </c>
      <c r="F357" s="26" t="n">
        <f aca="false">Accounts!G55</f>
        <v>1076</v>
      </c>
      <c r="G357" s="17" t="n">
        <f aca="false">Assumptions!$D$10</f>
        <v>96</v>
      </c>
      <c r="H357" s="17" t="n">
        <f aca="false">Assumptions!$E$10</f>
        <v>58</v>
      </c>
      <c r="I357" s="17" t="n">
        <f aca="false">ROUND(F357*G357,2)</f>
        <v>103296</v>
      </c>
      <c r="J357" s="17" t="n">
        <f aca="false">ROUND(I357*Accounts!O55,2)</f>
        <v>4131.84</v>
      </c>
      <c r="K357" s="17" t="n">
        <f aca="false">ROUND(I357*Accounts!N55,2)</f>
        <v>0</v>
      </c>
      <c r="L357" s="17" t="n">
        <f aca="false">ROUND(I357-J357-K357,2)</f>
        <v>99164.16</v>
      </c>
      <c r="M357" s="17" t="n">
        <f aca="false">ROUND(L357*AA357,2)</f>
        <v>1983.28</v>
      </c>
      <c r="N357" s="17" t="n">
        <f aca="false">ROUND(L357*Accounts!R55,2)</f>
        <v>1983.28</v>
      </c>
      <c r="O357" s="17" t="n">
        <f aca="false">ROUND(L357*Accounts!S55,2)</f>
        <v>0</v>
      </c>
      <c r="P357" s="17" t="n">
        <f aca="false">ROUND(L357*Accounts!T55,2)</f>
        <v>0</v>
      </c>
      <c r="Q357" s="17" t="n">
        <f aca="false">ROUND(L357*Accounts!U55,2)</f>
        <v>0</v>
      </c>
      <c r="R357" s="17" t="n">
        <f aca="false">ROUND(L357*Accounts!V55,2)</f>
        <v>594.98</v>
      </c>
      <c r="S357" s="17" t="n">
        <f aca="false">ROUND(L357*Accounts!W55,2)</f>
        <v>495.82</v>
      </c>
      <c r="T357" s="17" t="n">
        <f aca="false">ROUND(L357-SUM(M357:S357),2)</f>
        <v>94106.8</v>
      </c>
      <c r="U357" s="17" t="n">
        <f aca="false">ROUND(F357*H357,2)</f>
        <v>62408</v>
      </c>
      <c r="V357" s="17" t="n">
        <f aca="false">ROUND(L357*Assumptions!$C$25,2)</f>
        <v>1983.28</v>
      </c>
      <c r="W357" s="17" t="n">
        <f aca="false">ROUND(T357-U357-V357,2)</f>
        <v>29715.52</v>
      </c>
      <c r="X357" s="28" t="n">
        <f aca="false">T357/I357</f>
        <v>0.91104011771995</v>
      </c>
      <c r="Y357" s="17" t="n">
        <f aca="false">T357/F357</f>
        <v>87.4598513011153</v>
      </c>
      <c r="Z357" s="26" t="n">
        <f aca="false">Accounts!H55</f>
        <v>4235</v>
      </c>
      <c r="AA357" s="28" t="n">
        <f aca="false">IF(Z357&gt;=Assumptions!$B$44,Assumptions!$C$44,IF(Z357&gt;=Assumptions!$B$45,Assumptions!$C$45,IF(Z357&gt;=Assumptions!$B$46,Assumptions!$C$46,Assumptions!$C$47)))</f>
        <v>0.02</v>
      </c>
      <c r="AB357" s="26" t="n">
        <f aca="false">IF(Z357&gt;=Assumptions!$B$44,Assumptions!$B$44,IF(Z357&gt;=Assumptions!$B$45,Assumptions!$B$45,IF(Z357&gt;=Assumptions!$B$46,Assumptions!$B$46,0)))</f>
        <v>3000</v>
      </c>
    </row>
    <row r="358" customFormat="false" ht="15" hidden="false" customHeight="false" outlineLevel="0" collapsed="false">
      <c r="B358" s="14" t="s">
        <v>211</v>
      </c>
      <c r="C358" s="14" t="s">
        <v>194</v>
      </c>
      <c r="D358" s="14" t="s">
        <v>184</v>
      </c>
      <c r="E358" s="14" t="s">
        <v>64</v>
      </c>
      <c r="F358" s="26" t="n">
        <f aca="false">Accounts!G63</f>
        <v>1368</v>
      </c>
      <c r="G358" s="17" t="n">
        <f aca="false">Assumptions!$D$10</f>
        <v>96</v>
      </c>
      <c r="H358" s="17" t="n">
        <f aca="false">Assumptions!$E$10</f>
        <v>58</v>
      </c>
      <c r="I358" s="17" t="n">
        <f aca="false">ROUND(F358*G358,2)</f>
        <v>131328</v>
      </c>
      <c r="J358" s="17" t="n">
        <f aca="false">ROUND(I358*Accounts!O63,2)</f>
        <v>5253.12</v>
      </c>
      <c r="K358" s="17" t="n">
        <f aca="false">ROUND(I358*Accounts!N63,2)</f>
        <v>1891.12</v>
      </c>
      <c r="L358" s="17" t="n">
        <f aca="false">ROUND(I358-J358-K358,2)</f>
        <v>124183.76</v>
      </c>
      <c r="M358" s="17" t="n">
        <f aca="false">ROUND(L358*AA358,2)</f>
        <v>2483.68</v>
      </c>
      <c r="N358" s="17" t="n">
        <f aca="false">ROUND(L358*Accounts!R63,2)</f>
        <v>0</v>
      </c>
      <c r="O358" s="17" t="n">
        <f aca="false">ROUND(L358*Accounts!S63,2)</f>
        <v>0</v>
      </c>
      <c r="P358" s="17" t="n">
        <f aca="false">ROUND(L358*Accounts!T63,2)</f>
        <v>0</v>
      </c>
      <c r="Q358" s="17" t="n">
        <f aca="false">ROUND(L358*Accounts!U63,2)</f>
        <v>0</v>
      </c>
      <c r="R358" s="17" t="n">
        <f aca="false">ROUND(L358*Accounts!V63,2)</f>
        <v>745.1</v>
      </c>
      <c r="S358" s="17" t="n">
        <f aca="false">ROUND(L358*Accounts!W63,2)</f>
        <v>0</v>
      </c>
      <c r="T358" s="17" t="n">
        <f aca="false">ROUND(L358-SUM(M358:S358),2)</f>
        <v>120954.98</v>
      </c>
      <c r="U358" s="17" t="n">
        <f aca="false">ROUND(F358*H358,2)</f>
        <v>79344</v>
      </c>
      <c r="V358" s="17" t="n">
        <f aca="false">ROUND(L358*Assumptions!$C$25,2)</f>
        <v>2483.68</v>
      </c>
      <c r="W358" s="17" t="n">
        <f aca="false">ROUND(T358-U358-V358,2)</f>
        <v>39127.3</v>
      </c>
      <c r="X358" s="28" t="n">
        <f aca="false">T358/I358</f>
        <v>0.921014406676413</v>
      </c>
      <c r="Y358" s="17" t="n">
        <f aca="false">T358/F358</f>
        <v>88.4173830409357</v>
      </c>
      <c r="Z358" s="26" t="n">
        <f aca="false">Accounts!H63</f>
        <v>4445</v>
      </c>
      <c r="AA358" s="28" t="n">
        <f aca="false">IF(Z358&gt;=Assumptions!$B$44,Assumptions!$C$44,IF(Z358&gt;=Assumptions!$B$45,Assumptions!$C$45,IF(Z358&gt;=Assumptions!$B$46,Assumptions!$C$46,Assumptions!$C$47)))</f>
        <v>0.02</v>
      </c>
      <c r="AB358" s="26" t="n">
        <f aca="false">IF(Z358&gt;=Assumptions!$B$44,Assumptions!$B$44,IF(Z358&gt;=Assumptions!$B$45,Assumptions!$B$45,IF(Z358&gt;=Assumptions!$B$46,Assumptions!$B$46,0)))</f>
        <v>3000</v>
      </c>
    </row>
    <row r="359" customFormat="false" ht="15" hidden="false" customHeight="false" outlineLevel="0" collapsed="false">
      <c r="B359" s="14" t="s">
        <v>219</v>
      </c>
      <c r="C359" s="14" t="s">
        <v>194</v>
      </c>
      <c r="D359" s="14" t="s">
        <v>218</v>
      </c>
      <c r="E359" s="14" t="s">
        <v>64</v>
      </c>
      <c r="F359" s="26" t="n">
        <f aca="false">Accounts!G71</f>
        <v>1118</v>
      </c>
      <c r="G359" s="17" t="n">
        <f aca="false">Assumptions!$D$10</f>
        <v>96</v>
      </c>
      <c r="H359" s="17" t="n">
        <f aca="false">Assumptions!$E$10</f>
        <v>58</v>
      </c>
      <c r="I359" s="17" t="n">
        <f aca="false">ROUND(F359*G359,2)</f>
        <v>107328</v>
      </c>
      <c r="J359" s="17" t="n">
        <f aca="false">ROUND(I359*Accounts!O71,2)</f>
        <v>2146.56</v>
      </c>
      <c r="K359" s="17" t="n">
        <f aca="false">ROUND(I359*Accounts!N71,2)</f>
        <v>2060.7</v>
      </c>
      <c r="L359" s="17" t="n">
        <f aca="false">ROUND(I359-J359-K359,2)</f>
        <v>103120.74</v>
      </c>
      <c r="M359" s="17" t="n">
        <f aca="false">ROUND(L359*AA359,2)</f>
        <v>2062.41</v>
      </c>
      <c r="N359" s="17" t="n">
        <f aca="false">ROUND(L359*Accounts!R71,2)</f>
        <v>0</v>
      </c>
      <c r="O359" s="17" t="n">
        <f aca="false">ROUND(L359*Accounts!S71,2)</f>
        <v>1546.81</v>
      </c>
      <c r="P359" s="17" t="n">
        <f aca="false">ROUND(L359*Accounts!T71,2)</f>
        <v>0</v>
      </c>
      <c r="Q359" s="17" t="n">
        <f aca="false">ROUND(L359*Accounts!U71,2)</f>
        <v>0</v>
      </c>
      <c r="R359" s="17" t="n">
        <f aca="false">ROUND(L359*Accounts!V71,2)</f>
        <v>618.72</v>
      </c>
      <c r="S359" s="17" t="n">
        <f aca="false">ROUND(L359*Accounts!W71,2)</f>
        <v>515.6</v>
      </c>
      <c r="T359" s="17" t="n">
        <f aca="false">ROUND(L359-SUM(M359:S359),2)</f>
        <v>98377.2</v>
      </c>
      <c r="U359" s="17" t="n">
        <f aca="false">ROUND(F359*H359,2)</f>
        <v>64844</v>
      </c>
      <c r="V359" s="17" t="n">
        <f aca="false">ROUND(L359*Assumptions!$C$25,2)</f>
        <v>2062.41</v>
      </c>
      <c r="W359" s="17" t="n">
        <f aca="false">ROUND(T359-U359-V359,2)</f>
        <v>31470.79</v>
      </c>
      <c r="X359" s="28" t="n">
        <f aca="false">T359/I359</f>
        <v>0.916603309481216</v>
      </c>
      <c r="Y359" s="17" t="n">
        <f aca="false">T359/F359</f>
        <v>87.9939177101968</v>
      </c>
      <c r="Z359" s="26" t="n">
        <f aca="false">Accounts!H71</f>
        <v>3120</v>
      </c>
      <c r="AA359" s="28" t="n">
        <f aca="false">IF(Z359&gt;=Assumptions!$B$44,Assumptions!$C$44,IF(Z359&gt;=Assumptions!$B$45,Assumptions!$C$45,IF(Z359&gt;=Assumptions!$B$46,Assumptions!$C$46,Assumptions!$C$47)))</f>
        <v>0.02</v>
      </c>
      <c r="AB359" s="26" t="n">
        <f aca="false">IF(Z359&gt;=Assumptions!$B$44,Assumptions!$B$44,IF(Z359&gt;=Assumptions!$B$45,Assumptions!$B$45,IF(Z359&gt;=Assumptions!$B$46,Assumptions!$B$46,0)))</f>
        <v>3000</v>
      </c>
    </row>
    <row r="360" customFormat="false" ht="15" hidden="false" customHeight="false" outlineLevel="0" collapsed="false">
      <c r="B360" s="14" t="s">
        <v>228</v>
      </c>
      <c r="C360" s="14" t="s">
        <v>194</v>
      </c>
      <c r="D360" s="14" t="s">
        <v>227</v>
      </c>
      <c r="E360" s="14" t="s">
        <v>64</v>
      </c>
      <c r="F360" s="26" t="n">
        <f aca="false">Accounts!G79</f>
        <v>866</v>
      </c>
      <c r="G360" s="17" t="n">
        <f aca="false">Assumptions!$D$10</f>
        <v>96</v>
      </c>
      <c r="H360" s="17" t="n">
        <f aca="false">Assumptions!$E$10</f>
        <v>58</v>
      </c>
      <c r="I360" s="17" t="n">
        <f aca="false">ROUND(F360*G360,2)</f>
        <v>83136</v>
      </c>
      <c r="J360" s="17" t="n">
        <f aca="false">ROUND(I360*Accounts!O79,2)</f>
        <v>1662.72</v>
      </c>
      <c r="K360" s="17" t="n">
        <f aca="false">ROUND(I360*Accounts!N79,2)</f>
        <v>5985.79</v>
      </c>
      <c r="L360" s="17" t="n">
        <f aca="false">ROUND(I360-J360-K360,2)</f>
        <v>75487.49</v>
      </c>
      <c r="M360" s="17" t="n">
        <f aca="false">ROUND(L360*AA360,2)</f>
        <v>0</v>
      </c>
      <c r="N360" s="17" t="n">
        <f aca="false">ROUND(L360*Accounts!R79,2)</f>
        <v>1509.75</v>
      </c>
      <c r="O360" s="17" t="n">
        <f aca="false">ROUND(L360*Accounts!S79,2)</f>
        <v>0</v>
      </c>
      <c r="P360" s="17" t="n">
        <f aca="false">ROUND(L360*Accounts!T79,2)</f>
        <v>0</v>
      </c>
      <c r="Q360" s="17" t="n">
        <f aca="false">ROUND(L360*Accounts!U79,2)</f>
        <v>0</v>
      </c>
      <c r="R360" s="17" t="n">
        <f aca="false">ROUND(L360*Accounts!V79,2)</f>
        <v>452.92</v>
      </c>
      <c r="S360" s="17" t="n">
        <f aca="false">ROUND(L360*Accounts!W79,2)</f>
        <v>377.44</v>
      </c>
      <c r="T360" s="17" t="n">
        <f aca="false">ROUND(L360-SUM(M360:S360),2)</f>
        <v>73147.38</v>
      </c>
      <c r="U360" s="17" t="n">
        <f aca="false">ROUND(F360*H360,2)</f>
        <v>50228</v>
      </c>
      <c r="V360" s="17" t="n">
        <f aca="false">ROUND(L360*Assumptions!$C$25,2)</f>
        <v>1509.75</v>
      </c>
      <c r="W360" s="17" t="n">
        <f aca="false">ROUND(T360-U360-V360,2)</f>
        <v>21409.63</v>
      </c>
      <c r="X360" s="28" t="n">
        <f aca="false">T360/I360</f>
        <v>0.87985204965358</v>
      </c>
      <c r="Y360" s="17" t="n">
        <f aca="false">T360/F360</f>
        <v>84.4657967667437</v>
      </c>
      <c r="Z360" s="26" t="n">
        <f aca="false">Accounts!H79</f>
        <v>2694</v>
      </c>
      <c r="AA360" s="28" t="n">
        <f aca="false">IF(Z360&gt;=Assumptions!$B$44,Assumptions!$C$44,IF(Z360&gt;=Assumptions!$B$45,Assumptions!$C$45,IF(Z360&gt;=Assumptions!$B$46,Assumptions!$C$46,Assumptions!$C$47)))</f>
        <v>0</v>
      </c>
      <c r="AB360" s="26" t="n">
        <f aca="false">IF(Z360&gt;=Assumptions!$B$44,Assumptions!$B$44,IF(Z360&gt;=Assumptions!$B$45,Assumptions!$B$45,IF(Z360&gt;=Assumptions!$B$46,Assumptions!$B$46,0)))</f>
        <v>0</v>
      </c>
    </row>
    <row r="361" customFormat="false" ht="15" hidden="false" customHeight="false" outlineLevel="0" collapsed="false">
      <c r="B361" s="14" t="s">
        <v>236</v>
      </c>
      <c r="C361" s="14" t="s">
        <v>194</v>
      </c>
      <c r="D361" s="14" t="s">
        <v>235</v>
      </c>
      <c r="E361" s="14" t="s">
        <v>64</v>
      </c>
      <c r="F361" s="26" t="n">
        <f aca="false">Accounts!G86</f>
        <v>634</v>
      </c>
      <c r="G361" s="17" t="n">
        <f aca="false">Assumptions!$D$10</f>
        <v>96</v>
      </c>
      <c r="H361" s="17" t="n">
        <f aca="false">Assumptions!$E$10</f>
        <v>58</v>
      </c>
      <c r="I361" s="17" t="n">
        <f aca="false">ROUND(F361*G361,2)</f>
        <v>60864</v>
      </c>
      <c r="J361" s="17" t="n">
        <f aca="false">ROUND(I361*Accounts!O86,2)</f>
        <v>2434.56</v>
      </c>
      <c r="K361" s="17" t="n">
        <f aca="false">ROUND(I361*Accounts!N86,2)</f>
        <v>4090.06</v>
      </c>
      <c r="L361" s="17" t="n">
        <f aca="false">ROUND(I361-J361-K361,2)</f>
        <v>54339.38</v>
      </c>
      <c r="M361" s="17" t="n">
        <f aca="false">ROUND(L361*AA361,2)</f>
        <v>0</v>
      </c>
      <c r="N361" s="17" t="n">
        <f aca="false">ROUND(L361*Accounts!R86,2)</f>
        <v>1086.79</v>
      </c>
      <c r="O361" s="17" t="n">
        <f aca="false">ROUND(L361*Accounts!S86,2)</f>
        <v>0</v>
      </c>
      <c r="P361" s="17" t="n">
        <f aca="false">ROUND(L361*Accounts!T86,2)</f>
        <v>0</v>
      </c>
      <c r="Q361" s="17" t="n">
        <f aca="false">ROUND(L361*Accounts!U86,2)</f>
        <v>0</v>
      </c>
      <c r="R361" s="17" t="n">
        <f aca="false">ROUND(L361*Accounts!V86,2)</f>
        <v>326.04</v>
      </c>
      <c r="S361" s="17" t="n">
        <f aca="false">ROUND(L361*Accounts!W86,2)</f>
        <v>0</v>
      </c>
      <c r="T361" s="17" t="n">
        <f aca="false">ROUND(L361-SUM(M361:S361),2)</f>
        <v>52926.55</v>
      </c>
      <c r="U361" s="17" t="n">
        <f aca="false">ROUND(F361*H361,2)</f>
        <v>36772</v>
      </c>
      <c r="V361" s="17" t="n">
        <f aca="false">ROUND(L361*Assumptions!$C$25,2)</f>
        <v>1086.79</v>
      </c>
      <c r="W361" s="17" t="n">
        <f aca="false">ROUND(T361-U361-V361,2)</f>
        <v>15067.76</v>
      </c>
      <c r="X361" s="28" t="n">
        <f aca="false">T361/I361</f>
        <v>0.869587112250263</v>
      </c>
      <c r="Y361" s="17" t="n">
        <f aca="false">T361/F361</f>
        <v>83.4803627760253</v>
      </c>
      <c r="Z361" s="26" t="n">
        <f aca="false">Accounts!H86</f>
        <v>1774</v>
      </c>
      <c r="AA361" s="28" t="n">
        <f aca="false">IF(Z361&gt;=Assumptions!$B$44,Assumptions!$C$44,IF(Z361&gt;=Assumptions!$B$45,Assumptions!$C$45,IF(Z361&gt;=Assumptions!$B$46,Assumptions!$C$46,Assumptions!$C$47)))</f>
        <v>0</v>
      </c>
      <c r="AB361" s="26" t="n">
        <f aca="false">IF(Z361&gt;=Assumptions!$B$44,Assumptions!$B$44,IF(Z361&gt;=Assumptions!$B$45,Assumptions!$B$45,IF(Z361&gt;=Assumptions!$B$46,Assumptions!$B$46,0)))</f>
        <v>0</v>
      </c>
    </row>
    <row r="362" customFormat="false" ht="15" hidden="false" customHeight="false" outlineLevel="0" collapsed="false">
      <c r="B362" s="14" t="s">
        <v>244</v>
      </c>
      <c r="C362" s="14" t="s">
        <v>194</v>
      </c>
      <c r="D362" s="14" t="s">
        <v>243</v>
      </c>
      <c r="E362" s="14" t="s">
        <v>64</v>
      </c>
      <c r="F362" s="26" t="n">
        <f aca="false">Accounts!G93</f>
        <v>542</v>
      </c>
      <c r="G362" s="17" t="n">
        <f aca="false">Assumptions!$D$10</f>
        <v>96</v>
      </c>
      <c r="H362" s="17" t="n">
        <f aca="false">Assumptions!$E$10</f>
        <v>58</v>
      </c>
      <c r="I362" s="17" t="n">
        <f aca="false">ROUND(F362*G362,2)</f>
        <v>52032</v>
      </c>
      <c r="J362" s="17" t="n">
        <f aca="false">ROUND(I362*Accounts!O93,2)</f>
        <v>2081.28</v>
      </c>
      <c r="K362" s="17" t="n">
        <f aca="false">ROUND(I362*Accounts!N93,2)</f>
        <v>7242.85</v>
      </c>
      <c r="L362" s="17" t="n">
        <f aca="false">ROUND(I362-J362-K362,2)</f>
        <v>42707.87</v>
      </c>
      <c r="M362" s="17" t="n">
        <f aca="false">ROUND(L362*AA362,2)</f>
        <v>0</v>
      </c>
      <c r="N362" s="17" t="n">
        <f aca="false">ROUND(L362*Accounts!R93,2)</f>
        <v>0</v>
      </c>
      <c r="O362" s="17" t="n">
        <f aca="false">ROUND(L362*Accounts!S93,2)</f>
        <v>0</v>
      </c>
      <c r="P362" s="17" t="n">
        <f aca="false">ROUND(L362*Accounts!T93,2)</f>
        <v>0</v>
      </c>
      <c r="Q362" s="17" t="n">
        <f aca="false">ROUND(L362*Accounts!U93,2)</f>
        <v>0</v>
      </c>
      <c r="R362" s="17" t="n">
        <f aca="false">ROUND(L362*Accounts!V93,2)</f>
        <v>256.25</v>
      </c>
      <c r="S362" s="17" t="n">
        <f aca="false">ROUND(L362*Accounts!W93,2)</f>
        <v>213.54</v>
      </c>
      <c r="T362" s="17" t="n">
        <f aca="false">ROUND(L362-SUM(M362:S362),2)</f>
        <v>42238.08</v>
      </c>
      <c r="U362" s="17" t="n">
        <f aca="false">ROUND(F362*H362,2)</f>
        <v>31436</v>
      </c>
      <c r="V362" s="17" t="n">
        <f aca="false">ROUND(L362*Assumptions!$C$25,2)</f>
        <v>854.16</v>
      </c>
      <c r="W362" s="17" t="n">
        <f aca="false">ROUND(T362-U362-V362,2)</f>
        <v>9947.92</v>
      </c>
      <c r="X362" s="28" t="n">
        <f aca="false">T362/I362</f>
        <v>0.811771217712177</v>
      </c>
      <c r="Y362" s="17" t="n">
        <f aca="false">T362/F362</f>
        <v>77.930036900369</v>
      </c>
      <c r="Z362" s="26" t="n">
        <f aca="false">Accounts!H93</f>
        <v>1912</v>
      </c>
      <c r="AA362" s="28" t="n">
        <f aca="false">IF(Z362&gt;=Assumptions!$B$44,Assumptions!$C$44,IF(Z362&gt;=Assumptions!$B$45,Assumptions!$C$45,IF(Z362&gt;=Assumptions!$B$46,Assumptions!$C$46,Assumptions!$C$47)))</f>
        <v>0</v>
      </c>
      <c r="AB362" s="26" t="n">
        <f aca="false">IF(Z362&gt;=Assumptions!$B$44,Assumptions!$B$44,IF(Z362&gt;=Assumptions!$B$45,Assumptions!$B$45,IF(Z362&gt;=Assumptions!$B$46,Assumptions!$B$46,0)))</f>
        <v>0</v>
      </c>
    </row>
    <row r="363" customFormat="false" ht="15" hidden="false" customHeight="false" outlineLevel="0" collapsed="false">
      <c r="B363" s="14" t="s">
        <v>252</v>
      </c>
      <c r="C363" s="14" t="s">
        <v>194</v>
      </c>
      <c r="D363" s="14" t="s">
        <v>251</v>
      </c>
      <c r="E363" s="14" t="s">
        <v>64</v>
      </c>
      <c r="F363" s="26" t="n">
        <f aca="false">Accounts!G100</f>
        <v>367</v>
      </c>
      <c r="G363" s="17" t="n">
        <f aca="false">Assumptions!$D$10</f>
        <v>96</v>
      </c>
      <c r="H363" s="17" t="n">
        <f aca="false">Assumptions!$E$10</f>
        <v>58</v>
      </c>
      <c r="I363" s="17" t="n">
        <f aca="false">ROUND(F363*G363,2)</f>
        <v>35232</v>
      </c>
      <c r="J363" s="17" t="n">
        <f aca="false">ROUND(I363*Accounts!O100,2)</f>
        <v>704.64</v>
      </c>
      <c r="K363" s="17" t="n">
        <f aca="false">ROUND(I363*Accounts!N100,2)</f>
        <v>3551.39</v>
      </c>
      <c r="L363" s="17" t="n">
        <f aca="false">ROUND(I363-J363-K363,2)</f>
        <v>30975.97</v>
      </c>
      <c r="M363" s="17" t="n">
        <f aca="false">ROUND(L363*AA363,2)</f>
        <v>0</v>
      </c>
      <c r="N363" s="17" t="n">
        <f aca="false">ROUND(L363*Accounts!R100,2)</f>
        <v>0</v>
      </c>
      <c r="O363" s="17" t="n">
        <f aca="false">ROUND(L363*Accounts!S100,2)</f>
        <v>0</v>
      </c>
      <c r="P363" s="17" t="n">
        <f aca="false">ROUND(L363*Accounts!T100,2)</f>
        <v>0</v>
      </c>
      <c r="Q363" s="17" t="n">
        <f aca="false">ROUND(L363*Accounts!U100,2)</f>
        <v>0</v>
      </c>
      <c r="R363" s="17" t="n">
        <f aca="false">ROUND(L363*Accounts!V100,2)</f>
        <v>185.86</v>
      </c>
      <c r="S363" s="17" t="n">
        <f aca="false">ROUND(L363*Accounts!W100,2)</f>
        <v>154.88</v>
      </c>
      <c r="T363" s="17" t="n">
        <f aca="false">ROUND(L363-SUM(M363:S363),2)</f>
        <v>30635.23</v>
      </c>
      <c r="U363" s="17" t="n">
        <f aca="false">ROUND(F363*H363,2)</f>
        <v>21286</v>
      </c>
      <c r="V363" s="17" t="n">
        <f aca="false">ROUND(L363*Assumptions!$C$25,2)</f>
        <v>619.52</v>
      </c>
      <c r="W363" s="17" t="n">
        <f aca="false">ROUND(T363-U363-V363,2)</f>
        <v>8729.71</v>
      </c>
      <c r="X363" s="28" t="n">
        <f aca="false">T363/I363</f>
        <v>0.869528553587648</v>
      </c>
      <c r="Y363" s="17" t="n">
        <f aca="false">T363/F363</f>
        <v>83.4747411444142</v>
      </c>
      <c r="Z363" s="26" t="n">
        <f aca="false">Accounts!H100</f>
        <v>1331</v>
      </c>
      <c r="AA363" s="28" t="n">
        <f aca="false">IF(Z363&gt;=Assumptions!$B$44,Assumptions!$C$44,IF(Z363&gt;=Assumptions!$B$45,Assumptions!$C$45,IF(Z363&gt;=Assumptions!$B$46,Assumptions!$C$46,Assumptions!$C$47)))</f>
        <v>0</v>
      </c>
      <c r="AB363" s="26" t="n">
        <f aca="false">IF(Z363&gt;=Assumptions!$B$44,Assumptions!$B$44,IF(Z363&gt;=Assumptions!$B$45,Assumptions!$B$45,IF(Z363&gt;=Assumptions!$B$46,Assumptions!$B$46,0)))</f>
        <v>0</v>
      </c>
    </row>
    <row r="364" customFormat="false" ht="15" hidden="false" customHeight="false" outlineLevel="0" collapsed="false">
      <c r="B364" s="14" t="s">
        <v>196</v>
      </c>
      <c r="C364" s="14" t="s">
        <v>194</v>
      </c>
      <c r="D364" s="14" t="s">
        <v>163</v>
      </c>
      <c r="E364" s="14" t="s">
        <v>64</v>
      </c>
      <c r="F364" s="26" t="n">
        <f aca="false">Accounts!G48</f>
        <v>2133</v>
      </c>
      <c r="G364" s="17" t="n">
        <f aca="false">Assumptions!$D$10</f>
        <v>96</v>
      </c>
      <c r="H364" s="17" t="n">
        <f aca="false">Assumptions!$E$10</f>
        <v>58</v>
      </c>
      <c r="I364" s="17" t="n">
        <f aca="false">ROUND(F364*G364,2)</f>
        <v>204768</v>
      </c>
      <c r="J364" s="17" t="n">
        <f aca="false">ROUND(I364*Accounts!O48,2)</f>
        <v>8190.72</v>
      </c>
      <c r="K364" s="17" t="n">
        <f aca="false">ROUND(I364*Accounts!N48,2)</f>
        <v>29486.59</v>
      </c>
      <c r="L364" s="17" t="n">
        <f aca="false">ROUND(I364-J364-K364,2)</f>
        <v>167090.69</v>
      </c>
      <c r="M364" s="17" t="n">
        <f aca="false">ROUND(L364*AA364,2)</f>
        <v>3341.81</v>
      </c>
      <c r="N364" s="17" t="n">
        <f aca="false">ROUND(L364*Accounts!R48,2)</f>
        <v>0</v>
      </c>
      <c r="O364" s="17" t="n">
        <f aca="false">ROUND(L364*Accounts!S48,2)</f>
        <v>2506.36</v>
      </c>
      <c r="P364" s="17" t="n">
        <f aca="false">ROUND(L364*Accounts!T48,2)</f>
        <v>0</v>
      </c>
      <c r="Q364" s="17" t="n">
        <f aca="false">ROUND(L364*Accounts!U48,2)</f>
        <v>0</v>
      </c>
      <c r="R364" s="17" t="n">
        <f aca="false">ROUND(L364*Accounts!V48,2)</f>
        <v>1002.54</v>
      </c>
      <c r="S364" s="17" t="n">
        <f aca="false">ROUND(L364*Accounts!W48,2)</f>
        <v>835.45</v>
      </c>
      <c r="T364" s="17" t="n">
        <f aca="false">ROUND(L364-SUM(M364:S364),2)</f>
        <v>159404.53</v>
      </c>
      <c r="U364" s="17" t="n">
        <f aca="false">ROUND(F364*H364,2)</f>
        <v>123714</v>
      </c>
      <c r="V364" s="17" t="n">
        <f aca="false">ROUND(L364*Assumptions!$C$25,2)</f>
        <v>3341.81</v>
      </c>
      <c r="W364" s="17" t="n">
        <f aca="false">ROUND(T364-U364-V364,2)</f>
        <v>32348.72</v>
      </c>
      <c r="X364" s="28" t="n">
        <f aca="false">T364/I364</f>
        <v>0.778464066651039</v>
      </c>
      <c r="Y364" s="17" t="n">
        <f aca="false">T364/F364</f>
        <v>74.7325503984998</v>
      </c>
      <c r="Z364" s="26" t="n">
        <f aca="false">Accounts!H48</f>
        <v>3686</v>
      </c>
      <c r="AA364" s="28" t="n">
        <f aca="false">IF(Z364&gt;=Assumptions!$B$44,Assumptions!$C$44,IF(Z364&gt;=Assumptions!$B$45,Assumptions!$C$45,IF(Z364&gt;=Assumptions!$B$46,Assumptions!$C$46,Assumptions!$C$47)))</f>
        <v>0.02</v>
      </c>
      <c r="AB364" s="26" t="n">
        <f aca="false">IF(Z364&gt;=Assumptions!$B$44,Assumptions!$B$44,IF(Z364&gt;=Assumptions!$B$45,Assumptions!$B$45,IF(Z364&gt;=Assumptions!$B$46,Assumptions!$B$46,0)))</f>
        <v>3000</v>
      </c>
    </row>
    <row r="365" customFormat="false" ht="15" hidden="false" customHeight="false" outlineLevel="0" collapsed="false">
      <c r="B365" s="14" t="s">
        <v>204</v>
      </c>
      <c r="C365" s="14" t="s">
        <v>194</v>
      </c>
      <c r="D365" s="14" t="s">
        <v>174</v>
      </c>
      <c r="E365" s="14" t="s">
        <v>64</v>
      </c>
      <c r="F365" s="26" t="n">
        <f aca="false">Accounts!G56</f>
        <v>1094</v>
      </c>
      <c r="G365" s="17" t="n">
        <f aca="false">Assumptions!$D$10</f>
        <v>96</v>
      </c>
      <c r="H365" s="17" t="n">
        <f aca="false">Assumptions!$E$10</f>
        <v>58</v>
      </c>
      <c r="I365" s="17" t="n">
        <f aca="false">ROUND(F365*G365,2)</f>
        <v>105024</v>
      </c>
      <c r="J365" s="17" t="n">
        <f aca="false">ROUND(I365*Accounts!O56,2)</f>
        <v>4200.96</v>
      </c>
      <c r="K365" s="17" t="n">
        <f aca="false">ROUND(I365*Accounts!N56,2)</f>
        <v>2520.58</v>
      </c>
      <c r="L365" s="17" t="n">
        <f aca="false">ROUND(I365-J365-K365,2)</f>
        <v>98302.46</v>
      </c>
      <c r="M365" s="17" t="n">
        <f aca="false">ROUND(L365*AA365,2)</f>
        <v>1966.05</v>
      </c>
      <c r="N365" s="17" t="n">
        <f aca="false">ROUND(L365*Accounts!R56,2)</f>
        <v>1966.05</v>
      </c>
      <c r="O365" s="17" t="n">
        <f aca="false">ROUND(L365*Accounts!S56,2)</f>
        <v>0</v>
      </c>
      <c r="P365" s="17" t="n">
        <f aca="false">ROUND(L365*Accounts!T56,2)</f>
        <v>0</v>
      </c>
      <c r="Q365" s="17" t="n">
        <f aca="false">ROUND(L365*Accounts!U56,2)</f>
        <v>0</v>
      </c>
      <c r="R365" s="17" t="n">
        <f aca="false">ROUND(L365*Accounts!V56,2)</f>
        <v>589.81</v>
      </c>
      <c r="S365" s="17" t="n">
        <f aca="false">ROUND(L365*Accounts!W56,2)</f>
        <v>491.51</v>
      </c>
      <c r="T365" s="17" t="n">
        <f aca="false">ROUND(L365-SUM(M365:S365),2)</f>
        <v>93289.04</v>
      </c>
      <c r="U365" s="17" t="n">
        <f aca="false">ROUND(F365*H365,2)</f>
        <v>63452</v>
      </c>
      <c r="V365" s="17" t="n">
        <f aca="false">ROUND(L365*Assumptions!$C$25,2)</f>
        <v>1966.05</v>
      </c>
      <c r="W365" s="17" t="n">
        <f aca="false">ROUND(T365-U365-V365,2)</f>
        <v>27870.99</v>
      </c>
      <c r="X365" s="28" t="n">
        <f aca="false">T365/I365</f>
        <v>0.888264015843998</v>
      </c>
      <c r="Y365" s="17" t="n">
        <f aca="false">T365/F365</f>
        <v>85.2733455210238</v>
      </c>
      <c r="Z365" s="26" t="n">
        <f aca="false">Accounts!H56</f>
        <v>4096</v>
      </c>
      <c r="AA365" s="28" t="n">
        <f aca="false">IF(Z365&gt;=Assumptions!$B$44,Assumptions!$C$44,IF(Z365&gt;=Assumptions!$B$45,Assumptions!$C$45,IF(Z365&gt;=Assumptions!$B$46,Assumptions!$C$46,Assumptions!$C$47)))</f>
        <v>0.02</v>
      </c>
      <c r="AB365" s="26" t="n">
        <f aca="false">IF(Z365&gt;=Assumptions!$B$44,Assumptions!$B$44,IF(Z365&gt;=Assumptions!$B$45,Assumptions!$B$45,IF(Z365&gt;=Assumptions!$B$46,Assumptions!$B$46,0)))</f>
        <v>3000</v>
      </c>
    </row>
    <row r="366" customFormat="false" ht="15" hidden="false" customHeight="false" outlineLevel="0" collapsed="false">
      <c r="B366" s="14" t="s">
        <v>212</v>
      </c>
      <c r="C366" s="14" t="s">
        <v>194</v>
      </c>
      <c r="D366" s="14" t="s">
        <v>184</v>
      </c>
      <c r="E366" s="14" t="s">
        <v>64</v>
      </c>
      <c r="F366" s="26" t="n">
        <f aca="false">Accounts!G64</f>
        <v>625</v>
      </c>
      <c r="G366" s="17" t="n">
        <f aca="false">Assumptions!$D$10</f>
        <v>96</v>
      </c>
      <c r="H366" s="17" t="n">
        <f aca="false">Assumptions!$E$10</f>
        <v>58</v>
      </c>
      <c r="I366" s="17" t="n">
        <f aca="false">ROUND(F366*G366,2)</f>
        <v>60000</v>
      </c>
      <c r="J366" s="17" t="n">
        <f aca="false">ROUND(I366*Accounts!O64,2)</f>
        <v>2400</v>
      </c>
      <c r="K366" s="17" t="n">
        <f aca="false">ROUND(I366*Accounts!N64,2)</f>
        <v>2880</v>
      </c>
      <c r="L366" s="17" t="n">
        <f aca="false">ROUND(I366-J366-K366,2)</f>
        <v>54720</v>
      </c>
      <c r="M366" s="17" t="n">
        <f aca="false">ROUND(L366*AA366,2)</f>
        <v>0</v>
      </c>
      <c r="N366" s="17" t="n">
        <f aca="false">ROUND(L366*Accounts!R64,2)</f>
        <v>0</v>
      </c>
      <c r="O366" s="17" t="n">
        <f aca="false">ROUND(L366*Accounts!S64,2)</f>
        <v>820.8</v>
      </c>
      <c r="P366" s="17" t="n">
        <f aca="false">ROUND(L366*Accounts!T64,2)</f>
        <v>0</v>
      </c>
      <c r="Q366" s="17" t="n">
        <f aca="false">ROUND(L366*Accounts!U64,2)</f>
        <v>0</v>
      </c>
      <c r="R366" s="17" t="n">
        <f aca="false">ROUND(L366*Accounts!V64,2)</f>
        <v>328.32</v>
      </c>
      <c r="S366" s="17" t="n">
        <f aca="false">ROUND(L366*Accounts!W64,2)</f>
        <v>273.6</v>
      </c>
      <c r="T366" s="17" t="n">
        <f aca="false">ROUND(L366-SUM(M366:S366),2)</f>
        <v>53297.28</v>
      </c>
      <c r="U366" s="17" t="n">
        <f aca="false">ROUND(F366*H366,2)</f>
        <v>36250</v>
      </c>
      <c r="V366" s="17" t="n">
        <f aca="false">ROUND(L366*Assumptions!$C$25,2)</f>
        <v>1094.4</v>
      </c>
      <c r="W366" s="17" t="n">
        <f aca="false">ROUND(T366-U366-V366,2)</f>
        <v>15952.88</v>
      </c>
      <c r="X366" s="28" t="n">
        <f aca="false">T366/I366</f>
        <v>0.888288</v>
      </c>
      <c r="Y366" s="17" t="n">
        <f aca="false">T366/F366</f>
        <v>85.275648</v>
      </c>
      <c r="Z366" s="26" t="n">
        <f aca="false">Accounts!H64</f>
        <v>2528</v>
      </c>
      <c r="AA366" s="28" t="n">
        <f aca="false">IF(Z366&gt;=Assumptions!$B$44,Assumptions!$C$44,IF(Z366&gt;=Assumptions!$B$45,Assumptions!$C$45,IF(Z366&gt;=Assumptions!$B$46,Assumptions!$C$46,Assumptions!$C$47)))</f>
        <v>0</v>
      </c>
      <c r="AB366" s="26" t="n">
        <f aca="false">IF(Z366&gt;=Assumptions!$B$44,Assumptions!$B$44,IF(Z366&gt;=Assumptions!$B$45,Assumptions!$B$45,IF(Z366&gt;=Assumptions!$B$46,Assumptions!$B$46,0)))</f>
        <v>0</v>
      </c>
    </row>
    <row r="367" customFormat="false" ht="15" hidden="false" customHeight="false" outlineLevel="0" collapsed="false">
      <c r="B367" s="14" t="s">
        <v>237</v>
      </c>
      <c r="C367" s="14" t="s">
        <v>194</v>
      </c>
      <c r="D367" s="14" t="s">
        <v>235</v>
      </c>
      <c r="E367" s="14" t="s">
        <v>64</v>
      </c>
      <c r="F367" s="26" t="n">
        <f aca="false">Accounts!G87</f>
        <v>837</v>
      </c>
      <c r="G367" s="17" t="n">
        <f aca="false">Assumptions!$D$10</f>
        <v>96</v>
      </c>
      <c r="H367" s="17" t="n">
        <f aca="false">Assumptions!$E$10</f>
        <v>58</v>
      </c>
      <c r="I367" s="17" t="n">
        <f aca="false">ROUND(F367*G367,2)</f>
        <v>80352</v>
      </c>
      <c r="J367" s="17" t="n">
        <f aca="false">ROUND(I367*Accounts!O87,2)</f>
        <v>1607.04</v>
      </c>
      <c r="K367" s="17" t="n">
        <f aca="false">ROUND(I367*Accounts!N87,2)</f>
        <v>8485.17</v>
      </c>
      <c r="L367" s="17" t="n">
        <f aca="false">ROUND(I367-J367-K367,2)</f>
        <v>70259.79</v>
      </c>
      <c r="M367" s="17" t="n">
        <f aca="false">ROUND(L367*AA367,2)</f>
        <v>1405.2</v>
      </c>
      <c r="N367" s="17" t="n">
        <f aca="false">ROUND(L367*Accounts!R87,2)</f>
        <v>0</v>
      </c>
      <c r="O367" s="17" t="n">
        <f aca="false">ROUND(L367*Accounts!S87,2)</f>
        <v>1053.9</v>
      </c>
      <c r="P367" s="17" t="n">
        <f aca="false">ROUND(L367*Accounts!T87,2)</f>
        <v>0</v>
      </c>
      <c r="Q367" s="17" t="n">
        <f aca="false">ROUND(L367*Accounts!U87,2)</f>
        <v>0</v>
      </c>
      <c r="R367" s="17" t="n">
        <f aca="false">ROUND(L367*Accounts!V87,2)</f>
        <v>421.56</v>
      </c>
      <c r="S367" s="17" t="n">
        <f aca="false">ROUND(L367*Accounts!W87,2)</f>
        <v>0</v>
      </c>
      <c r="T367" s="17" t="n">
        <f aca="false">ROUND(L367-SUM(M367:S367),2)</f>
        <v>67379.13</v>
      </c>
      <c r="U367" s="17" t="n">
        <f aca="false">ROUND(F367*H367,2)</f>
        <v>48546</v>
      </c>
      <c r="V367" s="17" t="n">
        <f aca="false">ROUND(L367*Assumptions!$C$25,2)</f>
        <v>1405.2</v>
      </c>
      <c r="W367" s="17" t="n">
        <f aca="false">ROUND(T367-U367-V367,2)</f>
        <v>17427.93</v>
      </c>
      <c r="X367" s="28" t="n">
        <f aca="false">T367/I367</f>
        <v>0.838549507168459</v>
      </c>
      <c r="Y367" s="17" t="n">
        <f aca="false">T367/F367</f>
        <v>80.500752688172</v>
      </c>
      <c r="Z367" s="26" t="n">
        <f aca="false">Accounts!H87</f>
        <v>3394</v>
      </c>
      <c r="AA367" s="28" t="n">
        <f aca="false">IF(Z367&gt;=Assumptions!$B$44,Assumptions!$C$44,IF(Z367&gt;=Assumptions!$B$45,Assumptions!$C$45,IF(Z367&gt;=Assumptions!$B$46,Assumptions!$C$46,Assumptions!$C$47)))</f>
        <v>0.02</v>
      </c>
      <c r="AB367" s="26" t="n">
        <f aca="false">IF(Z367&gt;=Assumptions!$B$44,Assumptions!$B$44,IF(Z367&gt;=Assumptions!$B$45,Assumptions!$B$45,IF(Z367&gt;=Assumptions!$B$46,Assumptions!$B$46,0)))</f>
        <v>3000</v>
      </c>
    </row>
    <row r="368" customFormat="false" ht="15" hidden="false" customHeight="false" outlineLevel="0" collapsed="false">
      <c r="B368" s="14" t="s">
        <v>245</v>
      </c>
      <c r="C368" s="14" t="s">
        <v>194</v>
      </c>
      <c r="D368" s="14" t="s">
        <v>243</v>
      </c>
      <c r="E368" s="14" t="s">
        <v>64</v>
      </c>
      <c r="F368" s="26" t="n">
        <f aca="false">Accounts!G94</f>
        <v>347</v>
      </c>
      <c r="G368" s="17" t="n">
        <f aca="false">Assumptions!$D$10</f>
        <v>96</v>
      </c>
      <c r="H368" s="17" t="n">
        <f aca="false">Assumptions!$E$10</f>
        <v>58</v>
      </c>
      <c r="I368" s="17" t="n">
        <f aca="false">ROUND(F368*G368,2)</f>
        <v>33312</v>
      </c>
      <c r="J368" s="17" t="n">
        <f aca="false">ROUND(I368*Accounts!O94,2)</f>
        <v>666.24</v>
      </c>
      <c r="K368" s="17" t="n">
        <f aca="false">ROUND(I368*Accounts!N94,2)</f>
        <v>1279.18</v>
      </c>
      <c r="L368" s="17" t="n">
        <f aca="false">ROUND(I368-J368-K368,2)</f>
        <v>31366.58</v>
      </c>
      <c r="M368" s="17" t="n">
        <f aca="false">ROUND(L368*AA368,2)</f>
        <v>0</v>
      </c>
      <c r="N368" s="17" t="n">
        <f aca="false">ROUND(L368*Accounts!R94,2)</f>
        <v>627.33</v>
      </c>
      <c r="O368" s="17" t="n">
        <f aca="false">ROUND(L368*Accounts!S94,2)</f>
        <v>470.5</v>
      </c>
      <c r="P368" s="17" t="n">
        <f aca="false">ROUND(L368*Accounts!T94,2)</f>
        <v>0</v>
      </c>
      <c r="Q368" s="17" t="n">
        <f aca="false">ROUND(L368*Accounts!U94,2)</f>
        <v>0</v>
      </c>
      <c r="R368" s="17" t="n">
        <f aca="false">ROUND(L368*Accounts!V94,2)</f>
        <v>188.2</v>
      </c>
      <c r="S368" s="17" t="n">
        <f aca="false">ROUND(L368*Accounts!W94,2)</f>
        <v>156.83</v>
      </c>
      <c r="T368" s="17" t="n">
        <f aca="false">ROUND(L368-SUM(M368:S368),2)</f>
        <v>29923.72</v>
      </c>
      <c r="U368" s="17" t="n">
        <f aca="false">ROUND(F368*H368,2)</f>
        <v>20126</v>
      </c>
      <c r="V368" s="17" t="n">
        <f aca="false">ROUND(L368*Assumptions!$C$25,2)</f>
        <v>627.33</v>
      </c>
      <c r="W368" s="17" t="n">
        <f aca="false">ROUND(T368-U368-V368,2)</f>
        <v>9170.39</v>
      </c>
      <c r="X368" s="28" t="n">
        <f aca="false">T368/I368</f>
        <v>0.898286503362152</v>
      </c>
      <c r="Y368" s="17" t="n">
        <f aca="false">T368/F368</f>
        <v>86.2355043227666</v>
      </c>
      <c r="Z368" s="26" t="n">
        <f aca="false">Accounts!H94</f>
        <v>1229</v>
      </c>
      <c r="AA368" s="28" t="n">
        <f aca="false">IF(Z368&gt;=Assumptions!$B$44,Assumptions!$C$44,IF(Z368&gt;=Assumptions!$B$45,Assumptions!$C$45,IF(Z368&gt;=Assumptions!$B$46,Assumptions!$C$46,Assumptions!$C$47)))</f>
        <v>0</v>
      </c>
      <c r="AB368" s="26" t="n">
        <f aca="false">IF(Z368&gt;=Assumptions!$B$44,Assumptions!$B$44,IF(Z368&gt;=Assumptions!$B$45,Assumptions!$B$45,IF(Z368&gt;=Assumptions!$B$46,Assumptions!$B$46,0)))</f>
        <v>0</v>
      </c>
    </row>
    <row r="369" customFormat="false" ht="15" hidden="false" customHeight="false" outlineLevel="0" collapsed="false">
      <c r="B369" s="14" t="s">
        <v>253</v>
      </c>
      <c r="C369" s="14" t="s">
        <v>194</v>
      </c>
      <c r="D369" s="14" t="s">
        <v>251</v>
      </c>
      <c r="E369" s="14" t="s">
        <v>64</v>
      </c>
      <c r="F369" s="26" t="n">
        <f aca="false">Accounts!G101</f>
        <v>1113</v>
      </c>
      <c r="G369" s="17" t="n">
        <f aca="false">Assumptions!$D$10</f>
        <v>96</v>
      </c>
      <c r="H369" s="17" t="n">
        <f aca="false">Assumptions!$E$10</f>
        <v>58</v>
      </c>
      <c r="I369" s="17" t="n">
        <f aca="false">ROUND(F369*G369,2)</f>
        <v>106848</v>
      </c>
      <c r="J369" s="17" t="n">
        <f aca="false">ROUND(I369*Accounts!O101,2)</f>
        <v>4273.92</v>
      </c>
      <c r="K369" s="17" t="n">
        <f aca="false">ROUND(I369*Accounts!N101,2)</f>
        <v>16411.85</v>
      </c>
      <c r="L369" s="17" t="n">
        <f aca="false">ROUND(I369-J369-K369,2)</f>
        <v>86162.23</v>
      </c>
      <c r="M369" s="17" t="n">
        <f aca="false">ROUND(L369*AA369,2)</f>
        <v>1723.24</v>
      </c>
      <c r="N369" s="17" t="n">
        <f aca="false">ROUND(L369*Accounts!R101,2)</f>
        <v>0</v>
      </c>
      <c r="O369" s="17" t="n">
        <f aca="false">ROUND(L369*Accounts!S101,2)</f>
        <v>0</v>
      </c>
      <c r="P369" s="17" t="n">
        <f aca="false">ROUND(L369*Accounts!T101,2)</f>
        <v>0</v>
      </c>
      <c r="Q369" s="17" t="n">
        <f aca="false">ROUND(L369*Accounts!U101,2)</f>
        <v>0</v>
      </c>
      <c r="R369" s="17" t="n">
        <f aca="false">ROUND(L369*Accounts!V101,2)</f>
        <v>516.97</v>
      </c>
      <c r="S369" s="17" t="n">
        <f aca="false">ROUND(L369*Accounts!W101,2)</f>
        <v>430.81</v>
      </c>
      <c r="T369" s="17" t="n">
        <f aca="false">ROUND(L369-SUM(M369:S369),2)</f>
        <v>83491.21</v>
      </c>
      <c r="U369" s="17" t="n">
        <f aca="false">ROUND(F369*H369,2)</f>
        <v>64554</v>
      </c>
      <c r="V369" s="17" t="n">
        <f aca="false">ROUND(L369*Assumptions!$C$25,2)</f>
        <v>1723.24</v>
      </c>
      <c r="W369" s="17" t="n">
        <f aca="false">ROUND(T369-U369-V369,2)</f>
        <v>17213.97</v>
      </c>
      <c r="X369" s="28" t="n">
        <f aca="false">T369/I369</f>
        <v>0.781401710841569</v>
      </c>
      <c r="Y369" s="17" t="n">
        <f aca="false">T369/F369</f>
        <v>75.0145642407907</v>
      </c>
      <c r="Z369" s="26" t="n">
        <f aca="false">Accounts!H101</f>
        <v>3251</v>
      </c>
      <c r="AA369" s="28" t="n">
        <f aca="false">IF(Z369&gt;=Assumptions!$B$44,Assumptions!$C$44,IF(Z369&gt;=Assumptions!$B$45,Assumptions!$C$45,IF(Z369&gt;=Assumptions!$B$46,Assumptions!$C$46,Assumptions!$C$47)))</f>
        <v>0.02</v>
      </c>
      <c r="AB369" s="26" t="n">
        <f aca="false">IF(Z369&gt;=Assumptions!$B$44,Assumptions!$B$44,IF(Z369&gt;=Assumptions!$B$45,Assumptions!$B$45,IF(Z369&gt;=Assumptions!$B$46,Assumptions!$B$46,0)))</f>
        <v>3000</v>
      </c>
    </row>
    <row r="370" customFormat="false" ht="15" hidden="false" customHeight="false" outlineLevel="0" collapsed="false">
      <c r="B370" s="14" t="s">
        <v>197</v>
      </c>
      <c r="C370" s="14" t="s">
        <v>194</v>
      </c>
      <c r="D370" s="14" t="s">
        <v>163</v>
      </c>
      <c r="E370" s="14" t="s">
        <v>64</v>
      </c>
      <c r="F370" s="26" t="n">
        <f aca="false">Accounts!G49</f>
        <v>680</v>
      </c>
      <c r="G370" s="17" t="n">
        <f aca="false">Assumptions!$D$10</f>
        <v>96</v>
      </c>
      <c r="H370" s="17" t="n">
        <f aca="false">Assumptions!$E$10</f>
        <v>58</v>
      </c>
      <c r="I370" s="17" t="n">
        <f aca="false">ROUND(F370*G370,2)</f>
        <v>65280</v>
      </c>
      <c r="J370" s="17" t="n">
        <f aca="false">ROUND(I370*Accounts!O49,2)</f>
        <v>1305.6</v>
      </c>
      <c r="K370" s="17" t="n">
        <f aca="false">ROUND(I370*Accounts!N49,2)</f>
        <v>626.69</v>
      </c>
      <c r="L370" s="17" t="n">
        <f aca="false">ROUND(I370-J370-K370,2)</f>
        <v>63347.71</v>
      </c>
      <c r="M370" s="17" t="n">
        <f aca="false">ROUND(L370*AA370,2)</f>
        <v>0</v>
      </c>
      <c r="N370" s="17" t="n">
        <f aca="false">ROUND(L370*Accounts!R49,2)</f>
        <v>1266.95</v>
      </c>
      <c r="O370" s="17" t="n">
        <f aca="false">ROUND(L370*Accounts!S49,2)</f>
        <v>0</v>
      </c>
      <c r="P370" s="17" t="n">
        <f aca="false">ROUND(L370*Accounts!T49,2)</f>
        <v>0</v>
      </c>
      <c r="Q370" s="17" t="n">
        <f aca="false">ROUND(L370*Accounts!U49,2)</f>
        <v>0</v>
      </c>
      <c r="R370" s="17" t="n">
        <f aca="false">ROUND(L370*Accounts!V49,2)</f>
        <v>380.09</v>
      </c>
      <c r="S370" s="17" t="n">
        <f aca="false">ROUND(L370*Accounts!W49,2)</f>
        <v>0</v>
      </c>
      <c r="T370" s="17" t="n">
        <f aca="false">ROUND(L370-SUM(M370:S370),2)</f>
        <v>61700.67</v>
      </c>
      <c r="U370" s="17" t="n">
        <f aca="false">ROUND(F370*H370,2)</f>
        <v>39440</v>
      </c>
      <c r="V370" s="17" t="n">
        <f aca="false">ROUND(L370*Assumptions!$C$25,2)</f>
        <v>1266.95</v>
      </c>
      <c r="W370" s="17" t="n">
        <f aca="false">ROUND(T370-U370-V370,2)</f>
        <v>20993.72</v>
      </c>
      <c r="X370" s="28" t="n">
        <f aca="false">T370/I370</f>
        <v>0.945169577205882</v>
      </c>
      <c r="Y370" s="17" t="n">
        <f aca="false">T370/F370</f>
        <v>90.7362794117647</v>
      </c>
      <c r="Z370" s="26" t="n">
        <f aca="false">Accounts!H49</f>
        <v>851</v>
      </c>
      <c r="AA370" s="28" t="n">
        <f aca="false">IF(Z370&gt;=Assumptions!$B$44,Assumptions!$C$44,IF(Z370&gt;=Assumptions!$B$45,Assumptions!$C$45,IF(Z370&gt;=Assumptions!$B$46,Assumptions!$C$46,Assumptions!$C$47)))</f>
        <v>0</v>
      </c>
      <c r="AB370" s="26" t="n">
        <f aca="false">IF(Z370&gt;=Assumptions!$B$44,Assumptions!$B$44,IF(Z370&gt;=Assumptions!$B$45,Assumptions!$B$45,IF(Z370&gt;=Assumptions!$B$46,Assumptions!$B$46,0)))</f>
        <v>0</v>
      </c>
    </row>
    <row r="371" customFormat="false" ht="15" hidden="false" customHeight="false" outlineLevel="0" collapsed="false">
      <c r="B371" s="14" t="s">
        <v>213</v>
      </c>
      <c r="C371" s="14" t="s">
        <v>194</v>
      </c>
      <c r="D371" s="14" t="s">
        <v>184</v>
      </c>
      <c r="E371" s="14" t="s">
        <v>64</v>
      </c>
      <c r="F371" s="26" t="n">
        <f aca="false">Accounts!G65</f>
        <v>1054</v>
      </c>
      <c r="G371" s="17" t="n">
        <f aca="false">Assumptions!$D$10</f>
        <v>96</v>
      </c>
      <c r="H371" s="17" t="n">
        <f aca="false">Assumptions!$E$10</f>
        <v>58</v>
      </c>
      <c r="I371" s="17" t="n">
        <f aca="false">ROUND(F371*G371,2)</f>
        <v>101184</v>
      </c>
      <c r="J371" s="17" t="n">
        <f aca="false">ROUND(I371*Accounts!O65,2)</f>
        <v>2023.68</v>
      </c>
      <c r="K371" s="17" t="n">
        <f aca="false">ROUND(I371*Accounts!N65,2)</f>
        <v>0</v>
      </c>
      <c r="L371" s="17" t="n">
        <f aca="false">ROUND(I371-J371-K371,2)</f>
        <v>99160.32</v>
      </c>
      <c r="M371" s="17" t="n">
        <f aca="false">ROUND(L371*AA371,2)</f>
        <v>1983.21</v>
      </c>
      <c r="N371" s="17" t="n">
        <f aca="false">ROUND(L371*Accounts!R65,2)</f>
        <v>0</v>
      </c>
      <c r="O371" s="17" t="n">
        <f aca="false">ROUND(L371*Accounts!S65,2)</f>
        <v>0</v>
      </c>
      <c r="P371" s="17" t="n">
        <f aca="false">ROUND(L371*Accounts!T65,2)</f>
        <v>0</v>
      </c>
      <c r="Q371" s="17" t="n">
        <f aca="false">ROUND(L371*Accounts!U65,2)</f>
        <v>0</v>
      </c>
      <c r="R371" s="17" t="n">
        <f aca="false">ROUND(L371*Accounts!V65,2)</f>
        <v>594.96</v>
      </c>
      <c r="S371" s="17" t="n">
        <f aca="false">ROUND(L371*Accounts!W65,2)</f>
        <v>0</v>
      </c>
      <c r="T371" s="17" t="n">
        <f aca="false">ROUND(L371-SUM(M371:S371),2)</f>
        <v>96582.15</v>
      </c>
      <c r="U371" s="17" t="n">
        <f aca="false">ROUND(F371*H371,2)</f>
        <v>61132</v>
      </c>
      <c r="V371" s="17" t="n">
        <f aca="false">ROUND(L371*Assumptions!$C$25,2)</f>
        <v>1983.21</v>
      </c>
      <c r="W371" s="17" t="n">
        <f aca="false">ROUND(T371-U371-V371,2)</f>
        <v>33466.94</v>
      </c>
      <c r="X371" s="28" t="n">
        <f aca="false">T371/I371</f>
        <v>0.954519983396584</v>
      </c>
      <c r="Y371" s="17" t="n">
        <f aca="false">T371/F371</f>
        <v>91.6339184060721</v>
      </c>
      <c r="Z371" s="26" t="n">
        <f aca="false">Accounts!H65</f>
        <v>3732</v>
      </c>
      <c r="AA371" s="28" t="n">
        <f aca="false">IF(Z371&gt;=Assumptions!$B$44,Assumptions!$C$44,IF(Z371&gt;=Assumptions!$B$45,Assumptions!$C$45,IF(Z371&gt;=Assumptions!$B$46,Assumptions!$C$46,Assumptions!$C$47)))</f>
        <v>0.02</v>
      </c>
      <c r="AB371" s="26" t="n">
        <f aca="false">IF(Z371&gt;=Assumptions!$B$44,Assumptions!$B$44,IF(Z371&gt;=Assumptions!$B$45,Assumptions!$B$45,IF(Z371&gt;=Assumptions!$B$46,Assumptions!$B$46,0)))</f>
        <v>3000</v>
      </c>
    </row>
    <row r="372" customFormat="false" ht="15" hidden="false" customHeight="false" outlineLevel="0" collapsed="false">
      <c r="B372" s="14" t="s">
        <v>221</v>
      </c>
      <c r="C372" s="14" t="s">
        <v>194</v>
      </c>
      <c r="D372" s="14" t="s">
        <v>218</v>
      </c>
      <c r="E372" s="14" t="s">
        <v>64</v>
      </c>
      <c r="F372" s="26" t="n">
        <f aca="false">Accounts!G73</f>
        <v>883</v>
      </c>
      <c r="G372" s="17" t="n">
        <f aca="false">Assumptions!$D$10</f>
        <v>96</v>
      </c>
      <c r="H372" s="17" t="n">
        <f aca="false">Assumptions!$E$10</f>
        <v>58</v>
      </c>
      <c r="I372" s="17" t="n">
        <f aca="false">ROUND(F372*G372,2)</f>
        <v>84768</v>
      </c>
      <c r="J372" s="17" t="n">
        <f aca="false">ROUND(I372*Accounts!O73,2)</f>
        <v>1695.36</v>
      </c>
      <c r="K372" s="17" t="n">
        <f aca="false">ROUND(I372*Accounts!N73,2)</f>
        <v>5289.52</v>
      </c>
      <c r="L372" s="17" t="n">
        <f aca="false">ROUND(I372-J372-K372,2)</f>
        <v>77783.12</v>
      </c>
      <c r="M372" s="17" t="n">
        <f aca="false">ROUND(L372*AA372,2)</f>
        <v>0</v>
      </c>
      <c r="N372" s="17" t="n">
        <f aca="false">ROUND(L372*Accounts!R73,2)</f>
        <v>0</v>
      </c>
      <c r="O372" s="17" t="n">
        <f aca="false">ROUND(L372*Accounts!S73,2)</f>
        <v>1166.75</v>
      </c>
      <c r="P372" s="17" t="n">
        <f aca="false">ROUND(L372*Accounts!T73,2)</f>
        <v>0</v>
      </c>
      <c r="Q372" s="17" t="n">
        <f aca="false">ROUND(L372*Accounts!U73,2)</f>
        <v>0</v>
      </c>
      <c r="R372" s="17" t="n">
        <f aca="false">ROUND(L372*Accounts!V73,2)</f>
        <v>466.7</v>
      </c>
      <c r="S372" s="17" t="n">
        <f aca="false">ROUND(L372*Accounts!W73,2)</f>
        <v>388.92</v>
      </c>
      <c r="T372" s="17" t="n">
        <f aca="false">ROUND(L372-SUM(M372:S372),2)</f>
        <v>75760.75</v>
      </c>
      <c r="U372" s="17" t="n">
        <f aca="false">ROUND(F372*H372,2)</f>
        <v>51214</v>
      </c>
      <c r="V372" s="17" t="n">
        <f aca="false">ROUND(L372*Assumptions!$C$25,2)</f>
        <v>1555.66</v>
      </c>
      <c r="W372" s="17" t="n">
        <f aca="false">ROUND(T372-U372-V372,2)</f>
        <v>22991.09</v>
      </c>
      <c r="X372" s="28" t="n">
        <f aca="false">T372/I372</f>
        <v>0.89374233201208</v>
      </c>
      <c r="Y372" s="17" t="n">
        <f aca="false">T372/F372</f>
        <v>85.7992638731597</v>
      </c>
      <c r="Z372" s="26" t="n">
        <f aca="false">Accounts!H73</f>
        <v>2802</v>
      </c>
      <c r="AA372" s="28" t="n">
        <f aca="false">IF(Z372&gt;=Assumptions!$B$44,Assumptions!$C$44,IF(Z372&gt;=Assumptions!$B$45,Assumptions!$C$45,IF(Z372&gt;=Assumptions!$B$46,Assumptions!$C$46,Assumptions!$C$47)))</f>
        <v>0</v>
      </c>
      <c r="AB372" s="26" t="n">
        <f aca="false">IF(Z372&gt;=Assumptions!$B$44,Assumptions!$B$44,IF(Z372&gt;=Assumptions!$B$45,Assumptions!$B$45,IF(Z372&gt;=Assumptions!$B$46,Assumptions!$B$46,0)))</f>
        <v>0</v>
      </c>
    </row>
    <row r="373" customFormat="false" ht="15" hidden="false" customHeight="false" outlineLevel="0" collapsed="false">
      <c r="B373" s="14" t="s">
        <v>230</v>
      </c>
      <c r="C373" s="14" t="s">
        <v>194</v>
      </c>
      <c r="D373" s="14" t="s">
        <v>227</v>
      </c>
      <c r="E373" s="14" t="s">
        <v>64</v>
      </c>
      <c r="F373" s="26" t="n">
        <f aca="false">Accounts!G81</f>
        <v>1323</v>
      </c>
      <c r="G373" s="17" t="n">
        <f aca="false">Assumptions!$D$10</f>
        <v>96</v>
      </c>
      <c r="H373" s="17" t="n">
        <f aca="false">Assumptions!$E$10</f>
        <v>58</v>
      </c>
      <c r="I373" s="17" t="n">
        <f aca="false">ROUND(F373*G373,2)</f>
        <v>127008</v>
      </c>
      <c r="J373" s="17" t="n">
        <f aca="false">ROUND(I373*Accounts!O81,2)</f>
        <v>5080.32</v>
      </c>
      <c r="K373" s="17" t="n">
        <f aca="false">ROUND(I373*Accounts!N81,2)</f>
        <v>12802.41</v>
      </c>
      <c r="L373" s="17" t="n">
        <f aca="false">ROUND(I373-J373-K373,2)</f>
        <v>109125.27</v>
      </c>
      <c r="M373" s="17" t="n">
        <f aca="false">ROUND(L373*AA373,2)</f>
        <v>2182.51</v>
      </c>
      <c r="N373" s="17" t="n">
        <f aca="false">ROUND(L373*Accounts!R81,2)</f>
        <v>0</v>
      </c>
      <c r="O373" s="17" t="n">
        <f aca="false">ROUND(L373*Accounts!S81,2)</f>
        <v>1636.88</v>
      </c>
      <c r="P373" s="17" t="n">
        <f aca="false">ROUND(L373*Accounts!T81,2)</f>
        <v>0</v>
      </c>
      <c r="Q373" s="17" t="n">
        <f aca="false">ROUND(L373*Accounts!U81,2)</f>
        <v>0</v>
      </c>
      <c r="R373" s="17" t="n">
        <f aca="false">ROUND(L373*Accounts!V81,2)</f>
        <v>654.75</v>
      </c>
      <c r="S373" s="17" t="n">
        <f aca="false">ROUND(L373*Accounts!W81,2)</f>
        <v>0</v>
      </c>
      <c r="T373" s="17" t="n">
        <f aca="false">ROUND(L373-SUM(M373:S373),2)</f>
        <v>104651.13</v>
      </c>
      <c r="U373" s="17" t="n">
        <f aca="false">ROUND(F373*H373,2)</f>
        <v>76734</v>
      </c>
      <c r="V373" s="17" t="n">
        <f aca="false">ROUND(L373*Assumptions!$C$25,2)</f>
        <v>2182.51</v>
      </c>
      <c r="W373" s="17" t="n">
        <f aca="false">ROUND(T373-U373-V373,2)</f>
        <v>25734.62</v>
      </c>
      <c r="X373" s="28" t="n">
        <f aca="false">T373/I373</f>
        <v>0.823972741874528</v>
      </c>
      <c r="Y373" s="17" t="n">
        <f aca="false">T373/F373</f>
        <v>79.1013832199547</v>
      </c>
      <c r="Z373" s="26" t="n">
        <f aca="false">Accounts!H81</f>
        <v>4698</v>
      </c>
      <c r="AA373" s="28" t="n">
        <f aca="false">IF(Z373&gt;=Assumptions!$B$44,Assumptions!$C$44,IF(Z373&gt;=Assumptions!$B$45,Assumptions!$C$45,IF(Z373&gt;=Assumptions!$B$46,Assumptions!$C$46,Assumptions!$C$47)))</f>
        <v>0.02</v>
      </c>
      <c r="AB373" s="26" t="n">
        <f aca="false">IF(Z373&gt;=Assumptions!$B$44,Assumptions!$B$44,IF(Z373&gt;=Assumptions!$B$45,Assumptions!$B$45,IF(Z373&gt;=Assumptions!$B$46,Assumptions!$B$46,0)))</f>
        <v>3000</v>
      </c>
    </row>
    <row r="374" customFormat="false" ht="15" hidden="false" customHeight="false" outlineLevel="0" collapsed="false">
      <c r="B374" s="14" t="s">
        <v>254</v>
      </c>
      <c r="C374" s="14" t="s">
        <v>194</v>
      </c>
      <c r="D374" s="14" t="s">
        <v>251</v>
      </c>
      <c r="E374" s="14" t="s">
        <v>64</v>
      </c>
      <c r="F374" s="26" t="n">
        <f aca="false">Accounts!G102</f>
        <v>829</v>
      </c>
      <c r="G374" s="17" t="n">
        <f aca="false">Assumptions!$D$10</f>
        <v>96</v>
      </c>
      <c r="H374" s="17" t="n">
        <f aca="false">Assumptions!$E$10</f>
        <v>58</v>
      </c>
      <c r="I374" s="17" t="n">
        <f aca="false">ROUND(F374*G374,2)</f>
        <v>79584</v>
      </c>
      <c r="J374" s="17" t="n">
        <f aca="false">ROUND(I374*Accounts!O102,2)</f>
        <v>1591.68</v>
      </c>
      <c r="K374" s="17" t="n">
        <f aca="false">ROUND(I374*Accounts!N102,2)</f>
        <v>3820.03</v>
      </c>
      <c r="L374" s="17" t="n">
        <f aca="false">ROUND(I374-J374-K374,2)</f>
        <v>74172.29</v>
      </c>
      <c r="M374" s="17" t="n">
        <f aca="false">ROUND(L374*AA374,2)</f>
        <v>0</v>
      </c>
      <c r="N374" s="17" t="n">
        <f aca="false">ROUND(L374*Accounts!R102,2)</f>
        <v>1483.45</v>
      </c>
      <c r="O374" s="17" t="n">
        <f aca="false">ROUND(L374*Accounts!S102,2)</f>
        <v>1112.58</v>
      </c>
      <c r="P374" s="17" t="n">
        <f aca="false">ROUND(L374*Accounts!T102,2)</f>
        <v>0</v>
      </c>
      <c r="Q374" s="17" t="n">
        <f aca="false">ROUND(L374*Accounts!U102,2)</f>
        <v>0</v>
      </c>
      <c r="R374" s="17" t="n">
        <f aca="false">ROUND(L374*Accounts!V102,2)</f>
        <v>445.03</v>
      </c>
      <c r="S374" s="17" t="n">
        <f aca="false">ROUND(L374*Accounts!W102,2)</f>
        <v>0</v>
      </c>
      <c r="T374" s="17" t="n">
        <f aca="false">ROUND(L374-SUM(M374:S374),2)</f>
        <v>71131.23</v>
      </c>
      <c r="U374" s="17" t="n">
        <f aca="false">ROUND(F374*H374,2)</f>
        <v>48082</v>
      </c>
      <c r="V374" s="17" t="n">
        <f aca="false">ROUND(L374*Assumptions!$C$25,2)</f>
        <v>1483.45</v>
      </c>
      <c r="W374" s="17" t="n">
        <f aca="false">ROUND(T374-U374-V374,2)</f>
        <v>21565.78</v>
      </c>
      <c r="X374" s="28" t="n">
        <f aca="false">T374/I374</f>
        <v>0.893788072979493</v>
      </c>
      <c r="Y374" s="17" t="n">
        <f aca="false">T374/F374</f>
        <v>85.8036550060314</v>
      </c>
      <c r="Z374" s="26" t="n">
        <f aca="false">Accounts!H102</f>
        <v>1386</v>
      </c>
      <c r="AA374" s="28" t="n">
        <f aca="false">IF(Z374&gt;=Assumptions!$B$44,Assumptions!$C$44,IF(Z374&gt;=Assumptions!$B$45,Assumptions!$C$45,IF(Z374&gt;=Assumptions!$B$46,Assumptions!$C$46,Assumptions!$C$47)))</f>
        <v>0</v>
      </c>
      <c r="AB374" s="26" t="n">
        <f aca="false">IF(Z374&gt;=Assumptions!$B$44,Assumptions!$B$44,IF(Z374&gt;=Assumptions!$B$45,Assumptions!$B$45,IF(Z374&gt;=Assumptions!$B$46,Assumptions!$B$46,0)))</f>
        <v>0</v>
      </c>
    </row>
    <row r="375" customFormat="false" ht="15" hidden="false" customHeight="false" outlineLevel="0" collapsed="false">
      <c r="B375" s="14" t="s">
        <v>198</v>
      </c>
      <c r="C375" s="14" t="s">
        <v>194</v>
      </c>
      <c r="D375" s="14" t="s">
        <v>163</v>
      </c>
      <c r="E375" s="14" t="s">
        <v>64</v>
      </c>
      <c r="F375" s="26" t="n">
        <f aca="false">Accounts!G50</f>
        <v>3260</v>
      </c>
      <c r="G375" s="17" t="n">
        <f aca="false">Assumptions!$D$10</f>
        <v>96</v>
      </c>
      <c r="H375" s="17" t="n">
        <f aca="false">Assumptions!$E$10</f>
        <v>58</v>
      </c>
      <c r="I375" s="17" t="n">
        <f aca="false">ROUND(F375*G375,2)</f>
        <v>312960</v>
      </c>
      <c r="J375" s="17" t="n">
        <f aca="false">ROUND(I375*Accounts!O50,2)</f>
        <v>12518.4</v>
      </c>
      <c r="K375" s="17" t="n">
        <f aca="false">ROUND(I375*Accounts!N50,2)</f>
        <v>13519.87</v>
      </c>
      <c r="L375" s="17" t="n">
        <f aca="false">ROUND(I375-J375-K375,2)</f>
        <v>286921.73</v>
      </c>
      <c r="M375" s="17" t="n">
        <f aca="false">ROUND(L375*AA375,2)</f>
        <v>10042.26</v>
      </c>
      <c r="N375" s="17" t="n">
        <f aca="false">ROUND(L375*Accounts!R50,2)</f>
        <v>5738.43</v>
      </c>
      <c r="O375" s="17" t="n">
        <f aca="false">ROUND(L375*Accounts!S50,2)</f>
        <v>0</v>
      </c>
      <c r="P375" s="17" t="n">
        <f aca="false">ROUND(L375*Accounts!T50,2)</f>
        <v>0</v>
      </c>
      <c r="Q375" s="17" t="n">
        <f aca="false">ROUND(L375*Accounts!U50,2)</f>
        <v>0</v>
      </c>
      <c r="R375" s="17" t="n">
        <f aca="false">ROUND(L375*Accounts!V50,2)</f>
        <v>1721.53</v>
      </c>
      <c r="S375" s="17" t="n">
        <f aca="false">ROUND(L375*Accounts!W50,2)</f>
        <v>0</v>
      </c>
      <c r="T375" s="17" t="n">
        <f aca="false">ROUND(L375-SUM(M375:S375),2)</f>
        <v>269419.51</v>
      </c>
      <c r="U375" s="17" t="n">
        <f aca="false">ROUND(F375*H375,2)</f>
        <v>189080</v>
      </c>
      <c r="V375" s="17" t="n">
        <f aca="false">ROUND(L375*Assumptions!$C$25,2)</f>
        <v>5738.43</v>
      </c>
      <c r="W375" s="17" t="n">
        <f aca="false">ROUND(T375-U375-V375,2)</f>
        <v>74601.08</v>
      </c>
      <c r="X375" s="28" t="n">
        <f aca="false">T375/I375</f>
        <v>0.860875223670757</v>
      </c>
      <c r="Y375" s="17" t="n">
        <f aca="false">T375/F375</f>
        <v>82.6440214723926</v>
      </c>
      <c r="Z375" s="26" t="n">
        <f aca="false">Accounts!H50</f>
        <v>10845</v>
      </c>
      <c r="AA375" s="28" t="n">
        <f aca="false">IF(Z375&gt;=Assumptions!$B$44,Assumptions!$C$44,IF(Z375&gt;=Assumptions!$B$45,Assumptions!$C$45,IF(Z375&gt;=Assumptions!$B$46,Assumptions!$C$46,Assumptions!$C$47)))</f>
        <v>0.035</v>
      </c>
      <c r="AB375" s="26" t="n">
        <f aca="false">IF(Z375&gt;=Assumptions!$B$44,Assumptions!$B$44,IF(Z375&gt;=Assumptions!$B$45,Assumptions!$B$45,IF(Z375&gt;=Assumptions!$B$46,Assumptions!$B$46,0)))</f>
        <v>10000</v>
      </c>
    </row>
    <row r="376" customFormat="false" ht="15" hidden="false" customHeight="false" outlineLevel="0" collapsed="false">
      <c r="B376" s="14" t="s">
        <v>206</v>
      </c>
      <c r="C376" s="14" t="s">
        <v>194</v>
      </c>
      <c r="D376" s="14" t="s">
        <v>174</v>
      </c>
      <c r="E376" s="14" t="s">
        <v>64</v>
      </c>
      <c r="F376" s="26" t="n">
        <f aca="false">Accounts!G58</f>
        <v>1453</v>
      </c>
      <c r="G376" s="17" t="n">
        <f aca="false">Assumptions!$D$10</f>
        <v>96</v>
      </c>
      <c r="H376" s="17" t="n">
        <f aca="false">Assumptions!$E$10</f>
        <v>58</v>
      </c>
      <c r="I376" s="17" t="n">
        <f aca="false">ROUND(F376*G376,2)</f>
        <v>139488</v>
      </c>
      <c r="J376" s="17" t="n">
        <f aca="false">ROUND(I376*Accounts!O58,2)</f>
        <v>5579.52</v>
      </c>
      <c r="K376" s="17" t="n">
        <f aca="false">ROUND(I376*Accounts!N58,2)</f>
        <v>15399.48</v>
      </c>
      <c r="L376" s="17" t="n">
        <f aca="false">ROUND(I376-J376-K376,2)</f>
        <v>118509</v>
      </c>
      <c r="M376" s="17" t="n">
        <f aca="false">ROUND(L376*AA376,2)</f>
        <v>2370.18</v>
      </c>
      <c r="N376" s="17" t="n">
        <f aca="false">ROUND(L376*Accounts!R58,2)</f>
        <v>0</v>
      </c>
      <c r="O376" s="17" t="n">
        <f aca="false">ROUND(L376*Accounts!S58,2)</f>
        <v>0</v>
      </c>
      <c r="P376" s="17" t="n">
        <f aca="false">ROUND(L376*Accounts!T58,2)</f>
        <v>0</v>
      </c>
      <c r="Q376" s="17" t="n">
        <f aca="false">ROUND(L376*Accounts!U58,2)</f>
        <v>0</v>
      </c>
      <c r="R376" s="17" t="n">
        <f aca="false">ROUND(L376*Accounts!V58,2)</f>
        <v>711.05</v>
      </c>
      <c r="S376" s="17" t="n">
        <f aca="false">ROUND(L376*Accounts!W58,2)</f>
        <v>0</v>
      </c>
      <c r="T376" s="17" t="n">
        <f aca="false">ROUND(L376-SUM(M376:S376),2)</f>
        <v>115427.77</v>
      </c>
      <c r="U376" s="17" t="n">
        <f aca="false">ROUND(F376*H376,2)</f>
        <v>84274</v>
      </c>
      <c r="V376" s="17" t="n">
        <f aca="false">ROUND(L376*Assumptions!$C$25,2)</f>
        <v>2370.18</v>
      </c>
      <c r="W376" s="17" t="n">
        <f aca="false">ROUND(T376-U376-V376,2)</f>
        <v>28783.59</v>
      </c>
      <c r="X376" s="28" t="n">
        <f aca="false">T376/I376</f>
        <v>0.82751039515944</v>
      </c>
      <c r="Y376" s="17" t="n">
        <f aca="false">T376/F376</f>
        <v>79.4409979353063</v>
      </c>
      <c r="Z376" s="26" t="n">
        <f aca="false">Accounts!H58</f>
        <v>5719</v>
      </c>
      <c r="AA376" s="28" t="n">
        <f aca="false">IF(Z376&gt;=Assumptions!$B$44,Assumptions!$C$44,IF(Z376&gt;=Assumptions!$B$45,Assumptions!$C$45,IF(Z376&gt;=Assumptions!$B$46,Assumptions!$C$46,Assumptions!$C$47)))</f>
        <v>0.02</v>
      </c>
      <c r="AB376" s="26" t="n">
        <f aca="false">IF(Z376&gt;=Assumptions!$B$44,Assumptions!$B$44,IF(Z376&gt;=Assumptions!$B$45,Assumptions!$B$45,IF(Z376&gt;=Assumptions!$B$46,Assumptions!$B$46,0)))</f>
        <v>3000</v>
      </c>
    </row>
    <row r="377" customFormat="false" ht="15" hidden="false" customHeight="false" outlineLevel="0" collapsed="false">
      <c r="B377" s="14" t="s">
        <v>93</v>
      </c>
      <c r="C377" s="14" t="s">
        <v>194</v>
      </c>
      <c r="D377" s="14" t="s">
        <v>184</v>
      </c>
      <c r="E377" s="14" t="s">
        <v>64</v>
      </c>
      <c r="F377" s="26" t="n">
        <f aca="false">Accounts!G66</f>
        <v>2659</v>
      </c>
      <c r="G377" s="17" t="n">
        <f aca="false">Assumptions!$D$10</f>
        <v>96</v>
      </c>
      <c r="H377" s="17" t="n">
        <f aca="false">Assumptions!$E$10</f>
        <v>58</v>
      </c>
      <c r="I377" s="17" t="n">
        <f aca="false">ROUND(F377*G377,2)</f>
        <v>255264</v>
      </c>
      <c r="J377" s="17" t="n">
        <f aca="false">ROUND(I377*Accounts!O66,2)</f>
        <v>10210.56</v>
      </c>
      <c r="K377" s="17" t="n">
        <f aca="false">ROUND(I377*Accounts!N66,2)</f>
        <v>7351.6</v>
      </c>
      <c r="L377" s="17" t="n">
        <f aca="false">ROUND(I377-J377-K377,2)</f>
        <v>237701.84</v>
      </c>
      <c r="M377" s="17" t="n">
        <f aca="false">ROUND(L377*AA377,2)</f>
        <v>4754.04</v>
      </c>
      <c r="N377" s="17" t="n">
        <f aca="false">ROUND(L377*Accounts!R66,2)</f>
        <v>0</v>
      </c>
      <c r="O377" s="17" t="n">
        <f aca="false">ROUND(L377*Accounts!S66,2)</f>
        <v>3565.53</v>
      </c>
      <c r="P377" s="17" t="n">
        <f aca="false">ROUND(L377*Accounts!T66,2)</f>
        <v>0</v>
      </c>
      <c r="Q377" s="17" t="n">
        <f aca="false">ROUND(L377*Accounts!U66,2)</f>
        <v>0</v>
      </c>
      <c r="R377" s="17" t="n">
        <f aca="false">ROUND(L377*Accounts!V66,2)</f>
        <v>1426.21</v>
      </c>
      <c r="S377" s="17" t="n">
        <f aca="false">ROUND(L377*Accounts!W66,2)</f>
        <v>0</v>
      </c>
      <c r="T377" s="17" t="n">
        <f aca="false">ROUND(L377-SUM(M377:S377),2)</f>
        <v>227956.06</v>
      </c>
      <c r="U377" s="17" t="n">
        <f aca="false">ROUND(F377*H377,2)</f>
        <v>154222</v>
      </c>
      <c r="V377" s="17" t="n">
        <f aca="false">ROUND(L377*Assumptions!$C$25,2)</f>
        <v>4754.04</v>
      </c>
      <c r="W377" s="17" t="n">
        <f aca="false">ROUND(T377-U377-V377,2)</f>
        <v>68980.02</v>
      </c>
      <c r="X377" s="28" t="n">
        <f aca="false">T377/I377</f>
        <v>0.893020794158205</v>
      </c>
      <c r="Y377" s="17" t="n">
        <f aca="false">T377/F377</f>
        <v>85.7299962391877</v>
      </c>
      <c r="Z377" s="26" t="n">
        <f aca="false">Accounts!H66</f>
        <v>9360</v>
      </c>
      <c r="AA377" s="28" t="n">
        <f aca="false">IF(Z377&gt;=Assumptions!$B$44,Assumptions!$C$44,IF(Z377&gt;=Assumptions!$B$45,Assumptions!$C$45,IF(Z377&gt;=Assumptions!$B$46,Assumptions!$C$46,Assumptions!$C$47)))</f>
        <v>0.02</v>
      </c>
      <c r="AB377" s="26" t="n">
        <f aca="false">IF(Z377&gt;=Assumptions!$B$44,Assumptions!$B$44,IF(Z377&gt;=Assumptions!$B$45,Assumptions!$B$45,IF(Z377&gt;=Assumptions!$B$46,Assumptions!$B$46,0)))</f>
        <v>3000</v>
      </c>
    </row>
    <row r="378" customFormat="false" ht="15" hidden="false" customHeight="false" outlineLevel="0" collapsed="false">
      <c r="B378" s="14" t="s">
        <v>231</v>
      </c>
      <c r="C378" s="14" t="s">
        <v>194</v>
      </c>
      <c r="D378" s="14" t="s">
        <v>227</v>
      </c>
      <c r="E378" s="14" t="s">
        <v>64</v>
      </c>
      <c r="F378" s="26" t="n">
        <f aca="false">Accounts!G82</f>
        <v>2009</v>
      </c>
      <c r="G378" s="17" t="n">
        <f aca="false">Assumptions!$D$10</f>
        <v>96</v>
      </c>
      <c r="H378" s="17" t="n">
        <f aca="false">Assumptions!$E$10</f>
        <v>58</v>
      </c>
      <c r="I378" s="17" t="n">
        <f aca="false">ROUND(F378*G378,2)</f>
        <v>192864</v>
      </c>
      <c r="J378" s="17" t="n">
        <f aca="false">ROUND(I378*Accounts!O82,2)</f>
        <v>7714.56</v>
      </c>
      <c r="K378" s="17" t="n">
        <f aca="false">ROUND(I378*Accounts!N82,2)</f>
        <v>16663.45</v>
      </c>
      <c r="L378" s="17" t="n">
        <f aca="false">ROUND(I378-J378-K378,2)</f>
        <v>168485.99</v>
      </c>
      <c r="M378" s="17" t="n">
        <f aca="false">ROUND(L378*AA378,2)</f>
        <v>3369.72</v>
      </c>
      <c r="N378" s="17" t="n">
        <f aca="false">ROUND(L378*Accounts!R82,2)</f>
        <v>0</v>
      </c>
      <c r="O378" s="17" t="n">
        <f aca="false">ROUND(L378*Accounts!S82,2)</f>
        <v>0</v>
      </c>
      <c r="P378" s="17" t="n">
        <f aca="false">ROUND(L378*Accounts!T82,2)</f>
        <v>0</v>
      </c>
      <c r="Q378" s="17" t="n">
        <f aca="false">ROUND(L378*Accounts!U82,2)</f>
        <v>0</v>
      </c>
      <c r="R378" s="17" t="n">
        <f aca="false">ROUND(L378*Accounts!V82,2)</f>
        <v>1010.92</v>
      </c>
      <c r="S378" s="17" t="n">
        <f aca="false">ROUND(L378*Accounts!W82,2)</f>
        <v>842.43</v>
      </c>
      <c r="T378" s="17" t="n">
        <f aca="false">ROUND(L378-SUM(M378:S378),2)</f>
        <v>163262.92</v>
      </c>
      <c r="U378" s="17" t="n">
        <f aca="false">ROUND(F378*H378,2)</f>
        <v>116522</v>
      </c>
      <c r="V378" s="17" t="n">
        <f aca="false">ROUND(L378*Assumptions!$C$25,2)</f>
        <v>3369.72</v>
      </c>
      <c r="W378" s="17" t="n">
        <f aca="false">ROUND(T378-U378-V378,2)</f>
        <v>43371.2</v>
      </c>
      <c r="X378" s="28" t="n">
        <f aca="false">T378/I378</f>
        <v>0.84651837564294</v>
      </c>
      <c r="Y378" s="17" t="n">
        <f aca="false">T378/F378</f>
        <v>81.2657640617223</v>
      </c>
      <c r="Z378" s="26" t="n">
        <f aca="false">Accounts!H82</f>
        <v>3292</v>
      </c>
      <c r="AA378" s="28" t="n">
        <f aca="false">IF(Z378&gt;=Assumptions!$B$44,Assumptions!$C$44,IF(Z378&gt;=Assumptions!$B$45,Assumptions!$C$45,IF(Z378&gt;=Assumptions!$B$46,Assumptions!$C$46,Assumptions!$C$47)))</f>
        <v>0.02</v>
      </c>
      <c r="AB378" s="26" t="n">
        <f aca="false">IF(Z378&gt;=Assumptions!$B$44,Assumptions!$B$44,IF(Z378&gt;=Assumptions!$B$45,Assumptions!$B$45,IF(Z378&gt;=Assumptions!$B$46,Assumptions!$B$46,0)))</f>
        <v>3000</v>
      </c>
    </row>
    <row r="379" customFormat="false" ht="15" hidden="false" customHeight="false" outlineLevel="0" collapsed="false">
      <c r="B379" s="14" t="s">
        <v>239</v>
      </c>
      <c r="C379" s="14" t="s">
        <v>194</v>
      </c>
      <c r="D379" s="14" t="s">
        <v>235</v>
      </c>
      <c r="E379" s="14" t="s">
        <v>64</v>
      </c>
      <c r="F379" s="26" t="n">
        <f aca="false">Accounts!G89</f>
        <v>631</v>
      </c>
      <c r="G379" s="17" t="n">
        <f aca="false">Assumptions!$D$10</f>
        <v>96</v>
      </c>
      <c r="H379" s="17" t="n">
        <f aca="false">Assumptions!$E$10</f>
        <v>58</v>
      </c>
      <c r="I379" s="17" t="n">
        <f aca="false">ROUND(F379*G379,2)</f>
        <v>60576</v>
      </c>
      <c r="J379" s="17" t="n">
        <f aca="false">ROUND(I379*Accounts!O89,2)</f>
        <v>1211.52</v>
      </c>
      <c r="K379" s="17" t="n">
        <f aca="false">ROUND(I379*Accounts!N89,2)</f>
        <v>1744.59</v>
      </c>
      <c r="L379" s="17" t="n">
        <f aca="false">ROUND(I379-J379-K379,2)</f>
        <v>57619.89</v>
      </c>
      <c r="M379" s="17" t="n">
        <f aca="false">ROUND(L379*AA379,2)</f>
        <v>0</v>
      </c>
      <c r="N379" s="17" t="n">
        <f aca="false">ROUND(L379*Accounts!R89,2)</f>
        <v>1152.4</v>
      </c>
      <c r="O379" s="17" t="n">
        <f aca="false">ROUND(L379*Accounts!S89,2)</f>
        <v>864.3</v>
      </c>
      <c r="P379" s="17" t="n">
        <f aca="false">ROUND(L379*Accounts!T89,2)</f>
        <v>0</v>
      </c>
      <c r="Q379" s="17" t="n">
        <f aca="false">ROUND(L379*Accounts!U89,2)</f>
        <v>0</v>
      </c>
      <c r="R379" s="17" t="n">
        <f aca="false">ROUND(L379*Accounts!V89,2)</f>
        <v>345.72</v>
      </c>
      <c r="S379" s="17" t="n">
        <f aca="false">ROUND(L379*Accounts!W89,2)</f>
        <v>288.1</v>
      </c>
      <c r="T379" s="17" t="n">
        <f aca="false">ROUND(L379-SUM(M379:S379),2)</f>
        <v>54969.37</v>
      </c>
      <c r="U379" s="17" t="n">
        <f aca="false">ROUND(F379*H379,2)</f>
        <v>36598</v>
      </c>
      <c r="V379" s="17" t="n">
        <f aca="false">ROUND(L379*Assumptions!$C$25,2)</f>
        <v>1152.4</v>
      </c>
      <c r="W379" s="17" t="n">
        <f aca="false">ROUND(T379-U379-V379,2)</f>
        <v>17218.97</v>
      </c>
      <c r="X379" s="28" t="n">
        <f aca="false">T379/I379</f>
        <v>0.907444697569995</v>
      </c>
      <c r="Y379" s="17" t="n">
        <f aca="false">T379/F379</f>
        <v>87.1146909667195</v>
      </c>
      <c r="Z379" s="26" t="n">
        <f aca="false">Accounts!H89</f>
        <v>2649</v>
      </c>
      <c r="AA379" s="28" t="n">
        <f aca="false">IF(Z379&gt;=Assumptions!$B$44,Assumptions!$C$44,IF(Z379&gt;=Assumptions!$B$45,Assumptions!$C$45,IF(Z379&gt;=Assumptions!$B$46,Assumptions!$C$46,Assumptions!$C$47)))</f>
        <v>0</v>
      </c>
      <c r="AB379" s="26" t="n">
        <f aca="false">IF(Z379&gt;=Assumptions!$B$44,Assumptions!$B$44,IF(Z379&gt;=Assumptions!$B$45,Assumptions!$B$45,IF(Z379&gt;=Assumptions!$B$46,Assumptions!$B$46,0)))</f>
        <v>0</v>
      </c>
    </row>
    <row r="380" customFormat="false" ht="15" hidden="false" customHeight="false" outlineLevel="0" collapsed="false">
      <c r="B380" s="14" t="s">
        <v>247</v>
      </c>
      <c r="C380" s="14" t="s">
        <v>194</v>
      </c>
      <c r="D380" s="14" t="s">
        <v>243</v>
      </c>
      <c r="E380" s="14" t="s">
        <v>64</v>
      </c>
      <c r="F380" s="26" t="n">
        <f aca="false">Accounts!G96</f>
        <v>5582</v>
      </c>
      <c r="G380" s="17" t="n">
        <f aca="false">Assumptions!$D$10</f>
        <v>96</v>
      </c>
      <c r="H380" s="17" t="n">
        <f aca="false">Assumptions!$E$10</f>
        <v>58</v>
      </c>
      <c r="I380" s="17" t="n">
        <f aca="false">ROUND(F380*G380,2)</f>
        <v>535872</v>
      </c>
      <c r="J380" s="17" t="n">
        <f aca="false">ROUND(I380*Accounts!O96,2)</f>
        <v>21434.88</v>
      </c>
      <c r="K380" s="17" t="n">
        <f aca="false">ROUND(I380*Accounts!N96,2)</f>
        <v>41154.97</v>
      </c>
      <c r="L380" s="17" t="n">
        <f aca="false">ROUND(I380-J380-K380,2)</f>
        <v>473282.15</v>
      </c>
      <c r="M380" s="17" t="n">
        <f aca="false">ROUND(L380*AA380,2)</f>
        <v>16564.88</v>
      </c>
      <c r="N380" s="17" t="n">
        <f aca="false">ROUND(L380*Accounts!R96,2)</f>
        <v>0</v>
      </c>
      <c r="O380" s="17" t="n">
        <f aca="false">ROUND(L380*Accounts!S96,2)</f>
        <v>0</v>
      </c>
      <c r="P380" s="17" t="n">
        <f aca="false">ROUND(L380*Accounts!T96,2)</f>
        <v>0</v>
      </c>
      <c r="Q380" s="17" t="n">
        <f aca="false">ROUND(L380*Accounts!U96,2)</f>
        <v>0</v>
      </c>
      <c r="R380" s="17" t="n">
        <f aca="false">ROUND(L380*Accounts!V96,2)</f>
        <v>2839.69</v>
      </c>
      <c r="S380" s="17" t="n">
        <f aca="false">ROUND(L380*Accounts!W96,2)</f>
        <v>0</v>
      </c>
      <c r="T380" s="17" t="n">
        <f aca="false">ROUND(L380-SUM(M380:S380),2)</f>
        <v>453877.58</v>
      </c>
      <c r="U380" s="17" t="n">
        <f aca="false">ROUND(F380*H380,2)</f>
        <v>323756</v>
      </c>
      <c r="V380" s="17" t="n">
        <f aca="false">ROUND(L380*Assumptions!$C$25,2)</f>
        <v>9465.64</v>
      </c>
      <c r="W380" s="17" t="n">
        <f aca="false">ROUND(T380-U380-V380,2)</f>
        <v>120655.94</v>
      </c>
      <c r="X380" s="28" t="n">
        <f aca="false">T380/I380</f>
        <v>0.846988795831841</v>
      </c>
      <c r="Y380" s="17" t="n">
        <f aca="false">T380/F380</f>
        <v>81.3109243998567</v>
      </c>
      <c r="Z380" s="26" t="n">
        <f aca="false">Accounts!H96</f>
        <v>14397</v>
      </c>
      <c r="AA380" s="28" t="n">
        <f aca="false">IF(Z380&gt;=Assumptions!$B$44,Assumptions!$C$44,IF(Z380&gt;=Assumptions!$B$45,Assumptions!$C$45,IF(Z380&gt;=Assumptions!$B$46,Assumptions!$C$46,Assumptions!$C$47)))</f>
        <v>0.035</v>
      </c>
      <c r="AB380" s="26" t="n">
        <f aca="false">IF(Z380&gt;=Assumptions!$B$44,Assumptions!$B$44,IF(Z380&gt;=Assumptions!$B$45,Assumptions!$B$45,IF(Z380&gt;=Assumptions!$B$46,Assumptions!$B$46,0)))</f>
        <v>10000</v>
      </c>
    </row>
    <row r="381" customFormat="false" ht="15" hidden="false" customHeight="false" outlineLevel="0" collapsed="false">
      <c r="B381" s="14" t="s">
        <v>255</v>
      </c>
      <c r="C381" s="14" t="s">
        <v>194</v>
      </c>
      <c r="D381" s="14" t="s">
        <v>251</v>
      </c>
      <c r="E381" s="14" t="s">
        <v>64</v>
      </c>
      <c r="F381" s="26" t="n">
        <f aca="false">Accounts!G103</f>
        <v>525</v>
      </c>
      <c r="G381" s="17" t="n">
        <f aca="false">Assumptions!$D$10</f>
        <v>96</v>
      </c>
      <c r="H381" s="17" t="n">
        <f aca="false">Assumptions!$E$10</f>
        <v>58</v>
      </c>
      <c r="I381" s="17" t="n">
        <f aca="false">ROUND(F381*G381,2)</f>
        <v>50400</v>
      </c>
      <c r="J381" s="17" t="n">
        <f aca="false">ROUND(I381*Accounts!O103,2)</f>
        <v>2016</v>
      </c>
      <c r="K381" s="17" t="n">
        <f aca="false">ROUND(I381*Accounts!N103,2)</f>
        <v>0</v>
      </c>
      <c r="L381" s="17" t="n">
        <f aca="false">ROUND(I381-J381-K381,2)</f>
        <v>48384</v>
      </c>
      <c r="M381" s="17" t="n">
        <f aca="false">ROUND(L381*AA381,2)</f>
        <v>0</v>
      </c>
      <c r="N381" s="17" t="n">
        <f aca="false">ROUND(L381*Accounts!R103,2)</f>
        <v>0</v>
      </c>
      <c r="O381" s="17" t="n">
        <f aca="false">ROUND(L381*Accounts!S103,2)</f>
        <v>0</v>
      </c>
      <c r="P381" s="17" t="n">
        <f aca="false">ROUND(L381*Accounts!T103,2)</f>
        <v>0</v>
      </c>
      <c r="Q381" s="17" t="n">
        <f aca="false">ROUND(L381*Accounts!U103,2)</f>
        <v>0</v>
      </c>
      <c r="R381" s="17" t="n">
        <f aca="false">ROUND(L381*Accounts!V103,2)</f>
        <v>290.3</v>
      </c>
      <c r="S381" s="17" t="n">
        <f aca="false">ROUND(L381*Accounts!W103,2)</f>
        <v>241.92</v>
      </c>
      <c r="T381" s="17" t="n">
        <f aca="false">ROUND(L381-SUM(M381:S381),2)</f>
        <v>47851.78</v>
      </c>
      <c r="U381" s="17" t="n">
        <f aca="false">ROUND(F381*H381,2)</f>
        <v>30450</v>
      </c>
      <c r="V381" s="17" t="n">
        <f aca="false">ROUND(L381*Assumptions!$C$25,2)</f>
        <v>967.68</v>
      </c>
      <c r="W381" s="17" t="n">
        <f aca="false">ROUND(T381-U381-V381,2)</f>
        <v>16434.1</v>
      </c>
      <c r="X381" s="28" t="n">
        <f aca="false">T381/I381</f>
        <v>0.949440079365079</v>
      </c>
      <c r="Y381" s="17" t="n">
        <f aca="false">T381/F381</f>
        <v>91.1462476190476</v>
      </c>
      <c r="Z381" s="26" t="n">
        <f aca="false">Accounts!H103</f>
        <v>2084</v>
      </c>
      <c r="AA381" s="28" t="n">
        <f aca="false">IF(Z381&gt;=Assumptions!$B$44,Assumptions!$C$44,IF(Z381&gt;=Assumptions!$B$45,Assumptions!$C$45,IF(Z381&gt;=Assumptions!$B$46,Assumptions!$C$46,Assumptions!$C$47)))</f>
        <v>0</v>
      </c>
      <c r="AB381" s="26" t="n">
        <f aca="false">IF(Z381&gt;=Assumptions!$B$44,Assumptions!$B$44,IF(Z381&gt;=Assumptions!$B$45,Assumptions!$B$45,IF(Z381&gt;=Assumptions!$B$46,Assumptions!$B$46,0)))</f>
        <v>0</v>
      </c>
    </row>
    <row r="382" customFormat="false" ht="15" hidden="false" customHeight="false" outlineLevel="0" collapsed="false">
      <c r="B382" s="14" t="s">
        <v>199</v>
      </c>
      <c r="C382" s="14" t="s">
        <v>194</v>
      </c>
      <c r="D382" s="14" t="s">
        <v>163</v>
      </c>
      <c r="E382" s="14" t="s">
        <v>64</v>
      </c>
      <c r="F382" s="26" t="n">
        <f aca="false">Accounts!G51</f>
        <v>3329</v>
      </c>
      <c r="G382" s="17" t="n">
        <f aca="false">Assumptions!$D$10</f>
        <v>96</v>
      </c>
      <c r="H382" s="17" t="n">
        <f aca="false">Assumptions!$E$10</f>
        <v>58</v>
      </c>
      <c r="I382" s="17" t="n">
        <f aca="false">ROUND(F382*G382,2)</f>
        <v>319584</v>
      </c>
      <c r="J382" s="17" t="n">
        <f aca="false">ROUND(I382*Accounts!O51,2)</f>
        <v>12783.36</v>
      </c>
      <c r="K382" s="17" t="n">
        <f aca="false">ROUND(I382*Accounts!N51,2)</f>
        <v>0</v>
      </c>
      <c r="L382" s="17" t="n">
        <f aca="false">ROUND(I382-J382-K382,2)</f>
        <v>306800.64</v>
      </c>
      <c r="M382" s="17" t="n">
        <f aca="false">ROUND(L382*AA382,2)</f>
        <v>10738.02</v>
      </c>
      <c r="N382" s="17" t="n">
        <f aca="false">ROUND(L382*Accounts!R51,2)</f>
        <v>0</v>
      </c>
      <c r="O382" s="17" t="n">
        <f aca="false">ROUND(L382*Accounts!S51,2)</f>
        <v>4602.01</v>
      </c>
      <c r="P382" s="17" t="n">
        <f aca="false">ROUND(L382*Accounts!T51,2)</f>
        <v>0</v>
      </c>
      <c r="Q382" s="17" t="n">
        <f aca="false">ROUND(L382*Accounts!U51,2)</f>
        <v>0</v>
      </c>
      <c r="R382" s="17" t="n">
        <f aca="false">ROUND(L382*Accounts!V51,2)</f>
        <v>1840.8</v>
      </c>
      <c r="S382" s="17" t="n">
        <f aca="false">ROUND(L382*Accounts!W51,2)</f>
        <v>1534</v>
      </c>
      <c r="T382" s="17" t="n">
        <f aca="false">ROUND(L382-SUM(M382:S382),2)</f>
        <v>288085.81</v>
      </c>
      <c r="U382" s="17" t="n">
        <f aca="false">ROUND(F382*H382,2)</f>
        <v>193082</v>
      </c>
      <c r="V382" s="17" t="n">
        <f aca="false">ROUND(L382*Assumptions!$C$25,2)</f>
        <v>6136.01</v>
      </c>
      <c r="W382" s="17" t="n">
        <f aca="false">ROUND(T382-U382-V382,2)</f>
        <v>88867.8</v>
      </c>
      <c r="X382" s="28" t="n">
        <f aca="false">T382/I382</f>
        <v>0.901440028286773</v>
      </c>
      <c r="Y382" s="17" t="n">
        <f aca="false">T382/F382</f>
        <v>86.5382427155302</v>
      </c>
      <c r="Z382" s="26" t="n">
        <f aca="false">Accounts!H51</f>
        <v>10406</v>
      </c>
      <c r="AA382" s="28" t="n">
        <f aca="false">IF(Z382&gt;=Assumptions!$B$44,Assumptions!$C$44,IF(Z382&gt;=Assumptions!$B$45,Assumptions!$C$45,IF(Z382&gt;=Assumptions!$B$46,Assumptions!$C$46,Assumptions!$C$47)))</f>
        <v>0.035</v>
      </c>
      <c r="AB382" s="26" t="n">
        <f aca="false">IF(Z382&gt;=Assumptions!$B$44,Assumptions!$B$44,IF(Z382&gt;=Assumptions!$B$45,Assumptions!$B$45,IF(Z382&gt;=Assumptions!$B$46,Assumptions!$B$46,0)))</f>
        <v>10000</v>
      </c>
    </row>
    <row r="383" customFormat="false" ht="15" hidden="false" customHeight="false" outlineLevel="0" collapsed="false">
      <c r="B383" s="14" t="s">
        <v>207</v>
      </c>
      <c r="C383" s="14" t="s">
        <v>194</v>
      </c>
      <c r="D383" s="14" t="s">
        <v>174</v>
      </c>
      <c r="E383" s="14" t="s">
        <v>64</v>
      </c>
      <c r="F383" s="26" t="n">
        <f aca="false">Accounts!G59</f>
        <v>341</v>
      </c>
      <c r="G383" s="17" t="n">
        <f aca="false">Assumptions!$D$10</f>
        <v>96</v>
      </c>
      <c r="H383" s="17" t="n">
        <f aca="false">Assumptions!$E$10</f>
        <v>58</v>
      </c>
      <c r="I383" s="17" t="n">
        <f aca="false">ROUND(F383*G383,2)</f>
        <v>32736</v>
      </c>
      <c r="J383" s="17" t="n">
        <f aca="false">ROUND(I383*Accounts!O59,2)</f>
        <v>654.72</v>
      </c>
      <c r="K383" s="17" t="n">
        <f aca="false">ROUND(I383*Accounts!N59,2)</f>
        <v>0</v>
      </c>
      <c r="L383" s="17" t="n">
        <f aca="false">ROUND(I383-J383-K383,2)</f>
        <v>32081.28</v>
      </c>
      <c r="M383" s="17" t="n">
        <f aca="false">ROUND(L383*AA383,2)</f>
        <v>0</v>
      </c>
      <c r="N383" s="17" t="n">
        <f aca="false">ROUND(L383*Accounts!R59,2)</f>
        <v>641.63</v>
      </c>
      <c r="O383" s="17" t="n">
        <f aca="false">ROUND(L383*Accounts!S59,2)</f>
        <v>481.22</v>
      </c>
      <c r="P383" s="17" t="n">
        <f aca="false">ROUND(L383*Accounts!T59,2)</f>
        <v>0</v>
      </c>
      <c r="Q383" s="17" t="n">
        <f aca="false">ROUND(L383*Accounts!U59,2)</f>
        <v>0</v>
      </c>
      <c r="R383" s="17" t="n">
        <f aca="false">ROUND(L383*Accounts!V59,2)</f>
        <v>192.49</v>
      </c>
      <c r="S383" s="17" t="n">
        <f aca="false">ROUND(L383*Accounts!W59,2)</f>
        <v>0</v>
      </c>
      <c r="T383" s="17" t="n">
        <f aca="false">ROUND(L383-SUM(M383:S383),2)</f>
        <v>30765.94</v>
      </c>
      <c r="U383" s="17" t="n">
        <f aca="false">ROUND(F383*H383,2)</f>
        <v>19778</v>
      </c>
      <c r="V383" s="17" t="n">
        <f aca="false">ROUND(L383*Assumptions!$C$25,2)</f>
        <v>641.63</v>
      </c>
      <c r="W383" s="17" t="n">
        <f aca="false">ROUND(T383-U383-V383,2)</f>
        <v>10346.31</v>
      </c>
      <c r="X383" s="28" t="n">
        <f aca="false">T383/I383</f>
        <v>0.93981977028348</v>
      </c>
      <c r="Y383" s="17" t="n">
        <f aca="false">T383/F383</f>
        <v>90.2226979472141</v>
      </c>
      <c r="Z383" s="26" t="n">
        <f aca="false">Accounts!H59</f>
        <v>1346</v>
      </c>
      <c r="AA383" s="28" t="n">
        <f aca="false">IF(Z383&gt;=Assumptions!$B$44,Assumptions!$C$44,IF(Z383&gt;=Assumptions!$B$45,Assumptions!$C$45,IF(Z383&gt;=Assumptions!$B$46,Assumptions!$C$46,Assumptions!$C$47)))</f>
        <v>0</v>
      </c>
      <c r="AB383" s="26" t="n">
        <f aca="false">IF(Z383&gt;=Assumptions!$B$44,Assumptions!$B$44,IF(Z383&gt;=Assumptions!$B$45,Assumptions!$B$45,IF(Z383&gt;=Assumptions!$B$46,Assumptions!$B$46,0)))</f>
        <v>0</v>
      </c>
    </row>
    <row r="384" customFormat="false" ht="15" hidden="false" customHeight="false" outlineLevel="0" collapsed="false">
      <c r="B384" s="14" t="s">
        <v>214</v>
      </c>
      <c r="C384" s="14" t="s">
        <v>194</v>
      </c>
      <c r="D384" s="14" t="s">
        <v>184</v>
      </c>
      <c r="E384" s="14" t="s">
        <v>64</v>
      </c>
      <c r="F384" s="26" t="n">
        <f aca="false">Accounts!G67</f>
        <v>1517</v>
      </c>
      <c r="G384" s="17" t="n">
        <f aca="false">Assumptions!$D$10</f>
        <v>96</v>
      </c>
      <c r="H384" s="17" t="n">
        <f aca="false">Assumptions!$E$10</f>
        <v>58</v>
      </c>
      <c r="I384" s="17" t="n">
        <f aca="false">ROUND(F384*G384,2)</f>
        <v>145632</v>
      </c>
      <c r="J384" s="17" t="n">
        <f aca="false">ROUND(I384*Accounts!O67,2)</f>
        <v>5825.28</v>
      </c>
      <c r="K384" s="17" t="n">
        <f aca="false">ROUND(I384*Accounts!N67,2)</f>
        <v>9786.47</v>
      </c>
      <c r="L384" s="17" t="n">
        <f aca="false">ROUND(I384-J384-K384,2)</f>
        <v>130020.25</v>
      </c>
      <c r="M384" s="17" t="n">
        <f aca="false">ROUND(L384*AA384,2)</f>
        <v>0</v>
      </c>
      <c r="N384" s="17" t="n">
        <f aca="false">ROUND(L384*Accounts!R67,2)</f>
        <v>2600.41</v>
      </c>
      <c r="O384" s="17" t="n">
        <f aca="false">ROUND(L384*Accounts!S67,2)</f>
        <v>0</v>
      </c>
      <c r="P384" s="17" t="n">
        <f aca="false">ROUND(L384*Accounts!T67,2)</f>
        <v>0</v>
      </c>
      <c r="Q384" s="17" t="n">
        <f aca="false">ROUND(L384*Accounts!U67,2)</f>
        <v>0</v>
      </c>
      <c r="R384" s="17" t="n">
        <f aca="false">ROUND(L384*Accounts!V67,2)</f>
        <v>780.12</v>
      </c>
      <c r="S384" s="17" t="n">
        <f aca="false">ROUND(L384*Accounts!W67,2)</f>
        <v>0</v>
      </c>
      <c r="T384" s="17" t="n">
        <f aca="false">ROUND(L384-SUM(M384:S384),2)</f>
        <v>126639.72</v>
      </c>
      <c r="U384" s="17" t="n">
        <f aca="false">ROUND(F384*H384,2)</f>
        <v>87986</v>
      </c>
      <c r="V384" s="17" t="n">
        <f aca="false">ROUND(L384*Assumptions!$C$25,2)</f>
        <v>2600.41</v>
      </c>
      <c r="W384" s="17" t="n">
        <f aca="false">ROUND(T384-U384-V384,2)</f>
        <v>36053.31</v>
      </c>
      <c r="X384" s="28" t="n">
        <f aca="false">T384/I384</f>
        <v>0.869587178642057</v>
      </c>
      <c r="Y384" s="17" t="n">
        <f aca="false">T384/F384</f>
        <v>83.4803691496374</v>
      </c>
      <c r="Z384" s="26" t="n">
        <f aca="false">Accounts!H67</f>
        <v>2438</v>
      </c>
      <c r="AA384" s="28" t="n">
        <f aca="false">IF(Z384&gt;=Assumptions!$B$44,Assumptions!$C$44,IF(Z384&gt;=Assumptions!$B$45,Assumptions!$C$45,IF(Z384&gt;=Assumptions!$B$46,Assumptions!$C$46,Assumptions!$C$47)))</f>
        <v>0</v>
      </c>
      <c r="AB384" s="26" t="n">
        <f aca="false">IF(Z384&gt;=Assumptions!$B$44,Assumptions!$B$44,IF(Z384&gt;=Assumptions!$B$45,Assumptions!$B$45,IF(Z384&gt;=Assumptions!$B$46,Assumptions!$B$46,0)))</f>
        <v>0</v>
      </c>
    </row>
    <row r="385" customFormat="false" ht="15" hidden="false" customHeight="false" outlineLevel="0" collapsed="false">
      <c r="B385" s="14" t="s">
        <v>223</v>
      </c>
      <c r="C385" s="14" t="s">
        <v>194</v>
      </c>
      <c r="D385" s="14" t="s">
        <v>218</v>
      </c>
      <c r="E385" s="14" t="s">
        <v>64</v>
      </c>
      <c r="F385" s="26" t="n">
        <f aca="false">Accounts!G75</f>
        <v>537</v>
      </c>
      <c r="G385" s="17" t="n">
        <f aca="false">Assumptions!$D$10</f>
        <v>96</v>
      </c>
      <c r="H385" s="17" t="n">
        <f aca="false">Assumptions!$E$10</f>
        <v>58</v>
      </c>
      <c r="I385" s="17" t="n">
        <f aca="false">ROUND(F385*G385,2)</f>
        <v>51552</v>
      </c>
      <c r="J385" s="17" t="n">
        <f aca="false">ROUND(I385*Accounts!O75,2)</f>
        <v>2062.08</v>
      </c>
      <c r="K385" s="17" t="n">
        <f aca="false">ROUND(I385*Accounts!N75,2)</f>
        <v>1484.7</v>
      </c>
      <c r="L385" s="17" t="n">
        <f aca="false">ROUND(I385-J385-K385,2)</f>
        <v>48005.22</v>
      </c>
      <c r="M385" s="17" t="n">
        <f aca="false">ROUND(L385*AA385,2)</f>
        <v>0</v>
      </c>
      <c r="N385" s="17" t="n">
        <f aca="false">ROUND(L385*Accounts!R75,2)</f>
        <v>0</v>
      </c>
      <c r="O385" s="17" t="n">
        <f aca="false">ROUND(L385*Accounts!S75,2)</f>
        <v>0</v>
      </c>
      <c r="P385" s="17" t="n">
        <f aca="false">ROUND(L385*Accounts!T75,2)</f>
        <v>0</v>
      </c>
      <c r="Q385" s="17" t="n">
        <f aca="false">ROUND(L385*Accounts!U75,2)</f>
        <v>0</v>
      </c>
      <c r="R385" s="17" t="n">
        <f aca="false">ROUND(L385*Accounts!V75,2)</f>
        <v>288.03</v>
      </c>
      <c r="S385" s="17" t="n">
        <f aca="false">ROUND(L385*Accounts!W75,2)</f>
        <v>240.03</v>
      </c>
      <c r="T385" s="17" t="n">
        <f aca="false">ROUND(L385-SUM(M385:S385),2)</f>
        <v>47477.16</v>
      </c>
      <c r="U385" s="17" t="n">
        <f aca="false">ROUND(F385*H385,2)</f>
        <v>31146</v>
      </c>
      <c r="V385" s="17" t="n">
        <f aca="false">ROUND(L385*Assumptions!$C$25,2)</f>
        <v>960.1</v>
      </c>
      <c r="W385" s="17" t="n">
        <f aca="false">ROUND(T385-U385-V385,2)</f>
        <v>15371.06</v>
      </c>
      <c r="X385" s="28" t="n">
        <f aca="false">T385/I385</f>
        <v>0.920956703910615</v>
      </c>
      <c r="Y385" s="17" t="n">
        <f aca="false">T385/F385</f>
        <v>88.411843575419</v>
      </c>
      <c r="Z385" s="26" t="n">
        <f aca="false">Accounts!H75</f>
        <v>2264</v>
      </c>
      <c r="AA385" s="28" t="n">
        <f aca="false">IF(Z385&gt;=Assumptions!$B$44,Assumptions!$C$44,IF(Z385&gt;=Assumptions!$B$45,Assumptions!$C$45,IF(Z385&gt;=Assumptions!$B$46,Assumptions!$C$46,Assumptions!$C$47)))</f>
        <v>0</v>
      </c>
      <c r="AB385" s="26" t="n">
        <f aca="false">IF(Z385&gt;=Assumptions!$B$44,Assumptions!$B$44,IF(Z385&gt;=Assumptions!$B$45,Assumptions!$B$45,IF(Z385&gt;=Assumptions!$B$46,Assumptions!$B$46,0)))</f>
        <v>0</v>
      </c>
    </row>
    <row r="386" customFormat="false" ht="15" hidden="false" customHeight="false" outlineLevel="0" collapsed="false">
      <c r="B386" s="14" t="s">
        <v>232</v>
      </c>
      <c r="C386" s="14" t="s">
        <v>194</v>
      </c>
      <c r="D386" s="14" t="s">
        <v>227</v>
      </c>
      <c r="E386" s="14" t="s">
        <v>64</v>
      </c>
      <c r="F386" s="26" t="n">
        <f aca="false">Accounts!G83</f>
        <v>402</v>
      </c>
      <c r="G386" s="17" t="n">
        <f aca="false">Assumptions!$D$10</f>
        <v>96</v>
      </c>
      <c r="H386" s="17" t="n">
        <f aca="false">Assumptions!$E$10</f>
        <v>58</v>
      </c>
      <c r="I386" s="17" t="n">
        <f aca="false">ROUND(F386*G386,2)</f>
        <v>38592</v>
      </c>
      <c r="J386" s="17" t="n">
        <f aca="false">ROUND(I386*Accounts!O83,2)</f>
        <v>771.84</v>
      </c>
      <c r="K386" s="17" t="n">
        <f aca="false">ROUND(I386*Accounts!N83,2)</f>
        <v>740.97</v>
      </c>
      <c r="L386" s="17" t="n">
        <f aca="false">ROUND(I386-J386-K386,2)</f>
        <v>37079.19</v>
      </c>
      <c r="M386" s="17" t="n">
        <f aca="false">ROUND(L386*AA386,2)</f>
        <v>0</v>
      </c>
      <c r="N386" s="17" t="n">
        <f aca="false">ROUND(L386*Accounts!R83,2)</f>
        <v>0</v>
      </c>
      <c r="O386" s="17" t="n">
        <f aca="false">ROUND(L386*Accounts!S83,2)</f>
        <v>0</v>
      </c>
      <c r="P386" s="17" t="n">
        <f aca="false">ROUND(L386*Accounts!T83,2)</f>
        <v>0</v>
      </c>
      <c r="Q386" s="17" t="n">
        <f aca="false">ROUND(L386*Accounts!U83,2)</f>
        <v>0</v>
      </c>
      <c r="R386" s="17" t="n">
        <f aca="false">ROUND(L386*Accounts!V83,2)</f>
        <v>222.48</v>
      </c>
      <c r="S386" s="17" t="n">
        <f aca="false">ROUND(L386*Accounts!W83,2)</f>
        <v>0</v>
      </c>
      <c r="T386" s="17" t="n">
        <f aca="false">ROUND(L386-SUM(M386:S386),2)</f>
        <v>36856.71</v>
      </c>
      <c r="U386" s="17" t="n">
        <f aca="false">ROUND(F386*H386,2)</f>
        <v>23316</v>
      </c>
      <c r="V386" s="17" t="n">
        <f aca="false">ROUND(L386*Assumptions!$C$25,2)</f>
        <v>741.58</v>
      </c>
      <c r="W386" s="17" t="n">
        <f aca="false">ROUND(T386-U386-V386,2)</f>
        <v>12799.13</v>
      </c>
      <c r="X386" s="28" t="n">
        <f aca="false">T386/I386</f>
        <v>0.955034981343284</v>
      </c>
      <c r="Y386" s="17" t="n">
        <f aca="false">T386/F386</f>
        <v>91.6833582089552</v>
      </c>
      <c r="Z386" s="26" t="n">
        <f aca="false">Accounts!H83</f>
        <v>783</v>
      </c>
      <c r="AA386" s="28" t="n">
        <f aca="false">IF(Z386&gt;=Assumptions!$B$44,Assumptions!$C$44,IF(Z386&gt;=Assumptions!$B$45,Assumptions!$C$45,IF(Z386&gt;=Assumptions!$B$46,Assumptions!$C$46,Assumptions!$C$47)))</f>
        <v>0</v>
      </c>
      <c r="AB386" s="26" t="n">
        <f aca="false">IF(Z386&gt;=Assumptions!$B$44,Assumptions!$B$44,IF(Z386&gt;=Assumptions!$B$45,Assumptions!$B$45,IF(Z386&gt;=Assumptions!$B$46,Assumptions!$B$46,0)))</f>
        <v>0</v>
      </c>
    </row>
    <row r="387" customFormat="false" ht="15" hidden="false" customHeight="false" outlineLevel="0" collapsed="false">
      <c r="B387" s="14" t="s">
        <v>248</v>
      </c>
      <c r="C387" s="14" t="s">
        <v>194</v>
      </c>
      <c r="D387" s="14" t="s">
        <v>243</v>
      </c>
      <c r="E387" s="14" t="s">
        <v>64</v>
      </c>
      <c r="F387" s="26" t="n">
        <f aca="false">Accounts!G97</f>
        <v>652</v>
      </c>
      <c r="G387" s="17" t="n">
        <f aca="false">Assumptions!$D$10</f>
        <v>96</v>
      </c>
      <c r="H387" s="17" t="n">
        <f aca="false">Assumptions!$E$10</f>
        <v>58</v>
      </c>
      <c r="I387" s="17" t="n">
        <f aca="false">ROUND(F387*G387,2)</f>
        <v>62592</v>
      </c>
      <c r="J387" s="17" t="n">
        <f aca="false">ROUND(I387*Accounts!O97,2)</f>
        <v>2503.68</v>
      </c>
      <c r="K387" s="17" t="n">
        <f aca="false">ROUND(I387*Accounts!N97,2)</f>
        <v>3605.3</v>
      </c>
      <c r="L387" s="17" t="n">
        <f aca="false">ROUND(I387-J387-K387,2)</f>
        <v>56483.02</v>
      </c>
      <c r="M387" s="17" t="n">
        <f aca="false">ROUND(L387*AA387,2)</f>
        <v>0</v>
      </c>
      <c r="N387" s="17" t="n">
        <f aca="false">ROUND(L387*Accounts!R97,2)</f>
        <v>1129.66</v>
      </c>
      <c r="O387" s="17" t="n">
        <f aca="false">ROUND(L387*Accounts!S97,2)</f>
        <v>0</v>
      </c>
      <c r="P387" s="17" t="n">
        <f aca="false">ROUND(L387*Accounts!T97,2)</f>
        <v>0</v>
      </c>
      <c r="Q387" s="17" t="n">
        <f aca="false">ROUND(L387*Accounts!U97,2)</f>
        <v>0</v>
      </c>
      <c r="R387" s="17" t="n">
        <f aca="false">ROUND(L387*Accounts!V97,2)</f>
        <v>338.9</v>
      </c>
      <c r="S387" s="17" t="n">
        <f aca="false">ROUND(L387*Accounts!W97,2)</f>
        <v>0</v>
      </c>
      <c r="T387" s="17" t="n">
        <f aca="false">ROUND(L387-SUM(M387:S387),2)</f>
        <v>55014.46</v>
      </c>
      <c r="U387" s="17" t="n">
        <f aca="false">ROUND(F387*H387,2)</f>
        <v>37816</v>
      </c>
      <c r="V387" s="17" t="n">
        <f aca="false">ROUND(L387*Assumptions!$C$25,2)</f>
        <v>1129.66</v>
      </c>
      <c r="W387" s="17" t="n">
        <f aca="false">ROUND(T387-U387-V387,2)</f>
        <v>16068.8</v>
      </c>
      <c r="X387" s="28" t="n">
        <f aca="false">T387/I387</f>
        <v>0.878937563905931</v>
      </c>
      <c r="Y387" s="17" t="n">
        <f aca="false">T387/F387</f>
        <v>84.3780061349693</v>
      </c>
      <c r="Z387" s="26" t="n">
        <f aca="false">Accounts!H97</f>
        <v>2106</v>
      </c>
      <c r="AA387" s="28" t="n">
        <f aca="false">IF(Z387&gt;=Assumptions!$B$44,Assumptions!$C$44,IF(Z387&gt;=Assumptions!$B$45,Assumptions!$C$45,IF(Z387&gt;=Assumptions!$B$46,Assumptions!$C$46,Assumptions!$C$47)))</f>
        <v>0</v>
      </c>
      <c r="AB387" s="26" t="n">
        <f aca="false">IF(Z387&gt;=Assumptions!$B$44,Assumptions!$B$44,IF(Z387&gt;=Assumptions!$B$45,Assumptions!$B$45,IF(Z387&gt;=Assumptions!$B$46,Assumptions!$B$46,0)))</f>
        <v>0</v>
      </c>
    </row>
    <row r="388" customFormat="false" ht="15" hidden="false" customHeight="false" outlineLevel="0" collapsed="false">
      <c r="B388" s="14" t="s">
        <v>256</v>
      </c>
      <c r="C388" s="14" t="s">
        <v>194</v>
      </c>
      <c r="D388" s="14" t="s">
        <v>251</v>
      </c>
      <c r="E388" s="14" t="s">
        <v>64</v>
      </c>
      <c r="F388" s="26" t="n">
        <f aca="false">Accounts!G104</f>
        <v>630</v>
      </c>
      <c r="G388" s="17" t="n">
        <f aca="false">Assumptions!$D$10</f>
        <v>96</v>
      </c>
      <c r="H388" s="17" t="n">
        <f aca="false">Assumptions!$E$10</f>
        <v>58</v>
      </c>
      <c r="I388" s="17" t="n">
        <f aca="false">ROUND(F388*G388,2)</f>
        <v>60480</v>
      </c>
      <c r="J388" s="17" t="n">
        <f aca="false">ROUND(I388*Accounts!O104,2)</f>
        <v>2419.2</v>
      </c>
      <c r="K388" s="17" t="n">
        <f aca="false">ROUND(I388*Accounts!N104,2)</f>
        <v>6096.38</v>
      </c>
      <c r="L388" s="17" t="n">
        <f aca="false">ROUND(I388-J388-K388,2)</f>
        <v>51964.42</v>
      </c>
      <c r="M388" s="17" t="n">
        <f aca="false">ROUND(L388*AA388,2)</f>
        <v>0</v>
      </c>
      <c r="N388" s="17" t="n">
        <f aca="false">ROUND(L388*Accounts!R104,2)</f>
        <v>0</v>
      </c>
      <c r="O388" s="17" t="n">
        <f aca="false">ROUND(L388*Accounts!S104,2)</f>
        <v>0</v>
      </c>
      <c r="P388" s="17" t="n">
        <f aca="false">ROUND(L388*Accounts!T104,2)</f>
        <v>0</v>
      </c>
      <c r="Q388" s="17" t="n">
        <f aca="false">ROUND(L388*Accounts!U104,2)</f>
        <v>0</v>
      </c>
      <c r="R388" s="17" t="n">
        <f aca="false">ROUND(L388*Accounts!V104,2)</f>
        <v>311.79</v>
      </c>
      <c r="S388" s="17" t="n">
        <f aca="false">ROUND(L388*Accounts!W104,2)</f>
        <v>259.82</v>
      </c>
      <c r="T388" s="17" t="n">
        <f aca="false">ROUND(L388-SUM(M388:S388),2)</f>
        <v>51392.81</v>
      </c>
      <c r="U388" s="17" t="n">
        <f aca="false">ROUND(F388*H388,2)</f>
        <v>36540</v>
      </c>
      <c r="V388" s="17" t="n">
        <f aca="false">ROUND(L388*Assumptions!$C$25,2)</f>
        <v>1039.29</v>
      </c>
      <c r="W388" s="17" t="n">
        <f aca="false">ROUND(T388-U388-V388,2)</f>
        <v>13813.52</v>
      </c>
      <c r="X388" s="28" t="n">
        <f aca="false">T388/I388</f>
        <v>0.849748842592593</v>
      </c>
      <c r="Y388" s="17" t="n">
        <f aca="false">T388/F388</f>
        <v>81.5758888888889</v>
      </c>
      <c r="Z388" s="26" t="n">
        <f aca="false">Accounts!H104</f>
        <v>1996</v>
      </c>
      <c r="AA388" s="28" t="n">
        <f aca="false">IF(Z388&gt;=Assumptions!$B$44,Assumptions!$C$44,IF(Z388&gt;=Assumptions!$B$45,Assumptions!$C$45,IF(Z388&gt;=Assumptions!$B$46,Assumptions!$C$46,Assumptions!$C$47)))</f>
        <v>0</v>
      </c>
      <c r="AB388" s="26" t="n">
        <f aca="false">IF(Z388&gt;=Assumptions!$B$44,Assumptions!$B$44,IF(Z388&gt;=Assumptions!$B$45,Assumptions!$B$45,IF(Z388&gt;=Assumptions!$B$46,Assumptions!$B$46,0)))</f>
        <v>0</v>
      </c>
    </row>
    <row r="389" customFormat="false" ht="15" hidden="false" customHeight="false" outlineLevel="0" collapsed="false">
      <c r="B389" s="14" t="s">
        <v>200</v>
      </c>
      <c r="C389" s="14" t="s">
        <v>194</v>
      </c>
      <c r="D389" s="14" t="s">
        <v>163</v>
      </c>
      <c r="E389" s="14" t="s">
        <v>64</v>
      </c>
      <c r="F389" s="26" t="n">
        <f aca="false">Accounts!G52</f>
        <v>555</v>
      </c>
      <c r="G389" s="17" t="n">
        <f aca="false">Assumptions!$D$10</f>
        <v>96</v>
      </c>
      <c r="H389" s="17" t="n">
        <f aca="false">Assumptions!$E$10</f>
        <v>58</v>
      </c>
      <c r="I389" s="17" t="n">
        <f aca="false">ROUND(F389*G389,2)</f>
        <v>53280</v>
      </c>
      <c r="J389" s="17" t="n">
        <f aca="false">ROUND(I389*Accounts!O52,2)</f>
        <v>1065.6</v>
      </c>
      <c r="K389" s="17" t="n">
        <f aca="false">ROUND(I389*Accounts!N52,2)</f>
        <v>0</v>
      </c>
      <c r="L389" s="17" t="n">
        <f aca="false">ROUND(I389-J389-K389,2)</f>
        <v>52214.4</v>
      </c>
      <c r="M389" s="17" t="n">
        <f aca="false">ROUND(L389*AA389,2)</f>
        <v>0</v>
      </c>
      <c r="N389" s="17" t="n">
        <f aca="false">ROUND(L389*Accounts!R52,2)</f>
        <v>0</v>
      </c>
      <c r="O389" s="17" t="n">
        <f aca="false">ROUND(L389*Accounts!S52,2)</f>
        <v>0</v>
      </c>
      <c r="P389" s="17" t="n">
        <f aca="false">ROUND(L389*Accounts!T52,2)</f>
        <v>0</v>
      </c>
      <c r="Q389" s="17" t="n">
        <f aca="false">ROUND(L389*Accounts!U52,2)</f>
        <v>0</v>
      </c>
      <c r="R389" s="17" t="n">
        <f aca="false">ROUND(L389*Accounts!V52,2)</f>
        <v>313.29</v>
      </c>
      <c r="S389" s="17" t="n">
        <f aca="false">ROUND(L389*Accounts!W52,2)</f>
        <v>261.07</v>
      </c>
      <c r="T389" s="17" t="n">
        <f aca="false">ROUND(L389-SUM(M389:S389),2)</f>
        <v>51640.04</v>
      </c>
      <c r="U389" s="17" t="n">
        <f aca="false">ROUND(F389*H389,2)</f>
        <v>32190</v>
      </c>
      <c r="V389" s="17" t="n">
        <f aca="false">ROUND(L389*Assumptions!$C$25,2)</f>
        <v>1044.29</v>
      </c>
      <c r="W389" s="17" t="n">
        <f aca="false">ROUND(T389-U389-V389,2)</f>
        <v>18405.75</v>
      </c>
      <c r="X389" s="28" t="n">
        <f aca="false">T389/I389</f>
        <v>0.96921996996997</v>
      </c>
      <c r="Y389" s="17" t="n">
        <f aca="false">T389/F389</f>
        <v>93.0451171171171</v>
      </c>
      <c r="Z389" s="26" t="n">
        <f aca="false">Accounts!H52</f>
        <v>1862</v>
      </c>
      <c r="AA389" s="28" t="n">
        <f aca="false">IF(Z389&gt;=Assumptions!$B$44,Assumptions!$C$44,IF(Z389&gt;=Assumptions!$B$45,Assumptions!$C$45,IF(Z389&gt;=Assumptions!$B$46,Assumptions!$C$46,Assumptions!$C$47)))</f>
        <v>0</v>
      </c>
      <c r="AB389" s="26" t="n">
        <f aca="false">IF(Z389&gt;=Assumptions!$B$44,Assumptions!$B$44,IF(Z389&gt;=Assumptions!$B$45,Assumptions!$B$45,IF(Z389&gt;=Assumptions!$B$46,Assumptions!$B$46,0)))</f>
        <v>0</v>
      </c>
    </row>
    <row r="390" customFormat="false" ht="15" hidden="false" customHeight="false" outlineLevel="0" collapsed="false">
      <c r="B390" s="14" t="s">
        <v>208</v>
      </c>
      <c r="C390" s="14" t="s">
        <v>194</v>
      </c>
      <c r="D390" s="14" t="s">
        <v>174</v>
      </c>
      <c r="E390" s="14" t="s">
        <v>64</v>
      </c>
      <c r="F390" s="26" t="n">
        <f aca="false">Accounts!G60</f>
        <v>840</v>
      </c>
      <c r="G390" s="17" t="n">
        <f aca="false">Assumptions!$D$10</f>
        <v>96</v>
      </c>
      <c r="H390" s="17" t="n">
        <f aca="false">Assumptions!$E$10</f>
        <v>58</v>
      </c>
      <c r="I390" s="17" t="n">
        <f aca="false">ROUND(F390*G390,2)</f>
        <v>80640</v>
      </c>
      <c r="J390" s="17" t="n">
        <f aca="false">ROUND(I390*Accounts!O60,2)</f>
        <v>3225.6</v>
      </c>
      <c r="K390" s="17" t="n">
        <f aca="false">ROUND(I390*Accounts!N60,2)</f>
        <v>4257.79</v>
      </c>
      <c r="L390" s="17" t="n">
        <f aca="false">ROUND(I390-J390-K390,2)</f>
        <v>73156.61</v>
      </c>
      <c r="M390" s="17" t="n">
        <f aca="false">ROUND(L390*AA390,2)</f>
        <v>0</v>
      </c>
      <c r="N390" s="17" t="n">
        <f aca="false">ROUND(L390*Accounts!R60,2)</f>
        <v>0</v>
      </c>
      <c r="O390" s="17" t="n">
        <f aca="false">ROUND(L390*Accounts!S60,2)</f>
        <v>0</v>
      </c>
      <c r="P390" s="17" t="n">
        <f aca="false">ROUND(L390*Accounts!T60,2)</f>
        <v>0</v>
      </c>
      <c r="Q390" s="17" t="n">
        <f aca="false">ROUND(L390*Accounts!U60,2)</f>
        <v>0</v>
      </c>
      <c r="R390" s="17" t="n">
        <f aca="false">ROUND(L390*Accounts!V60,2)</f>
        <v>438.94</v>
      </c>
      <c r="S390" s="17" t="n">
        <f aca="false">ROUND(L390*Accounts!W60,2)</f>
        <v>0</v>
      </c>
      <c r="T390" s="17" t="n">
        <f aca="false">ROUND(L390-SUM(M390:S390),2)</f>
        <v>72717.67</v>
      </c>
      <c r="U390" s="17" t="n">
        <f aca="false">ROUND(F390*H390,2)</f>
        <v>48720</v>
      </c>
      <c r="V390" s="17" t="n">
        <f aca="false">ROUND(L390*Assumptions!$C$25,2)</f>
        <v>1463.13</v>
      </c>
      <c r="W390" s="17" t="n">
        <f aca="false">ROUND(T390-U390-V390,2)</f>
        <v>22534.54</v>
      </c>
      <c r="X390" s="28" t="n">
        <f aca="false">T390/I390</f>
        <v>0.901756820436508</v>
      </c>
      <c r="Y390" s="17" t="n">
        <f aca="false">T390/F390</f>
        <v>86.5686547619048</v>
      </c>
      <c r="Z390" s="26" t="n">
        <f aca="false">Accounts!H60</f>
        <v>2764</v>
      </c>
      <c r="AA390" s="28" t="n">
        <f aca="false">IF(Z390&gt;=Assumptions!$B$44,Assumptions!$C$44,IF(Z390&gt;=Assumptions!$B$45,Assumptions!$C$45,IF(Z390&gt;=Assumptions!$B$46,Assumptions!$C$46,Assumptions!$C$47)))</f>
        <v>0</v>
      </c>
      <c r="AB390" s="26" t="n">
        <f aca="false">IF(Z390&gt;=Assumptions!$B$44,Assumptions!$B$44,IF(Z390&gt;=Assumptions!$B$45,Assumptions!$B$45,IF(Z390&gt;=Assumptions!$B$46,Assumptions!$B$46,0)))</f>
        <v>0</v>
      </c>
    </row>
    <row r="391" customFormat="false" ht="15" hidden="false" customHeight="false" outlineLevel="0" collapsed="false">
      <c r="B391" s="14" t="s">
        <v>215</v>
      </c>
      <c r="C391" s="14" t="s">
        <v>194</v>
      </c>
      <c r="D391" s="14" t="s">
        <v>184</v>
      </c>
      <c r="E391" s="14" t="s">
        <v>64</v>
      </c>
      <c r="F391" s="26" t="n">
        <f aca="false">Accounts!G68</f>
        <v>1010</v>
      </c>
      <c r="G391" s="17" t="n">
        <f aca="false">Assumptions!$D$10</f>
        <v>96</v>
      </c>
      <c r="H391" s="17" t="n">
        <f aca="false">Assumptions!$E$10</f>
        <v>58</v>
      </c>
      <c r="I391" s="17" t="n">
        <f aca="false">ROUND(F391*G391,2)</f>
        <v>96960</v>
      </c>
      <c r="J391" s="17" t="n">
        <f aca="false">ROUND(I391*Accounts!O68,2)</f>
        <v>3878.4</v>
      </c>
      <c r="K391" s="17" t="n">
        <f aca="false">ROUND(I391*Accounts!N68,2)</f>
        <v>465.41</v>
      </c>
      <c r="L391" s="17" t="n">
        <f aca="false">ROUND(I391-J391-K391,2)</f>
        <v>92616.19</v>
      </c>
      <c r="M391" s="17" t="n">
        <f aca="false">ROUND(L391*AA391,2)</f>
        <v>1852.32</v>
      </c>
      <c r="N391" s="17" t="n">
        <f aca="false">ROUND(L391*Accounts!R68,2)</f>
        <v>0</v>
      </c>
      <c r="O391" s="17" t="n">
        <f aca="false">ROUND(L391*Accounts!S68,2)</f>
        <v>0</v>
      </c>
      <c r="P391" s="17" t="n">
        <f aca="false">ROUND(L391*Accounts!T68,2)</f>
        <v>0</v>
      </c>
      <c r="Q391" s="17" t="n">
        <f aca="false">ROUND(L391*Accounts!U68,2)</f>
        <v>0</v>
      </c>
      <c r="R391" s="17" t="n">
        <f aca="false">ROUND(L391*Accounts!V68,2)</f>
        <v>555.7</v>
      </c>
      <c r="S391" s="17" t="n">
        <f aca="false">ROUND(L391*Accounts!W68,2)</f>
        <v>463.08</v>
      </c>
      <c r="T391" s="17" t="n">
        <f aca="false">ROUND(L391-SUM(M391:S391),2)</f>
        <v>89745.09</v>
      </c>
      <c r="U391" s="17" t="n">
        <f aca="false">ROUND(F391*H391,2)</f>
        <v>58580</v>
      </c>
      <c r="V391" s="17" t="n">
        <f aca="false">ROUND(L391*Assumptions!$C$25,2)</f>
        <v>1852.32</v>
      </c>
      <c r="W391" s="17" t="n">
        <f aca="false">ROUND(T391-U391-V391,2)</f>
        <v>29312.77</v>
      </c>
      <c r="X391" s="28" t="n">
        <f aca="false">T391/I391</f>
        <v>0.92558879950495</v>
      </c>
      <c r="Y391" s="17" t="n">
        <f aca="false">T391/F391</f>
        <v>88.8565247524752</v>
      </c>
      <c r="Z391" s="26" t="n">
        <f aca="false">Accounts!H68</f>
        <v>4226</v>
      </c>
      <c r="AA391" s="28" t="n">
        <f aca="false">IF(Z391&gt;=Assumptions!$B$44,Assumptions!$C$44,IF(Z391&gt;=Assumptions!$B$45,Assumptions!$C$45,IF(Z391&gt;=Assumptions!$B$46,Assumptions!$C$46,Assumptions!$C$47)))</f>
        <v>0.02</v>
      </c>
      <c r="AB391" s="26" t="n">
        <f aca="false">IF(Z391&gt;=Assumptions!$B$44,Assumptions!$B$44,IF(Z391&gt;=Assumptions!$B$45,Assumptions!$B$45,IF(Z391&gt;=Assumptions!$B$46,Assumptions!$B$46,0)))</f>
        <v>3000</v>
      </c>
    </row>
    <row r="392" customFormat="false" ht="15" hidden="false" customHeight="false" outlineLevel="0" collapsed="false">
      <c r="B392" s="14" t="s">
        <v>224</v>
      </c>
      <c r="C392" s="14" t="s">
        <v>194</v>
      </c>
      <c r="D392" s="14" t="s">
        <v>218</v>
      </c>
      <c r="E392" s="14" t="s">
        <v>64</v>
      </c>
      <c r="F392" s="26" t="n">
        <f aca="false">Accounts!G76</f>
        <v>925</v>
      </c>
      <c r="G392" s="17" t="n">
        <f aca="false">Assumptions!$D$10</f>
        <v>96</v>
      </c>
      <c r="H392" s="17" t="n">
        <f aca="false">Assumptions!$E$10</f>
        <v>58</v>
      </c>
      <c r="I392" s="17" t="n">
        <f aca="false">ROUND(F392*G392,2)</f>
        <v>88800</v>
      </c>
      <c r="J392" s="17" t="n">
        <f aca="false">ROUND(I392*Accounts!O76,2)</f>
        <v>3552</v>
      </c>
      <c r="K392" s="17" t="n">
        <f aca="false">ROUND(I392*Accounts!N76,2)</f>
        <v>7246.08</v>
      </c>
      <c r="L392" s="17" t="n">
        <f aca="false">ROUND(I392-J392-K392,2)</f>
        <v>78001.92</v>
      </c>
      <c r="M392" s="17" t="n">
        <f aca="false">ROUND(L392*AA392,2)</f>
        <v>0</v>
      </c>
      <c r="N392" s="17" t="n">
        <f aca="false">ROUND(L392*Accounts!R76,2)</f>
        <v>1560.04</v>
      </c>
      <c r="O392" s="17" t="n">
        <f aca="false">ROUND(L392*Accounts!S76,2)</f>
        <v>0</v>
      </c>
      <c r="P392" s="17" t="n">
        <f aca="false">ROUND(L392*Accounts!T76,2)</f>
        <v>0</v>
      </c>
      <c r="Q392" s="17" t="n">
        <f aca="false">ROUND(L392*Accounts!U76,2)</f>
        <v>0</v>
      </c>
      <c r="R392" s="17" t="n">
        <f aca="false">ROUND(L392*Accounts!V76,2)</f>
        <v>468.01</v>
      </c>
      <c r="S392" s="17" t="n">
        <f aca="false">ROUND(L392*Accounts!W76,2)</f>
        <v>390.01</v>
      </c>
      <c r="T392" s="17" t="n">
        <f aca="false">ROUND(L392-SUM(M392:S392),2)</f>
        <v>75583.86</v>
      </c>
      <c r="U392" s="17" t="n">
        <f aca="false">ROUND(F392*H392,2)</f>
        <v>53650</v>
      </c>
      <c r="V392" s="17" t="n">
        <f aca="false">ROUND(L392*Assumptions!$C$25,2)</f>
        <v>1560.04</v>
      </c>
      <c r="W392" s="17" t="n">
        <f aca="false">ROUND(T392-U392-V392,2)</f>
        <v>20373.82</v>
      </c>
      <c r="X392" s="28" t="n">
        <f aca="false">T392/I392</f>
        <v>0.851169594594595</v>
      </c>
      <c r="Y392" s="17" t="n">
        <f aca="false">T392/F392</f>
        <v>81.7122810810811</v>
      </c>
      <c r="Z392" s="26" t="n">
        <f aca="false">Accounts!H76</f>
        <v>1690</v>
      </c>
      <c r="AA392" s="28" t="n">
        <f aca="false">IF(Z392&gt;=Assumptions!$B$44,Assumptions!$C$44,IF(Z392&gt;=Assumptions!$B$45,Assumptions!$C$45,IF(Z392&gt;=Assumptions!$B$46,Assumptions!$C$46,Assumptions!$C$47)))</f>
        <v>0</v>
      </c>
      <c r="AB392" s="26" t="n">
        <f aca="false">IF(Z392&gt;=Assumptions!$B$44,Assumptions!$B$44,IF(Z392&gt;=Assumptions!$B$45,Assumptions!$B$45,IF(Z392&gt;=Assumptions!$B$46,Assumptions!$B$46,0)))</f>
        <v>0</v>
      </c>
    </row>
    <row r="393" customFormat="false" ht="15" hidden="false" customHeight="false" outlineLevel="0" collapsed="false">
      <c r="B393" s="14" t="s">
        <v>233</v>
      </c>
      <c r="C393" s="14" t="s">
        <v>194</v>
      </c>
      <c r="D393" s="14" t="s">
        <v>227</v>
      </c>
      <c r="E393" s="14" t="s">
        <v>64</v>
      </c>
      <c r="F393" s="26" t="n">
        <f aca="false">Accounts!G84</f>
        <v>677</v>
      </c>
      <c r="G393" s="17" t="n">
        <f aca="false">Assumptions!$D$10</f>
        <v>96</v>
      </c>
      <c r="H393" s="17" t="n">
        <f aca="false">Assumptions!$E$10</f>
        <v>58</v>
      </c>
      <c r="I393" s="17" t="n">
        <f aca="false">ROUND(F393*G393,2)</f>
        <v>64992</v>
      </c>
      <c r="J393" s="17" t="n">
        <f aca="false">ROUND(I393*Accounts!O84,2)</f>
        <v>1299.84</v>
      </c>
      <c r="K393" s="17" t="n">
        <f aca="false">ROUND(I393*Accounts!N84,2)</f>
        <v>4367.46</v>
      </c>
      <c r="L393" s="17" t="n">
        <f aca="false">ROUND(I393-J393-K393,2)</f>
        <v>59324.7</v>
      </c>
      <c r="M393" s="17" t="n">
        <f aca="false">ROUND(L393*AA393,2)</f>
        <v>0</v>
      </c>
      <c r="N393" s="17" t="n">
        <f aca="false">ROUND(L393*Accounts!R84,2)</f>
        <v>0</v>
      </c>
      <c r="O393" s="17" t="n">
        <f aca="false">ROUND(L393*Accounts!S84,2)</f>
        <v>889.87</v>
      </c>
      <c r="P393" s="17" t="n">
        <f aca="false">ROUND(L393*Accounts!T84,2)</f>
        <v>0</v>
      </c>
      <c r="Q393" s="17" t="n">
        <f aca="false">ROUND(L393*Accounts!U84,2)</f>
        <v>0</v>
      </c>
      <c r="R393" s="17" t="n">
        <f aca="false">ROUND(L393*Accounts!V84,2)</f>
        <v>355.95</v>
      </c>
      <c r="S393" s="17" t="n">
        <f aca="false">ROUND(L393*Accounts!W84,2)</f>
        <v>0</v>
      </c>
      <c r="T393" s="17" t="n">
        <f aca="false">ROUND(L393-SUM(M393:S393),2)</f>
        <v>58078.88</v>
      </c>
      <c r="U393" s="17" t="n">
        <f aca="false">ROUND(F393*H393,2)</f>
        <v>39266</v>
      </c>
      <c r="V393" s="17" t="n">
        <f aca="false">ROUND(L393*Assumptions!$C$25,2)</f>
        <v>1186.49</v>
      </c>
      <c r="W393" s="17" t="n">
        <f aca="false">ROUND(T393-U393-V393,2)</f>
        <v>17626.39</v>
      </c>
      <c r="X393" s="28" t="n">
        <f aca="false">T393/I393</f>
        <v>0.89363121614968</v>
      </c>
      <c r="Y393" s="17" t="n">
        <f aca="false">T393/F393</f>
        <v>85.7885967503693</v>
      </c>
      <c r="Z393" s="26" t="n">
        <f aca="false">Accounts!H84</f>
        <v>1722</v>
      </c>
      <c r="AA393" s="28" t="n">
        <f aca="false">IF(Z393&gt;=Assumptions!$B$44,Assumptions!$C$44,IF(Z393&gt;=Assumptions!$B$45,Assumptions!$C$45,IF(Z393&gt;=Assumptions!$B$46,Assumptions!$C$46,Assumptions!$C$47)))</f>
        <v>0</v>
      </c>
      <c r="AB393" s="26" t="n">
        <f aca="false">IF(Z393&gt;=Assumptions!$B$44,Assumptions!$B$44,IF(Z393&gt;=Assumptions!$B$45,Assumptions!$B$45,IF(Z393&gt;=Assumptions!$B$46,Assumptions!$B$46,0)))</f>
        <v>0</v>
      </c>
    </row>
    <row r="394" customFormat="false" ht="15" hidden="false" customHeight="false" outlineLevel="0" collapsed="false">
      <c r="B394" s="14" t="s">
        <v>241</v>
      </c>
      <c r="C394" s="14" t="s">
        <v>194</v>
      </c>
      <c r="D394" s="14" t="s">
        <v>235</v>
      </c>
      <c r="E394" s="14" t="s">
        <v>64</v>
      </c>
      <c r="F394" s="26" t="n">
        <f aca="false">Accounts!G91</f>
        <v>426</v>
      </c>
      <c r="G394" s="17" t="n">
        <f aca="false">Assumptions!$D$10</f>
        <v>96</v>
      </c>
      <c r="H394" s="17" t="n">
        <f aca="false">Assumptions!$E$10</f>
        <v>58</v>
      </c>
      <c r="I394" s="17" t="n">
        <f aca="false">ROUND(F394*G394,2)</f>
        <v>40896</v>
      </c>
      <c r="J394" s="17" t="n">
        <f aca="false">ROUND(I394*Accounts!O91,2)</f>
        <v>817.92</v>
      </c>
      <c r="K394" s="17" t="n">
        <f aca="false">ROUND(I394*Accounts!N91,2)</f>
        <v>2551.91</v>
      </c>
      <c r="L394" s="17" t="n">
        <f aca="false">ROUND(I394-J394-K394,2)</f>
        <v>37526.17</v>
      </c>
      <c r="M394" s="17" t="n">
        <f aca="false">ROUND(L394*AA394,2)</f>
        <v>0</v>
      </c>
      <c r="N394" s="17" t="n">
        <f aca="false">ROUND(L394*Accounts!R91,2)</f>
        <v>0</v>
      </c>
      <c r="O394" s="17" t="n">
        <f aca="false">ROUND(L394*Accounts!S91,2)</f>
        <v>0</v>
      </c>
      <c r="P394" s="17" t="n">
        <f aca="false">ROUND(L394*Accounts!T91,2)</f>
        <v>0</v>
      </c>
      <c r="Q394" s="17" t="n">
        <f aca="false">ROUND(L394*Accounts!U91,2)</f>
        <v>0</v>
      </c>
      <c r="R394" s="17" t="n">
        <f aca="false">ROUND(L394*Accounts!V91,2)</f>
        <v>225.16</v>
      </c>
      <c r="S394" s="17" t="n">
        <f aca="false">ROUND(L394*Accounts!W91,2)</f>
        <v>0</v>
      </c>
      <c r="T394" s="17" t="n">
        <f aca="false">ROUND(L394-SUM(M394:S394),2)</f>
        <v>37301.01</v>
      </c>
      <c r="U394" s="17" t="n">
        <f aca="false">ROUND(F394*H394,2)</f>
        <v>24708</v>
      </c>
      <c r="V394" s="17" t="n">
        <f aca="false">ROUND(L394*Assumptions!$C$25,2)</f>
        <v>750.52</v>
      </c>
      <c r="W394" s="17" t="n">
        <f aca="false">ROUND(T394-U394-V394,2)</f>
        <v>11842.49</v>
      </c>
      <c r="X394" s="28" t="n">
        <f aca="false">T394/I394</f>
        <v>0.91209433685446</v>
      </c>
      <c r="Y394" s="17" t="n">
        <f aca="false">T394/F394</f>
        <v>87.5610563380282</v>
      </c>
      <c r="Z394" s="26" t="n">
        <f aca="false">Accounts!H91</f>
        <v>1317</v>
      </c>
      <c r="AA394" s="28" t="n">
        <f aca="false">IF(Z394&gt;=Assumptions!$B$44,Assumptions!$C$44,IF(Z394&gt;=Assumptions!$B$45,Assumptions!$C$45,IF(Z394&gt;=Assumptions!$B$46,Assumptions!$C$46,Assumptions!$C$47)))</f>
        <v>0</v>
      </c>
      <c r="AB394" s="26" t="n">
        <f aca="false">IF(Z394&gt;=Assumptions!$B$44,Assumptions!$B$44,IF(Z394&gt;=Assumptions!$B$45,Assumptions!$B$45,IF(Z394&gt;=Assumptions!$B$46,Assumptions!$B$46,0)))</f>
        <v>0</v>
      </c>
    </row>
    <row r="395" customFormat="false" ht="15" hidden="false" customHeight="false" outlineLevel="0" collapsed="false">
      <c r="B395" s="14" t="s">
        <v>249</v>
      </c>
      <c r="C395" s="14" t="s">
        <v>194</v>
      </c>
      <c r="D395" s="14" t="s">
        <v>243</v>
      </c>
      <c r="E395" s="14" t="s">
        <v>64</v>
      </c>
      <c r="F395" s="26" t="n">
        <f aca="false">Accounts!G98</f>
        <v>1008</v>
      </c>
      <c r="G395" s="17" t="n">
        <f aca="false">Assumptions!$D$10</f>
        <v>96</v>
      </c>
      <c r="H395" s="17" t="n">
        <f aca="false">Assumptions!$E$10</f>
        <v>58</v>
      </c>
      <c r="I395" s="17" t="n">
        <f aca="false">ROUND(F395*G395,2)</f>
        <v>96768</v>
      </c>
      <c r="J395" s="17" t="n">
        <f aca="false">ROUND(I395*Accounts!O98,2)</f>
        <v>3870.72</v>
      </c>
      <c r="K395" s="17" t="n">
        <f aca="false">ROUND(I395*Accounts!N98,2)</f>
        <v>4644.86</v>
      </c>
      <c r="L395" s="17" t="n">
        <f aca="false">ROUND(I395-J395-K395,2)</f>
        <v>88252.42</v>
      </c>
      <c r="M395" s="17" t="n">
        <f aca="false">ROUND(L395*AA395,2)</f>
        <v>1765.05</v>
      </c>
      <c r="N395" s="17" t="n">
        <f aca="false">ROUND(L395*Accounts!R98,2)</f>
        <v>1765.05</v>
      </c>
      <c r="O395" s="17" t="n">
        <f aca="false">ROUND(L395*Accounts!S98,2)</f>
        <v>1323.79</v>
      </c>
      <c r="P395" s="17" t="n">
        <f aca="false">ROUND(L395*Accounts!T98,2)</f>
        <v>0</v>
      </c>
      <c r="Q395" s="17" t="n">
        <f aca="false">ROUND(L395*Accounts!U98,2)</f>
        <v>0</v>
      </c>
      <c r="R395" s="17" t="n">
        <f aca="false">ROUND(L395*Accounts!V98,2)</f>
        <v>529.51</v>
      </c>
      <c r="S395" s="17" t="n">
        <f aca="false">ROUND(L395*Accounts!W98,2)</f>
        <v>0</v>
      </c>
      <c r="T395" s="17" t="n">
        <f aca="false">ROUND(L395-SUM(M395:S395),2)</f>
        <v>82869.02</v>
      </c>
      <c r="U395" s="17" t="n">
        <f aca="false">ROUND(F395*H395,2)</f>
        <v>58464</v>
      </c>
      <c r="V395" s="17" t="n">
        <f aca="false">ROUND(L395*Assumptions!$C$25,2)</f>
        <v>1765.05</v>
      </c>
      <c r="W395" s="17" t="n">
        <f aca="false">ROUND(T395-U395-V395,2)</f>
        <v>22639.97</v>
      </c>
      <c r="X395" s="28" t="n">
        <f aca="false">T395/I395</f>
        <v>0.856368014219577</v>
      </c>
      <c r="Y395" s="17" t="n">
        <f aca="false">T395/F395</f>
        <v>82.2113293650794</v>
      </c>
      <c r="Z395" s="26" t="n">
        <f aca="false">Accounts!H98</f>
        <v>3311</v>
      </c>
      <c r="AA395" s="28" t="n">
        <f aca="false">IF(Z395&gt;=Assumptions!$B$44,Assumptions!$C$44,IF(Z395&gt;=Assumptions!$B$45,Assumptions!$C$45,IF(Z395&gt;=Assumptions!$B$46,Assumptions!$C$46,Assumptions!$C$47)))</f>
        <v>0.02</v>
      </c>
      <c r="AB395" s="26" t="n">
        <f aca="false">IF(Z395&gt;=Assumptions!$B$44,Assumptions!$B$44,IF(Z395&gt;=Assumptions!$B$45,Assumptions!$B$45,IF(Z395&gt;=Assumptions!$B$46,Assumptions!$B$46,0)))</f>
        <v>3000</v>
      </c>
    </row>
    <row r="396" customFormat="false" ht="15" hidden="false" customHeight="false" outlineLevel="0" collapsed="false">
      <c r="B396" s="14" t="s">
        <v>257</v>
      </c>
      <c r="C396" s="14" t="s">
        <v>194</v>
      </c>
      <c r="D396" s="14" t="s">
        <v>251</v>
      </c>
      <c r="E396" s="14" t="s">
        <v>64</v>
      </c>
      <c r="F396" s="26" t="n">
        <f aca="false">Accounts!G105</f>
        <v>1197</v>
      </c>
      <c r="G396" s="17" t="n">
        <f aca="false">Assumptions!$D$10</f>
        <v>96</v>
      </c>
      <c r="H396" s="17" t="n">
        <f aca="false">Assumptions!$E$10</f>
        <v>58</v>
      </c>
      <c r="I396" s="17" t="n">
        <f aca="false">ROUND(F396*G396,2)</f>
        <v>114912</v>
      </c>
      <c r="J396" s="17" t="n">
        <f aca="false">ROUND(I396*Accounts!O105,2)</f>
        <v>4596.48</v>
      </c>
      <c r="K396" s="17" t="n">
        <f aca="false">ROUND(I396*Accounts!N105,2)</f>
        <v>3861.04</v>
      </c>
      <c r="L396" s="17" t="n">
        <f aca="false">ROUND(I396-J396-K396,2)</f>
        <v>106454.48</v>
      </c>
      <c r="M396" s="17" t="n">
        <f aca="false">ROUND(L396*AA396,2)</f>
        <v>2129.09</v>
      </c>
      <c r="N396" s="17" t="n">
        <f aca="false">ROUND(L396*Accounts!R105,2)</f>
        <v>2129.09</v>
      </c>
      <c r="O396" s="17" t="n">
        <f aca="false">ROUND(L396*Accounts!S105,2)</f>
        <v>0</v>
      </c>
      <c r="P396" s="17" t="n">
        <f aca="false">ROUND(L396*Accounts!T105,2)</f>
        <v>0</v>
      </c>
      <c r="Q396" s="17" t="n">
        <f aca="false">ROUND(L396*Accounts!U105,2)</f>
        <v>0</v>
      </c>
      <c r="R396" s="17" t="n">
        <f aca="false">ROUND(L396*Accounts!V105,2)</f>
        <v>638.73</v>
      </c>
      <c r="S396" s="17" t="n">
        <f aca="false">ROUND(L396*Accounts!W105,2)</f>
        <v>532.27</v>
      </c>
      <c r="T396" s="17" t="n">
        <f aca="false">ROUND(L396-SUM(M396:S396),2)</f>
        <v>101025.3</v>
      </c>
      <c r="U396" s="17" t="n">
        <f aca="false">ROUND(F396*H396,2)</f>
        <v>69426</v>
      </c>
      <c r="V396" s="17" t="n">
        <f aca="false">ROUND(L396*Assumptions!$C$25,2)</f>
        <v>2129.09</v>
      </c>
      <c r="W396" s="17" t="n">
        <f aca="false">ROUND(T396-U396-V396,2)</f>
        <v>29470.21</v>
      </c>
      <c r="X396" s="28" t="n">
        <f aca="false">T396/I396</f>
        <v>0.879153613199666</v>
      </c>
      <c r="Y396" s="17" t="n">
        <f aca="false">T396/F396</f>
        <v>84.3987468671679</v>
      </c>
      <c r="Z396" s="26" t="n">
        <f aca="false">Accounts!H105</f>
        <v>4605</v>
      </c>
      <c r="AA396" s="28" t="n">
        <f aca="false">IF(Z396&gt;=Assumptions!$B$44,Assumptions!$C$44,IF(Z396&gt;=Assumptions!$B$45,Assumptions!$C$45,IF(Z396&gt;=Assumptions!$B$46,Assumptions!$C$46,Assumptions!$C$47)))</f>
        <v>0.02</v>
      </c>
      <c r="AB396" s="26" t="n">
        <f aca="false">IF(Z396&gt;=Assumptions!$B$44,Assumptions!$B$44,IF(Z396&gt;=Assumptions!$B$45,Assumptions!$B$45,IF(Z396&gt;=Assumptions!$B$46,Assumptions!$B$46,0)))</f>
        <v>3000</v>
      </c>
    </row>
    <row r="397" customFormat="false" ht="15" hidden="false" customHeight="false" outlineLevel="0" collapsed="false">
      <c r="B397" s="14" t="s">
        <v>216</v>
      </c>
      <c r="C397" s="14" t="s">
        <v>194</v>
      </c>
      <c r="D397" s="14" t="s">
        <v>184</v>
      </c>
      <c r="E397" s="14" t="s">
        <v>64</v>
      </c>
      <c r="F397" s="26" t="n">
        <f aca="false">Accounts!G69</f>
        <v>1324</v>
      </c>
      <c r="G397" s="17" t="n">
        <f aca="false">Assumptions!$D$10</f>
        <v>96</v>
      </c>
      <c r="H397" s="17" t="n">
        <f aca="false">Assumptions!$E$10</f>
        <v>58</v>
      </c>
      <c r="I397" s="17" t="n">
        <f aca="false">ROUND(F397*G397,2)</f>
        <v>127104</v>
      </c>
      <c r="J397" s="17" t="n">
        <f aca="false">ROUND(I397*Accounts!O69,2)</f>
        <v>5084.16</v>
      </c>
      <c r="K397" s="17" t="n">
        <f aca="false">ROUND(I397*Accounts!N69,2)</f>
        <v>12812.08</v>
      </c>
      <c r="L397" s="17" t="n">
        <f aca="false">ROUND(I397-J397-K397,2)</f>
        <v>109207.76</v>
      </c>
      <c r="M397" s="17" t="n">
        <f aca="false">ROUND(L397*AA397,2)</f>
        <v>0</v>
      </c>
      <c r="N397" s="17" t="n">
        <f aca="false">ROUND(L397*Accounts!R69,2)</f>
        <v>2184.16</v>
      </c>
      <c r="O397" s="17" t="n">
        <f aca="false">ROUND(L397*Accounts!S69,2)</f>
        <v>0</v>
      </c>
      <c r="P397" s="17" t="n">
        <f aca="false">ROUND(L397*Accounts!T69,2)</f>
        <v>0</v>
      </c>
      <c r="Q397" s="17" t="n">
        <f aca="false">ROUND(L397*Accounts!U69,2)</f>
        <v>0</v>
      </c>
      <c r="R397" s="17" t="n">
        <f aca="false">ROUND(L397*Accounts!V69,2)</f>
        <v>655.25</v>
      </c>
      <c r="S397" s="17" t="n">
        <f aca="false">ROUND(L397*Accounts!W69,2)</f>
        <v>546.04</v>
      </c>
      <c r="T397" s="17" t="n">
        <f aca="false">ROUND(L397-SUM(M397:S397),2)</f>
        <v>105822.31</v>
      </c>
      <c r="U397" s="17" t="n">
        <f aca="false">ROUND(F397*H397,2)</f>
        <v>76792</v>
      </c>
      <c r="V397" s="17" t="n">
        <f aca="false">ROUND(L397*Assumptions!$C$25,2)</f>
        <v>2184.16</v>
      </c>
      <c r="W397" s="17" t="n">
        <f aca="false">ROUND(T397-U397-V397,2)</f>
        <v>26846.15</v>
      </c>
      <c r="X397" s="28" t="n">
        <f aca="false">T397/I397</f>
        <v>0.832564750125881</v>
      </c>
      <c r="Y397" s="17" t="n">
        <f aca="false">T397/F397</f>
        <v>79.9262160120846</v>
      </c>
      <c r="Z397" s="26" t="n">
        <f aca="false">Accounts!H69</f>
        <v>2100</v>
      </c>
      <c r="AA397" s="28" t="n">
        <f aca="false">IF(Z397&gt;=Assumptions!$B$44,Assumptions!$C$44,IF(Z397&gt;=Assumptions!$B$45,Assumptions!$C$45,IF(Z397&gt;=Assumptions!$B$46,Assumptions!$C$46,Assumptions!$C$47)))</f>
        <v>0</v>
      </c>
      <c r="AB397" s="26" t="n">
        <f aca="false">IF(Z397&gt;=Assumptions!$B$44,Assumptions!$B$44,IF(Z397&gt;=Assumptions!$B$45,Assumptions!$B$45,IF(Z397&gt;=Assumptions!$B$46,Assumptions!$B$46,0)))</f>
        <v>0</v>
      </c>
    </row>
    <row r="398" customFormat="false" ht="15" hidden="false" customHeight="false" outlineLevel="0" collapsed="false">
      <c r="B398" s="14" t="s">
        <v>225</v>
      </c>
      <c r="C398" s="14" t="s">
        <v>194</v>
      </c>
      <c r="D398" s="14" t="s">
        <v>218</v>
      </c>
      <c r="E398" s="14" t="s">
        <v>64</v>
      </c>
      <c r="F398" s="26" t="n">
        <f aca="false">Accounts!G77</f>
        <v>632</v>
      </c>
      <c r="G398" s="17" t="n">
        <f aca="false">Assumptions!$D$10</f>
        <v>96</v>
      </c>
      <c r="H398" s="17" t="n">
        <f aca="false">Assumptions!$E$10</f>
        <v>58</v>
      </c>
      <c r="I398" s="17" t="n">
        <f aca="false">ROUND(F398*G398,2)</f>
        <v>60672</v>
      </c>
      <c r="J398" s="17" t="n">
        <f aca="false">ROUND(I398*Accounts!O77,2)</f>
        <v>2426.88</v>
      </c>
      <c r="K398" s="17" t="n">
        <f aca="false">ROUND(I398*Accounts!N77,2)</f>
        <v>1747.35</v>
      </c>
      <c r="L398" s="17" t="n">
        <f aca="false">ROUND(I398-J398-K398,2)</f>
        <v>56497.77</v>
      </c>
      <c r="M398" s="17" t="n">
        <f aca="false">ROUND(L398*AA398,2)</f>
        <v>0</v>
      </c>
      <c r="N398" s="17" t="n">
        <f aca="false">ROUND(L398*Accounts!R77,2)</f>
        <v>1129.96</v>
      </c>
      <c r="O398" s="17" t="n">
        <f aca="false">ROUND(L398*Accounts!S77,2)</f>
        <v>0</v>
      </c>
      <c r="P398" s="17" t="n">
        <f aca="false">ROUND(L398*Accounts!T77,2)</f>
        <v>0</v>
      </c>
      <c r="Q398" s="17" t="n">
        <f aca="false">ROUND(L398*Accounts!U77,2)</f>
        <v>0</v>
      </c>
      <c r="R398" s="17" t="n">
        <f aca="false">ROUND(L398*Accounts!V77,2)</f>
        <v>338.99</v>
      </c>
      <c r="S398" s="17" t="n">
        <f aca="false">ROUND(L398*Accounts!W77,2)</f>
        <v>0</v>
      </c>
      <c r="T398" s="17" t="n">
        <f aca="false">ROUND(L398-SUM(M398:S398),2)</f>
        <v>55028.82</v>
      </c>
      <c r="U398" s="17" t="n">
        <f aca="false">ROUND(F398*H398,2)</f>
        <v>36656</v>
      </c>
      <c r="V398" s="17" t="n">
        <f aca="false">ROUND(L398*Assumptions!$C$25,2)</f>
        <v>1129.96</v>
      </c>
      <c r="W398" s="17" t="n">
        <f aca="false">ROUND(T398-U398-V398,2)</f>
        <v>17242.86</v>
      </c>
      <c r="X398" s="28" t="n">
        <f aca="false">T398/I398</f>
        <v>0.906988726265823</v>
      </c>
      <c r="Y398" s="17" t="n">
        <f aca="false">T398/F398</f>
        <v>87.070917721519</v>
      </c>
      <c r="Z398" s="26" t="n">
        <f aca="false">Accounts!H77</f>
        <v>1921</v>
      </c>
      <c r="AA398" s="28" t="n">
        <f aca="false">IF(Z398&gt;=Assumptions!$B$44,Assumptions!$C$44,IF(Z398&gt;=Assumptions!$B$45,Assumptions!$C$45,IF(Z398&gt;=Assumptions!$B$46,Assumptions!$C$46,Assumptions!$C$47)))</f>
        <v>0</v>
      </c>
      <c r="AB398" s="26" t="n">
        <f aca="false">IF(Z398&gt;=Assumptions!$B$44,Assumptions!$B$44,IF(Z398&gt;=Assumptions!$B$45,Assumptions!$B$45,IF(Z398&gt;=Assumptions!$B$46,Assumptions!$B$46,0)))</f>
        <v>0</v>
      </c>
    </row>
    <row r="399" customFormat="false" ht="15" hidden="false" customHeight="false" outlineLevel="0" collapsed="false">
      <c r="B399" s="14" t="s">
        <v>275</v>
      </c>
      <c r="C399" s="14" t="s">
        <v>259</v>
      </c>
      <c r="D399" s="14" t="s">
        <v>227</v>
      </c>
      <c r="E399" s="14" t="s">
        <v>64</v>
      </c>
      <c r="F399" s="26" t="n">
        <f aca="false">Accounts!G122</f>
        <v>636</v>
      </c>
      <c r="G399" s="17" t="n">
        <f aca="false">Assumptions!$D$10</f>
        <v>96</v>
      </c>
      <c r="H399" s="17" t="n">
        <f aca="false">Assumptions!$E$10</f>
        <v>58</v>
      </c>
      <c r="I399" s="17" t="n">
        <f aca="false">ROUND(F399*G399,2)</f>
        <v>61056</v>
      </c>
      <c r="J399" s="17" t="n">
        <f aca="false">ROUND(I399*Accounts!O122,2)</f>
        <v>1221.12</v>
      </c>
      <c r="K399" s="17" t="n">
        <f aca="false">ROUND(I399*Accounts!N122,2)</f>
        <v>1465.34</v>
      </c>
      <c r="L399" s="17" t="n">
        <f aca="false">ROUND(I399-J399-K399,2)</f>
        <v>58369.54</v>
      </c>
      <c r="M399" s="17" t="n">
        <f aca="false">ROUND(L399*AA399,2)</f>
        <v>1167.39</v>
      </c>
      <c r="N399" s="17" t="n">
        <f aca="false">ROUND(L399*Accounts!R122,2)</f>
        <v>0</v>
      </c>
      <c r="O399" s="17" t="n">
        <f aca="false">ROUND(L399*Accounts!S122,2)</f>
        <v>0</v>
      </c>
      <c r="P399" s="17" t="n">
        <f aca="false">ROUND(L399*Accounts!T122,2)</f>
        <v>0</v>
      </c>
      <c r="Q399" s="17" t="n">
        <f aca="false">ROUND(L399*Accounts!U122,2)</f>
        <v>0</v>
      </c>
      <c r="R399" s="17" t="n">
        <f aca="false">ROUND(L399*Accounts!V122,2)</f>
        <v>583.7</v>
      </c>
      <c r="S399" s="17" t="n">
        <f aca="false">ROUND(L399*Accounts!W122,2)</f>
        <v>0</v>
      </c>
      <c r="T399" s="17" t="n">
        <f aca="false">ROUND(L399-SUM(M399:S399),2)</f>
        <v>56618.45</v>
      </c>
      <c r="U399" s="17" t="n">
        <f aca="false">ROUND(F399*H399,2)</f>
        <v>36888</v>
      </c>
      <c r="V399" s="17" t="n">
        <f aca="false">ROUND(L399*Assumptions!$C$25,2)</f>
        <v>1167.39</v>
      </c>
      <c r="W399" s="17" t="n">
        <f aca="false">ROUND(T399-U399-V399,2)</f>
        <v>18563.06</v>
      </c>
      <c r="X399" s="28" t="n">
        <f aca="false">T399/I399</f>
        <v>0.927320001310273</v>
      </c>
      <c r="Y399" s="17" t="n">
        <f aca="false">T399/F399</f>
        <v>89.0227201257862</v>
      </c>
      <c r="Z399" s="26" t="n">
        <f aca="false">Accounts!H122</f>
        <v>3032</v>
      </c>
      <c r="AA399" s="28" t="n">
        <f aca="false">IF(Z399&gt;=Assumptions!$B$44,Assumptions!$C$44,IF(Z399&gt;=Assumptions!$B$45,Assumptions!$C$45,IF(Z399&gt;=Assumptions!$B$46,Assumptions!$C$46,Assumptions!$C$47)))</f>
        <v>0.02</v>
      </c>
      <c r="AB399" s="26" t="n">
        <f aca="false">IF(Z399&gt;=Assumptions!$B$44,Assumptions!$B$44,IF(Z399&gt;=Assumptions!$B$45,Assumptions!$B$45,IF(Z399&gt;=Assumptions!$B$46,Assumptions!$B$46,0)))</f>
        <v>3000</v>
      </c>
    </row>
    <row r="400" customFormat="false" ht="15" hidden="false" customHeight="false" outlineLevel="0" collapsed="false">
      <c r="B400" s="14" t="s">
        <v>291</v>
      </c>
      <c r="C400" s="14" t="s">
        <v>259</v>
      </c>
      <c r="D400" s="14" t="s">
        <v>235</v>
      </c>
      <c r="E400" s="14" t="s">
        <v>64</v>
      </c>
      <c r="F400" s="26" t="n">
        <f aca="false">Accounts!G138</f>
        <v>60</v>
      </c>
      <c r="G400" s="17" t="n">
        <f aca="false">Assumptions!$D$10</f>
        <v>96</v>
      </c>
      <c r="H400" s="17" t="n">
        <f aca="false">Assumptions!$E$10</f>
        <v>58</v>
      </c>
      <c r="I400" s="17" t="n">
        <f aca="false">ROUND(F400*G400,2)</f>
        <v>5760</v>
      </c>
      <c r="J400" s="17" t="n">
        <f aca="false">ROUND(I400*Accounts!O138,2)</f>
        <v>0</v>
      </c>
      <c r="K400" s="17" t="n">
        <f aca="false">ROUND(I400*Accounts!N138,2)</f>
        <v>27.65</v>
      </c>
      <c r="L400" s="17" t="n">
        <f aca="false">ROUND(I400-J400-K400,2)</f>
        <v>5732.35</v>
      </c>
      <c r="M400" s="17" t="n">
        <f aca="false">ROUND(L400*AA400,2)</f>
        <v>0</v>
      </c>
      <c r="N400" s="17" t="n">
        <f aca="false">ROUND(L400*Accounts!R138,2)</f>
        <v>0</v>
      </c>
      <c r="O400" s="17" t="n">
        <f aca="false">ROUND(L400*Accounts!S138,2)</f>
        <v>0</v>
      </c>
      <c r="P400" s="17" t="n">
        <f aca="false">ROUND(L400*Accounts!T138,2)</f>
        <v>0</v>
      </c>
      <c r="Q400" s="17" t="n">
        <f aca="false">ROUND(L400*Accounts!U138,2)</f>
        <v>0</v>
      </c>
      <c r="R400" s="17" t="n">
        <f aca="false">ROUND(L400*Accounts!V138,2)</f>
        <v>57.32</v>
      </c>
      <c r="S400" s="17" t="n">
        <f aca="false">ROUND(L400*Accounts!W138,2)</f>
        <v>0</v>
      </c>
      <c r="T400" s="17" t="n">
        <f aca="false">ROUND(L400-SUM(M400:S400),2)</f>
        <v>5675.03</v>
      </c>
      <c r="U400" s="17" t="n">
        <f aca="false">ROUND(F400*H400,2)</f>
        <v>3480</v>
      </c>
      <c r="V400" s="17" t="n">
        <f aca="false">ROUND(L400*Assumptions!$C$25,2)</f>
        <v>114.65</v>
      </c>
      <c r="W400" s="17" t="n">
        <f aca="false">ROUND(T400-U400-V400,2)</f>
        <v>2080.38</v>
      </c>
      <c r="X400" s="28" t="n">
        <f aca="false">T400/I400</f>
        <v>0.985248263888889</v>
      </c>
      <c r="Y400" s="17" t="n">
        <f aca="false">T400/F400</f>
        <v>94.5838333333333</v>
      </c>
      <c r="Z400" s="26" t="n">
        <f aca="false">Accounts!H138</f>
        <v>64</v>
      </c>
      <c r="AA400" s="28" t="n">
        <f aca="false">IF(Z400&gt;=Assumptions!$B$44,Assumptions!$C$44,IF(Z400&gt;=Assumptions!$B$45,Assumptions!$C$45,IF(Z400&gt;=Assumptions!$B$46,Assumptions!$C$46,Assumptions!$C$47)))</f>
        <v>0</v>
      </c>
      <c r="AB400" s="26" t="n">
        <f aca="false">IF(Z400&gt;=Assumptions!$B$44,Assumptions!$B$44,IF(Z400&gt;=Assumptions!$B$45,Assumptions!$B$45,IF(Z400&gt;=Assumptions!$B$46,Assumptions!$B$46,0)))</f>
        <v>0</v>
      </c>
    </row>
    <row r="401" customFormat="false" ht="15" hidden="false" customHeight="false" outlineLevel="0" collapsed="false">
      <c r="B401" s="14" t="s">
        <v>307</v>
      </c>
      <c r="C401" s="14" t="s">
        <v>259</v>
      </c>
      <c r="D401" s="14" t="s">
        <v>243</v>
      </c>
      <c r="E401" s="14" t="s">
        <v>64</v>
      </c>
      <c r="F401" s="26" t="n">
        <f aca="false">Accounts!G154</f>
        <v>317</v>
      </c>
      <c r="G401" s="17" t="n">
        <f aca="false">Assumptions!$D$10</f>
        <v>96</v>
      </c>
      <c r="H401" s="17" t="n">
        <f aca="false">Assumptions!$E$10</f>
        <v>58</v>
      </c>
      <c r="I401" s="17" t="n">
        <f aca="false">ROUND(F401*G401,2)</f>
        <v>30432</v>
      </c>
      <c r="J401" s="17" t="n">
        <f aca="false">ROUND(I401*Accounts!O154,2)</f>
        <v>608.64</v>
      </c>
      <c r="K401" s="17" t="n">
        <f aca="false">ROUND(I401*Accounts!N154,2)</f>
        <v>0</v>
      </c>
      <c r="L401" s="17" t="n">
        <f aca="false">ROUND(I401-J401-K401,2)</f>
        <v>29823.36</v>
      </c>
      <c r="M401" s="17" t="n">
        <f aca="false">ROUND(L401*AA401,2)</f>
        <v>0</v>
      </c>
      <c r="N401" s="17" t="n">
        <f aca="false">ROUND(L401*Accounts!R154,2)</f>
        <v>0</v>
      </c>
      <c r="O401" s="17" t="n">
        <f aca="false">ROUND(L401*Accounts!S154,2)</f>
        <v>0</v>
      </c>
      <c r="P401" s="17" t="n">
        <f aca="false">ROUND(L401*Accounts!T154,2)</f>
        <v>0</v>
      </c>
      <c r="Q401" s="17" t="n">
        <f aca="false">ROUND(L401*Accounts!U154,2)</f>
        <v>0</v>
      </c>
      <c r="R401" s="17" t="n">
        <f aca="false">ROUND(L401*Accounts!V154,2)</f>
        <v>298.23</v>
      </c>
      <c r="S401" s="17" t="n">
        <f aca="false">ROUND(L401*Accounts!W154,2)</f>
        <v>0</v>
      </c>
      <c r="T401" s="17" t="n">
        <f aca="false">ROUND(L401-SUM(M401:S401),2)</f>
        <v>29525.13</v>
      </c>
      <c r="U401" s="17" t="n">
        <f aca="false">ROUND(F401*H401,2)</f>
        <v>18386</v>
      </c>
      <c r="V401" s="17" t="n">
        <f aca="false">ROUND(L401*Assumptions!$C$25,2)</f>
        <v>596.47</v>
      </c>
      <c r="W401" s="17" t="n">
        <f aca="false">ROUND(T401-U401-V401,2)</f>
        <v>10542.66</v>
      </c>
      <c r="X401" s="28" t="n">
        <f aca="false">T401/I401</f>
        <v>0.97020011829653</v>
      </c>
      <c r="Y401" s="17" t="n">
        <f aca="false">T401/F401</f>
        <v>93.1392113564669</v>
      </c>
      <c r="Z401" s="26" t="n">
        <f aca="false">Accounts!H154</f>
        <v>1159</v>
      </c>
      <c r="AA401" s="28" t="n">
        <f aca="false">IF(Z401&gt;=Assumptions!$B$44,Assumptions!$C$44,IF(Z401&gt;=Assumptions!$B$45,Assumptions!$C$45,IF(Z401&gt;=Assumptions!$B$46,Assumptions!$C$46,Assumptions!$C$47)))</f>
        <v>0</v>
      </c>
      <c r="AB401" s="26" t="n">
        <f aca="false">IF(Z401&gt;=Assumptions!$B$44,Assumptions!$B$44,IF(Z401&gt;=Assumptions!$B$45,Assumptions!$B$45,IF(Z401&gt;=Assumptions!$B$46,Assumptions!$B$46,0)))</f>
        <v>0</v>
      </c>
    </row>
    <row r="402" customFormat="false" ht="15" hidden="false" customHeight="false" outlineLevel="0" collapsed="false">
      <c r="B402" s="14" t="s">
        <v>323</v>
      </c>
      <c r="C402" s="14" t="s">
        <v>259</v>
      </c>
      <c r="D402" s="14" t="s">
        <v>251</v>
      </c>
      <c r="E402" s="14" t="s">
        <v>64</v>
      </c>
      <c r="F402" s="26" t="n">
        <f aca="false">Accounts!G170</f>
        <v>675</v>
      </c>
      <c r="G402" s="17" t="n">
        <f aca="false">Assumptions!$D$10</f>
        <v>96</v>
      </c>
      <c r="H402" s="17" t="n">
        <f aca="false">Assumptions!$E$10</f>
        <v>58</v>
      </c>
      <c r="I402" s="17" t="n">
        <f aca="false">ROUND(F402*G402,2)</f>
        <v>64800</v>
      </c>
      <c r="J402" s="17" t="n">
        <f aca="false">ROUND(I402*Accounts!O170,2)</f>
        <v>1296</v>
      </c>
      <c r="K402" s="17" t="n">
        <f aca="false">ROUND(I402*Accounts!N170,2)</f>
        <v>4043.52</v>
      </c>
      <c r="L402" s="17" t="n">
        <f aca="false">ROUND(I402-J402-K402,2)</f>
        <v>59460.48</v>
      </c>
      <c r="M402" s="17" t="n">
        <f aca="false">ROUND(L402*AA402,2)</f>
        <v>1189.21</v>
      </c>
      <c r="N402" s="17" t="n">
        <f aca="false">ROUND(L402*Accounts!R170,2)</f>
        <v>0</v>
      </c>
      <c r="O402" s="17" t="n">
        <f aca="false">ROUND(L402*Accounts!S170,2)</f>
        <v>0</v>
      </c>
      <c r="P402" s="17" t="n">
        <f aca="false">ROUND(L402*Accounts!T170,2)</f>
        <v>0</v>
      </c>
      <c r="Q402" s="17" t="n">
        <f aca="false">ROUND(L402*Accounts!U170,2)</f>
        <v>0</v>
      </c>
      <c r="R402" s="17" t="n">
        <f aca="false">ROUND(L402*Accounts!V170,2)</f>
        <v>594.6</v>
      </c>
      <c r="S402" s="17" t="n">
        <f aca="false">ROUND(L402*Accounts!W170,2)</f>
        <v>0</v>
      </c>
      <c r="T402" s="17" t="n">
        <f aca="false">ROUND(L402-SUM(M402:S402),2)</f>
        <v>57676.67</v>
      </c>
      <c r="U402" s="17" t="n">
        <f aca="false">ROUND(F402*H402,2)</f>
        <v>39150</v>
      </c>
      <c r="V402" s="17" t="n">
        <f aca="false">ROUND(L402*Assumptions!$C$25,2)</f>
        <v>1189.21</v>
      </c>
      <c r="W402" s="17" t="n">
        <f aca="false">ROUND(T402-U402-V402,2)</f>
        <v>17337.46</v>
      </c>
      <c r="X402" s="28" t="n">
        <f aca="false">T402/I402</f>
        <v>0.890072067901235</v>
      </c>
      <c r="Y402" s="17" t="n">
        <f aca="false">T402/F402</f>
        <v>85.4469185185185</v>
      </c>
      <c r="Z402" s="26" t="n">
        <f aca="false">Accounts!H170</f>
        <v>3616</v>
      </c>
      <c r="AA402" s="28" t="n">
        <f aca="false">IF(Z402&gt;=Assumptions!$B$44,Assumptions!$C$44,IF(Z402&gt;=Assumptions!$B$45,Assumptions!$C$45,IF(Z402&gt;=Assumptions!$B$46,Assumptions!$C$46,Assumptions!$C$47)))</f>
        <v>0.02</v>
      </c>
      <c r="AB402" s="26" t="n">
        <f aca="false">IF(Z402&gt;=Assumptions!$B$44,Assumptions!$B$44,IF(Z402&gt;=Assumptions!$B$45,Assumptions!$B$45,IF(Z402&gt;=Assumptions!$B$46,Assumptions!$B$46,0)))</f>
        <v>3000</v>
      </c>
    </row>
    <row r="403" customFormat="false" ht="15" hidden="false" customHeight="false" outlineLevel="0" collapsed="false">
      <c r="B403" s="14" t="s">
        <v>276</v>
      </c>
      <c r="C403" s="14" t="s">
        <v>259</v>
      </c>
      <c r="D403" s="14" t="s">
        <v>227</v>
      </c>
      <c r="E403" s="14" t="s">
        <v>64</v>
      </c>
      <c r="F403" s="26" t="n">
        <f aca="false">Accounts!G123</f>
        <v>346</v>
      </c>
      <c r="G403" s="17" t="n">
        <f aca="false">Assumptions!$D$10</f>
        <v>96</v>
      </c>
      <c r="H403" s="17" t="n">
        <f aca="false">Assumptions!$E$10</f>
        <v>58</v>
      </c>
      <c r="I403" s="17" t="n">
        <f aca="false">ROUND(F403*G403,2)</f>
        <v>33216</v>
      </c>
      <c r="J403" s="17" t="n">
        <f aca="false">ROUND(I403*Accounts!O123,2)</f>
        <v>664.32</v>
      </c>
      <c r="K403" s="17" t="n">
        <f aca="false">ROUND(I403*Accounts!N123,2)</f>
        <v>1594.37</v>
      </c>
      <c r="L403" s="17" t="n">
        <f aca="false">ROUND(I403-J403-K403,2)</f>
        <v>30957.31</v>
      </c>
      <c r="M403" s="17" t="n">
        <f aca="false">ROUND(L403*AA403,2)</f>
        <v>0</v>
      </c>
      <c r="N403" s="17" t="n">
        <f aca="false">ROUND(L403*Accounts!R123,2)</f>
        <v>0</v>
      </c>
      <c r="O403" s="17" t="n">
        <f aca="false">ROUND(L403*Accounts!S123,2)</f>
        <v>0</v>
      </c>
      <c r="P403" s="17" t="n">
        <f aca="false">ROUND(L403*Accounts!T123,2)</f>
        <v>0</v>
      </c>
      <c r="Q403" s="17" t="n">
        <f aca="false">ROUND(L403*Accounts!U123,2)</f>
        <v>0</v>
      </c>
      <c r="R403" s="17" t="n">
        <f aca="false">ROUND(L403*Accounts!V123,2)</f>
        <v>309.57</v>
      </c>
      <c r="S403" s="17" t="n">
        <f aca="false">ROUND(L403*Accounts!W123,2)</f>
        <v>0</v>
      </c>
      <c r="T403" s="17" t="n">
        <f aca="false">ROUND(L403-SUM(M403:S403),2)</f>
        <v>30647.74</v>
      </c>
      <c r="U403" s="17" t="n">
        <f aca="false">ROUND(F403*H403,2)</f>
        <v>20068</v>
      </c>
      <c r="V403" s="17" t="n">
        <f aca="false">ROUND(L403*Assumptions!$C$25,2)</f>
        <v>619.15</v>
      </c>
      <c r="W403" s="17" t="n">
        <f aca="false">ROUND(T403-U403-V403,2)</f>
        <v>9960.59</v>
      </c>
      <c r="X403" s="28" t="n">
        <f aca="false">T403/I403</f>
        <v>0.92268003371869</v>
      </c>
      <c r="Y403" s="17" t="n">
        <f aca="false">T403/F403</f>
        <v>88.5772832369942</v>
      </c>
      <c r="Z403" s="26" t="n">
        <f aca="false">Accounts!H123</f>
        <v>2345</v>
      </c>
      <c r="AA403" s="28" t="n">
        <f aca="false">IF(Z403&gt;=Assumptions!$B$44,Assumptions!$C$44,IF(Z403&gt;=Assumptions!$B$45,Assumptions!$C$45,IF(Z403&gt;=Assumptions!$B$46,Assumptions!$C$46,Assumptions!$C$47)))</f>
        <v>0</v>
      </c>
      <c r="AB403" s="26" t="n">
        <f aca="false">IF(Z403&gt;=Assumptions!$B$44,Assumptions!$B$44,IF(Z403&gt;=Assumptions!$B$45,Assumptions!$B$45,IF(Z403&gt;=Assumptions!$B$46,Assumptions!$B$46,0)))</f>
        <v>0</v>
      </c>
    </row>
    <row r="404" customFormat="false" ht="15" hidden="false" customHeight="false" outlineLevel="0" collapsed="false">
      <c r="B404" s="14" t="s">
        <v>292</v>
      </c>
      <c r="C404" s="14" t="s">
        <v>259</v>
      </c>
      <c r="D404" s="14" t="s">
        <v>235</v>
      </c>
      <c r="E404" s="14" t="s">
        <v>64</v>
      </c>
      <c r="F404" s="26" t="n">
        <f aca="false">Accounts!G139</f>
        <v>542</v>
      </c>
      <c r="G404" s="17" t="n">
        <f aca="false">Assumptions!$D$10</f>
        <v>96</v>
      </c>
      <c r="H404" s="17" t="n">
        <f aca="false">Assumptions!$E$10</f>
        <v>58</v>
      </c>
      <c r="I404" s="17" t="n">
        <f aca="false">ROUND(F404*G404,2)</f>
        <v>52032</v>
      </c>
      <c r="J404" s="17" t="n">
        <f aca="false">ROUND(I404*Accounts!O139,2)</f>
        <v>1040.64</v>
      </c>
      <c r="K404" s="17" t="n">
        <f aca="false">ROUND(I404*Accounts!N139,2)</f>
        <v>0</v>
      </c>
      <c r="L404" s="17" t="n">
        <f aca="false">ROUND(I404-J404-K404,2)</f>
        <v>50991.36</v>
      </c>
      <c r="M404" s="17" t="n">
        <f aca="false">ROUND(L404*AA404,2)</f>
        <v>0</v>
      </c>
      <c r="N404" s="17" t="n">
        <f aca="false">ROUND(L404*Accounts!R139,2)</f>
        <v>0</v>
      </c>
      <c r="O404" s="17" t="n">
        <f aca="false">ROUND(L404*Accounts!S139,2)</f>
        <v>0</v>
      </c>
      <c r="P404" s="17" t="n">
        <f aca="false">ROUND(L404*Accounts!T139,2)</f>
        <v>0</v>
      </c>
      <c r="Q404" s="17" t="n">
        <f aca="false">ROUND(L404*Accounts!U139,2)</f>
        <v>0</v>
      </c>
      <c r="R404" s="17" t="n">
        <f aca="false">ROUND(L404*Accounts!V139,2)</f>
        <v>509.91</v>
      </c>
      <c r="S404" s="17" t="n">
        <f aca="false">ROUND(L404*Accounts!W139,2)</f>
        <v>0</v>
      </c>
      <c r="T404" s="17" t="n">
        <f aca="false">ROUND(L404-SUM(M404:S404),2)</f>
        <v>50481.45</v>
      </c>
      <c r="U404" s="17" t="n">
        <f aca="false">ROUND(F404*H404,2)</f>
        <v>31436</v>
      </c>
      <c r="V404" s="17" t="n">
        <f aca="false">ROUND(L404*Assumptions!$C$25,2)</f>
        <v>1019.83</v>
      </c>
      <c r="W404" s="17" t="n">
        <f aca="false">ROUND(T404-U404-V404,2)</f>
        <v>18025.62</v>
      </c>
      <c r="X404" s="28" t="n">
        <f aca="false">T404/I404</f>
        <v>0.970200069188192</v>
      </c>
      <c r="Y404" s="17" t="n">
        <f aca="false">T404/F404</f>
        <v>93.1392066420664</v>
      </c>
      <c r="Z404" s="26" t="n">
        <f aca="false">Accounts!H139</f>
        <v>2219</v>
      </c>
      <c r="AA404" s="28" t="n">
        <f aca="false">IF(Z404&gt;=Assumptions!$B$44,Assumptions!$C$44,IF(Z404&gt;=Assumptions!$B$45,Assumptions!$C$45,IF(Z404&gt;=Assumptions!$B$46,Assumptions!$C$46,Assumptions!$C$47)))</f>
        <v>0</v>
      </c>
      <c r="AB404" s="26" t="n">
        <f aca="false">IF(Z404&gt;=Assumptions!$B$44,Assumptions!$B$44,IF(Z404&gt;=Assumptions!$B$45,Assumptions!$B$45,IF(Z404&gt;=Assumptions!$B$46,Assumptions!$B$46,0)))</f>
        <v>0</v>
      </c>
    </row>
    <row r="405" customFormat="false" ht="15" hidden="false" customHeight="false" outlineLevel="0" collapsed="false">
      <c r="B405" s="14" t="s">
        <v>308</v>
      </c>
      <c r="C405" s="14" t="s">
        <v>259</v>
      </c>
      <c r="D405" s="14" t="s">
        <v>243</v>
      </c>
      <c r="E405" s="14" t="s">
        <v>64</v>
      </c>
      <c r="F405" s="26" t="n">
        <f aca="false">Accounts!G155</f>
        <v>372</v>
      </c>
      <c r="G405" s="17" t="n">
        <f aca="false">Assumptions!$D$10</f>
        <v>96</v>
      </c>
      <c r="H405" s="17" t="n">
        <f aca="false">Assumptions!$E$10</f>
        <v>58</v>
      </c>
      <c r="I405" s="17" t="n">
        <f aca="false">ROUND(F405*G405,2)</f>
        <v>35712</v>
      </c>
      <c r="J405" s="17" t="n">
        <f aca="false">ROUND(I405*Accounts!O155,2)</f>
        <v>0</v>
      </c>
      <c r="K405" s="17" t="n">
        <f aca="false">ROUND(I405*Accounts!N155,2)</f>
        <v>1199.92</v>
      </c>
      <c r="L405" s="17" t="n">
        <f aca="false">ROUND(I405-J405-K405,2)</f>
        <v>34512.08</v>
      </c>
      <c r="M405" s="17" t="n">
        <f aca="false">ROUND(L405*AA405,2)</f>
        <v>0</v>
      </c>
      <c r="N405" s="17" t="n">
        <f aca="false">ROUND(L405*Accounts!R155,2)</f>
        <v>0</v>
      </c>
      <c r="O405" s="17" t="n">
        <f aca="false">ROUND(L405*Accounts!S155,2)</f>
        <v>0</v>
      </c>
      <c r="P405" s="17" t="n">
        <f aca="false">ROUND(L405*Accounts!T155,2)</f>
        <v>0</v>
      </c>
      <c r="Q405" s="17" t="n">
        <f aca="false">ROUND(L405*Accounts!U155,2)</f>
        <v>0</v>
      </c>
      <c r="R405" s="17" t="n">
        <f aca="false">ROUND(L405*Accounts!V155,2)</f>
        <v>345.12</v>
      </c>
      <c r="S405" s="17" t="n">
        <f aca="false">ROUND(L405*Accounts!W155,2)</f>
        <v>0</v>
      </c>
      <c r="T405" s="17" t="n">
        <f aca="false">ROUND(L405-SUM(M405:S405),2)</f>
        <v>34166.96</v>
      </c>
      <c r="U405" s="17" t="n">
        <f aca="false">ROUND(F405*H405,2)</f>
        <v>21576</v>
      </c>
      <c r="V405" s="17" t="n">
        <f aca="false">ROUND(L405*Assumptions!$C$25,2)</f>
        <v>690.24</v>
      </c>
      <c r="W405" s="17" t="n">
        <f aca="false">ROUND(T405-U405-V405,2)</f>
        <v>11900.72</v>
      </c>
      <c r="X405" s="28" t="n">
        <f aca="false">T405/I405</f>
        <v>0.956736111111111</v>
      </c>
      <c r="Y405" s="17" t="n">
        <f aca="false">T405/F405</f>
        <v>91.8466666666667</v>
      </c>
      <c r="Z405" s="26" t="n">
        <f aca="false">Accounts!H155</f>
        <v>1483</v>
      </c>
      <c r="AA405" s="28" t="n">
        <f aca="false">IF(Z405&gt;=Assumptions!$B$44,Assumptions!$C$44,IF(Z405&gt;=Assumptions!$B$45,Assumptions!$C$45,IF(Z405&gt;=Assumptions!$B$46,Assumptions!$C$46,Assumptions!$C$47)))</f>
        <v>0</v>
      </c>
      <c r="AB405" s="26" t="n">
        <f aca="false">IF(Z405&gt;=Assumptions!$B$44,Assumptions!$B$44,IF(Z405&gt;=Assumptions!$B$45,Assumptions!$B$45,IF(Z405&gt;=Assumptions!$B$46,Assumptions!$B$46,0)))</f>
        <v>0</v>
      </c>
    </row>
    <row r="406" customFormat="false" ht="15" hidden="false" customHeight="false" outlineLevel="0" collapsed="false">
      <c r="B406" s="14" t="s">
        <v>324</v>
      </c>
      <c r="C406" s="14" t="s">
        <v>259</v>
      </c>
      <c r="D406" s="14" t="s">
        <v>251</v>
      </c>
      <c r="E406" s="14" t="s">
        <v>64</v>
      </c>
      <c r="F406" s="26" t="n">
        <f aca="false">Accounts!G171</f>
        <v>138</v>
      </c>
      <c r="G406" s="17" t="n">
        <f aca="false">Assumptions!$D$10</f>
        <v>96</v>
      </c>
      <c r="H406" s="17" t="n">
        <f aca="false">Assumptions!$E$10</f>
        <v>58</v>
      </c>
      <c r="I406" s="17" t="n">
        <f aca="false">ROUND(F406*G406,2)</f>
        <v>13248</v>
      </c>
      <c r="J406" s="17" t="n">
        <f aca="false">ROUND(I406*Accounts!O171,2)</f>
        <v>0</v>
      </c>
      <c r="K406" s="17" t="n">
        <f aca="false">ROUND(I406*Accounts!N171,2)</f>
        <v>890.27</v>
      </c>
      <c r="L406" s="17" t="n">
        <f aca="false">ROUND(I406-J406-K406,2)</f>
        <v>12357.73</v>
      </c>
      <c r="M406" s="17" t="n">
        <f aca="false">ROUND(L406*AA406,2)</f>
        <v>0</v>
      </c>
      <c r="N406" s="17" t="n">
        <f aca="false">ROUND(L406*Accounts!R171,2)</f>
        <v>0</v>
      </c>
      <c r="O406" s="17" t="n">
        <f aca="false">ROUND(L406*Accounts!S171,2)</f>
        <v>0</v>
      </c>
      <c r="P406" s="17" t="n">
        <f aca="false">ROUND(L406*Accounts!T171,2)</f>
        <v>0</v>
      </c>
      <c r="Q406" s="17" t="n">
        <f aca="false">ROUND(L406*Accounts!U171,2)</f>
        <v>0</v>
      </c>
      <c r="R406" s="17" t="n">
        <f aca="false">ROUND(L406*Accounts!V171,2)</f>
        <v>123.58</v>
      </c>
      <c r="S406" s="17" t="n">
        <f aca="false">ROUND(L406*Accounts!W171,2)</f>
        <v>0</v>
      </c>
      <c r="T406" s="17" t="n">
        <f aca="false">ROUND(L406-SUM(M406:S406),2)</f>
        <v>12234.15</v>
      </c>
      <c r="U406" s="17" t="n">
        <f aca="false">ROUND(F406*H406,2)</f>
        <v>8004</v>
      </c>
      <c r="V406" s="17" t="n">
        <f aca="false">ROUND(L406*Assumptions!$C$25,2)</f>
        <v>247.15</v>
      </c>
      <c r="W406" s="17" t="n">
        <f aca="false">ROUND(T406-U406-V406,2)</f>
        <v>3983</v>
      </c>
      <c r="X406" s="28" t="n">
        <f aca="false">T406/I406</f>
        <v>0.923471467391304</v>
      </c>
      <c r="Y406" s="17" t="n">
        <f aca="false">T406/F406</f>
        <v>88.6532608695652</v>
      </c>
      <c r="Z406" s="26" t="n">
        <f aca="false">Accounts!H171</f>
        <v>780</v>
      </c>
      <c r="AA406" s="28" t="n">
        <f aca="false">IF(Z406&gt;=Assumptions!$B$44,Assumptions!$C$44,IF(Z406&gt;=Assumptions!$B$45,Assumptions!$C$45,IF(Z406&gt;=Assumptions!$B$46,Assumptions!$C$46,Assumptions!$C$47)))</f>
        <v>0</v>
      </c>
      <c r="AB406" s="26" t="n">
        <f aca="false">IF(Z406&gt;=Assumptions!$B$44,Assumptions!$B$44,IF(Z406&gt;=Assumptions!$B$45,Assumptions!$B$45,IF(Z406&gt;=Assumptions!$B$46,Assumptions!$B$46,0)))</f>
        <v>0</v>
      </c>
    </row>
    <row r="407" customFormat="false" ht="15" hidden="false" customHeight="false" outlineLevel="0" collapsed="false">
      <c r="B407" s="14" t="s">
        <v>261</v>
      </c>
      <c r="C407" s="14" t="s">
        <v>259</v>
      </c>
      <c r="D407" s="14" t="s">
        <v>218</v>
      </c>
      <c r="E407" s="14" t="s">
        <v>64</v>
      </c>
      <c r="F407" s="26" t="n">
        <f aca="false">Accounts!G108</f>
        <v>229</v>
      </c>
      <c r="G407" s="17" t="n">
        <f aca="false">Assumptions!$D$10</f>
        <v>96</v>
      </c>
      <c r="H407" s="17" t="n">
        <f aca="false">Assumptions!$E$10</f>
        <v>58</v>
      </c>
      <c r="I407" s="17" t="n">
        <f aca="false">ROUND(F407*G407,2)</f>
        <v>21984</v>
      </c>
      <c r="J407" s="17" t="n">
        <f aca="false">ROUND(I407*Accounts!O108,2)</f>
        <v>0</v>
      </c>
      <c r="K407" s="17" t="n">
        <f aca="false">ROUND(I407*Accounts!N108,2)</f>
        <v>0</v>
      </c>
      <c r="L407" s="17" t="n">
        <f aca="false">ROUND(I407-J407-K407,2)</f>
        <v>21984</v>
      </c>
      <c r="M407" s="17" t="n">
        <f aca="false">ROUND(L407*AA407,2)</f>
        <v>0</v>
      </c>
      <c r="N407" s="17" t="n">
        <f aca="false">ROUND(L407*Accounts!R108,2)</f>
        <v>0</v>
      </c>
      <c r="O407" s="17" t="n">
        <f aca="false">ROUND(L407*Accounts!S108,2)</f>
        <v>0</v>
      </c>
      <c r="P407" s="17" t="n">
        <f aca="false">ROUND(L407*Accounts!T108,2)</f>
        <v>0</v>
      </c>
      <c r="Q407" s="17" t="n">
        <f aca="false">ROUND(L407*Accounts!U108,2)</f>
        <v>0</v>
      </c>
      <c r="R407" s="17" t="n">
        <f aca="false">ROUND(L407*Accounts!V108,2)</f>
        <v>219.84</v>
      </c>
      <c r="S407" s="17" t="n">
        <f aca="false">ROUND(L407*Accounts!W108,2)</f>
        <v>0</v>
      </c>
      <c r="T407" s="17" t="n">
        <f aca="false">ROUND(L407-SUM(M407:S407),2)</f>
        <v>21764.16</v>
      </c>
      <c r="U407" s="17" t="n">
        <f aca="false">ROUND(F407*H407,2)</f>
        <v>13282</v>
      </c>
      <c r="V407" s="17" t="n">
        <f aca="false">ROUND(L407*Assumptions!$C$25,2)</f>
        <v>439.68</v>
      </c>
      <c r="W407" s="17" t="n">
        <f aca="false">ROUND(T407-U407-V407,2)</f>
        <v>8042.48</v>
      </c>
      <c r="X407" s="28" t="n">
        <f aca="false">T407/I407</f>
        <v>0.99</v>
      </c>
      <c r="Y407" s="17" t="n">
        <f aca="false">T407/F407</f>
        <v>95.04</v>
      </c>
      <c r="Z407" s="26" t="n">
        <f aca="false">Accounts!H108</f>
        <v>419</v>
      </c>
      <c r="AA407" s="28" t="n">
        <f aca="false">IF(Z407&gt;=Assumptions!$B$44,Assumptions!$C$44,IF(Z407&gt;=Assumptions!$B$45,Assumptions!$C$45,IF(Z407&gt;=Assumptions!$B$46,Assumptions!$C$46,Assumptions!$C$47)))</f>
        <v>0</v>
      </c>
      <c r="AB407" s="26" t="n">
        <f aca="false">IF(Z407&gt;=Assumptions!$B$44,Assumptions!$B$44,IF(Z407&gt;=Assumptions!$B$45,Assumptions!$B$45,IF(Z407&gt;=Assumptions!$B$46,Assumptions!$B$46,0)))</f>
        <v>0</v>
      </c>
    </row>
    <row r="408" customFormat="false" ht="15" hidden="false" customHeight="false" outlineLevel="0" collapsed="false">
      <c r="B408" s="14" t="s">
        <v>293</v>
      </c>
      <c r="C408" s="14" t="s">
        <v>259</v>
      </c>
      <c r="D408" s="14" t="s">
        <v>235</v>
      </c>
      <c r="E408" s="14" t="s">
        <v>64</v>
      </c>
      <c r="F408" s="26" t="n">
        <f aca="false">Accounts!G140</f>
        <v>132</v>
      </c>
      <c r="G408" s="17" t="n">
        <f aca="false">Assumptions!$D$10</f>
        <v>96</v>
      </c>
      <c r="H408" s="17" t="n">
        <f aca="false">Assumptions!$E$10</f>
        <v>58</v>
      </c>
      <c r="I408" s="17" t="n">
        <f aca="false">ROUND(F408*G408,2)</f>
        <v>12672</v>
      </c>
      <c r="J408" s="17" t="n">
        <f aca="false">ROUND(I408*Accounts!O140,2)</f>
        <v>253.44</v>
      </c>
      <c r="K408" s="17" t="n">
        <f aca="false">ROUND(I408*Accounts!N140,2)</f>
        <v>364.95</v>
      </c>
      <c r="L408" s="17" t="n">
        <f aca="false">ROUND(I408-J408-K408,2)</f>
        <v>12053.61</v>
      </c>
      <c r="M408" s="17" t="n">
        <f aca="false">ROUND(L408*AA408,2)</f>
        <v>0</v>
      </c>
      <c r="N408" s="17" t="n">
        <f aca="false">ROUND(L408*Accounts!R140,2)</f>
        <v>0</v>
      </c>
      <c r="O408" s="17" t="n">
        <f aca="false">ROUND(L408*Accounts!S140,2)</f>
        <v>0</v>
      </c>
      <c r="P408" s="17" t="n">
        <f aca="false">ROUND(L408*Accounts!T140,2)</f>
        <v>0</v>
      </c>
      <c r="Q408" s="17" t="n">
        <f aca="false">ROUND(L408*Accounts!U140,2)</f>
        <v>0</v>
      </c>
      <c r="R408" s="17" t="n">
        <f aca="false">ROUND(L408*Accounts!V140,2)</f>
        <v>120.54</v>
      </c>
      <c r="S408" s="17" t="n">
        <f aca="false">ROUND(L408*Accounts!W140,2)</f>
        <v>0</v>
      </c>
      <c r="T408" s="17" t="n">
        <f aca="false">ROUND(L408-SUM(M408:S408),2)</f>
        <v>11933.07</v>
      </c>
      <c r="U408" s="17" t="n">
        <f aca="false">ROUND(F408*H408,2)</f>
        <v>7656</v>
      </c>
      <c r="V408" s="17" t="n">
        <f aca="false">ROUND(L408*Assumptions!$C$25,2)</f>
        <v>241.07</v>
      </c>
      <c r="W408" s="17" t="n">
        <f aca="false">ROUND(T408-U408-V408,2)</f>
        <v>4036</v>
      </c>
      <c r="X408" s="28" t="n">
        <f aca="false">T408/I408</f>
        <v>0.941687973484849</v>
      </c>
      <c r="Y408" s="17" t="n">
        <f aca="false">T408/F408</f>
        <v>90.4020454545455</v>
      </c>
      <c r="Z408" s="26" t="n">
        <f aca="false">Accounts!H140</f>
        <v>1087</v>
      </c>
      <c r="AA408" s="28" t="n">
        <f aca="false">IF(Z408&gt;=Assumptions!$B$44,Assumptions!$C$44,IF(Z408&gt;=Assumptions!$B$45,Assumptions!$C$45,IF(Z408&gt;=Assumptions!$B$46,Assumptions!$C$46,Assumptions!$C$47)))</f>
        <v>0</v>
      </c>
      <c r="AB408" s="26" t="n">
        <f aca="false">IF(Z408&gt;=Assumptions!$B$44,Assumptions!$B$44,IF(Z408&gt;=Assumptions!$B$45,Assumptions!$B$45,IF(Z408&gt;=Assumptions!$B$46,Assumptions!$B$46,0)))</f>
        <v>0</v>
      </c>
    </row>
    <row r="409" customFormat="false" ht="15" hidden="false" customHeight="false" outlineLevel="0" collapsed="false">
      <c r="B409" s="14" t="s">
        <v>309</v>
      </c>
      <c r="C409" s="14" t="s">
        <v>259</v>
      </c>
      <c r="D409" s="14" t="s">
        <v>243</v>
      </c>
      <c r="E409" s="14" t="s">
        <v>64</v>
      </c>
      <c r="F409" s="26" t="n">
        <f aca="false">Accounts!G156</f>
        <v>39</v>
      </c>
      <c r="G409" s="17" t="n">
        <f aca="false">Assumptions!$D$10</f>
        <v>96</v>
      </c>
      <c r="H409" s="17" t="n">
        <f aca="false">Assumptions!$E$10</f>
        <v>58</v>
      </c>
      <c r="I409" s="17" t="n">
        <f aca="false">ROUND(F409*G409,2)</f>
        <v>3744</v>
      </c>
      <c r="J409" s="17" t="n">
        <f aca="false">ROUND(I409*Accounts!O156,2)</f>
        <v>0</v>
      </c>
      <c r="K409" s="17" t="n">
        <f aca="false">ROUND(I409*Accounts!N156,2)</f>
        <v>143.77</v>
      </c>
      <c r="L409" s="17" t="n">
        <f aca="false">ROUND(I409-J409-K409,2)</f>
        <v>3600.23</v>
      </c>
      <c r="M409" s="17" t="n">
        <f aca="false">ROUND(L409*AA409,2)</f>
        <v>0</v>
      </c>
      <c r="N409" s="17" t="n">
        <f aca="false">ROUND(L409*Accounts!R156,2)</f>
        <v>0</v>
      </c>
      <c r="O409" s="17" t="n">
        <f aca="false">ROUND(L409*Accounts!S156,2)</f>
        <v>0</v>
      </c>
      <c r="P409" s="17" t="n">
        <f aca="false">ROUND(L409*Accounts!T156,2)</f>
        <v>0</v>
      </c>
      <c r="Q409" s="17" t="n">
        <f aca="false">ROUND(L409*Accounts!U156,2)</f>
        <v>0</v>
      </c>
      <c r="R409" s="17" t="n">
        <f aca="false">ROUND(L409*Accounts!V156,2)</f>
        <v>36</v>
      </c>
      <c r="S409" s="17" t="n">
        <f aca="false">ROUND(L409*Accounts!W156,2)</f>
        <v>0</v>
      </c>
      <c r="T409" s="17" t="n">
        <f aca="false">ROUND(L409-SUM(M409:S409),2)</f>
        <v>3564.23</v>
      </c>
      <c r="U409" s="17" t="n">
        <f aca="false">ROUND(F409*H409,2)</f>
        <v>2262</v>
      </c>
      <c r="V409" s="17" t="n">
        <f aca="false">ROUND(L409*Assumptions!$C$25,2)</f>
        <v>72</v>
      </c>
      <c r="W409" s="17" t="n">
        <f aca="false">ROUND(T409-U409-V409,2)</f>
        <v>1230.23</v>
      </c>
      <c r="X409" s="28" t="n">
        <f aca="false">T409/I409</f>
        <v>0.951984508547009</v>
      </c>
      <c r="Y409" s="17" t="n">
        <f aca="false">T409/F409</f>
        <v>91.3905128205128</v>
      </c>
      <c r="Z409" s="26" t="n">
        <f aca="false">Accounts!H156</f>
        <v>208</v>
      </c>
      <c r="AA409" s="28" t="n">
        <f aca="false">IF(Z409&gt;=Assumptions!$B$44,Assumptions!$C$44,IF(Z409&gt;=Assumptions!$B$45,Assumptions!$C$45,IF(Z409&gt;=Assumptions!$B$46,Assumptions!$C$46,Assumptions!$C$47)))</f>
        <v>0</v>
      </c>
      <c r="AB409" s="26" t="n">
        <f aca="false">IF(Z409&gt;=Assumptions!$B$44,Assumptions!$B$44,IF(Z409&gt;=Assumptions!$B$45,Assumptions!$B$45,IF(Z409&gt;=Assumptions!$B$46,Assumptions!$B$46,0)))</f>
        <v>0</v>
      </c>
    </row>
    <row r="410" customFormat="false" ht="15" hidden="false" customHeight="false" outlineLevel="0" collapsed="false">
      <c r="B410" s="14" t="s">
        <v>278</v>
      </c>
      <c r="C410" s="14" t="s">
        <v>259</v>
      </c>
      <c r="D410" s="14" t="s">
        <v>227</v>
      </c>
      <c r="E410" s="14" t="s">
        <v>64</v>
      </c>
      <c r="F410" s="26" t="n">
        <f aca="false">Accounts!G125</f>
        <v>808</v>
      </c>
      <c r="G410" s="17" t="n">
        <f aca="false">Assumptions!$D$10</f>
        <v>96</v>
      </c>
      <c r="H410" s="17" t="n">
        <f aca="false">Assumptions!$E$10</f>
        <v>58</v>
      </c>
      <c r="I410" s="17" t="n">
        <f aca="false">ROUND(F410*G410,2)</f>
        <v>77568</v>
      </c>
      <c r="J410" s="17" t="n">
        <f aca="false">ROUND(I410*Accounts!O125,2)</f>
        <v>0</v>
      </c>
      <c r="K410" s="17" t="n">
        <f aca="false">ROUND(I410*Accounts!N125,2)</f>
        <v>4095.59</v>
      </c>
      <c r="L410" s="17" t="n">
        <f aca="false">ROUND(I410-J410-K410,2)</f>
        <v>73472.41</v>
      </c>
      <c r="M410" s="17" t="n">
        <f aca="false">ROUND(L410*AA410,2)</f>
        <v>1469.45</v>
      </c>
      <c r="N410" s="17" t="n">
        <f aca="false">ROUND(L410*Accounts!R125,2)</f>
        <v>0</v>
      </c>
      <c r="O410" s="17" t="n">
        <f aca="false">ROUND(L410*Accounts!S125,2)</f>
        <v>0</v>
      </c>
      <c r="P410" s="17" t="n">
        <f aca="false">ROUND(L410*Accounts!T125,2)</f>
        <v>0</v>
      </c>
      <c r="Q410" s="17" t="n">
        <f aca="false">ROUND(L410*Accounts!U125,2)</f>
        <v>0</v>
      </c>
      <c r="R410" s="17" t="n">
        <f aca="false">ROUND(L410*Accounts!V125,2)</f>
        <v>734.72</v>
      </c>
      <c r="S410" s="17" t="n">
        <f aca="false">ROUND(L410*Accounts!W125,2)</f>
        <v>0</v>
      </c>
      <c r="T410" s="17" t="n">
        <f aca="false">ROUND(L410-SUM(M410:S410),2)</f>
        <v>71268.24</v>
      </c>
      <c r="U410" s="17" t="n">
        <f aca="false">ROUND(F410*H410,2)</f>
        <v>46864</v>
      </c>
      <c r="V410" s="17" t="n">
        <f aca="false">ROUND(L410*Assumptions!$C$25,2)</f>
        <v>1469.45</v>
      </c>
      <c r="W410" s="17" t="n">
        <f aca="false">ROUND(T410-U410-V410,2)</f>
        <v>22934.79</v>
      </c>
      <c r="X410" s="28" t="n">
        <f aca="false">T410/I410</f>
        <v>0.918784034653465</v>
      </c>
      <c r="Y410" s="17" t="n">
        <f aca="false">T410/F410</f>
        <v>88.2032673267327</v>
      </c>
      <c r="Z410" s="26" t="n">
        <f aca="false">Accounts!H125</f>
        <v>3596</v>
      </c>
      <c r="AA410" s="28" t="n">
        <f aca="false">IF(Z410&gt;=Assumptions!$B$44,Assumptions!$C$44,IF(Z410&gt;=Assumptions!$B$45,Assumptions!$C$45,IF(Z410&gt;=Assumptions!$B$46,Assumptions!$C$46,Assumptions!$C$47)))</f>
        <v>0.02</v>
      </c>
      <c r="AB410" s="26" t="n">
        <f aca="false">IF(Z410&gt;=Assumptions!$B$44,Assumptions!$B$44,IF(Z410&gt;=Assumptions!$B$45,Assumptions!$B$45,IF(Z410&gt;=Assumptions!$B$46,Assumptions!$B$46,0)))</f>
        <v>3000</v>
      </c>
    </row>
    <row r="411" customFormat="false" ht="15" hidden="false" customHeight="false" outlineLevel="0" collapsed="false">
      <c r="B411" s="14" t="s">
        <v>326</v>
      </c>
      <c r="C411" s="14" t="s">
        <v>259</v>
      </c>
      <c r="D411" s="14" t="s">
        <v>251</v>
      </c>
      <c r="E411" s="14" t="s">
        <v>64</v>
      </c>
      <c r="F411" s="26" t="n">
        <f aca="false">Accounts!G173</f>
        <v>447</v>
      </c>
      <c r="G411" s="17" t="n">
        <f aca="false">Assumptions!$D$10</f>
        <v>96</v>
      </c>
      <c r="H411" s="17" t="n">
        <f aca="false">Assumptions!$E$10</f>
        <v>58</v>
      </c>
      <c r="I411" s="17" t="n">
        <f aca="false">ROUND(F411*G411,2)</f>
        <v>42912</v>
      </c>
      <c r="J411" s="17" t="n">
        <f aca="false">ROUND(I411*Accounts!O173,2)</f>
        <v>858.24</v>
      </c>
      <c r="K411" s="17" t="n">
        <f aca="false">ROUND(I411*Accounts!N173,2)</f>
        <v>2471.73</v>
      </c>
      <c r="L411" s="17" t="n">
        <f aca="false">ROUND(I411-J411-K411,2)</f>
        <v>39582.03</v>
      </c>
      <c r="M411" s="17" t="n">
        <f aca="false">ROUND(L411*AA411,2)</f>
        <v>0</v>
      </c>
      <c r="N411" s="17" t="n">
        <f aca="false">ROUND(L411*Accounts!R173,2)</f>
        <v>0</v>
      </c>
      <c r="O411" s="17" t="n">
        <f aca="false">ROUND(L411*Accounts!S173,2)</f>
        <v>0</v>
      </c>
      <c r="P411" s="17" t="n">
        <f aca="false">ROUND(L411*Accounts!T173,2)</f>
        <v>0</v>
      </c>
      <c r="Q411" s="17" t="n">
        <f aca="false">ROUND(L411*Accounts!U173,2)</f>
        <v>0</v>
      </c>
      <c r="R411" s="17" t="n">
        <f aca="false">ROUND(L411*Accounts!V173,2)</f>
        <v>395.82</v>
      </c>
      <c r="S411" s="17" t="n">
        <f aca="false">ROUND(L411*Accounts!W173,2)</f>
        <v>0</v>
      </c>
      <c r="T411" s="17" t="n">
        <f aca="false">ROUND(L411-SUM(M411:S411),2)</f>
        <v>39186.21</v>
      </c>
      <c r="U411" s="17" t="n">
        <f aca="false">ROUND(F411*H411,2)</f>
        <v>25926</v>
      </c>
      <c r="V411" s="17" t="n">
        <f aca="false">ROUND(L411*Assumptions!$C$25,2)</f>
        <v>791.64</v>
      </c>
      <c r="W411" s="17" t="n">
        <f aca="false">ROUND(T411-U411-V411,2)</f>
        <v>12468.57</v>
      </c>
      <c r="X411" s="28" t="n">
        <f aca="false">T411/I411</f>
        <v>0.913176034675615</v>
      </c>
      <c r="Y411" s="17" t="n">
        <f aca="false">T411/F411</f>
        <v>87.6648993288591</v>
      </c>
      <c r="Z411" s="26" t="n">
        <f aca="false">Accounts!H173</f>
        <v>1785</v>
      </c>
      <c r="AA411" s="28" t="n">
        <f aca="false">IF(Z411&gt;=Assumptions!$B$44,Assumptions!$C$44,IF(Z411&gt;=Assumptions!$B$45,Assumptions!$C$45,IF(Z411&gt;=Assumptions!$B$46,Assumptions!$C$46,Assumptions!$C$47)))</f>
        <v>0</v>
      </c>
      <c r="AB411" s="26" t="n">
        <f aca="false">IF(Z411&gt;=Assumptions!$B$44,Assumptions!$B$44,IF(Z411&gt;=Assumptions!$B$45,Assumptions!$B$45,IF(Z411&gt;=Assumptions!$B$46,Assumptions!$B$46,0)))</f>
        <v>0</v>
      </c>
    </row>
    <row r="412" customFormat="false" ht="15" hidden="false" customHeight="false" outlineLevel="0" collapsed="false">
      <c r="B412" s="14" t="s">
        <v>263</v>
      </c>
      <c r="C412" s="14" t="s">
        <v>259</v>
      </c>
      <c r="D412" s="14" t="s">
        <v>218</v>
      </c>
      <c r="E412" s="14" t="s">
        <v>64</v>
      </c>
      <c r="F412" s="26" t="n">
        <f aca="false">Accounts!G110</f>
        <v>243</v>
      </c>
      <c r="G412" s="17" t="n">
        <f aca="false">Assumptions!$D$10</f>
        <v>96</v>
      </c>
      <c r="H412" s="17" t="n">
        <f aca="false">Assumptions!$E$10</f>
        <v>58</v>
      </c>
      <c r="I412" s="17" t="n">
        <f aca="false">ROUND(F412*G412,2)</f>
        <v>23328</v>
      </c>
      <c r="J412" s="17" t="n">
        <f aca="false">ROUND(I412*Accounts!O110,2)</f>
        <v>466.56</v>
      </c>
      <c r="K412" s="17" t="n">
        <f aca="false">ROUND(I412*Accounts!N110,2)</f>
        <v>1455.67</v>
      </c>
      <c r="L412" s="17" t="n">
        <f aca="false">ROUND(I412-J412-K412,2)</f>
        <v>21405.77</v>
      </c>
      <c r="M412" s="17" t="n">
        <f aca="false">ROUND(L412*AA412,2)</f>
        <v>0</v>
      </c>
      <c r="N412" s="17" t="n">
        <f aca="false">ROUND(L412*Accounts!R110,2)</f>
        <v>0</v>
      </c>
      <c r="O412" s="17" t="n">
        <f aca="false">ROUND(L412*Accounts!S110,2)</f>
        <v>0</v>
      </c>
      <c r="P412" s="17" t="n">
        <f aca="false">ROUND(L412*Accounts!T110,2)</f>
        <v>0</v>
      </c>
      <c r="Q412" s="17" t="n">
        <f aca="false">ROUND(L412*Accounts!U110,2)</f>
        <v>0</v>
      </c>
      <c r="R412" s="17" t="n">
        <f aca="false">ROUND(L412*Accounts!V110,2)</f>
        <v>214.06</v>
      </c>
      <c r="S412" s="17" t="n">
        <f aca="false">ROUND(L412*Accounts!W110,2)</f>
        <v>0</v>
      </c>
      <c r="T412" s="17" t="n">
        <f aca="false">ROUND(L412-SUM(M412:S412),2)</f>
        <v>21191.71</v>
      </c>
      <c r="U412" s="17" t="n">
        <f aca="false">ROUND(F412*H412,2)</f>
        <v>14094</v>
      </c>
      <c r="V412" s="17" t="n">
        <f aca="false">ROUND(L412*Assumptions!$C$25,2)</f>
        <v>428.12</v>
      </c>
      <c r="W412" s="17" t="n">
        <f aca="false">ROUND(T412-U412-V412,2)</f>
        <v>6669.59</v>
      </c>
      <c r="X412" s="28" t="n">
        <f aca="false">T412/I412</f>
        <v>0.908423782578875</v>
      </c>
      <c r="Y412" s="17" t="n">
        <f aca="false">T412/F412</f>
        <v>87.208683127572</v>
      </c>
      <c r="Z412" s="26" t="n">
        <f aca="false">Accounts!H110</f>
        <v>386</v>
      </c>
      <c r="AA412" s="28" t="n">
        <f aca="false">IF(Z412&gt;=Assumptions!$B$44,Assumptions!$C$44,IF(Z412&gt;=Assumptions!$B$45,Assumptions!$C$45,IF(Z412&gt;=Assumptions!$B$46,Assumptions!$C$46,Assumptions!$C$47)))</f>
        <v>0</v>
      </c>
      <c r="AB412" s="26" t="n">
        <f aca="false">IF(Z412&gt;=Assumptions!$B$44,Assumptions!$B$44,IF(Z412&gt;=Assumptions!$B$45,Assumptions!$B$45,IF(Z412&gt;=Assumptions!$B$46,Assumptions!$B$46,0)))</f>
        <v>0</v>
      </c>
    </row>
    <row r="413" customFormat="false" ht="15" hidden="false" customHeight="false" outlineLevel="0" collapsed="false">
      <c r="B413" s="14" t="s">
        <v>295</v>
      </c>
      <c r="C413" s="14" t="s">
        <v>259</v>
      </c>
      <c r="D413" s="14" t="s">
        <v>235</v>
      </c>
      <c r="E413" s="14" t="s">
        <v>64</v>
      </c>
      <c r="F413" s="26" t="n">
        <f aca="false">Accounts!G142</f>
        <v>232</v>
      </c>
      <c r="G413" s="17" t="n">
        <f aca="false">Assumptions!$D$10</f>
        <v>96</v>
      </c>
      <c r="H413" s="17" t="n">
        <f aca="false">Assumptions!$E$10</f>
        <v>58</v>
      </c>
      <c r="I413" s="17" t="n">
        <f aca="false">ROUND(F413*G413,2)</f>
        <v>22272</v>
      </c>
      <c r="J413" s="17" t="n">
        <f aca="false">ROUND(I413*Accounts!O142,2)</f>
        <v>0</v>
      </c>
      <c r="K413" s="17" t="n">
        <f aca="false">ROUND(I413*Accounts!N142,2)</f>
        <v>0</v>
      </c>
      <c r="L413" s="17" t="n">
        <f aca="false">ROUND(I413-J413-K413,2)</f>
        <v>22272</v>
      </c>
      <c r="M413" s="17" t="n">
        <f aca="false">ROUND(L413*AA413,2)</f>
        <v>0</v>
      </c>
      <c r="N413" s="17" t="n">
        <f aca="false">ROUND(L413*Accounts!R142,2)</f>
        <v>0</v>
      </c>
      <c r="O413" s="17" t="n">
        <f aca="false">ROUND(L413*Accounts!S142,2)</f>
        <v>0</v>
      </c>
      <c r="P413" s="17" t="n">
        <f aca="false">ROUND(L413*Accounts!T142,2)</f>
        <v>0</v>
      </c>
      <c r="Q413" s="17" t="n">
        <f aca="false">ROUND(L413*Accounts!U142,2)</f>
        <v>0</v>
      </c>
      <c r="R413" s="17" t="n">
        <f aca="false">ROUND(L413*Accounts!V142,2)</f>
        <v>222.72</v>
      </c>
      <c r="S413" s="17" t="n">
        <f aca="false">ROUND(L413*Accounts!W142,2)</f>
        <v>0</v>
      </c>
      <c r="T413" s="17" t="n">
        <f aca="false">ROUND(L413-SUM(M413:S413),2)</f>
        <v>22049.28</v>
      </c>
      <c r="U413" s="17" t="n">
        <f aca="false">ROUND(F413*H413,2)</f>
        <v>13456</v>
      </c>
      <c r="V413" s="17" t="n">
        <f aca="false">ROUND(L413*Assumptions!$C$25,2)</f>
        <v>445.44</v>
      </c>
      <c r="W413" s="17" t="n">
        <f aca="false">ROUND(T413-U413-V413,2)</f>
        <v>8147.84</v>
      </c>
      <c r="X413" s="28" t="n">
        <f aca="false">T413/I413</f>
        <v>0.99</v>
      </c>
      <c r="Y413" s="17" t="n">
        <f aca="false">T413/F413</f>
        <v>95.04</v>
      </c>
      <c r="Z413" s="26" t="n">
        <f aca="false">Accounts!H142</f>
        <v>984</v>
      </c>
      <c r="AA413" s="28" t="n">
        <f aca="false">IF(Z413&gt;=Assumptions!$B$44,Assumptions!$C$44,IF(Z413&gt;=Assumptions!$B$45,Assumptions!$C$45,IF(Z413&gt;=Assumptions!$B$46,Assumptions!$C$46,Assumptions!$C$47)))</f>
        <v>0</v>
      </c>
      <c r="AB413" s="26" t="n">
        <f aca="false">IF(Z413&gt;=Assumptions!$B$44,Assumptions!$B$44,IF(Z413&gt;=Assumptions!$B$45,Assumptions!$B$45,IF(Z413&gt;=Assumptions!$B$46,Assumptions!$B$46,0)))</f>
        <v>0</v>
      </c>
    </row>
    <row r="414" customFormat="false" ht="15" hidden="false" customHeight="false" outlineLevel="0" collapsed="false">
      <c r="B414" s="14" t="s">
        <v>311</v>
      </c>
      <c r="C414" s="14" t="s">
        <v>259</v>
      </c>
      <c r="D414" s="14" t="s">
        <v>243</v>
      </c>
      <c r="E414" s="14" t="s">
        <v>64</v>
      </c>
      <c r="F414" s="26" t="n">
        <f aca="false">Accounts!G158</f>
        <v>118</v>
      </c>
      <c r="G414" s="17" t="n">
        <f aca="false">Assumptions!$D$10</f>
        <v>96</v>
      </c>
      <c r="H414" s="17" t="n">
        <f aca="false">Assumptions!$E$10</f>
        <v>58</v>
      </c>
      <c r="I414" s="17" t="n">
        <f aca="false">ROUND(F414*G414,2)</f>
        <v>11328</v>
      </c>
      <c r="J414" s="17" t="n">
        <f aca="false">ROUND(I414*Accounts!O158,2)</f>
        <v>0</v>
      </c>
      <c r="K414" s="17" t="n">
        <f aca="false">ROUND(I414*Accounts!N158,2)</f>
        <v>0</v>
      </c>
      <c r="L414" s="17" t="n">
        <f aca="false">ROUND(I414-J414-K414,2)</f>
        <v>11328</v>
      </c>
      <c r="M414" s="17" t="n">
        <f aca="false">ROUND(L414*AA414,2)</f>
        <v>0</v>
      </c>
      <c r="N414" s="17" t="n">
        <f aca="false">ROUND(L414*Accounts!R158,2)</f>
        <v>0</v>
      </c>
      <c r="O414" s="17" t="n">
        <f aca="false">ROUND(L414*Accounts!S158,2)</f>
        <v>0</v>
      </c>
      <c r="P414" s="17" t="n">
        <f aca="false">ROUND(L414*Accounts!T158,2)</f>
        <v>0</v>
      </c>
      <c r="Q414" s="17" t="n">
        <f aca="false">ROUND(L414*Accounts!U158,2)</f>
        <v>0</v>
      </c>
      <c r="R414" s="17" t="n">
        <f aca="false">ROUND(L414*Accounts!V158,2)</f>
        <v>113.28</v>
      </c>
      <c r="S414" s="17" t="n">
        <f aca="false">ROUND(L414*Accounts!W158,2)</f>
        <v>0</v>
      </c>
      <c r="T414" s="17" t="n">
        <f aca="false">ROUND(L414-SUM(M414:S414),2)</f>
        <v>11214.72</v>
      </c>
      <c r="U414" s="17" t="n">
        <f aca="false">ROUND(F414*H414,2)</f>
        <v>6844</v>
      </c>
      <c r="V414" s="17" t="n">
        <f aca="false">ROUND(L414*Assumptions!$C$25,2)</f>
        <v>226.56</v>
      </c>
      <c r="W414" s="17" t="n">
        <f aca="false">ROUND(T414-U414-V414,2)</f>
        <v>4144.16</v>
      </c>
      <c r="X414" s="28" t="n">
        <f aca="false">T414/I414</f>
        <v>0.99</v>
      </c>
      <c r="Y414" s="17" t="n">
        <f aca="false">T414/F414</f>
        <v>95.04</v>
      </c>
      <c r="Z414" s="26" t="n">
        <f aca="false">Accounts!H158</f>
        <v>513</v>
      </c>
      <c r="AA414" s="28" t="n">
        <f aca="false">IF(Z414&gt;=Assumptions!$B$44,Assumptions!$C$44,IF(Z414&gt;=Assumptions!$B$45,Assumptions!$C$45,IF(Z414&gt;=Assumptions!$B$46,Assumptions!$C$46,Assumptions!$C$47)))</f>
        <v>0</v>
      </c>
      <c r="AB414" s="26" t="n">
        <f aca="false">IF(Z414&gt;=Assumptions!$B$44,Assumptions!$B$44,IF(Z414&gt;=Assumptions!$B$45,Assumptions!$B$45,IF(Z414&gt;=Assumptions!$B$46,Assumptions!$B$46,0)))</f>
        <v>0</v>
      </c>
    </row>
    <row r="415" customFormat="false" ht="15" hidden="false" customHeight="false" outlineLevel="0" collapsed="false">
      <c r="B415" s="14" t="s">
        <v>327</v>
      </c>
      <c r="C415" s="14" t="s">
        <v>259</v>
      </c>
      <c r="D415" s="14" t="s">
        <v>251</v>
      </c>
      <c r="E415" s="14" t="s">
        <v>64</v>
      </c>
      <c r="F415" s="26" t="n">
        <f aca="false">Accounts!G174</f>
        <v>237</v>
      </c>
      <c r="G415" s="17" t="n">
        <f aca="false">Assumptions!$D$10</f>
        <v>96</v>
      </c>
      <c r="H415" s="17" t="n">
        <f aca="false">Assumptions!$E$10</f>
        <v>58</v>
      </c>
      <c r="I415" s="17" t="n">
        <f aca="false">ROUND(F415*G415,2)</f>
        <v>22752</v>
      </c>
      <c r="J415" s="17" t="n">
        <f aca="false">ROUND(I415*Accounts!O174,2)</f>
        <v>455.04</v>
      </c>
      <c r="K415" s="17" t="n">
        <f aca="false">ROUND(I415*Accounts!N174,2)</f>
        <v>1092.1</v>
      </c>
      <c r="L415" s="17" t="n">
        <f aca="false">ROUND(I415-J415-K415,2)</f>
        <v>21204.86</v>
      </c>
      <c r="M415" s="17" t="n">
        <f aca="false">ROUND(L415*AA415,2)</f>
        <v>0</v>
      </c>
      <c r="N415" s="17" t="n">
        <f aca="false">ROUND(L415*Accounts!R174,2)</f>
        <v>0</v>
      </c>
      <c r="O415" s="17" t="n">
        <f aca="false">ROUND(L415*Accounts!S174,2)</f>
        <v>0</v>
      </c>
      <c r="P415" s="17" t="n">
        <f aca="false">ROUND(L415*Accounts!T174,2)</f>
        <v>0</v>
      </c>
      <c r="Q415" s="17" t="n">
        <f aca="false">ROUND(L415*Accounts!U174,2)</f>
        <v>0</v>
      </c>
      <c r="R415" s="17" t="n">
        <f aca="false">ROUND(L415*Accounts!V174,2)</f>
        <v>212.05</v>
      </c>
      <c r="S415" s="17" t="n">
        <f aca="false">ROUND(L415*Accounts!W174,2)</f>
        <v>0</v>
      </c>
      <c r="T415" s="17" t="n">
        <f aca="false">ROUND(L415-SUM(M415:S415),2)</f>
        <v>20992.81</v>
      </c>
      <c r="U415" s="17" t="n">
        <f aca="false">ROUND(F415*H415,2)</f>
        <v>13746</v>
      </c>
      <c r="V415" s="17" t="n">
        <f aca="false">ROUND(L415*Assumptions!$C$25,2)</f>
        <v>424.1</v>
      </c>
      <c r="W415" s="17" t="n">
        <f aca="false">ROUND(T415-U415-V415,2)</f>
        <v>6822.71</v>
      </c>
      <c r="X415" s="28" t="n">
        <f aca="false">T415/I415</f>
        <v>0.922679764416315</v>
      </c>
      <c r="Y415" s="17" t="n">
        <f aca="false">T415/F415</f>
        <v>88.5772573839663</v>
      </c>
      <c r="Z415" s="26" t="n">
        <f aca="false">Accounts!H174</f>
        <v>792</v>
      </c>
      <c r="AA415" s="28" t="n">
        <f aca="false">IF(Z415&gt;=Assumptions!$B$44,Assumptions!$C$44,IF(Z415&gt;=Assumptions!$B$45,Assumptions!$C$45,IF(Z415&gt;=Assumptions!$B$46,Assumptions!$C$46,Assumptions!$C$47)))</f>
        <v>0</v>
      </c>
      <c r="AB415" s="26" t="n">
        <f aca="false">IF(Z415&gt;=Assumptions!$B$44,Assumptions!$B$44,IF(Z415&gt;=Assumptions!$B$45,Assumptions!$B$45,IF(Z415&gt;=Assumptions!$B$46,Assumptions!$B$46,0)))</f>
        <v>0</v>
      </c>
    </row>
    <row r="416" customFormat="false" ht="15" hidden="false" customHeight="false" outlineLevel="0" collapsed="false">
      <c r="B416" s="14" t="s">
        <v>264</v>
      </c>
      <c r="C416" s="14" t="s">
        <v>259</v>
      </c>
      <c r="D416" s="14" t="s">
        <v>218</v>
      </c>
      <c r="E416" s="14" t="s">
        <v>64</v>
      </c>
      <c r="F416" s="26" t="n">
        <f aca="false">Accounts!G111</f>
        <v>353</v>
      </c>
      <c r="G416" s="17" t="n">
        <f aca="false">Assumptions!$D$10</f>
        <v>96</v>
      </c>
      <c r="H416" s="17" t="n">
        <f aca="false">Assumptions!$E$10</f>
        <v>58</v>
      </c>
      <c r="I416" s="17" t="n">
        <f aca="false">ROUND(F416*G416,2)</f>
        <v>33888</v>
      </c>
      <c r="J416" s="17" t="n">
        <f aca="false">ROUND(I416*Accounts!O111,2)</f>
        <v>677.76</v>
      </c>
      <c r="K416" s="17" t="n">
        <f aca="false">ROUND(I416*Accounts!N111,2)</f>
        <v>2114.61</v>
      </c>
      <c r="L416" s="17" t="n">
        <f aca="false">ROUND(I416-J416-K416,2)</f>
        <v>31095.63</v>
      </c>
      <c r="M416" s="17" t="n">
        <f aca="false">ROUND(L416*AA416,2)</f>
        <v>0</v>
      </c>
      <c r="N416" s="17" t="n">
        <f aca="false">ROUND(L416*Accounts!R111,2)</f>
        <v>0</v>
      </c>
      <c r="O416" s="17" t="n">
        <f aca="false">ROUND(L416*Accounts!S111,2)</f>
        <v>0</v>
      </c>
      <c r="P416" s="17" t="n">
        <f aca="false">ROUND(L416*Accounts!T111,2)</f>
        <v>0</v>
      </c>
      <c r="Q416" s="17" t="n">
        <f aca="false">ROUND(L416*Accounts!U111,2)</f>
        <v>0</v>
      </c>
      <c r="R416" s="17" t="n">
        <f aca="false">ROUND(L416*Accounts!V111,2)</f>
        <v>310.96</v>
      </c>
      <c r="S416" s="17" t="n">
        <f aca="false">ROUND(L416*Accounts!W111,2)</f>
        <v>0</v>
      </c>
      <c r="T416" s="17" t="n">
        <f aca="false">ROUND(L416-SUM(M416:S416),2)</f>
        <v>30784.67</v>
      </c>
      <c r="U416" s="17" t="n">
        <f aca="false">ROUND(F416*H416,2)</f>
        <v>20474</v>
      </c>
      <c r="V416" s="17" t="n">
        <f aca="false">ROUND(L416*Assumptions!$C$25,2)</f>
        <v>621.91</v>
      </c>
      <c r="W416" s="17" t="n">
        <f aca="false">ROUND(T416-U416-V416,2)</f>
        <v>9688.76</v>
      </c>
      <c r="X416" s="28" t="n">
        <f aca="false">T416/I416</f>
        <v>0.908423925873465</v>
      </c>
      <c r="Y416" s="17" t="n">
        <f aca="false">T416/F416</f>
        <v>87.2086968838527</v>
      </c>
      <c r="Z416" s="26" t="n">
        <f aca="false">Accounts!H111</f>
        <v>504</v>
      </c>
      <c r="AA416" s="28" t="n">
        <f aca="false">IF(Z416&gt;=Assumptions!$B$44,Assumptions!$C$44,IF(Z416&gt;=Assumptions!$B$45,Assumptions!$C$45,IF(Z416&gt;=Assumptions!$B$46,Assumptions!$C$46,Assumptions!$C$47)))</f>
        <v>0</v>
      </c>
      <c r="AB416" s="26" t="n">
        <f aca="false">IF(Z416&gt;=Assumptions!$B$44,Assumptions!$B$44,IF(Z416&gt;=Assumptions!$B$45,Assumptions!$B$45,IF(Z416&gt;=Assumptions!$B$46,Assumptions!$B$46,0)))</f>
        <v>0</v>
      </c>
    </row>
    <row r="417" customFormat="false" ht="15" hidden="false" customHeight="false" outlineLevel="0" collapsed="false">
      <c r="B417" s="14" t="s">
        <v>280</v>
      </c>
      <c r="C417" s="14" t="s">
        <v>259</v>
      </c>
      <c r="D417" s="14" t="s">
        <v>227</v>
      </c>
      <c r="E417" s="14" t="s">
        <v>64</v>
      </c>
      <c r="F417" s="26" t="n">
        <f aca="false">Accounts!G127</f>
        <v>135</v>
      </c>
      <c r="G417" s="17" t="n">
        <f aca="false">Assumptions!$D$10</f>
        <v>96</v>
      </c>
      <c r="H417" s="17" t="n">
        <f aca="false">Assumptions!$E$10</f>
        <v>58</v>
      </c>
      <c r="I417" s="17" t="n">
        <f aca="false">ROUND(F417*G417,2)</f>
        <v>12960</v>
      </c>
      <c r="J417" s="17" t="n">
        <f aca="false">ROUND(I417*Accounts!O127,2)</f>
        <v>259.2</v>
      </c>
      <c r="K417" s="17" t="n">
        <f aca="false">ROUND(I417*Accounts!N127,2)</f>
        <v>311.04</v>
      </c>
      <c r="L417" s="17" t="n">
        <f aca="false">ROUND(I417-J417-K417,2)</f>
        <v>12389.76</v>
      </c>
      <c r="M417" s="17" t="n">
        <f aca="false">ROUND(L417*AA417,2)</f>
        <v>0</v>
      </c>
      <c r="N417" s="17" t="n">
        <f aca="false">ROUND(L417*Accounts!R127,2)</f>
        <v>0</v>
      </c>
      <c r="O417" s="17" t="n">
        <f aca="false">ROUND(L417*Accounts!S127,2)</f>
        <v>0</v>
      </c>
      <c r="P417" s="17" t="n">
        <f aca="false">ROUND(L417*Accounts!T127,2)</f>
        <v>0</v>
      </c>
      <c r="Q417" s="17" t="n">
        <f aca="false">ROUND(L417*Accounts!U127,2)</f>
        <v>0</v>
      </c>
      <c r="R417" s="17" t="n">
        <f aca="false">ROUND(L417*Accounts!V127,2)</f>
        <v>123.9</v>
      </c>
      <c r="S417" s="17" t="n">
        <f aca="false">ROUND(L417*Accounts!W127,2)</f>
        <v>0</v>
      </c>
      <c r="T417" s="17" t="n">
        <f aca="false">ROUND(L417-SUM(M417:S417),2)</f>
        <v>12265.86</v>
      </c>
      <c r="U417" s="17" t="n">
        <f aca="false">ROUND(F417*H417,2)</f>
        <v>7830</v>
      </c>
      <c r="V417" s="17" t="n">
        <f aca="false">ROUND(L417*Assumptions!$C$25,2)</f>
        <v>247.8</v>
      </c>
      <c r="W417" s="17" t="n">
        <f aca="false">ROUND(T417-U417-V417,2)</f>
        <v>4188.06</v>
      </c>
      <c r="X417" s="28" t="n">
        <f aca="false">T417/I417</f>
        <v>0.946439814814815</v>
      </c>
      <c r="Y417" s="17" t="n">
        <f aca="false">T417/F417</f>
        <v>90.8582222222222</v>
      </c>
      <c r="Z417" s="26" t="n">
        <f aca="false">Accounts!H127</f>
        <v>909</v>
      </c>
      <c r="AA417" s="28" t="n">
        <f aca="false">IF(Z417&gt;=Assumptions!$B$44,Assumptions!$C$44,IF(Z417&gt;=Assumptions!$B$45,Assumptions!$C$45,IF(Z417&gt;=Assumptions!$B$46,Assumptions!$C$46,Assumptions!$C$47)))</f>
        <v>0</v>
      </c>
      <c r="AB417" s="26" t="n">
        <f aca="false">IF(Z417&gt;=Assumptions!$B$44,Assumptions!$B$44,IF(Z417&gt;=Assumptions!$B$45,Assumptions!$B$45,IF(Z417&gt;=Assumptions!$B$46,Assumptions!$B$46,0)))</f>
        <v>0</v>
      </c>
    </row>
    <row r="418" customFormat="false" ht="15" hidden="false" customHeight="false" outlineLevel="0" collapsed="false">
      <c r="B418" s="14" t="s">
        <v>296</v>
      </c>
      <c r="C418" s="14" t="s">
        <v>259</v>
      </c>
      <c r="D418" s="14" t="s">
        <v>235</v>
      </c>
      <c r="E418" s="14" t="s">
        <v>64</v>
      </c>
      <c r="F418" s="26" t="n">
        <f aca="false">Accounts!G143</f>
        <v>45</v>
      </c>
      <c r="G418" s="17" t="n">
        <f aca="false">Assumptions!$D$10</f>
        <v>96</v>
      </c>
      <c r="H418" s="17" t="n">
        <f aca="false">Assumptions!$E$10</f>
        <v>58</v>
      </c>
      <c r="I418" s="17" t="n">
        <f aca="false">ROUND(F418*G418,2)</f>
        <v>4320</v>
      </c>
      <c r="J418" s="17" t="n">
        <f aca="false">ROUND(I418*Accounts!O143,2)</f>
        <v>0</v>
      </c>
      <c r="K418" s="17" t="n">
        <f aca="false">ROUND(I418*Accounts!N143,2)</f>
        <v>145.15</v>
      </c>
      <c r="L418" s="17" t="n">
        <f aca="false">ROUND(I418-J418-K418,2)</f>
        <v>4174.85</v>
      </c>
      <c r="M418" s="17" t="n">
        <f aca="false">ROUND(L418*AA418,2)</f>
        <v>0</v>
      </c>
      <c r="N418" s="17" t="n">
        <f aca="false">ROUND(L418*Accounts!R143,2)</f>
        <v>0</v>
      </c>
      <c r="O418" s="17" t="n">
        <f aca="false">ROUND(L418*Accounts!S143,2)</f>
        <v>0</v>
      </c>
      <c r="P418" s="17" t="n">
        <f aca="false">ROUND(L418*Accounts!T143,2)</f>
        <v>0</v>
      </c>
      <c r="Q418" s="17" t="n">
        <f aca="false">ROUND(L418*Accounts!U143,2)</f>
        <v>0</v>
      </c>
      <c r="R418" s="17" t="n">
        <f aca="false">ROUND(L418*Accounts!V143,2)</f>
        <v>41.75</v>
      </c>
      <c r="S418" s="17" t="n">
        <f aca="false">ROUND(L418*Accounts!W143,2)</f>
        <v>0</v>
      </c>
      <c r="T418" s="17" t="n">
        <f aca="false">ROUND(L418-SUM(M418:S418),2)</f>
        <v>4133.1</v>
      </c>
      <c r="U418" s="17" t="n">
        <f aca="false">ROUND(F418*H418,2)</f>
        <v>2610</v>
      </c>
      <c r="V418" s="17" t="n">
        <f aca="false">ROUND(L418*Assumptions!$C$25,2)</f>
        <v>83.5</v>
      </c>
      <c r="W418" s="17" t="n">
        <f aca="false">ROUND(T418-U418-V418,2)</f>
        <v>1439.6</v>
      </c>
      <c r="X418" s="28" t="n">
        <f aca="false">T418/I418</f>
        <v>0.956736111111111</v>
      </c>
      <c r="Y418" s="17" t="n">
        <f aca="false">T418/F418</f>
        <v>91.8466666666667</v>
      </c>
      <c r="Z418" s="26" t="n">
        <f aca="false">Accounts!H143</f>
        <v>149</v>
      </c>
      <c r="AA418" s="28" t="n">
        <f aca="false">IF(Z418&gt;=Assumptions!$B$44,Assumptions!$C$44,IF(Z418&gt;=Assumptions!$B$45,Assumptions!$C$45,IF(Z418&gt;=Assumptions!$B$46,Assumptions!$C$46,Assumptions!$C$47)))</f>
        <v>0</v>
      </c>
      <c r="AB418" s="26" t="n">
        <f aca="false">IF(Z418&gt;=Assumptions!$B$44,Assumptions!$B$44,IF(Z418&gt;=Assumptions!$B$45,Assumptions!$B$45,IF(Z418&gt;=Assumptions!$B$46,Assumptions!$B$46,0)))</f>
        <v>0</v>
      </c>
    </row>
    <row r="419" customFormat="false" ht="15" hidden="false" customHeight="false" outlineLevel="0" collapsed="false">
      <c r="B419" s="14" t="s">
        <v>328</v>
      </c>
      <c r="C419" s="14" t="s">
        <v>259</v>
      </c>
      <c r="D419" s="14" t="s">
        <v>251</v>
      </c>
      <c r="E419" s="14" t="s">
        <v>64</v>
      </c>
      <c r="F419" s="26" t="n">
        <f aca="false">Accounts!G175</f>
        <v>184</v>
      </c>
      <c r="G419" s="17" t="n">
        <f aca="false">Assumptions!$D$10</f>
        <v>96</v>
      </c>
      <c r="H419" s="17" t="n">
        <f aca="false">Assumptions!$E$10</f>
        <v>58</v>
      </c>
      <c r="I419" s="17" t="n">
        <f aca="false">ROUND(F419*G419,2)</f>
        <v>17664</v>
      </c>
      <c r="J419" s="17" t="n">
        <f aca="false">ROUND(I419*Accounts!O175,2)</f>
        <v>0</v>
      </c>
      <c r="K419" s="17" t="n">
        <f aca="false">ROUND(I419*Accounts!N175,2)</f>
        <v>0</v>
      </c>
      <c r="L419" s="17" t="n">
        <f aca="false">ROUND(I419-J419-K419,2)</f>
        <v>17664</v>
      </c>
      <c r="M419" s="17" t="n">
        <f aca="false">ROUND(L419*AA419,2)</f>
        <v>0</v>
      </c>
      <c r="N419" s="17" t="n">
        <f aca="false">ROUND(L419*Accounts!R175,2)</f>
        <v>0</v>
      </c>
      <c r="O419" s="17" t="n">
        <f aca="false">ROUND(L419*Accounts!S175,2)</f>
        <v>0</v>
      </c>
      <c r="P419" s="17" t="n">
        <f aca="false">ROUND(L419*Accounts!T175,2)</f>
        <v>0</v>
      </c>
      <c r="Q419" s="17" t="n">
        <f aca="false">ROUND(L419*Accounts!U175,2)</f>
        <v>0</v>
      </c>
      <c r="R419" s="17" t="n">
        <f aca="false">ROUND(L419*Accounts!V175,2)</f>
        <v>176.64</v>
      </c>
      <c r="S419" s="17" t="n">
        <f aca="false">ROUND(L419*Accounts!W175,2)</f>
        <v>0</v>
      </c>
      <c r="T419" s="17" t="n">
        <f aca="false">ROUND(L419-SUM(M419:S419),2)</f>
        <v>17487.36</v>
      </c>
      <c r="U419" s="17" t="n">
        <f aca="false">ROUND(F419*H419,2)</f>
        <v>10672</v>
      </c>
      <c r="V419" s="17" t="n">
        <f aca="false">ROUND(L419*Assumptions!$C$25,2)</f>
        <v>353.28</v>
      </c>
      <c r="W419" s="17" t="n">
        <f aca="false">ROUND(T419-U419-V419,2)</f>
        <v>6462.08</v>
      </c>
      <c r="X419" s="28" t="n">
        <f aca="false">T419/I419</f>
        <v>0.99</v>
      </c>
      <c r="Y419" s="17" t="n">
        <f aca="false">T419/F419</f>
        <v>95.04</v>
      </c>
      <c r="Z419" s="26" t="n">
        <f aca="false">Accounts!H175</f>
        <v>512</v>
      </c>
      <c r="AA419" s="28" t="n">
        <f aca="false">IF(Z419&gt;=Assumptions!$B$44,Assumptions!$C$44,IF(Z419&gt;=Assumptions!$B$45,Assumptions!$C$45,IF(Z419&gt;=Assumptions!$B$46,Assumptions!$C$46,Assumptions!$C$47)))</f>
        <v>0</v>
      </c>
      <c r="AB419" s="26" t="n">
        <f aca="false">IF(Z419&gt;=Assumptions!$B$44,Assumptions!$B$44,IF(Z419&gt;=Assumptions!$B$45,Assumptions!$B$45,IF(Z419&gt;=Assumptions!$B$46,Assumptions!$B$46,0)))</f>
        <v>0</v>
      </c>
    </row>
    <row r="420" customFormat="false" ht="15" hidden="false" customHeight="false" outlineLevel="0" collapsed="false">
      <c r="B420" s="14" t="s">
        <v>265</v>
      </c>
      <c r="C420" s="14" t="s">
        <v>259</v>
      </c>
      <c r="D420" s="14" t="s">
        <v>218</v>
      </c>
      <c r="E420" s="14" t="s">
        <v>64</v>
      </c>
      <c r="F420" s="26" t="n">
        <f aca="false">Accounts!G112</f>
        <v>77</v>
      </c>
      <c r="G420" s="17" t="n">
        <f aca="false">Assumptions!$D$10</f>
        <v>96</v>
      </c>
      <c r="H420" s="17" t="n">
        <f aca="false">Assumptions!$E$10</f>
        <v>58</v>
      </c>
      <c r="I420" s="17" t="n">
        <f aca="false">ROUND(F420*G420,2)</f>
        <v>7392</v>
      </c>
      <c r="J420" s="17" t="n">
        <f aca="false">ROUND(I420*Accounts!O112,2)</f>
        <v>0</v>
      </c>
      <c r="K420" s="17" t="n">
        <f aca="false">ROUND(I420*Accounts!N112,2)</f>
        <v>0</v>
      </c>
      <c r="L420" s="17" t="n">
        <f aca="false">ROUND(I420-J420-K420,2)</f>
        <v>7392</v>
      </c>
      <c r="M420" s="17" t="n">
        <f aca="false">ROUND(L420*AA420,2)</f>
        <v>0</v>
      </c>
      <c r="N420" s="17" t="n">
        <f aca="false">ROUND(L420*Accounts!R112,2)</f>
        <v>0</v>
      </c>
      <c r="O420" s="17" t="n">
        <f aca="false">ROUND(L420*Accounts!S112,2)</f>
        <v>0</v>
      </c>
      <c r="P420" s="17" t="n">
        <f aca="false">ROUND(L420*Accounts!T112,2)</f>
        <v>0</v>
      </c>
      <c r="Q420" s="17" t="n">
        <f aca="false">ROUND(L420*Accounts!U112,2)</f>
        <v>0</v>
      </c>
      <c r="R420" s="17" t="n">
        <f aca="false">ROUND(L420*Accounts!V112,2)</f>
        <v>73.92</v>
      </c>
      <c r="S420" s="17" t="n">
        <f aca="false">ROUND(L420*Accounts!W112,2)</f>
        <v>0</v>
      </c>
      <c r="T420" s="17" t="n">
        <f aca="false">ROUND(L420-SUM(M420:S420),2)</f>
        <v>7318.08</v>
      </c>
      <c r="U420" s="17" t="n">
        <f aca="false">ROUND(F420*H420,2)</f>
        <v>4466</v>
      </c>
      <c r="V420" s="17" t="n">
        <f aca="false">ROUND(L420*Assumptions!$C$25,2)</f>
        <v>147.84</v>
      </c>
      <c r="W420" s="17" t="n">
        <f aca="false">ROUND(T420-U420-V420,2)</f>
        <v>2704.24</v>
      </c>
      <c r="X420" s="28" t="n">
        <f aca="false">T420/I420</f>
        <v>0.99</v>
      </c>
      <c r="Y420" s="17" t="n">
        <f aca="false">T420/F420</f>
        <v>95.04</v>
      </c>
      <c r="Z420" s="26" t="n">
        <f aca="false">Accounts!H112</f>
        <v>390</v>
      </c>
      <c r="AA420" s="28" t="n">
        <f aca="false">IF(Z420&gt;=Assumptions!$B$44,Assumptions!$C$44,IF(Z420&gt;=Assumptions!$B$45,Assumptions!$C$45,IF(Z420&gt;=Assumptions!$B$46,Assumptions!$C$46,Assumptions!$C$47)))</f>
        <v>0</v>
      </c>
      <c r="AB420" s="26" t="n">
        <f aca="false">IF(Z420&gt;=Assumptions!$B$44,Assumptions!$B$44,IF(Z420&gt;=Assumptions!$B$45,Assumptions!$B$45,IF(Z420&gt;=Assumptions!$B$46,Assumptions!$B$46,0)))</f>
        <v>0</v>
      </c>
    </row>
    <row r="421" customFormat="false" ht="15" hidden="false" customHeight="false" outlineLevel="0" collapsed="false">
      <c r="B421" s="14" t="s">
        <v>281</v>
      </c>
      <c r="C421" s="14" t="s">
        <v>259</v>
      </c>
      <c r="D421" s="14" t="s">
        <v>227</v>
      </c>
      <c r="E421" s="14" t="s">
        <v>64</v>
      </c>
      <c r="F421" s="26" t="n">
        <f aca="false">Accounts!G128</f>
        <v>731</v>
      </c>
      <c r="G421" s="17" t="n">
        <f aca="false">Assumptions!$D$10</f>
        <v>96</v>
      </c>
      <c r="H421" s="17" t="n">
        <f aca="false">Assumptions!$E$10</f>
        <v>58</v>
      </c>
      <c r="I421" s="17" t="n">
        <f aca="false">ROUND(F421*G421,2)</f>
        <v>70176</v>
      </c>
      <c r="J421" s="17" t="n">
        <f aca="false">ROUND(I421*Accounts!O128,2)</f>
        <v>1403.52</v>
      </c>
      <c r="K421" s="17" t="n">
        <f aca="false">ROUND(I421*Accounts!N128,2)</f>
        <v>3031.6</v>
      </c>
      <c r="L421" s="17" t="n">
        <f aca="false">ROUND(I421-J421-K421,2)</f>
        <v>65740.88</v>
      </c>
      <c r="M421" s="17" t="n">
        <f aca="false">ROUND(L421*AA421,2)</f>
        <v>0</v>
      </c>
      <c r="N421" s="17" t="n">
        <f aca="false">ROUND(L421*Accounts!R128,2)</f>
        <v>0</v>
      </c>
      <c r="O421" s="17" t="n">
        <f aca="false">ROUND(L421*Accounts!S128,2)</f>
        <v>0</v>
      </c>
      <c r="P421" s="17" t="n">
        <f aca="false">ROUND(L421*Accounts!T128,2)</f>
        <v>0</v>
      </c>
      <c r="Q421" s="17" t="n">
        <f aca="false">ROUND(L421*Accounts!U128,2)</f>
        <v>0</v>
      </c>
      <c r="R421" s="17" t="n">
        <f aca="false">ROUND(L421*Accounts!V128,2)</f>
        <v>657.41</v>
      </c>
      <c r="S421" s="17" t="n">
        <f aca="false">ROUND(L421*Accounts!W128,2)</f>
        <v>0</v>
      </c>
      <c r="T421" s="17" t="n">
        <f aca="false">ROUND(L421-SUM(M421:S421),2)</f>
        <v>65083.47</v>
      </c>
      <c r="U421" s="17" t="n">
        <f aca="false">ROUND(F421*H421,2)</f>
        <v>42398</v>
      </c>
      <c r="V421" s="17" t="n">
        <f aca="false">ROUND(L421*Assumptions!$C$25,2)</f>
        <v>1314.82</v>
      </c>
      <c r="W421" s="17" t="n">
        <f aca="false">ROUND(T421-U421-V421,2)</f>
        <v>21370.65</v>
      </c>
      <c r="X421" s="28" t="n">
        <f aca="false">T421/I421</f>
        <v>0.927432028043776</v>
      </c>
      <c r="Y421" s="17" t="n">
        <f aca="false">T421/F421</f>
        <v>89.0334746922025</v>
      </c>
      <c r="Z421" s="26" t="n">
        <f aca="false">Accounts!H128</f>
        <v>2276</v>
      </c>
      <c r="AA421" s="28" t="n">
        <f aca="false">IF(Z421&gt;=Assumptions!$B$44,Assumptions!$C$44,IF(Z421&gt;=Assumptions!$B$45,Assumptions!$C$45,IF(Z421&gt;=Assumptions!$B$46,Assumptions!$C$46,Assumptions!$C$47)))</f>
        <v>0</v>
      </c>
      <c r="AB421" s="26" t="n">
        <f aca="false">IF(Z421&gt;=Assumptions!$B$44,Assumptions!$B$44,IF(Z421&gt;=Assumptions!$B$45,Assumptions!$B$45,IF(Z421&gt;=Assumptions!$B$46,Assumptions!$B$46,0)))</f>
        <v>0</v>
      </c>
    </row>
    <row r="422" customFormat="false" ht="15" hidden="false" customHeight="false" outlineLevel="0" collapsed="false">
      <c r="B422" s="14" t="s">
        <v>297</v>
      </c>
      <c r="C422" s="14" t="s">
        <v>259</v>
      </c>
      <c r="D422" s="14" t="s">
        <v>235</v>
      </c>
      <c r="E422" s="14" t="s">
        <v>64</v>
      </c>
      <c r="F422" s="26" t="n">
        <f aca="false">Accounts!G144</f>
        <v>59</v>
      </c>
      <c r="G422" s="17" t="n">
        <f aca="false">Assumptions!$D$10</f>
        <v>96</v>
      </c>
      <c r="H422" s="17" t="n">
        <f aca="false">Assumptions!$E$10</f>
        <v>58</v>
      </c>
      <c r="I422" s="17" t="n">
        <f aca="false">ROUND(F422*G422,2)</f>
        <v>5664</v>
      </c>
      <c r="J422" s="17" t="n">
        <f aca="false">ROUND(I422*Accounts!O144,2)</f>
        <v>0</v>
      </c>
      <c r="K422" s="17" t="n">
        <f aca="false">ROUND(I422*Accounts!N144,2)</f>
        <v>0</v>
      </c>
      <c r="L422" s="17" t="n">
        <f aca="false">ROUND(I422-J422-K422,2)</f>
        <v>5664</v>
      </c>
      <c r="M422" s="17" t="n">
        <f aca="false">ROUND(L422*AA422,2)</f>
        <v>0</v>
      </c>
      <c r="N422" s="17" t="n">
        <f aca="false">ROUND(L422*Accounts!R144,2)</f>
        <v>0</v>
      </c>
      <c r="O422" s="17" t="n">
        <f aca="false">ROUND(L422*Accounts!S144,2)</f>
        <v>0</v>
      </c>
      <c r="P422" s="17" t="n">
        <f aca="false">ROUND(L422*Accounts!T144,2)</f>
        <v>0</v>
      </c>
      <c r="Q422" s="17" t="n">
        <f aca="false">ROUND(L422*Accounts!U144,2)</f>
        <v>0</v>
      </c>
      <c r="R422" s="17" t="n">
        <f aca="false">ROUND(L422*Accounts!V144,2)</f>
        <v>56.64</v>
      </c>
      <c r="S422" s="17" t="n">
        <f aca="false">ROUND(L422*Accounts!W144,2)</f>
        <v>0</v>
      </c>
      <c r="T422" s="17" t="n">
        <f aca="false">ROUND(L422-SUM(M422:S422),2)</f>
        <v>5607.36</v>
      </c>
      <c r="U422" s="17" t="n">
        <f aca="false">ROUND(F422*H422,2)</f>
        <v>3422</v>
      </c>
      <c r="V422" s="17" t="n">
        <f aca="false">ROUND(L422*Assumptions!$C$25,2)</f>
        <v>113.28</v>
      </c>
      <c r="W422" s="17" t="n">
        <f aca="false">ROUND(T422-U422-V422,2)</f>
        <v>2072.08</v>
      </c>
      <c r="X422" s="28" t="n">
        <f aca="false">T422/I422</f>
        <v>0.99</v>
      </c>
      <c r="Y422" s="17" t="n">
        <f aca="false">T422/F422</f>
        <v>95.04</v>
      </c>
      <c r="Z422" s="26" t="n">
        <f aca="false">Accounts!H144</f>
        <v>59</v>
      </c>
      <c r="AA422" s="28" t="n">
        <f aca="false">IF(Z422&gt;=Assumptions!$B$44,Assumptions!$C$44,IF(Z422&gt;=Assumptions!$B$45,Assumptions!$C$45,IF(Z422&gt;=Assumptions!$B$46,Assumptions!$C$46,Assumptions!$C$47)))</f>
        <v>0</v>
      </c>
      <c r="AB422" s="26" t="n">
        <f aca="false">IF(Z422&gt;=Assumptions!$B$44,Assumptions!$B$44,IF(Z422&gt;=Assumptions!$B$45,Assumptions!$B$45,IF(Z422&gt;=Assumptions!$B$46,Assumptions!$B$46,0)))</f>
        <v>0</v>
      </c>
    </row>
    <row r="423" customFormat="false" ht="15" hidden="false" customHeight="false" outlineLevel="0" collapsed="false">
      <c r="B423" s="14" t="s">
        <v>313</v>
      </c>
      <c r="C423" s="14" t="s">
        <v>259</v>
      </c>
      <c r="D423" s="14" t="s">
        <v>243</v>
      </c>
      <c r="E423" s="14" t="s">
        <v>64</v>
      </c>
      <c r="F423" s="26" t="n">
        <f aca="false">Accounts!G160</f>
        <v>161</v>
      </c>
      <c r="G423" s="17" t="n">
        <f aca="false">Assumptions!$D$10</f>
        <v>96</v>
      </c>
      <c r="H423" s="17" t="n">
        <f aca="false">Assumptions!$E$10</f>
        <v>58</v>
      </c>
      <c r="I423" s="17" t="n">
        <f aca="false">ROUND(F423*G423,2)</f>
        <v>15456</v>
      </c>
      <c r="J423" s="17" t="n">
        <f aca="false">ROUND(I423*Accounts!O160,2)</f>
        <v>309.12</v>
      </c>
      <c r="K423" s="17" t="n">
        <f aca="false">ROUND(I423*Accounts!N160,2)</f>
        <v>0</v>
      </c>
      <c r="L423" s="17" t="n">
        <f aca="false">ROUND(I423-J423-K423,2)</f>
        <v>15146.88</v>
      </c>
      <c r="M423" s="17" t="n">
        <f aca="false">ROUND(L423*AA423,2)</f>
        <v>0</v>
      </c>
      <c r="N423" s="17" t="n">
        <f aca="false">ROUND(L423*Accounts!R160,2)</f>
        <v>0</v>
      </c>
      <c r="O423" s="17" t="n">
        <f aca="false">ROUND(L423*Accounts!S160,2)</f>
        <v>0</v>
      </c>
      <c r="P423" s="17" t="n">
        <f aca="false">ROUND(L423*Accounts!T160,2)</f>
        <v>0</v>
      </c>
      <c r="Q423" s="17" t="n">
        <f aca="false">ROUND(L423*Accounts!U160,2)</f>
        <v>0</v>
      </c>
      <c r="R423" s="17" t="n">
        <f aca="false">ROUND(L423*Accounts!V160,2)</f>
        <v>151.47</v>
      </c>
      <c r="S423" s="17" t="n">
        <f aca="false">ROUND(L423*Accounts!W160,2)</f>
        <v>0</v>
      </c>
      <c r="T423" s="17" t="n">
        <f aca="false">ROUND(L423-SUM(M423:S423),2)</f>
        <v>14995.41</v>
      </c>
      <c r="U423" s="17" t="n">
        <f aca="false">ROUND(F423*H423,2)</f>
        <v>9338</v>
      </c>
      <c r="V423" s="17" t="n">
        <f aca="false">ROUND(L423*Assumptions!$C$25,2)</f>
        <v>302.94</v>
      </c>
      <c r="W423" s="17" t="n">
        <f aca="false">ROUND(T423-U423-V423,2)</f>
        <v>5354.47</v>
      </c>
      <c r="X423" s="28" t="n">
        <f aca="false">T423/I423</f>
        <v>0.970199922360248</v>
      </c>
      <c r="Y423" s="17" t="n">
        <f aca="false">T423/F423</f>
        <v>93.1391925465839</v>
      </c>
      <c r="Z423" s="26" t="n">
        <f aca="false">Accounts!H160</f>
        <v>744</v>
      </c>
      <c r="AA423" s="28" t="n">
        <f aca="false">IF(Z423&gt;=Assumptions!$B$44,Assumptions!$C$44,IF(Z423&gt;=Assumptions!$B$45,Assumptions!$C$45,IF(Z423&gt;=Assumptions!$B$46,Assumptions!$C$46,Assumptions!$C$47)))</f>
        <v>0</v>
      </c>
      <c r="AB423" s="26" t="n">
        <f aca="false">IF(Z423&gt;=Assumptions!$B$44,Assumptions!$B$44,IF(Z423&gt;=Assumptions!$B$45,Assumptions!$B$45,IF(Z423&gt;=Assumptions!$B$46,Assumptions!$B$46,0)))</f>
        <v>0</v>
      </c>
    </row>
    <row r="424" customFormat="false" ht="15" hidden="false" customHeight="false" outlineLevel="0" collapsed="false">
      <c r="B424" s="14" t="s">
        <v>329</v>
      </c>
      <c r="C424" s="14" t="s">
        <v>259</v>
      </c>
      <c r="D424" s="14" t="s">
        <v>251</v>
      </c>
      <c r="E424" s="14" t="s">
        <v>64</v>
      </c>
      <c r="F424" s="26" t="n">
        <f aca="false">Accounts!G176</f>
        <v>444</v>
      </c>
      <c r="G424" s="17" t="n">
        <f aca="false">Assumptions!$D$10</f>
        <v>96</v>
      </c>
      <c r="H424" s="17" t="n">
        <f aca="false">Assumptions!$E$10</f>
        <v>58</v>
      </c>
      <c r="I424" s="17" t="n">
        <f aca="false">ROUND(F424*G424,2)</f>
        <v>42624</v>
      </c>
      <c r="J424" s="17" t="n">
        <f aca="false">ROUND(I424*Accounts!O176,2)</f>
        <v>852.48</v>
      </c>
      <c r="K424" s="17" t="n">
        <f aca="false">ROUND(I424*Accounts!N176,2)</f>
        <v>2250.55</v>
      </c>
      <c r="L424" s="17" t="n">
        <f aca="false">ROUND(I424-J424-K424,2)</f>
        <v>39520.97</v>
      </c>
      <c r="M424" s="17" t="n">
        <f aca="false">ROUND(L424*AA424,2)</f>
        <v>0</v>
      </c>
      <c r="N424" s="17" t="n">
        <f aca="false">ROUND(L424*Accounts!R176,2)</f>
        <v>0</v>
      </c>
      <c r="O424" s="17" t="n">
        <f aca="false">ROUND(L424*Accounts!S176,2)</f>
        <v>0</v>
      </c>
      <c r="P424" s="17" t="n">
        <f aca="false">ROUND(L424*Accounts!T176,2)</f>
        <v>0</v>
      </c>
      <c r="Q424" s="17" t="n">
        <f aca="false">ROUND(L424*Accounts!U176,2)</f>
        <v>0</v>
      </c>
      <c r="R424" s="17" t="n">
        <f aca="false">ROUND(L424*Accounts!V176,2)</f>
        <v>395.21</v>
      </c>
      <c r="S424" s="17" t="n">
        <f aca="false">ROUND(L424*Accounts!W176,2)</f>
        <v>0</v>
      </c>
      <c r="T424" s="17" t="n">
        <f aca="false">ROUND(L424-SUM(M424:S424),2)</f>
        <v>39125.76</v>
      </c>
      <c r="U424" s="17" t="n">
        <f aca="false">ROUND(F424*H424,2)</f>
        <v>25752</v>
      </c>
      <c r="V424" s="17" t="n">
        <f aca="false">ROUND(L424*Assumptions!$C$25,2)</f>
        <v>790.42</v>
      </c>
      <c r="W424" s="17" t="n">
        <f aca="false">ROUND(T424-U424-V424,2)</f>
        <v>12583.34</v>
      </c>
      <c r="X424" s="28" t="n">
        <f aca="false">T424/I424</f>
        <v>0.917927927927928</v>
      </c>
      <c r="Y424" s="17" t="n">
        <f aca="false">T424/F424</f>
        <v>88.1210810810811</v>
      </c>
      <c r="Z424" s="26" t="n">
        <f aca="false">Accounts!H176</f>
        <v>1800</v>
      </c>
      <c r="AA424" s="28" t="n">
        <f aca="false">IF(Z424&gt;=Assumptions!$B$44,Assumptions!$C$44,IF(Z424&gt;=Assumptions!$B$45,Assumptions!$C$45,IF(Z424&gt;=Assumptions!$B$46,Assumptions!$C$46,Assumptions!$C$47)))</f>
        <v>0</v>
      </c>
      <c r="AB424" s="26" t="n">
        <f aca="false">IF(Z424&gt;=Assumptions!$B$44,Assumptions!$B$44,IF(Z424&gt;=Assumptions!$B$45,Assumptions!$B$45,IF(Z424&gt;=Assumptions!$B$46,Assumptions!$B$46,0)))</f>
        <v>0</v>
      </c>
    </row>
    <row r="425" customFormat="false" ht="15" hidden="false" customHeight="false" outlineLevel="0" collapsed="false">
      <c r="B425" s="14" t="s">
        <v>266</v>
      </c>
      <c r="C425" s="14" t="s">
        <v>259</v>
      </c>
      <c r="D425" s="14" t="s">
        <v>218</v>
      </c>
      <c r="E425" s="14" t="s">
        <v>64</v>
      </c>
      <c r="F425" s="26" t="n">
        <f aca="false">Accounts!G113</f>
        <v>422</v>
      </c>
      <c r="G425" s="17" t="n">
        <f aca="false">Assumptions!$D$10</f>
        <v>96</v>
      </c>
      <c r="H425" s="17" t="n">
        <f aca="false">Assumptions!$E$10</f>
        <v>58</v>
      </c>
      <c r="I425" s="17" t="n">
        <f aca="false">ROUND(F425*G425,2)</f>
        <v>40512</v>
      </c>
      <c r="J425" s="17" t="n">
        <f aca="false">ROUND(I425*Accounts!O113,2)</f>
        <v>810.24</v>
      </c>
      <c r="K425" s="17" t="n">
        <f aca="false">ROUND(I425*Accounts!N113,2)</f>
        <v>1944.58</v>
      </c>
      <c r="L425" s="17" t="n">
        <f aca="false">ROUND(I425-J425-K425,2)</f>
        <v>37757.18</v>
      </c>
      <c r="M425" s="17" t="n">
        <f aca="false">ROUND(L425*AA425,2)</f>
        <v>0</v>
      </c>
      <c r="N425" s="17" t="n">
        <f aca="false">ROUND(L425*Accounts!R113,2)</f>
        <v>0</v>
      </c>
      <c r="O425" s="17" t="n">
        <f aca="false">ROUND(L425*Accounts!S113,2)</f>
        <v>0</v>
      </c>
      <c r="P425" s="17" t="n">
        <f aca="false">ROUND(L425*Accounts!T113,2)</f>
        <v>0</v>
      </c>
      <c r="Q425" s="17" t="n">
        <f aca="false">ROUND(L425*Accounts!U113,2)</f>
        <v>0</v>
      </c>
      <c r="R425" s="17" t="n">
        <f aca="false">ROUND(L425*Accounts!V113,2)</f>
        <v>377.57</v>
      </c>
      <c r="S425" s="17" t="n">
        <f aca="false">ROUND(L425*Accounts!W113,2)</f>
        <v>0</v>
      </c>
      <c r="T425" s="17" t="n">
        <f aca="false">ROUND(L425-SUM(M425:S425),2)</f>
        <v>37379.61</v>
      </c>
      <c r="U425" s="17" t="n">
        <f aca="false">ROUND(F425*H425,2)</f>
        <v>24476</v>
      </c>
      <c r="V425" s="17" t="n">
        <f aca="false">ROUND(L425*Assumptions!$C$25,2)</f>
        <v>755.14</v>
      </c>
      <c r="W425" s="17" t="n">
        <f aca="false">ROUND(T425-U425-V425,2)</f>
        <v>12148.47</v>
      </c>
      <c r="X425" s="28" t="n">
        <f aca="false">T425/I425</f>
        <v>0.922679946682464</v>
      </c>
      <c r="Y425" s="17" t="n">
        <f aca="false">T425/F425</f>
        <v>88.5772748815166</v>
      </c>
      <c r="Z425" s="26" t="n">
        <f aca="false">Accounts!H113</f>
        <v>619</v>
      </c>
      <c r="AA425" s="28" t="n">
        <f aca="false">IF(Z425&gt;=Assumptions!$B$44,Assumptions!$C$44,IF(Z425&gt;=Assumptions!$B$45,Assumptions!$C$45,IF(Z425&gt;=Assumptions!$B$46,Assumptions!$C$46,Assumptions!$C$47)))</f>
        <v>0</v>
      </c>
      <c r="AB425" s="26" t="n">
        <f aca="false">IF(Z425&gt;=Assumptions!$B$44,Assumptions!$B$44,IF(Z425&gt;=Assumptions!$B$45,Assumptions!$B$45,IF(Z425&gt;=Assumptions!$B$46,Assumptions!$B$46,0)))</f>
        <v>0</v>
      </c>
    </row>
    <row r="426" customFormat="false" ht="15" hidden="false" customHeight="false" outlineLevel="0" collapsed="false">
      <c r="B426" s="14" t="s">
        <v>282</v>
      </c>
      <c r="C426" s="14" t="s">
        <v>259</v>
      </c>
      <c r="D426" s="14" t="s">
        <v>227</v>
      </c>
      <c r="E426" s="14" t="s">
        <v>64</v>
      </c>
      <c r="F426" s="26" t="n">
        <f aca="false">Accounts!G129</f>
        <v>161</v>
      </c>
      <c r="G426" s="17" t="n">
        <f aca="false">Assumptions!$D$10</f>
        <v>96</v>
      </c>
      <c r="H426" s="17" t="n">
        <f aca="false">Assumptions!$E$10</f>
        <v>58</v>
      </c>
      <c r="I426" s="17" t="n">
        <f aca="false">ROUND(F426*G426,2)</f>
        <v>15456</v>
      </c>
      <c r="J426" s="17" t="n">
        <f aca="false">ROUND(I426*Accounts!O129,2)</f>
        <v>309.12</v>
      </c>
      <c r="K426" s="17" t="n">
        <f aca="false">ROUND(I426*Accounts!N129,2)</f>
        <v>445.13</v>
      </c>
      <c r="L426" s="17" t="n">
        <f aca="false">ROUND(I426-J426-K426,2)</f>
        <v>14701.75</v>
      </c>
      <c r="M426" s="17" t="n">
        <f aca="false">ROUND(L426*AA426,2)</f>
        <v>0</v>
      </c>
      <c r="N426" s="17" t="n">
        <f aca="false">ROUND(L426*Accounts!R129,2)</f>
        <v>0</v>
      </c>
      <c r="O426" s="17" t="n">
        <f aca="false">ROUND(L426*Accounts!S129,2)</f>
        <v>0</v>
      </c>
      <c r="P426" s="17" t="n">
        <f aca="false">ROUND(L426*Accounts!T129,2)</f>
        <v>0</v>
      </c>
      <c r="Q426" s="17" t="n">
        <f aca="false">ROUND(L426*Accounts!U129,2)</f>
        <v>0</v>
      </c>
      <c r="R426" s="17" t="n">
        <f aca="false">ROUND(L426*Accounts!V129,2)</f>
        <v>147.02</v>
      </c>
      <c r="S426" s="17" t="n">
        <f aca="false">ROUND(L426*Accounts!W129,2)</f>
        <v>0</v>
      </c>
      <c r="T426" s="17" t="n">
        <f aca="false">ROUND(L426-SUM(M426:S426),2)</f>
        <v>14554.73</v>
      </c>
      <c r="U426" s="17" t="n">
        <f aca="false">ROUND(F426*H426,2)</f>
        <v>9338</v>
      </c>
      <c r="V426" s="17" t="n">
        <f aca="false">ROUND(L426*Assumptions!$C$25,2)</f>
        <v>294.04</v>
      </c>
      <c r="W426" s="17" t="n">
        <f aca="false">ROUND(T426-U426-V426,2)</f>
        <v>4922.69</v>
      </c>
      <c r="X426" s="28" t="n">
        <f aca="false">T426/I426</f>
        <v>0.941688017598344</v>
      </c>
      <c r="Y426" s="17" t="n">
        <f aca="false">T426/F426</f>
        <v>90.402049689441</v>
      </c>
      <c r="Z426" s="26" t="n">
        <f aca="false">Accounts!H129</f>
        <v>174</v>
      </c>
      <c r="AA426" s="28" t="n">
        <f aca="false">IF(Z426&gt;=Assumptions!$B$44,Assumptions!$C$44,IF(Z426&gt;=Assumptions!$B$45,Assumptions!$C$45,IF(Z426&gt;=Assumptions!$B$46,Assumptions!$C$46,Assumptions!$C$47)))</f>
        <v>0</v>
      </c>
      <c r="AB426" s="26" t="n">
        <f aca="false">IF(Z426&gt;=Assumptions!$B$44,Assumptions!$B$44,IF(Z426&gt;=Assumptions!$B$45,Assumptions!$B$45,IF(Z426&gt;=Assumptions!$B$46,Assumptions!$B$46,0)))</f>
        <v>0</v>
      </c>
    </row>
    <row r="427" customFormat="false" ht="15" hidden="false" customHeight="false" outlineLevel="0" collapsed="false">
      <c r="B427" s="14" t="s">
        <v>298</v>
      </c>
      <c r="C427" s="14" t="s">
        <v>259</v>
      </c>
      <c r="D427" s="14" t="s">
        <v>235</v>
      </c>
      <c r="E427" s="14" t="s">
        <v>64</v>
      </c>
      <c r="F427" s="26" t="n">
        <f aca="false">Accounts!G145</f>
        <v>312</v>
      </c>
      <c r="G427" s="17" t="n">
        <f aca="false">Assumptions!$D$10</f>
        <v>96</v>
      </c>
      <c r="H427" s="17" t="n">
        <f aca="false">Assumptions!$E$10</f>
        <v>58</v>
      </c>
      <c r="I427" s="17" t="n">
        <f aca="false">ROUND(F427*G427,2)</f>
        <v>29952</v>
      </c>
      <c r="J427" s="17" t="n">
        <f aca="false">ROUND(I427*Accounts!O145,2)</f>
        <v>599.04</v>
      </c>
      <c r="K427" s="17" t="n">
        <f aca="false">ROUND(I427*Accounts!N145,2)</f>
        <v>1869</v>
      </c>
      <c r="L427" s="17" t="n">
        <f aca="false">ROUND(I427-J427-K427,2)</f>
        <v>27483.96</v>
      </c>
      <c r="M427" s="17" t="n">
        <f aca="false">ROUND(L427*AA427,2)</f>
        <v>0</v>
      </c>
      <c r="N427" s="17" t="n">
        <f aca="false">ROUND(L427*Accounts!R145,2)</f>
        <v>0</v>
      </c>
      <c r="O427" s="17" t="n">
        <f aca="false">ROUND(L427*Accounts!S145,2)</f>
        <v>0</v>
      </c>
      <c r="P427" s="17" t="n">
        <f aca="false">ROUND(L427*Accounts!T145,2)</f>
        <v>0</v>
      </c>
      <c r="Q427" s="17" t="n">
        <f aca="false">ROUND(L427*Accounts!U145,2)</f>
        <v>0</v>
      </c>
      <c r="R427" s="17" t="n">
        <f aca="false">ROUND(L427*Accounts!V145,2)</f>
        <v>274.84</v>
      </c>
      <c r="S427" s="17" t="n">
        <f aca="false">ROUND(L427*Accounts!W145,2)</f>
        <v>0</v>
      </c>
      <c r="T427" s="17" t="n">
        <f aca="false">ROUND(L427-SUM(M427:S427),2)</f>
        <v>27209.12</v>
      </c>
      <c r="U427" s="17" t="n">
        <f aca="false">ROUND(F427*H427,2)</f>
        <v>18096</v>
      </c>
      <c r="V427" s="17" t="n">
        <f aca="false">ROUND(L427*Assumptions!$C$25,2)</f>
        <v>549.68</v>
      </c>
      <c r="W427" s="17" t="n">
        <f aca="false">ROUND(T427-U427-V427,2)</f>
        <v>8563.44</v>
      </c>
      <c r="X427" s="28" t="n">
        <f aca="false">T427/I427</f>
        <v>0.908424145299145</v>
      </c>
      <c r="Y427" s="17" t="n">
        <f aca="false">T427/F427</f>
        <v>87.208717948718</v>
      </c>
      <c r="Z427" s="26" t="n">
        <f aca="false">Accounts!H145</f>
        <v>1438</v>
      </c>
      <c r="AA427" s="28" t="n">
        <f aca="false">IF(Z427&gt;=Assumptions!$B$44,Assumptions!$C$44,IF(Z427&gt;=Assumptions!$B$45,Assumptions!$C$45,IF(Z427&gt;=Assumptions!$B$46,Assumptions!$C$46,Assumptions!$C$47)))</f>
        <v>0</v>
      </c>
      <c r="AB427" s="26" t="n">
        <f aca="false">IF(Z427&gt;=Assumptions!$B$44,Assumptions!$B$44,IF(Z427&gt;=Assumptions!$B$45,Assumptions!$B$45,IF(Z427&gt;=Assumptions!$B$46,Assumptions!$B$46,0)))</f>
        <v>0</v>
      </c>
    </row>
    <row r="428" customFormat="false" ht="15" hidden="false" customHeight="false" outlineLevel="0" collapsed="false">
      <c r="B428" s="14" t="s">
        <v>314</v>
      </c>
      <c r="C428" s="14" t="s">
        <v>259</v>
      </c>
      <c r="D428" s="14" t="s">
        <v>243</v>
      </c>
      <c r="E428" s="14" t="s">
        <v>64</v>
      </c>
      <c r="F428" s="26" t="n">
        <f aca="false">Accounts!G161</f>
        <v>285</v>
      </c>
      <c r="G428" s="17" t="n">
        <f aca="false">Assumptions!$D$10</f>
        <v>96</v>
      </c>
      <c r="H428" s="17" t="n">
        <f aca="false">Assumptions!$E$10</f>
        <v>58</v>
      </c>
      <c r="I428" s="17" t="n">
        <f aca="false">ROUND(F428*G428,2)</f>
        <v>27360</v>
      </c>
      <c r="J428" s="17" t="n">
        <f aca="false">ROUND(I428*Accounts!O161,2)</f>
        <v>0</v>
      </c>
      <c r="K428" s="17" t="n">
        <f aca="false">ROUND(I428*Accounts!N161,2)</f>
        <v>656.64</v>
      </c>
      <c r="L428" s="17" t="n">
        <f aca="false">ROUND(I428-J428-K428,2)</f>
        <v>26703.36</v>
      </c>
      <c r="M428" s="17" t="n">
        <f aca="false">ROUND(L428*AA428,2)</f>
        <v>0</v>
      </c>
      <c r="N428" s="17" t="n">
        <f aca="false">ROUND(L428*Accounts!R161,2)</f>
        <v>0</v>
      </c>
      <c r="O428" s="17" t="n">
        <f aca="false">ROUND(L428*Accounts!S161,2)</f>
        <v>0</v>
      </c>
      <c r="P428" s="17" t="n">
        <f aca="false">ROUND(L428*Accounts!T161,2)</f>
        <v>0</v>
      </c>
      <c r="Q428" s="17" t="n">
        <f aca="false">ROUND(L428*Accounts!U161,2)</f>
        <v>0</v>
      </c>
      <c r="R428" s="17" t="n">
        <f aca="false">ROUND(L428*Accounts!V161,2)</f>
        <v>267.03</v>
      </c>
      <c r="S428" s="17" t="n">
        <f aca="false">ROUND(L428*Accounts!W161,2)</f>
        <v>0</v>
      </c>
      <c r="T428" s="17" t="n">
        <f aca="false">ROUND(L428-SUM(M428:S428),2)</f>
        <v>26436.33</v>
      </c>
      <c r="U428" s="17" t="n">
        <f aca="false">ROUND(F428*H428,2)</f>
        <v>16530</v>
      </c>
      <c r="V428" s="17" t="n">
        <f aca="false">ROUND(L428*Assumptions!$C$25,2)</f>
        <v>534.07</v>
      </c>
      <c r="W428" s="17" t="n">
        <f aca="false">ROUND(T428-U428-V428,2)</f>
        <v>9372.26</v>
      </c>
      <c r="X428" s="28" t="n">
        <f aca="false">T428/I428</f>
        <v>0.966240131578947</v>
      </c>
      <c r="Y428" s="17" t="n">
        <f aca="false">T428/F428</f>
        <v>92.759052631579</v>
      </c>
      <c r="Z428" s="26" t="n">
        <f aca="false">Accounts!H161</f>
        <v>462</v>
      </c>
      <c r="AA428" s="28" t="n">
        <f aca="false">IF(Z428&gt;=Assumptions!$B$44,Assumptions!$C$44,IF(Z428&gt;=Assumptions!$B$45,Assumptions!$C$45,IF(Z428&gt;=Assumptions!$B$46,Assumptions!$C$46,Assumptions!$C$47)))</f>
        <v>0</v>
      </c>
      <c r="AB428" s="26" t="n">
        <f aca="false">IF(Z428&gt;=Assumptions!$B$44,Assumptions!$B$44,IF(Z428&gt;=Assumptions!$B$45,Assumptions!$B$45,IF(Z428&gt;=Assumptions!$B$46,Assumptions!$B$46,0)))</f>
        <v>0</v>
      </c>
    </row>
    <row r="429" customFormat="false" ht="15" hidden="false" customHeight="false" outlineLevel="0" collapsed="false">
      <c r="B429" s="14" t="s">
        <v>330</v>
      </c>
      <c r="C429" s="14" t="s">
        <v>259</v>
      </c>
      <c r="D429" s="14" t="s">
        <v>251</v>
      </c>
      <c r="E429" s="14" t="s">
        <v>64</v>
      </c>
      <c r="F429" s="26" t="n">
        <f aca="false">Accounts!G177</f>
        <v>158</v>
      </c>
      <c r="G429" s="17" t="n">
        <f aca="false">Assumptions!$D$10</f>
        <v>96</v>
      </c>
      <c r="H429" s="17" t="n">
        <f aca="false">Assumptions!$E$10</f>
        <v>58</v>
      </c>
      <c r="I429" s="17" t="n">
        <f aca="false">ROUND(F429*G429,2)</f>
        <v>15168</v>
      </c>
      <c r="J429" s="17" t="n">
        <f aca="false">ROUND(I429*Accounts!O177,2)</f>
        <v>0</v>
      </c>
      <c r="K429" s="17" t="n">
        <f aca="false">ROUND(I429*Accounts!N177,2)</f>
        <v>800.87</v>
      </c>
      <c r="L429" s="17" t="n">
        <f aca="false">ROUND(I429-J429-K429,2)</f>
        <v>14367.13</v>
      </c>
      <c r="M429" s="17" t="n">
        <f aca="false">ROUND(L429*AA429,2)</f>
        <v>0</v>
      </c>
      <c r="N429" s="17" t="n">
        <f aca="false">ROUND(L429*Accounts!R177,2)</f>
        <v>0</v>
      </c>
      <c r="O429" s="17" t="n">
        <f aca="false">ROUND(L429*Accounts!S177,2)</f>
        <v>0</v>
      </c>
      <c r="P429" s="17" t="n">
        <f aca="false">ROUND(L429*Accounts!T177,2)</f>
        <v>0</v>
      </c>
      <c r="Q429" s="17" t="n">
        <f aca="false">ROUND(L429*Accounts!U177,2)</f>
        <v>0</v>
      </c>
      <c r="R429" s="17" t="n">
        <f aca="false">ROUND(L429*Accounts!V177,2)</f>
        <v>143.67</v>
      </c>
      <c r="S429" s="17" t="n">
        <f aca="false">ROUND(L429*Accounts!W177,2)</f>
        <v>0</v>
      </c>
      <c r="T429" s="17" t="n">
        <f aca="false">ROUND(L429-SUM(M429:S429),2)</f>
        <v>14223.46</v>
      </c>
      <c r="U429" s="17" t="n">
        <f aca="false">ROUND(F429*H429,2)</f>
        <v>9164</v>
      </c>
      <c r="V429" s="17" t="n">
        <f aca="false">ROUND(L429*Assumptions!$C$25,2)</f>
        <v>287.34</v>
      </c>
      <c r="W429" s="17" t="n">
        <f aca="false">ROUND(T429-U429-V429,2)</f>
        <v>4772.12</v>
      </c>
      <c r="X429" s="28" t="n">
        <f aca="false">T429/I429</f>
        <v>0.937728111814346</v>
      </c>
      <c r="Y429" s="17" t="n">
        <f aca="false">T429/F429</f>
        <v>90.0218987341772</v>
      </c>
      <c r="Z429" s="26" t="n">
        <f aca="false">Accounts!H177</f>
        <v>229</v>
      </c>
      <c r="AA429" s="28" t="n">
        <f aca="false">IF(Z429&gt;=Assumptions!$B$44,Assumptions!$C$44,IF(Z429&gt;=Assumptions!$B$45,Assumptions!$C$45,IF(Z429&gt;=Assumptions!$B$46,Assumptions!$C$46,Assumptions!$C$47)))</f>
        <v>0</v>
      </c>
      <c r="AB429" s="26" t="n">
        <f aca="false">IF(Z429&gt;=Assumptions!$B$44,Assumptions!$B$44,IF(Z429&gt;=Assumptions!$B$45,Assumptions!$B$45,IF(Z429&gt;=Assumptions!$B$46,Assumptions!$B$46,0)))</f>
        <v>0</v>
      </c>
    </row>
    <row r="430" customFormat="false" ht="15" hidden="false" customHeight="false" outlineLevel="0" collapsed="false">
      <c r="B430" s="14" t="s">
        <v>267</v>
      </c>
      <c r="C430" s="14" t="s">
        <v>259</v>
      </c>
      <c r="D430" s="14" t="s">
        <v>218</v>
      </c>
      <c r="E430" s="14" t="s">
        <v>64</v>
      </c>
      <c r="F430" s="26" t="n">
        <f aca="false">Accounts!G114</f>
        <v>251</v>
      </c>
      <c r="G430" s="17" t="n">
        <f aca="false">Assumptions!$D$10</f>
        <v>96</v>
      </c>
      <c r="H430" s="17" t="n">
        <f aca="false">Assumptions!$E$10</f>
        <v>58</v>
      </c>
      <c r="I430" s="17" t="n">
        <f aca="false">ROUND(F430*G430,2)</f>
        <v>24096</v>
      </c>
      <c r="J430" s="17" t="n">
        <f aca="false">ROUND(I430*Accounts!O114,2)</f>
        <v>481.92</v>
      </c>
      <c r="K430" s="17" t="n">
        <f aca="false">ROUND(I430*Accounts!N114,2)</f>
        <v>2081.89</v>
      </c>
      <c r="L430" s="17" t="n">
        <f aca="false">ROUND(I430-J430-K430,2)</f>
        <v>21532.19</v>
      </c>
      <c r="M430" s="17" t="n">
        <f aca="false">ROUND(L430*AA430,2)</f>
        <v>0</v>
      </c>
      <c r="N430" s="17" t="n">
        <f aca="false">ROUND(L430*Accounts!R114,2)</f>
        <v>0</v>
      </c>
      <c r="O430" s="17" t="n">
        <f aca="false">ROUND(L430*Accounts!S114,2)</f>
        <v>0</v>
      </c>
      <c r="P430" s="17" t="n">
        <f aca="false">ROUND(L430*Accounts!T114,2)</f>
        <v>0</v>
      </c>
      <c r="Q430" s="17" t="n">
        <f aca="false">ROUND(L430*Accounts!U114,2)</f>
        <v>0</v>
      </c>
      <c r="R430" s="17" t="n">
        <f aca="false">ROUND(L430*Accounts!V114,2)</f>
        <v>215.32</v>
      </c>
      <c r="S430" s="17" t="n">
        <f aca="false">ROUND(L430*Accounts!W114,2)</f>
        <v>0</v>
      </c>
      <c r="T430" s="17" t="n">
        <f aca="false">ROUND(L430-SUM(M430:S430),2)</f>
        <v>21316.87</v>
      </c>
      <c r="U430" s="17" t="n">
        <f aca="false">ROUND(F430*H430,2)</f>
        <v>14558</v>
      </c>
      <c r="V430" s="17" t="n">
        <f aca="false">ROUND(L430*Assumptions!$C$25,2)</f>
        <v>430.64</v>
      </c>
      <c r="W430" s="17" t="n">
        <f aca="false">ROUND(T430-U430-V430,2)</f>
        <v>6328.23</v>
      </c>
      <c r="X430" s="28" t="n">
        <f aca="false">T430/I430</f>
        <v>0.884664259628154</v>
      </c>
      <c r="Y430" s="17" t="n">
        <f aca="false">T430/F430</f>
        <v>84.9277689243028</v>
      </c>
      <c r="Z430" s="26" t="n">
        <f aca="false">Accounts!H114</f>
        <v>1155</v>
      </c>
      <c r="AA430" s="28" t="n">
        <f aca="false">IF(Z430&gt;=Assumptions!$B$44,Assumptions!$C$44,IF(Z430&gt;=Assumptions!$B$45,Assumptions!$C$45,IF(Z430&gt;=Assumptions!$B$46,Assumptions!$C$46,Assumptions!$C$47)))</f>
        <v>0</v>
      </c>
      <c r="AB430" s="26" t="n">
        <f aca="false">IF(Z430&gt;=Assumptions!$B$44,Assumptions!$B$44,IF(Z430&gt;=Assumptions!$B$45,Assumptions!$B$45,IF(Z430&gt;=Assumptions!$B$46,Assumptions!$B$46,0)))</f>
        <v>0</v>
      </c>
    </row>
    <row r="431" customFormat="false" ht="15" hidden="false" customHeight="false" outlineLevel="0" collapsed="false">
      <c r="B431" s="14" t="s">
        <v>283</v>
      </c>
      <c r="C431" s="14" t="s">
        <v>259</v>
      </c>
      <c r="D431" s="14" t="s">
        <v>227</v>
      </c>
      <c r="E431" s="14" t="s">
        <v>64</v>
      </c>
      <c r="F431" s="26" t="n">
        <f aca="false">Accounts!G130</f>
        <v>219</v>
      </c>
      <c r="G431" s="17" t="n">
        <f aca="false">Assumptions!$D$10</f>
        <v>96</v>
      </c>
      <c r="H431" s="17" t="n">
        <f aca="false">Assumptions!$E$10</f>
        <v>58</v>
      </c>
      <c r="I431" s="17" t="n">
        <f aca="false">ROUND(F431*G431,2)</f>
        <v>21024</v>
      </c>
      <c r="J431" s="17" t="n">
        <f aca="false">ROUND(I431*Accounts!O130,2)</f>
        <v>420.48</v>
      </c>
      <c r="K431" s="17" t="n">
        <f aca="false">ROUND(I431*Accounts!N130,2)</f>
        <v>605.49</v>
      </c>
      <c r="L431" s="17" t="n">
        <f aca="false">ROUND(I431-J431-K431,2)</f>
        <v>19998.03</v>
      </c>
      <c r="M431" s="17" t="n">
        <f aca="false">ROUND(L431*AA431,2)</f>
        <v>0</v>
      </c>
      <c r="N431" s="17" t="n">
        <f aca="false">ROUND(L431*Accounts!R130,2)</f>
        <v>0</v>
      </c>
      <c r="O431" s="17" t="n">
        <f aca="false">ROUND(L431*Accounts!S130,2)</f>
        <v>0</v>
      </c>
      <c r="P431" s="17" t="n">
        <f aca="false">ROUND(L431*Accounts!T130,2)</f>
        <v>0</v>
      </c>
      <c r="Q431" s="17" t="n">
        <f aca="false">ROUND(L431*Accounts!U130,2)</f>
        <v>0</v>
      </c>
      <c r="R431" s="17" t="n">
        <f aca="false">ROUND(L431*Accounts!V130,2)</f>
        <v>199.98</v>
      </c>
      <c r="S431" s="17" t="n">
        <f aca="false">ROUND(L431*Accounts!W130,2)</f>
        <v>0</v>
      </c>
      <c r="T431" s="17" t="n">
        <f aca="false">ROUND(L431-SUM(M431:S431),2)</f>
        <v>19798.05</v>
      </c>
      <c r="U431" s="17" t="n">
        <f aca="false">ROUND(F431*H431,2)</f>
        <v>12702</v>
      </c>
      <c r="V431" s="17" t="n">
        <f aca="false">ROUND(L431*Assumptions!$C$25,2)</f>
        <v>399.96</v>
      </c>
      <c r="W431" s="17" t="n">
        <f aca="false">ROUND(T431-U431-V431,2)</f>
        <v>6696.09</v>
      </c>
      <c r="X431" s="28" t="n">
        <f aca="false">T431/I431</f>
        <v>0.941688070776256</v>
      </c>
      <c r="Y431" s="17" t="n">
        <f aca="false">T431/F431</f>
        <v>90.4020547945205</v>
      </c>
      <c r="Z431" s="26" t="n">
        <f aca="false">Accounts!H130</f>
        <v>1343</v>
      </c>
      <c r="AA431" s="28" t="n">
        <f aca="false">IF(Z431&gt;=Assumptions!$B$44,Assumptions!$C$44,IF(Z431&gt;=Assumptions!$B$45,Assumptions!$C$45,IF(Z431&gt;=Assumptions!$B$46,Assumptions!$C$46,Assumptions!$C$47)))</f>
        <v>0</v>
      </c>
      <c r="AB431" s="26" t="n">
        <f aca="false">IF(Z431&gt;=Assumptions!$B$44,Assumptions!$B$44,IF(Z431&gt;=Assumptions!$B$45,Assumptions!$B$45,IF(Z431&gt;=Assumptions!$B$46,Assumptions!$B$46,0)))</f>
        <v>0</v>
      </c>
    </row>
    <row r="432" customFormat="false" ht="15" hidden="false" customHeight="false" outlineLevel="0" collapsed="false">
      <c r="B432" s="14" t="s">
        <v>268</v>
      </c>
      <c r="C432" s="14" t="s">
        <v>259</v>
      </c>
      <c r="D432" s="14" t="s">
        <v>218</v>
      </c>
      <c r="E432" s="14" t="s">
        <v>64</v>
      </c>
      <c r="F432" s="26" t="n">
        <f aca="false">Accounts!G115</f>
        <v>278</v>
      </c>
      <c r="G432" s="17" t="n">
        <f aca="false">Assumptions!$D$10</f>
        <v>96</v>
      </c>
      <c r="H432" s="17" t="n">
        <f aca="false">Assumptions!$E$10</f>
        <v>58</v>
      </c>
      <c r="I432" s="17" t="n">
        <f aca="false">ROUND(F432*G432,2)</f>
        <v>26688</v>
      </c>
      <c r="J432" s="17" t="n">
        <f aca="false">ROUND(I432*Accounts!O115,2)</f>
        <v>0</v>
      </c>
      <c r="K432" s="17" t="n">
        <f aca="false">ROUND(I432*Accounts!N115,2)</f>
        <v>640.51</v>
      </c>
      <c r="L432" s="17" t="n">
        <f aca="false">ROUND(I432-J432-K432,2)</f>
        <v>26047.49</v>
      </c>
      <c r="M432" s="17" t="n">
        <f aca="false">ROUND(L432*AA432,2)</f>
        <v>0</v>
      </c>
      <c r="N432" s="17" t="n">
        <f aca="false">ROUND(L432*Accounts!R115,2)</f>
        <v>0</v>
      </c>
      <c r="O432" s="17" t="n">
        <f aca="false">ROUND(L432*Accounts!S115,2)</f>
        <v>0</v>
      </c>
      <c r="P432" s="17" t="n">
        <f aca="false">ROUND(L432*Accounts!T115,2)</f>
        <v>0</v>
      </c>
      <c r="Q432" s="17" t="n">
        <f aca="false">ROUND(L432*Accounts!U115,2)</f>
        <v>0</v>
      </c>
      <c r="R432" s="17" t="n">
        <f aca="false">ROUND(L432*Accounts!V115,2)</f>
        <v>260.47</v>
      </c>
      <c r="S432" s="17" t="n">
        <f aca="false">ROUND(L432*Accounts!W115,2)</f>
        <v>0</v>
      </c>
      <c r="T432" s="17" t="n">
        <f aca="false">ROUND(L432-SUM(M432:S432),2)</f>
        <v>25787.02</v>
      </c>
      <c r="U432" s="17" t="n">
        <f aca="false">ROUND(F432*H432,2)</f>
        <v>16124</v>
      </c>
      <c r="V432" s="17" t="n">
        <f aca="false">ROUND(L432*Assumptions!$C$25,2)</f>
        <v>520.95</v>
      </c>
      <c r="W432" s="17" t="n">
        <f aca="false">ROUND(T432-U432-V432,2)</f>
        <v>9142.07</v>
      </c>
      <c r="X432" s="28" t="n">
        <f aca="false">T432/I432</f>
        <v>0.966240257793765</v>
      </c>
      <c r="Y432" s="17" t="n">
        <f aca="false">T432/F432</f>
        <v>92.7590647482014</v>
      </c>
      <c r="Z432" s="26" t="n">
        <f aca="false">Accounts!H115</f>
        <v>929</v>
      </c>
      <c r="AA432" s="28" t="n">
        <f aca="false">IF(Z432&gt;=Assumptions!$B$44,Assumptions!$C$44,IF(Z432&gt;=Assumptions!$B$45,Assumptions!$C$45,IF(Z432&gt;=Assumptions!$B$46,Assumptions!$C$46,Assumptions!$C$47)))</f>
        <v>0</v>
      </c>
      <c r="AB432" s="26" t="n">
        <f aca="false">IF(Z432&gt;=Assumptions!$B$44,Assumptions!$B$44,IF(Z432&gt;=Assumptions!$B$45,Assumptions!$B$45,IF(Z432&gt;=Assumptions!$B$46,Assumptions!$B$46,0)))</f>
        <v>0</v>
      </c>
    </row>
    <row r="433" customFormat="false" ht="15" hidden="false" customHeight="false" outlineLevel="0" collapsed="false">
      <c r="B433" s="14" t="s">
        <v>300</v>
      </c>
      <c r="C433" s="14" t="s">
        <v>259</v>
      </c>
      <c r="D433" s="14" t="s">
        <v>235</v>
      </c>
      <c r="E433" s="14" t="s">
        <v>64</v>
      </c>
      <c r="F433" s="26" t="n">
        <f aca="false">Accounts!G147</f>
        <v>1087</v>
      </c>
      <c r="G433" s="17" t="n">
        <f aca="false">Assumptions!$D$10</f>
        <v>96</v>
      </c>
      <c r="H433" s="17" t="n">
        <f aca="false">Assumptions!$E$10</f>
        <v>58</v>
      </c>
      <c r="I433" s="17" t="n">
        <f aca="false">ROUND(F433*G433,2)</f>
        <v>104352</v>
      </c>
      <c r="J433" s="17" t="n">
        <f aca="false">ROUND(I433*Accounts!O147,2)</f>
        <v>2087.04</v>
      </c>
      <c r="K433" s="17" t="n">
        <f aca="false">ROUND(I433*Accounts!N147,2)</f>
        <v>7513.34</v>
      </c>
      <c r="L433" s="17" t="n">
        <f aca="false">ROUND(I433-J433-K433,2)</f>
        <v>94751.62</v>
      </c>
      <c r="M433" s="17" t="n">
        <f aca="false">ROUND(L433*AA433,2)</f>
        <v>1895.03</v>
      </c>
      <c r="N433" s="17" t="n">
        <f aca="false">ROUND(L433*Accounts!R147,2)</f>
        <v>0</v>
      </c>
      <c r="O433" s="17" t="n">
        <f aca="false">ROUND(L433*Accounts!S147,2)</f>
        <v>0</v>
      </c>
      <c r="P433" s="17" t="n">
        <f aca="false">ROUND(L433*Accounts!T147,2)</f>
        <v>0</v>
      </c>
      <c r="Q433" s="17" t="n">
        <f aca="false">ROUND(L433*Accounts!U147,2)</f>
        <v>0</v>
      </c>
      <c r="R433" s="17" t="n">
        <f aca="false">ROUND(L433*Accounts!V147,2)</f>
        <v>947.52</v>
      </c>
      <c r="S433" s="17" t="n">
        <f aca="false">ROUND(L433*Accounts!W147,2)</f>
        <v>0</v>
      </c>
      <c r="T433" s="17" t="n">
        <f aca="false">ROUND(L433-SUM(M433:S433),2)</f>
        <v>91909.07</v>
      </c>
      <c r="U433" s="17" t="n">
        <f aca="false">ROUND(F433*H433,2)</f>
        <v>63046</v>
      </c>
      <c r="V433" s="17" t="n">
        <f aca="false">ROUND(L433*Assumptions!$C$25,2)</f>
        <v>1895.03</v>
      </c>
      <c r="W433" s="17" t="n">
        <f aca="false">ROUND(T433-U433-V433,2)</f>
        <v>26968.04</v>
      </c>
      <c r="X433" s="28" t="n">
        <f aca="false">T433/I433</f>
        <v>0.880760023765716</v>
      </c>
      <c r="Y433" s="17" t="n">
        <f aca="false">T433/F433</f>
        <v>84.5529622815087</v>
      </c>
      <c r="Z433" s="26" t="n">
        <f aca="false">Accounts!H147</f>
        <v>3127</v>
      </c>
      <c r="AA433" s="28" t="n">
        <f aca="false">IF(Z433&gt;=Assumptions!$B$44,Assumptions!$C$44,IF(Z433&gt;=Assumptions!$B$45,Assumptions!$C$45,IF(Z433&gt;=Assumptions!$B$46,Assumptions!$C$46,Assumptions!$C$47)))</f>
        <v>0.02</v>
      </c>
      <c r="AB433" s="26" t="n">
        <f aca="false">IF(Z433&gt;=Assumptions!$B$44,Assumptions!$B$44,IF(Z433&gt;=Assumptions!$B$45,Assumptions!$B$45,IF(Z433&gt;=Assumptions!$B$46,Assumptions!$B$46,0)))</f>
        <v>3000</v>
      </c>
    </row>
    <row r="434" customFormat="false" ht="15" hidden="false" customHeight="false" outlineLevel="0" collapsed="false">
      <c r="B434" s="14" t="s">
        <v>316</v>
      </c>
      <c r="C434" s="14" t="s">
        <v>259</v>
      </c>
      <c r="D434" s="14" t="s">
        <v>243</v>
      </c>
      <c r="E434" s="14" t="s">
        <v>64</v>
      </c>
      <c r="F434" s="26" t="n">
        <f aca="false">Accounts!G163</f>
        <v>134</v>
      </c>
      <c r="G434" s="17" t="n">
        <f aca="false">Assumptions!$D$10</f>
        <v>96</v>
      </c>
      <c r="H434" s="17" t="n">
        <f aca="false">Assumptions!$E$10</f>
        <v>58</v>
      </c>
      <c r="I434" s="17" t="n">
        <f aca="false">ROUND(F434*G434,2)</f>
        <v>12864</v>
      </c>
      <c r="J434" s="17" t="n">
        <f aca="false">ROUND(I434*Accounts!O163,2)</f>
        <v>0</v>
      </c>
      <c r="K434" s="17" t="n">
        <f aca="false">ROUND(I434*Accounts!N163,2)</f>
        <v>370.48</v>
      </c>
      <c r="L434" s="17" t="n">
        <f aca="false">ROUND(I434-J434-K434,2)</f>
        <v>12493.52</v>
      </c>
      <c r="M434" s="17" t="n">
        <f aca="false">ROUND(L434*AA434,2)</f>
        <v>0</v>
      </c>
      <c r="N434" s="17" t="n">
        <f aca="false">ROUND(L434*Accounts!R163,2)</f>
        <v>0</v>
      </c>
      <c r="O434" s="17" t="n">
        <f aca="false">ROUND(L434*Accounts!S163,2)</f>
        <v>0</v>
      </c>
      <c r="P434" s="17" t="n">
        <f aca="false">ROUND(L434*Accounts!T163,2)</f>
        <v>0</v>
      </c>
      <c r="Q434" s="17" t="n">
        <f aca="false">ROUND(L434*Accounts!U163,2)</f>
        <v>0</v>
      </c>
      <c r="R434" s="17" t="n">
        <f aca="false">ROUND(L434*Accounts!V163,2)</f>
        <v>124.94</v>
      </c>
      <c r="S434" s="17" t="n">
        <f aca="false">ROUND(L434*Accounts!W163,2)</f>
        <v>0</v>
      </c>
      <c r="T434" s="17" t="n">
        <f aca="false">ROUND(L434-SUM(M434:S434),2)</f>
        <v>12368.58</v>
      </c>
      <c r="U434" s="17" t="n">
        <f aca="false">ROUND(F434*H434,2)</f>
        <v>7772</v>
      </c>
      <c r="V434" s="17" t="n">
        <f aca="false">ROUND(L434*Assumptions!$C$25,2)</f>
        <v>249.87</v>
      </c>
      <c r="W434" s="17" t="n">
        <f aca="false">ROUND(T434-U434-V434,2)</f>
        <v>4346.71</v>
      </c>
      <c r="X434" s="28" t="n">
        <f aca="false">T434/I434</f>
        <v>0.961487873134328</v>
      </c>
      <c r="Y434" s="17" t="n">
        <f aca="false">T434/F434</f>
        <v>92.3028358208955</v>
      </c>
      <c r="Z434" s="26" t="n">
        <f aca="false">Accounts!H163</f>
        <v>866</v>
      </c>
      <c r="AA434" s="28" t="n">
        <f aca="false">IF(Z434&gt;=Assumptions!$B$44,Assumptions!$C$44,IF(Z434&gt;=Assumptions!$B$45,Assumptions!$C$45,IF(Z434&gt;=Assumptions!$B$46,Assumptions!$C$46,Assumptions!$C$47)))</f>
        <v>0</v>
      </c>
      <c r="AB434" s="26" t="n">
        <f aca="false">IF(Z434&gt;=Assumptions!$B$44,Assumptions!$B$44,IF(Z434&gt;=Assumptions!$B$45,Assumptions!$B$45,IF(Z434&gt;=Assumptions!$B$46,Assumptions!$B$46,0)))</f>
        <v>0</v>
      </c>
    </row>
    <row r="435" customFormat="false" ht="15" hidden="false" customHeight="false" outlineLevel="0" collapsed="false">
      <c r="B435" s="14" t="s">
        <v>332</v>
      </c>
      <c r="C435" s="14" t="s">
        <v>259</v>
      </c>
      <c r="D435" s="14" t="s">
        <v>251</v>
      </c>
      <c r="E435" s="14" t="s">
        <v>64</v>
      </c>
      <c r="F435" s="26" t="n">
        <f aca="false">Accounts!G179</f>
        <v>114</v>
      </c>
      <c r="G435" s="17" t="n">
        <f aca="false">Assumptions!$D$10</f>
        <v>96</v>
      </c>
      <c r="H435" s="17" t="n">
        <f aca="false">Assumptions!$E$10</f>
        <v>58</v>
      </c>
      <c r="I435" s="17" t="n">
        <f aca="false">ROUND(F435*G435,2)</f>
        <v>10944</v>
      </c>
      <c r="J435" s="17" t="n">
        <f aca="false">ROUND(I435*Accounts!O179,2)</f>
        <v>218.88</v>
      </c>
      <c r="K435" s="17" t="n">
        <f aca="false">ROUND(I435*Accounts!N179,2)</f>
        <v>525.31</v>
      </c>
      <c r="L435" s="17" t="n">
        <f aca="false">ROUND(I435-J435-K435,2)</f>
        <v>10199.81</v>
      </c>
      <c r="M435" s="17" t="n">
        <f aca="false">ROUND(L435*AA435,2)</f>
        <v>0</v>
      </c>
      <c r="N435" s="17" t="n">
        <f aca="false">ROUND(L435*Accounts!R179,2)</f>
        <v>0</v>
      </c>
      <c r="O435" s="17" t="n">
        <f aca="false">ROUND(L435*Accounts!S179,2)</f>
        <v>0</v>
      </c>
      <c r="P435" s="17" t="n">
        <f aca="false">ROUND(L435*Accounts!T179,2)</f>
        <v>0</v>
      </c>
      <c r="Q435" s="17" t="n">
        <f aca="false">ROUND(L435*Accounts!U179,2)</f>
        <v>0</v>
      </c>
      <c r="R435" s="17" t="n">
        <f aca="false">ROUND(L435*Accounts!V179,2)</f>
        <v>102</v>
      </c>
      <c r="S435" s="17" t="n">
        <f aca="false">ROUND(L435*Accounts!W179,2)</f>
        <v>0</v>
      </c>
      <c r="T435" s="17" t="n">
        <f aca="false">ROUND(L435-SUM(M435:S435),2)</f>
        <v>10097.81</v>
      </c>
      <c r="U435" s="17" t="n">
        <f aca="false">ROUND(F435*H435,2)</f>
        <v>6612</v>
      </c>
      <c r="V435" s="17" t="n">
        <f aca="false">ROUND(L435*Assumptions!$C$25,2)</f>
        <v>204</v>
      </c>
      <c r="W435" s="17" t="n">
        <f aca="false">ROUND(T435-U435-V435,2)</f>
        <v>3281.81</v>
      </c>
      <c r="X435" s="28" t="n">
        <f aca="false">T435/I435</f>
        <v>0.922680007309942</v>
      </c>
      <c r="Y435" s="17" t="n">
        <f aca="false">T435/F435</f>
        <v>88.5772807017544</v>
      </c>
      <c r="Z435" s="26" t="n">
        <f aca="false">Accounts!H179</f>
        <v>780</v>
      </c>
      <c r="AA435" s="28" t="n">
        <f aca="false">IF(Z435&gt;=Assumptions!$B$44,Assumptions!$C$44,IF(Z435&gt;=Assumptions!$B$45,Assumptions!$C$45,IF(Z435&gt;=Assumptions!$B$46,Assumptions!$C$46,Assumptions!$C$47)))</f>
        <v>0</v>
      </c>
      <c r="AB435" s="26" t="n">
        <f aca="false">IF(Z435&gt;=Assumptions!$B$44,Assumptions!$B$44,IF(Z435&gt;=Assumptions!$B$45,Assumptions!$B$45,IF(Z435&gt;=Assumptions!$B$46,Assumptions!$B$46,0)))</f>
        <v>0</v>
      </c>
    </row>
    <row r="436" customFormat="false" ht="15" hidden="false" customHeight="false" outlineLevel="0" collapsed="false">
      <c r="B436" s="14" t="s">
        <v>269</v>
      </c>
      <c r="C436" s="14" t="s">
        <v>259</v>
      </c>
      <c r="D436" s="14" t="s">
        <v>218</v>
      </c>
      <c r="E436" s="14" t="s">
        <v>64</v>
      </c>
      <c r="F436" s="26" t="n">
        <f aca="false">Accounts!G116</f>
        <v>164</v>
      </c>
      <c r="G436" s="17" t="n">
        <f aca="false">Assumptions!$D$10</f>
        <v>96</v>
      </c>
      <c r="H436" s="17" t="n">
        <f aca="false">Assumptions!$E$10</f>
        <v>58</v>
      </c>
      <c r="I436" s="17" t="n">
        <f aca="false">ROUND(F436*G436,2)</f>
        <v>15744</v>
      </c>
      <c r="J436" s="17" t="n">
        <f aca="false">ROUND(I436*Accounts!O116,2)</f>
        <v>314.88</v>
      </c>
      <c r="K436" s="17" t="n">
        <f aca="false">ROUND(I436*Accounts!N116,2)</f>
        <v>226.71</v>
      </c>
      <c r="L436" s="17" t="n">
        <f aca="false">ROUND(I436-J436-K436,2)</f>
        <v>15202.41</v>
      </c>
      <c r="M436" s="17" t="n">
        <f aca="false">ROUND(L436*AA436,2)</f>
        <v>0</v>
      </c>
      <c r="N436" s="17" t="n">
        <f aca="false">ROUND(L436*Accounts!R116,2)</f>
        <v>0</v>
      </c>
      <c r="O436" s="17" t="n">
        <f aca="false">ROUND(L436*Accounts!S116,2)</f>
        <v>0</v>
      </c>
      <c r="P436" s="17" t="n">
        <f aca="false">ROUND(L436*Accounts!T116,2)</f>
        <v>0</v>
      </c>
      <c r="Q436" s="17" t="n">
        <f aca="false">ROUND(L436*Accounts!U116,2)</f>
        <v>0</v>
      </c>
      <c r="R436" s="17" t="n">
        <f aca="false">ROUND(L436*Accounts!V116,2)</f>
        <v>152.02</v>
      </c>
      <c r="S436" s="17" t="n">
        <f aca="false">ROUND(L436*Accounts!W116,2)</f>
        <v>0</v>
      </c>
      <c r="T436" s="17" t="n">
        <f aca="false">ROUND(L436-SUM(M436:S436),2)</f>
        <v>15050.39</v>
      </c>
      <c r="U436" s="17" t="n">
        <f aca="false">ROUND(F436*H436,2)</f>
        <v>9512</v>
      </c>
      <c r="V436" s="17" t="n">
        <f aca="false">ROUND(L436*Assumptions!$C$25,2)</f>
        <v>304.05</v>
      </c>
      <c r="W436" s="17" t="n">
        <f aca="false">ROUND(T436-U436-V436,2)</f>
        <v>5234.34</v>
      </c>
      <c r="X436" s="28" t="n">
        <f aca="false">T436/I436</f>
        <v>0.955944486788618</v>
      </c>
      <c r="Y436" s="17" t="n">
        <f aca="false">T436/F436</f>
        <v>91.7706707317073</v>
      </c>
      <c r="Z436" s="26" t="n">
        <f aca="false">Accounts!H116</f>
        <v>745</v>
      </c>
      <c r="AA436" s="28" t="n">
        <f aca="false">IF(Z436&gt;=Assumptions!$B$44,Assumptions!$C$44,IF(Z436&gt;=Assumptions!$B$45,Assumptions!$C$45,IF(Z436&gt;=Assumptions!$B$46,Assumptions!$C$46,Assumptions!$C$47)))</f>
        <v>0</v>
      </c>
      <c r="AB436" s="26" t="n">
        <f aca="false">IF(Z436&gt;=Assumptions!$B$44,Assumptions!$B$44,IF(Z436&gt;=Assumptions!$B$45,Assumptions!$B$45,IF(Z436&gt;=Assumptions!$B$46,Assumptions!$B$46,0)))</f>
        <v>0</v>
      </c>
    </row>
    <row r="437" customFormat="false" ht="15" hidden="false" customHeight="false" outlineLevel="0" collapsed="false">
      <c r="B437" s="14" t="s">
        <v>285</v>
      </c>
      <c r="C437" s="14" t="s">
        <v>259</v>
      </c>
      <c r="D437" s="14" t="s">
        <v>227</v>
      </c>
      <c r="E437" s="14" t="s">
        <v>64</v>
      </c>
      <c r="F437" s="26" t="n">
        <f aca="false">Accounts!G132</f>
        <v>302</v>
      </c>
      <c r="G437" s="17" t="n">
        <f aca="false">Assumptions!$D$10</f>
        <v>96</v>
      </c>
      <c r="H437" s="17" t="n">
        <f aca="false">Assumptions!$E$10</f>
        <v>58</v>
      </c>
      <c r="I437" s="17" t="n">
        <f aca="false">ROUND(F437*G437,2)</f>
        <v>28992</v>
      </c>
      <c r="J437" s="17" t="n">
        <f aca="false">ROUND(I437*Accounts!O132,2)</f>
        <v>579.84</v>
      </c>
      <c r="K437" s="17" t="n">
        <f aca="false">ROUND(I437*Accounts!N132,2)</f>
        <v>0</v>
      </c>
      <c r="L437" s="17" t="n">
        <f aca="false">ROUND(I437-J437-K437,2)</f>
        <v>28412.16</v>
      </c>
      <c r="M437" s="17" t="n">
        <f aca="false">ROUND(L437*AA437,2)</f>
        <v>0</v>
      </c>
      <c r="N437" s="17" t="n">
        <f aca="false">ROUND(L437*Accounts!R132,2)</f>
        <v>0</v>
      </c>
      <c r="O437" s="17" t="n">
        <f aca="false">ROUND(L437*Accounts!S132,2)</f>
        <v>0</v>
      </c>
      <c r="P437" s="17" t="n">
        <f aca="false">ROUND(L437*Accounts!T132,2)</f>
        <v>0</v>
      </c>
      <c r="Q437" s="17" t="n">
        <f aca="false">ROUND(L437*Accounts!U132,2)</f>
        <v>0</v>
      </c>
      <c r="R437" s="17" t="n">
        <f aca="false">ROUND(L437*Accounts!V132,2)</f>
        <v>284.12</v>
      </c>
      <c r="S437" s="17" t="n">
        <f aca="false">ROUND(L437*Accounts!W132,2)</f>
        <v>0</v>
      </c>
      <c r="T437" s="17" t="n">
        <f aca="false">ROUND(L437-SUM(M437:S437),2)</f>
        <v>28128.04</v>
      </c>
      <c r="U437" s="17" t="n">
        <f aca="false">ROUND(F437*H437,2)</f>
        <v>17516</v>
      </c>
      <c r="V437" s="17" t="n">
        <f aca="false">ROUND(L437*Assumptions!$C$25,2)</f>
        <v>568.24</v>
      </c>
      <c r="W437" s="17" t="n">
        <f aca="false">ROUND(T437-U437-V437,2)</f>
        <v>10043.8</v>
      </c>
      <c r="X437" s="28" t="n">
        <f aca="false">T437/I437</f>
        <v>0.970200055187638</v>
      </c>
      <c r="Y437" s="17" t="n">
        <f aca="false">T437/F437</f>
        <v>93.1392052980133</v>
      </c>
      <c r="Z437" s="26" t="n">
        <f aca="false">Accounts!H132</f>
        <v>441</v>
      </c>
      <c r="AA437" s="28" t="n">
        <f aca="false">IF(Z437&gt;=Assumptions!$B$44,Assumptions!$C$44,IF(Z437&gt;=Assumptions!$B$45,Assumptions!$C$45,IF(Z437&gt;=Assumptions!$B$46,Assumptions!$C$46,Assumptions!$C$47)))</f>
        <v>0</v>
      </c>
      <c r="AB437" s="26" t="n">
        <f aca="false">IF(Z437&gt;=Assumptions!$B$44,Assumptions!$B$44,IF(Z437&gt;=Assumptions!$B$45,Assumptions!$B$45,IF(Z437&gt;=Assumptions!$B$46,Assumptions!$B$46,0)))</f>
        <v>0</v>
      </c>
    </row>
    <row r="438" customFormat="false" ht="15" hidden="false" customHeight="false" outlineLevel="0" collapsed="false">
      <c r="B438" s="14" t="s">
        <v>301</v>
      </c>
      <c r="C438" s="14" t="s">
        <v>259</v>
      </c>
      <c r="D438" s="14" t="s">
        <v>235</v>
      </c>
      <c r="E438" s="14" t="s">
        <v>64</v>
      </c>
      <c r="F438" s="26" t="n">
        <f aca="false">Accounts!G148</f>
        <v>152</v>
      </c>
      <c r="G438" s="17" t="n">
        <f aca="false">Assumptions!$D$10</f>
        <v>96</v>
      </c>
      <c r="H438" s="17" t="n">
        <f aca="false">Assumptions!$E$10</f>
        <v>58</v>
      </c>
      <c r="I438" s="17" t="n">
        <f aca="false">ROUND(F438*G438,2)</f>
        <v>14592</v>
      </c>
      <c r="J438" s="17" t="n">
        <f aca="false">ROUND(I438*Accounts!O148,2)</f>
        <v>0</v>
      </c>
      <c r="K438" s="17" t="n">
        <f aca="false">ROUND(I438*Accounts!N148,2)</f>
        <v>840.5</v>
      </c>
      <c r="L438" s="17" t="n">
        <f aca="false">ROUND(I438-J438-K438,2)</f>
        <v>13751.5</v>
      </c>
      <c r="M438" s="17" t="n">
        <f aca="false">ROUND(L438*AA438,2)</f>
        <v>0</v>
      </c>
      <c r="N438" s="17" t="n">
        <f aca="false">ROUND(L438*Accounts!R148,2)</f>
        <v>0</v>
      </c>
      <c r="O438" s="17" t="n">
        <f aca="false">ROUND(L438*Accounts!S148,2)</f>
        <v>0</v>
      </c>
      <c r="P438" s="17" t="n">
        <f aca="false">ROUND(L438*Accounts!T148,2)</f>
        <v>0</v>
      </c>
      <c r="Q438" s="17" t="n">
        <f aca="false">ROUND(L438*Accounts!U148,2)</f>
        <v>0</v>
      </c>
      <c r="R438" s="17" t="n">
        <f aca="false">ROUND(L438*Accounts!V148,2)</f>
        <v>137.52</v>
      </c>
      <c r="S438" s="17" t="n">
        <f aca="false">ROUND(L438*Accounts!W148,2)</f>
        <v>0</v>
      </c>
      <c r="T438" s="17" t="n">
        <f aca="false">ROUND(L438-SUM(M438:S438),2)</f>
        <v>13613.98</v>
      </c>
      <c r="U438" s="17" t="n">
        <f aca="false">ROUND(F438*H438,2)</f>
        <v>8816</v>
      </c>
      <c r="V438" s="17" t="n">
        <f aca="false">ROUND(L438*Assumptions!$C$25,2)</f>
        <v>275.03</v>
      </c>
      <c r="W438" s="17" t="n">
        <f aca="false">ROUND(T438-U438-V438,2)</f>
        <v>4522.95</v>
      </c>
      <c r="X438" s="28" t="n">
        <f aca="false">T438/I438</f>
        <v>0.932975603070176</v>
      </c>
      <c r="Y438" s="17" t="n">
        <f aca="false">T438/F438</f>
        <v>89.5656578947368</v>
      </c>
      <c r="Z438" s="26" t="n">
        <f aca="false">Accounts!H148</f>
        <v>864</v>
      </c>
      <c r="AA438" s="28" t="n">
        <f aca="false">IF(Z438&gt;=Assumptions!$B$44,Assumptions!$C$44,IF(Z438&gt;=Assumptions!$B$45,Assumptions!$C$45,IF(Z438&gt;=Assumptions!$B$46,Assumptions!$C$46,Assumptions!$C$47)))</f>
        <v>0</v>
      </c>
      <c r="AB438" s="26" t="n">
        <f aca="false">IF(Z438&gt;=Assumptions!$B$44,Assumptions!$B$44,IF(Z438&gt;=Assumptions!$B$45,Assumptions!$B$45,IF(Z438&gt;=Assumptions!$B$46,Assumptions!$B$46,0)))</f>
        <v>0</v>
      </c>
    </row>
    <row r="439" customFormat="false" ht="15" hidden="false" customHeight="false" outlineLevel="0" collapsed="false">
      <c r="B439" s="14" t="s">
        <v>317</v>
      </c>
      <c r="C439" s="14" t="s">
        <v>259</v>
      </c>
      <c r="D439" s="14" t="s">
        <v>243</v>
      </c>
      <c r="E439" s="14" t="s">
        <v>64</v>
      </c>
      <c r="F439" s="26" t="n">
        <f aca="false">Accounts!G164</f>
        <v>192</v>
      </c>
      <c r="G439" s="17" t="n">
        <f aca="false">Assumptions!$D$10</f>
        <v>96</v>
      </c>
      <c r="H439" s="17" t="n">
        <f aca="false">Assumptions!$E$10</f>
        <v>58</v>
      </c>
      <c r="I439" s="17" t="n">
        <f aca="false">ROUND(F439*G439,2)</f>
        <v>18432</v>
      </c>
      <c r="J439" s="17" t="n">
        <f aca="false">ROUND(I439*Accounts!O164,2)</f>
        <v>0</v>
      </c>
      <c r="K439" s="17" t="n">
        <f aca="false">ROUND(I439*Accounts!N164,2)</f>
        <v>1592.52</v>
      </c>
      <c r="L439" s="17" t="n">
        <f aca="false">ROUND(I439-J439-K439,2)</f>
        <v>16839.48</v>
      </c>
      <c r="M439" s="17" t="n">
        <f aca="false">ROUND(L439*AA439,2)</f>
        <v>0</v>
      </c>
      <c r="N439" s="17" t="n">
        <f aca="false">ROUND(L439*Accounts!R164,2)</f>
        <v>0</v>
      </c>
      <c r="O439" s="17" t="n">
        <f aca="false">ROUND(L439*Accounts!S164,2)</f>
        <v>0</v>
      </c>
      <c r="P439" s="17" t="n">
        <f aca="false">ROUND(L439*Accounts!T164,2)</f>
        <v>0</v>
      </c>
      <c r="Q439" s="17" t="n">
        <f aca="false">ROUND(L439*Accounts!U164,2)</f>
        <v>0</v>
      </c>
      <c r="R439" s="17" t="n">
        <f aca="false">ROUND(L439*Accounts!V164,2)</f>
        <v>168.39</v>
      </c>
      <c r="S439" s="17" t="n">
        <f aca="false">ROUND(L439*Accounts!W164,2)</f>
        <v>0</v>
      </c>
      <c r="T439" s="17" t="n">
        <f aca="false">ROUND(L439-SUM(M439:S439),2)</f>
        <v>16671.09</v>
      </c>
      <c r="U439" s="17" t="n">
        <f aca="false">ROUND(F439*H439,2)</f>
        <v>11136</v>
      </c>
      <c r="V439" s="17" t="n">
        <f aca="false">ROUND(L439*Assumptions!$C$25,2)</f>
        <v>336.79</v>
      </c>
      <c r="W439" s="17" t="n">
        <f aca="false">ROUND(T439-U439-V439,2)</f>
        <v>5198.3</v>
      </c>
      <c r="X439" s="28" t="n">
        <f aca="false">T439/I439</f>
        <v>0.904464518229167</v>
      </c>
      <c r="Y439" s="17" t="n">
        <f aca="false">T439/F439</f>
        <v>86.82859375</v>
      </c>
      <c r="Z439" s="26" t="n">
        <f aca="false">Accounts!H164</f>
        <v>699</v>
      </c>
      <c r="AA439" s="28" t="n">
        <f aca="false">IF(Z439&gt;=Assumptions!$B$44,Assumptions!$C$44,IF(Z439&gt;=Assumptions!$B$45,Assumptions!$C$45,IF(Z439&gt;=Assumptions!$B$46,Assumptions!$C$46,Assumptions!$C$47)))</f>
        <v>0</v>
      </c>
      <c r="AB439" s="26" t="n">
        <f aca="false">IF(Z439&gt;=Assumptions!$B$44,Assumptions!$B$44,IF(Z439&gt;=Assumptions!$B$45,Assumptions!$B$45,IF(Z439&gt;=Assumptions!$B$46,Assumptions!$B$46,0)))</f>
        <v>0</v>
      </c>
    </row>
    <row r="440" customFormat="false" ht="15" hidden="false" customHeight="false" outlineLevel="0" collapsed="false">
      <c r="B440" s="14" t="s">
        <v>333</v>
      </c>
      <c r="C440" s="14" t="s">
        <v>259</v>
      </c>
      <c r="D440" s="14" t="s">
        <v>251</v>
      </c>
      <c r="E440" s="14" t="s">
        <v>64</v>
      </c>
      <c r="F440" s="26" t="n">
        <f aca="false">Accounts!G180</f>
        <v>111</v>
      </c>
      <c r="G440" s="17" t="n">
        <f aca="false">Assumptions!$D$10</f>
        <v>96</v>
      </c>
      <c r="H440" s="17" t="n">
        <f aca="false">Assumptions!$E$10</f>
        <v>58</v>
      </c>
      <c r="I440" s="17" t="n">
        <f aca="false">ROUND(F440*G440,2)</f>
        <v>10656</v>
      </c>
      <c r="J440" s="17" t="n">
        <f aca="false">ROUND(I440*Accounts!O180,2)</f>
        <v>0</v>
      </c>
      <c r="K440" s="17" t="n">
        <f aca="false">ROUND(I440*Accounts!N180,2)</f>
        <v>664.93</v>
      </c>
      <c r="L440" s="17" t="n">
        <f aca="false">ROUND(I440-J440-K440,2)</f>
        <v>9991.07</v>
      </c>
      <c r="M440" s="17" t="n">
        <f aca="false">ROUND(L440*AA440,2)</f>
        <v>0</v>
      </c>
      <c r="N440" s="17" t="n">
        <f aca="false">ROUND(L440*Accounts!R180,2)</f>
        <v>0</v>
      </c>
      <c r="O440" s="17" t="n">
        <f aca="false">ROUND(L440*Accounts!S180,2)</f>
        <v>0</v>
      </c>
      <c r="P440" s="17" t="n">
        <f aca="false">ROUND(L440*Accounts!T180,2)</f>
        <v>0</v>
      </c>
      <c r="Q440" s="17" t="n">
        <f aca="false">ROUND(L440*Accounts!U180,2)</f>
        <v>0</v>
      </c>
      <c r="R440" s="17" t="n">
        <f aca="false">ROUND(L440*Accounts!V180,2)</f>
        <v>99.91</v>
      </c>
      <c r="S440" s="17" t="n">
        <f aca="false">ROUND(L440*Accounts!W180,2)</f>
        <v>0</v>
      </c>
      <c r="T440" s="17" t="n">
        <f aca="false">ROUND(L440-SUM(M440:S440),2)</f>
        <v>9891.16</v>
      </c>
      <c r="U440" s="17" t="n">
        <f aca="false">ROUND(F440*H440,2)</f>
        <v>6438</v>
      </c>
      <c r="V440" s="17" t="n">
        <f aca="false">ROUND(L440*Assumptions!$C$25,2)</f>
        <v>199.82</v>
      </c>
      <c r="W440" s="17" t="n">
        <f aca="false">ROUND(T440-U440-V440,2)</f>
        <v>3253.34</v>
      </c>
      <c r="X440" s="28" t="n">
        <f aca="false">T440/I440</f>
        <v>0.928224474474474</v>
      </c>
      <c r="Y440" s="17" t="n">
        <f aca="false">T440/F440</f>
        <v>89.1095495495495</v>
      </c>
      <c r="Z440" s="26" t="n">
        <f aca="false">Accounts!H180</f>
        <v>436</v>
      </c>
      <c r="AA440" s="28" t="n">
        <f aca="false">IF(Z440&gt;=Assumptions!$B$44,Assumptions!$C$44,IF(Z440&gt;=Assumptions!$B$45,Assumptions!$C$45,IF(Z440&gt;=Assumptions!$B$46,Assumptions!$C$46,Assumptions!$C$47)))</f>
        <v>0</v>
      </c>
      <c r="AB440" s="26" t="n">
        <f aca="false">IF(Z440&gt;=Assumptions!$B$44,Assumptions!$B$44,IF(Z440&gt;=Assumptions!$B$45,Assumptions!$B$45,IF(Z440&gt;=Assumptions!$B$46,Assumptions!$B$46,0)))</f>
        <v>0</v>
      </c>
    </row>
    <row r="441" customFormat="false" ht="15" hidden="false" customHeight="false" outlineLevel="0" collapsed="false">
      <c r="B441" s="14" t="s">
        <v>270</v>
      </c>
      <c r="C441" s="14" t="s">
        <v>259</v>
      </c>
      <c r="D441" s="14" t="s">
        <v>218</v>
      </c>
      <c r="E441" s="14" t="s">
        <v>64</v>
      </c>
      <c r="F441" s="26" t="n">
        <f aca="false">Accounts!G117</f>
        <v>215</v>
      </c>
      <c r="G441" s="17" t="n">
        <f aca="false">Assumptions!$D$10</f>
        <v>96</v>
      </c>
      <c r="H441" s="17" t="n">
        <f aca="false">Assumptions!$E$10</f>
        <v>58</v>
      </c>
      <c r="I441" s="17" t="n">
        <f aca="false">ROUND(F441*G441,2)</f>
        <v>20640</v>
      </c>
      <c r="J441" s="17" t="n">
        <f aca="false">ROUND(I441*Accounts!O117,2)</f>
        <v>0</v>
      </c>
      <c r="K441" s="17" t="n">
        <f aca="false">ROUND(I441*Accounts!N117,2)</f>
        <v>0</v>
      </c>
      <c r="L441" s="17" t="n">
        <f aca="false">ROUND(I441-J441-K441,2)</f>
        <v>20640</v>
      </c>
      <c r="M441" s="17" t="n">
        <f aca="false">ROUND(L441*AA441,2)</f>
        <v>0</v>
      </c>
      <c r="N441" s="17" t="n">
        <f aca="false">ROUND(L441*Accounts!R117,2)</f>
        <v>0</v>
      </c>
      <c r="O441" s="17" t="n">
        <f aca="false">ROUND(L441*Accounts!S117,2)</f>
        <v>0</v>
      </c>
      <c r="P441" s="17" t="n">
        <f aca="false">ROUND(L441*Accounts!T117,2)</f>
        <v>0</v>
      </c>
      <c r="Q441" s="17" t="n">
        <f aca="false">ROUND(L441*Accounts!U117,2)</f>
        <v>0</v>
      </c>
      <c r="R441" s="17" t="n">
        <f aca="false">ROUND(L441*Accounts!V117,2)</f>
        <v>206.4</v>
      </c>
      <c r="S441" s="17" t="n">
        <f aca="false">ROUND(L441*Accounts!W117,2)</f>
        <v>0</v>
      </c>
      <c r="T441" s="17" t="n">
        <f aca="false">ROUND(L441-SUM(M441:S441),2)</f>
        <v>20433.6</v>
      </c>
      <c r="U441" s="17" t="n">
        <f aca="false">ROUND(F441*H441,2)</f>
        <v>12470</v>
      </c>
      <c r="V441" s="17" t="n">
        <f aca="false">ROUND(L441*Assumptions!$C$25,2)</f>
        <v>412.8</v>
      </c>
      <c r="W441" s="17" t="n">
        <f aca="false">ROUND(T441-U441-V441,2)</f>
        <v>7550.8</v>
      </c>
      <c r="X441" s="28" t="n">
        <f aca="false">T441/I441</f>
        <v>0.99</v>
      </c>
      <c r="Y441" s="17" t="n">
        <f aca="false">T441/F441</f>
        <v>95.04</v>
      </c>
      <c r="Z441" s="26" t="n">
        <f aca="false">Accounts!H117</f>
        <v>616</v>
      </c>
      <c r="AA441" s="28" t="n">
        <f aca="false">IF(Z441&gt;=Assumptions!$B$44,Assumptions!$C$44,IF(Z441&gt;=Assumptions!$B$45,Assumptions!$C$45,IF(Z441&gt;=Assumptions!$B$46,Assumptions!$C$46,Assumptions!$C$47)))</f>
        <v>0</v>
      </c>
      <c r="AB441" s="26" t="n">
        <f aca="false">IF(Z441&gt;=Assumptions!$B$44,Assumptions!$B$44,IF(Z441&gt;=Assumptions!$B$45,Assumptions!$B$45,IF(Z441&gt;=Assumptions!$B$46,Assumptions!$B$46,0)))</f>
        <v>0</v>
      </c>
    </row>
    <row r="442" customFormat="false" ht="15" hidden="false" customHeight="false" outlineLevel="0" collapsed="false">
      <c r="B442" s="14" t="s">
        <v>302</v>
      </c>
      <c r="C442" s="14" t="s">
        <v>259</v>
      </c>
      <c r="D442" s="14" t="s">
        <v>235</v>
      </c>
      <c r="E442" s="14" t="s">
        <v>64</v>
      </c>
      <c r="F442" s="26" t="n">
        <f aca="false">Accounts!G149</f>
        <v>283</v>
      </c>
      <c r="G442" s="17" t="n">
        <f aca="false">Assumptions!$D$10</f>
        <v>96</v>
      </c>
      <c r="H442" s="17" t="n">
        <f aca="false">Assumptions!$E$10</f>
        <v>58</v>
      </c>
      <c r="I442" s="17" t="n">
        <f aca="false">ROUND(F442*G442,2)</f>
        <v>27168</v>
      </c>
      <c r="J442" s="17" t="n">
        <f aca="false">ROUND(I442*Accounts!O149,2)</f>
        <v>0</v>
      </c>
      <c r="K442" s="17" t="n">
        <f aca="false">ROUND(I442*Accounts!N149,2)</f>
        <v>1825.69</v>
      </c>
      <c r="L442" s="17" t="n">
        <f aca="false">ROUND(I442-J442-K442,2)</f>
        <v>25342.31</v>
      </c>
      <c r="M442" s="17" t="n">
        <f aca="false">ROUND(L442*AA442,2)</f>
        <v>0</v>
      </c>
      <c r="N442" s="17" t="n">
        <f aca="false">ROUND(L442*Accounts!R149,2)</f>
        <v>0</v>
      </c>
      <c r="O442" s="17" t="n">
        <f aca="false">ROUND(L442*Accounts!S149,2)</f>
        <v>0</v>
      </c>
      <c r="P442" s="17" t="n">
        <f aca="false">ROUND(L442*Accounts!T149,2)</f>
        <v>0</v>
      </c>
      <c r="Q442" s="17" t="n">
        <f aca="false">ROUND(L442*Accounts!U149,2)</f>
        <v>0</v>
      </c>
      <c r="R442" s="17" t="n">
        <f aca="false">ROUND(L442*Accounts!V149,2)</f>
        <v>253.42</v>
      </c>
      <c r="S442" s="17" t="n">
        <f aca="false">ROUND(L442*Accounts!W149,2)</f>
        <v>0</v>
      </c>
      <c r="T442" s="17" t="n">
        <f aca="false">ROUND(L442-SUM(M442:S442),2)</f>
        <v>25088.89</v>
      </c>
      <c r="U442" s="17" t="n">
        <f aca="false">ROUND(F442*H442,2)</f>
        <v>16414</v>
      </c>
      <c r="V442" s="17" t="n">
        <f aca="false">ROUND(L442*Assumptions!$C$25,2)</f>
        <v>506.85</v>
      </c>
      <c r="W442" s="17" t="n">
        <f aca="false">ROUND(T442-U442-V442,2)</f>
        <v>8168.04</v>
      </c>
      <c r="X442" s="28" t="n">
        <f aca="false">T442/I442</f>
        <v>0.923472099528857</v>
      </c>
      <c r="Y442" s="17" t="n">
        <f aca="false">T442/F442</f>
        <v>88.6533215547703</v>
      </c>
      <c r="Z442" s="26" t="n">
        <f aca="false">Accounts!H149</f>
        <v>497</v>
      </c>
      <c r="AA442" s="28" t="n">
        <f aca="false">IF(Z442&gt;=Assumptions!$B$44,Assumptions!$C$44,IF(Z442&gt;=Assumptions!$B$45,Assumptions!$C$45,IF(Z442&gt;=Assumptions!$B$46,Assumptions!$C$46,Assumptions!$C$47)))</f>
        <v>0</v>
      </c>
      <c r="AB442" s="26" t="n">
        <f aca="false">IF(Z442&gt;=Assumptions!$B$44,Assumptions!$B$44,IF(Z442&gt;=Assumptions!$B$45,Assumptions!$B$45,IF(Z442&gt;=Assumptions!$B$46,Assumptions!$B$46,0)))</f>
        <v>0</v>
      </c>
    </row>
    <row r="443" customFormat="false" ht="15" hidden="false" customHeight="false" outlineLevel="0" collapsed="false">
      <c r="B443" s="14" t="s">
        <v>318</v>
      </c>
      <c r="C443" s="14" t="s">
        <v>259</v>
      </c>
      <c r="D443" s="14" t="s">
        <v>243</v>
      </c>
      <c r="E443" s="14" t="s">
        <v>64</v>
      </c>
      <c r="F443" s="26" t="n">
        <f aca="false">Accounts!G165</f>
        <v>762</v>
      </c>
      <c r="G443" s="17" t="n">
        <f aca="false">Assumptions!$D$10</f>
        <v>96</v>
      </c>
      <c r="H443" s="17" t="n">
        <f aca="false">Assumptions!$E$10</f>
        <v>58</v>
      </c>
      <c r="I443" s="17" t="n">
        <f aca="false">ROUND(F443*G443,2)</f>
        <v>73152</v>
      </c>
      <c r="J443" s="17" t="n">
        <f aca="false">ROUND(I443*Accounts!O165,2)</f>
        <v>1463.04</v>
      </c>
      <c r="K443" s="17" t="n">
        <f aca="false">ROUND(I443*Accounts!N165,2)</f>
        <v>7373.72</v>
      </c>
      <c r="L443" s="17" t="n">
        <f aca="false">ROUND(I443-J443-K443,2)</f>
        <v>64315.24</v>
      </c>
      <c r="M443" s="17" t="n">
        <f aca="false">ROUND(L443*AA443,2)</f>
        <v>1286.3</v>
      </c>
      <c r="N443" s="17" t="n">
        <f aca="false">ROUND(L443*Accounts!R165,2)</f>
        <v>0</v>
      </c>
      <c r="O443" s="17" t="n">
        <f aca="false">ROUND(L443*Accounts!S165,2)</f>
        <v>0</v>
      </c>
      <c r="P443" s="17" t="n">
        <f aca="false">ROUND(L443*Accounts!T165,2)</f>
        <v>0</v>
      </c>
      <c r="Q443" s="17" t="n">
        <f aca="false">ROUND(L443*Accounts!U165,2)</f>
        <v>0</v>
      </c>
      <c r="R443" s="17" t="n">
        <f aca="false">ROUND(L443*Accounts!V165,2)</f>
        <v>643.15</v>
      </c>
      <c r="S443" s="17" t="n">
        <f aca="false">ROUND(L443*Accounts!W165,2)</f>
        <v>0</v>
      </c>
      <c r="T443" s="17" t="n">
        <f aca="false">ROUND(L443-SUM(M443:S443),2)</f>
        <v>62385.79</v>
      </c>
      <c r="U443" s="17" t="n">
        <f aca="false">ROUND(F443*H443,2)</f>
        <v>44196</v>
      </c>
      <c r="V443" s="17" t="n">
        <f aca="false">ROUND(L443*Assumptions!$C$25,2)</f>
        <v>1286.3</v>
      </c>
      <c r="W443" s="17" t="n">
        <f aca="false">ROUND(T443-U443-V443,2)</f>
        <v>16903.49</v>
      </c>
      <c r="X443" s="28" t="n">
        <f aca="false">T443/I443</f>
        <v>0.852824119641295</v>
      </c>
      <c r="Y443" s="17" t="n">
        <f aca="false">T443/F443</f>
        <v>81.8711154855643</v>
      </c>
      <c r="Z443" s="26" t="n">
        <f aca="false">Accounts!H165</f>
        <v>3601</v>
      </c>
      <c r="AA443" s="28" t="n">
        <f aca="false">IF(Z443&gt;=Assumptions!$B$44,Assumptions!$C$44,IF(Z443&gt;=Assumptions!$B$45,Assumptions!$C$45,IF(Z443&gt;=Assumptions!$B$46,Assumptions!$C$46,Assumptions!$C$47)))</f>
        <v>0.02</v>
      </c>
      <c r="AB443" s="26" t="n">
        <f aca="false">IF(Z443&gt;=Assumptions!$B$44,Assumptions!$B$44,IF(Z443&gt;=Assumptions!$B$45,Assumptions!$B$45,IF(Z443&gt;=Assumptions!$B$46,Assumptions!$B$46,0)))</f>
        <v>3000</v>
      </c>
    </row>
    <row r="444" customFormat="false" ht="15" hidden="false" customHeight="false" outlineLevel="0" collapsed="false">
      <c r="B444" s="14" t="s">
        <v>334</v>
      </c>
      <c r="C444" s="14" t="s">
        <v>259</v>
      </c>
      <c r="D444" s="14" t="s">
        <v>251</v>
      </c>
      <c r="E444" s="14" t="s">
        <v>64</v>
      </c>
      <c r="F444" s="26" t="n">
        <f aca="false">Accounts!G181</f>
        <v>150</v>
      </c>
      <c r="G444" s="17" t="n">
        <f aca="false">Assumptions!$D$10</f>
        <v>96</v>
      </c>
      <c r="H444" s="17" t="n">
        <f aca="false">Assumptions!$E$10</f>
        <v>58</v>
      </c>
      <c r="I444" s="17" t="n">
        <f aca="false">ROUND(F444*G444,2)</f>
        <v>14400</v>
      </c>
      <c r="J444" s="17" t="n">
        <f aca="false">ROUND(I444*Accounts!O181,2)</f>
        <v>0</v>
      </c>
      <c r="K444" s="17" t="n">
        <f aca="false">ROUND(I444*Accounts!N181,2)</f>
        <v>622.08</v>
      </c>
      <c r="L444" s="17" t="n">
        <f aca="false">ROUND(I444-J444-K444,2)</f>
        <v>13777.92</v>
      </c>
      <c r="M444" s="17" t="n">
        <f aca="false">ROUND(L444*AA444,2)</f>
        <v>0</v>
      </c>
      <c r="N444" s="17" t="n">
        <f aca="false">ROUND(L444*Accounts!R181,2)</f>
        <v>0</v>
      </c>
      <c r="O444" s="17" t="n">
        <f aca="false">ROUND(L444*Accounts!S181,2)</f>
        <v>0</v>
      </c>
      <c r="P444" s="17" t="n">
        <f aca="false">ROUND(L444*Accounts!T181,2)</f>
        <v>0</v>
      </c>
      <c r="Q444" s="17" t="n">
        <f aca="false">ROUND(L444*Accounts!U181,2)</f>
        <v>0</v>
      </c>
      <c r="R444" s="17" t="n">
        <f aca="false">ROUND(L444*Accounts!V181,2)</f>
        <v>137.78</v>
      </c>
      <c r="S444" s="17" t="n">
        <f aca="false">ROUND(L444*Accounts!W181,2)</f>
        <v>0</v>
      </c>
      <c r="T444" s="17" t="n">
        <f aca="false">ROUND(L444-SUM(M444:S444),2)</f>
        <v>13640.14</v>
      </c>
      <c r="U444" s="17" t="n">
        <f aca="false">ROUND(F444*H444,2)</f>
        <v>8700</v>
      </c>
      <c r="V444" s="17" t="n">
        <f aca="false">ROUND(L444*Assumptions!$C$25,2)</f>
        <v>275.56</v>
      </c>
      <c r="W444" s="17" t="n">
        <f aca="false">ROUND(T444-U444-V444,2)</f>
        <v>4664.58</v>
      </c>
      <c r="X444" s="28" t="n">
        <f aca="false">T444/I444</f>
        <v>0.947231944444444</v>
      </c>
      <c r="Y444" s="17" t="n">
        <f aca="false">T444/F444</f>
        <v>90.9342666666667</v>
      </c>
      <c r="Z444" s="26" t="n">
        <f aca="false">Accounts!H181</f>
        <v>1172</v>
      </c>
      <c r="AA444" s="28" t="n">
        <f aca="false">IF(Z444&gt;=Assumptions!$B$44,Assumptions!$C$44,IF(Z444&gt;=Assumptions!$B$45,Assumptions!$C$45,IF(Z444&gt;=Assumptions!$B$46,Assumptions!$C$46,Assumptions!$C$47)))</f>
        <v>0</v>
      </c>
      <c r="AB444" s="26" t="n">
        <f aca="false">IF(Z444&gt;=Assumptions!$B$44,Assumptions!$B$44,IF(Z444&gt;=Assumptions!$B$45,Assumptions!$B$45,IF(Z444&gt;=Assumptions!$B$46,Assumptions!$B$46,0)))</f>
        <v>0</v>
      </c>
    </row>
    <row r="445" customFormat="false" ht="15" hidden="false" customHeight="false" outlineLevel="0" collapsed="false">
      <c r="B445" s="14" t="s">
        <v>271</v>
      </c>
      <c r="C445" s="14" t="s">
        <v>259</v>
      </c>
      <c r="D445" s="14" t="s">
        <v>218</v>
      </c>
      <c r="E445" s="14" t="s">
        <v>64</v>
      </c>
      <c r="F445" s="26" t="n">
        <f aca="false">Accounts!G118</f>
        <v>446</v>
      </c>
      <c r="G445" s="17" t="n">
        <f aca="false">Assumptions!$D$10</f>
        <v>96</v>
      </c>
      <c r="H445" s="17" t="n">
        <f aca="false">Assumptions!$E$10</f>
        <v>58</v>
      </c>
      <c r="I445" s="17" t="n">
        <f aca="false">ROUND(F445*G445,2)</f>
        <v>42816</v>
      </c>
      <c r="J445" s="17" t="n">
        <f aca="false">ROUND(I445*Accounts!O118,2)</f>
        <v>856.32</v>
      </c>
      <c r="K445" s="17" t="n">
        <f aca="false">ROUND(I445*Accounts!N118,2)</f>
        <v>205.52</v>
      </c>
      <c r="L445" s="17" t="n">
        <f aca="false">ROUND(I445-J445-K445,2)</f>
        <v>41754.16</v>
      </c>
      <c r="M445" s="17" t="n">
        <f aca="false">ROUND(L445*AA445,2)</f>
        <v>0</v>
      </c>
      <c r="N445" s="17" t="n">
        <f aca="false">ROUND(L445*Accounts!R118,2)</f>
        <v>0</v>
      </c>
      <c r="O445" s="17" t="n">
        <f aca="false">ROUND(L445*Accounts!S118,2)</f>
        <v>0</v>
      </c>
      <c r="P445" s="17" t="n">
        <f aca="false">ROUND(L445*Accounts!T118,2)</f>
        <v>0</v>
      </c>
      <c r="Q445" s="17" t="n">
        <f aca="false">ROUND(L445*Accounts!U118,2)</f>
        <v>0</v>
      </c>
      <c r="R445" s="17" t="n">
        <f aca="false">ROUND(L445*Accounts!V118,2)</f>
        <v>417.54</v>
      </c>
      <c r="S445" s="17" t="n">
        <f aca="false">ROUND(L445*Accounts!W118,2)</f>
        <v>0</v>
      </c>
      <c r="T445" s="17" t="n">
        <f aca="false">ROUND(L445-SUM(M445:S445),2)</f>
        <v>41336.62</v>
      </c>
      <c r="U445" s="17" t="n">
        <f aca="false">ROUND(F445*H445,2)</f>
        <v>25868</v>
      </c>
      <c r="V445" s="17" t="n">
        <f aca="false">ROUND(L445*Assumptions!$C$25,2)</f>
        <v>835.08</v>
      </c>
      <c r="W445" s="17" t="n">
        <f aca="false">ROUND(T445-U445-V445,2)</f>
        <v>14633.54</v>
      </c>
      <c r="X445" s="28" t="n">
        <f aca="false">T445/I445</f>
        <v>0.965447963378176</v>
      </c>
      <c r="Y445" s="17" t="n">
        <f aca="false">T445/F445</f>
        <v>92.6830044843049</v>
      </c>
      <c r="Z445" s="26" t="n">
        <f aca="false">Accounts!H118</f>
        <v>731</v>
      </c>
      <c r="AA445" s="28" t="n">
        <f aca="false">IF(Z445&gt;=Assumptions!$B$44,Assumptions!$C$44,IF(Z445&gt;=Assumptions!$B$45,Assumptions!$C$45,IF(Z445&gt;=Assumptions!$B$46,Assumptions!$C$46,Assumptions!$C$47)))</f>
        <v>0</v>
      </c>
      <c r="AB445" s="26" t="n">
        <f aca="false">IF(Z445&gt;=Assumptions!$B$44,Assumptions!$B$44,IF(Z445&gt;=Assumptions!$B$45,Assumptions!$B$45,IF(Z445&gt;=Assumptions!$B$46,Assumptions!$B$46,0)))</f>
        <v>0</v>
      </c>
    </row>
    <row r="446" customFormat="false" ht="15" hidden="false" customHeight="false" outlineLevel="0" collapsed="false">
      <c r="B446" s="14" t="s">
        <v>287</v>
      </c>
      <c r="C446" s="14" t="s">
        <v>259</v>
      </c>
      <c r="D446" s="14" t="s">
        <v>227</v>
      </c>
      <c r="E446" s="14" t="s">
        <v>64</v>
      </c>
      <c r="F446" s="26" t="n">
        <f aca="false">Accounts!G134</f>
        <v>196</v>
      </c>
      <c r="G446" s="17" t="n">
        <f aca="false">Assumptions!$D$10</f>
        <v>96</v>
      </c>
      <c r="H446" s="17" t="n">
        <f aca="false">Assumptions!$E$10</f>
        <v>58</v>
      </c>
      <c r="I446" s="17" t="n">
        <f aca="false">ROUND(F446*G446,2)</f>
        <v>18816</v>
      </c>
      <c r="J446" s="17" t="n">
        <f aca="false">ROUND(I446*Accounts!O134,2)</f>
        <v>376.32</v>
      </c>
      <c r="K446" s="17" t="n">
        <f aca="false">ROUND(I446*Accounts!N134,2)</f>
        <v>0</v>
      </c>
      <c r="L446" s="17" t="n">
        <f aca="false">ROUND(I446-J446-K446,2)</f>
        <v>18439.68</v>
      </c>
      <c r="M446" s="17" t="n">
        <f aca="false">ROUND(L446*AA446,2)</f>
        <v>0</v>
      </c>
      <c r="N446" s="17" t="n">
        <f aca="false">ROUND(L446*Accounts!R134,2)</f>
        <v>0</v>
      </c>
      <c r="O446" s="17" t="n">
        <f aca="false">ROUND(L446*Accounts!S134,2)</f>
        <v>0</v>
      </c>
      <c r="P446" s="17" t="n">
        <f aca="false">ROUND(L446*Accounts!T134,2)</f>
        <v>0</v>
      </c>
      <c r="Q446" s="17" t="n">
        <f aca="false">ROUND(L446*Accounts!U134,2)</f>
        <v>0</v>
      </c>
      <c r="R446" s="17" t="n">
        <f aca="false">ROUND(L446*Accounts!V134,2)</f>
        <v>184.4</v>
      </c>
      <c r="S446" s="17" t="n">
        <f aca="false">ROUND(L446*Accounts!W134,2)</f>
        <v>0</v>
      </c>
      <c r="T446" s="17" t="n">
        <f aca="false">ROUND(L446-SUM(M446:S446),2)</f>
        <v>18255.28</v>
      </c>
      <c r="U446" s="17" t="n">
        <f aca="false">ROUND(F446*H446,2)</f>
        <v>11368</v>
      </c>
      <c r="V446" s="17" t="n">
        <f aca="false">ROUND(L446*Assumptions!$C$25,2)</f>
        <v>368.79</v>
      </c>
      <c r="W446" s="17" t="n">
        <f aca="false">ROUND(T446-U446-V446,2)</f>
        <v>6518.49</v>
      </c>
      <c r="X446" s="28" t="n">
        <f aca="false">T446/I446</f>
        <v>0.970199829931973</v>
      </c>
      <c r="Y446" s="17" t="n">
        <f aca="false">T446/F446</f>
        <v>93.1391836734694</v>
      </c>
      <c r="Z446" s="26" t="n">
        <f aca="false">Accounts!H134</f>
        <v>249</v>
      </c>
      <c r="AA446" s="28" t="n">
        <f aca="false">IF(Z446&gt;=Assumptions!$B$44,Assumptions!$C$44,IF(Z446&gt;=Assumptions!$B$45,Assumptions!$C$45,IF(Z446&gt;=Assumptions!$B$46,Assumptions!$C$46,Assumptions!$C$47)))</f>
        <v>0</v>
      </c>
      <c r="AB446" s="26" t="n">
        <f aca="false">IF(Z446&gt;=Assumptions!$B$44,Assumptions!$B$44,IF(Z446&gt;=Assumptions!$B$45,Assumptions!$B$45,IF(Z446&gt;=Assumptions!$B$46,Assumptions!$B$46,0)))</f>
        <v>0</v>
      </c>
    </row>
    <row r="447" customFormat="false" ht="15" hidden="false" customHeight="false" outlineLevel="0" collapsed="false">
      <c r="B447" s="14" t="s">
        <v>303</v>
      </c>
      <c r="C447" s="14" t="s">
        <v>259</v>
      </c>
      <c r="D447" s="14" t="s">
        <v>235</v>
      </c>
      <c r="E447" s="14" t="s">
        <v>64</v>
      </c>
      <c r="F447" s="26" t="n">
        <f aca="false">Accounts!G150</f>
        <v>349</v>
      </c>
      <c r="G447" s="17" t="n">
        <f aca="false">Assumptions!$D$10</f>
        <v>96</v>
      </c>
      <c r="H447" s="17" t="n">
        <f aca="false">Assumptions!$E$10</f>
        <v>58</v>
      </c>
      <c r="I447" s="17" t="n">
        <f aca="false">ROUND(F447*G447,2)</f>
        <v>33504</v>
      </c>
      <c r="J447" s="17" t="n">
        <f aca="false">ROUND(I447*Accounts!O150,2)</f>
        <v>0</v>
      </c>
      <c r="K447" s="17" t="n">
        <f aca="false">ROUND(I447*Accounts!N150,2)</f>
        <v>321.64</v>
      </c>
      <c r="L447" s="17" t="n">
        <f aca="false">ROUND(I447-J447-K447,2)</f>
        <v>33182.36</v>
      </c>
      <c r="M447" s="17" t="n">
        <f aca="false">ROUND(L447*AA447,2)</f>
        <v>0</v>
      </c>
      <c r="N447" s="17" t="n">
        <f aca="false">ROUND(L447*Accounts!R150,2)</f>
        <v>0</v>
      </c>
      <c r="O447" s="17" t="n">
        <f aca="false">ROUND(L447*Accounts!S150,2)</f>
        <v>0</v>
      </c>
      <c r="P447" s="17" t="n">
        <f aca="false">ROUND(L447*Accounts!T150,2)</f>
        <v>0</v>
      </c>
      <c r="Q447" s="17" t="n">
        <f aca="false">ROUND(L447*Accounts!U150,2)</f>
        <v>0</v>
      </c>
      <c r="R447" s="17" t="n">
        <f aca="false">ROUND(L447*Accounts!V150,2)</f>
        <v>331.82</v>
      </c>
      <c r="S447" s="17" t="n">
        <f aca="false">ROUND(L447*Accounts!W150,2)</f>
        <v>0</v>
      </c>
      <c r="T447" s="17" t="n">
        <f aca="false">ROUND(L447-SUM(M447:S447),2)</f>
        <v>32850.54</v>
      </c>
      <c r="U447" s="17" t="n">
        <f aca="false">ROUND(F447*H447,2)</f>
        <v>20242</v>
      </c>
      <c r="V447" s="17" t="n">
        <f aca="false">ROUND(L447*Assumptions!$C$25,2)</f>
        <v>663.65</v>
      </c>
      <c r="W447" s="17" t="n">
        <f aca="false">ROUND(T447-U447-V447,2)</f>
        <v>11944.89</v>
      </c>
      <c r="X447" s="28" t="n">
        <f aca="false">T447/I447</f>
        <v>0.98049606017192</v>
      </c>
      <c r="Y447" s="17" t="n">
        <f aca="false">T447/F447</f>
        <v>94.1276217765043</v>
      </c>
      <c r="Z447" s="26" t="n">
        <f aca="false">Accounts!H150</f>
        <v>1233</v>
      </c>
      <c r="AA447" s="28" t="n">
        <f aca="false">IF(Z447&gt;=Assumptions!$B$44,Assumptions!$C$44,IF(Z447&gt;=Assumptions!$B$45,Assumptions!$C$45,IF(Z447&gt;=Assumptions!$B$46,Assumptions!$C$46,Assumptions!$C$47)))</f>
        <v>0</v>
      </c>
      <c r="AB447" s="26" t="n">
        <f aca="false">IF(Z447&gt;=Assumptions!$B$44,Assumptions!$B$44,IF(Z447&gt;=Assumptions!$B$45,Assumptions!$B$45,IF(Z447&gt;=Assumptions!$B$46,Assumptions!$B$46,0)))</f>
        <v>0</v>
      </c>
    </row>
    <row r="448" customFormat="false" ht="15" hidden="false" customHeight="false" outlineLevel="0" collapsed="false">
      <c r="B448" s="14" t="s">
        <v>319</v>
      </c>
      <c r="C448" s="14" t="s">
        <v>259</v>
      </c>
      <c r="D448" s="14" t="s">
        <v>243</v>
      </c>
      <c r="E448" s="14" t="s">
        <v>64</v>
      </c>
      <c r="F448" s="26" t="n">
        <f aca="false">Accounts!G166</f>
        <v>157</v>
      </c>
      <c r="G448" s="17" t="n">
        <f aca="false">Assumptions!$D$10</f>
        <v>96</v>
      </c>
      <c r="H448" s="17" t="n">
        <f aca="false">Assumptions!$E$10</f>
        <v>58</v>
      </c>
      <c r="I448" s="17" t="n">
        <f aca="false">ROUND(F448*G448,2)</f>
        <v>15072</v>
      </c>
      <c r="J448" s="17" t="n">
        <f aca="false">ROUND(I448*Accounts!O166,2)</f>
        <v>0</v>
      </c>
      <c r="K448" s="17" t="n">
        <f aca="false">ROUND(I448*Accounts!N166,2)</f>
        <v>506.42</v>
      </c>
      <c r="L448" s="17" t="n">
        <f aca="false">ROUND(I448-J448-K448,2)</f>
        <v>14565.58</v>
      </c>
      <c r="M448" s="17" t="n">
        <f aca="false">ROUND(L448*AA448,2)</f>
        <v>0</v>
      </c>
      <c r="N448" s="17" t="n">
        <f aca="false">ROUND(L448*Accounts!R166,2)</f>
        <v>0</v>
      </c>
      <c r="O448" s="17" t="n">
        <f aca="false">ROUND(L448*Accounts!S166,2)</f>
        <v>0</v>
      </c>
      <c r="P448" s="17" t="n">
        <f aca="false">ROUND(L448*Accounts!T166,2)</f>
        <v>0</v>
      </c>
      <c r="Q448" s="17" t="n">
        <f aca="false">ROUND(L448*Accounts!U166,2)</f>
        <v>0</v>
      </c>
      <c r="R448" s="17" t="n">
        <f aca="false">ROUND(L448*Accounts!V166,2)</f>
        <v>145.66</v>
      </c>
      <c r="S448" s="17" t="n">
        <f aca="false">ROUND(L448*Accounts!W166,2)</f>
        <v>0</v>
      </c>
      <c r="T448" s="17" t="n">
        <f aca="false">ROUND(L448-SUM(M448:S448),2)</f>
        <v>14419.92</v>
      </c>
      <c r="U448" s="17" t="n">
        <f aca="false">ROUND(F448*H448,2)</f>
        <v>9106</v>
      </c>
      <c r="V448" s="17" t="n">
        <f aca="false">ROUND(L448*Assumptions!$C$25,2)</f>
        <v>291.31</v>
      </c>
      <c r="W448" s="17" t="n">
        <f aca="false">ROUND(T448-U448-V448,2)</f>
        <v>5022.61</v>
      </c>
      <c r="X448" s="28" t="n">
        <f aca="false">T448/I448</f>
        <v>0.956735668789809</v>
      </c>
      <c r="Y448" s="17" t="n">
        <f aca="false">T448/F448</f>
        <v>91.8466242038217</v>
      </c>
      <c r="Z448" s="26" t="n">
        <f aca="false">Accounts!H166</f>
        <v>748</v>
      </c>
      <c r="AA448" s="28" t="n">
        <f aca="false">IF(Z448&gt;=Assumptions!$B$44,Assumptions!$C$44,IF(Z448&gt;=Assumptions!$B$45,Assumptions!$C$45,IF(Z448&gt;=Assumptions!$B$46,Assumptions!$C$46,Assumptions!$C$47)))</f>
        <v>0</v>
      </c>
      <c r="AB448" s="26" t="n">
        <f aca="false">IF(Z448&gt;=Assumptions!$B$44,Assumptions!$B$44,IF(Z448&gt;=Assumptions!$B$45,Assumptions!$B$45,IF(Z448&gt;=Assumptions!$B$46,Assumptions!$B$46,0)))</f>
        <v>0</v>
      </c>
    </row>
    <row r="449" customFormat="false" ht="15" hidden="false" customHeight="false" outlineLevel="0" collapsed="false">
      <c r="B449" s="14" t="s">
        <v>335</v>
      </c>
      <c r="C449" s="14" t="s">
        <v>259</v>
      </c>
      <c r="D449" s="14" t="s">
        <v>251</v>
      </c>
      <c r="E449" s="14" t="s">
        <v>64</v>
      </c>
      <c r="F449" s="26" t="n">
        <f aca="false">Accounts!G182</f>
        <v>272</v>
      </c>
      <c r="G449" s="17" t="n">
        <f aca="false">Assumptions!$D$10</f>
        <v>96</v>
      </c>
      <c r="H449" s="17" t="n">
        <f aca="false">Assumptions!$E$10</f>
        <v>58</v>
      </c>
      <c r="I449" s="17" t="n">
        <f aca="false">ROUND(F449*G449,2)</f>
        <v>26112</v>
      </c>
      <c r="J449" s="17" t="n">
        <f aca="false">ROUND(I449*Accounts!O182,2)</f>
        <v>522.24</v>
      </c>
      <c r="K449" s="17" t="n">
        <f aca="false">ROUND(I449*Accounts!N182,2)</f>
        <v>1253.38</v>
      </c>
      <c r="L449" s="17" t="n">
        <f aca="false">ROUND(I449-J449-K449,2)</f>
        <v>24336.38</v>
      </c>
      <c r="M449" s="17" t="n">
        <f aca="false">ROUND(L449*AA449,2)</f>
        <v>0</v>
      </c>
      <c r="N449" s="17" t="n">
        <f aca="false">ROUND(L449*Accounts!R182,2)</f>
        <v>0</v>
      </c>
      <c r="O449" s="17" t="n">
        <f aca="false">ROUND(L449*Accounts!S182,2)</f>
        <v>0</v>
      </c>
      <c r="P449" s="17" t="n">
        <f aca="false">ROUND(L449*Accounts!T182,2)</f>
        <v>0</v>
      </c>
      <c r="Q449" s="17" t="n">
        <f aca="false">ROUND(L449*Accounts!U182,2)</f>
        <v>0</v>
      </c>
      <c r="R449" s="17" t="n">
        <f aca="false">ROUND(L449*Accounts!V182,2)</f>
        <v>243.36</v>
      </c>
      <c r="S449" s="17" t="n">
        <f aca="false">ROUND(L449*Accounts!W182,2)</f>
        <v>0</v>
      </c>
      <c r="T449" s="17" t="n">
        <f aca="false">ROUND(L449-SUM(M449:S449),2)</f>
        <v>24093.02</v>
      </c>
      <c r="U449" s="17" t="n">
        <f aca="false">ROUND(F449*H449,2)</f>
        <v>15776</v>
      </c>
      <c r="V449" s="17" t="n">
        <f aca="false">ROUND(L449*Assumptions!$C$25,2)</f>
        <v>486.73</v>
      </c>
      <c r="W449" s="17" t="n">
        <f aca="false">ROUND(T449-U449-V449,2)</f>
        <v>7830.29</v>
      </c>
      <c r="X449" s="28" t="n">
        <f aca="false">T449/I449</f>
        <v>0.922679993872549</v>
      </c>
      <c r="Y449" s="17" t="n">
        <f aca="false">T449/F449</f>
        <v>88.5772794117647</v>
      </c>
      <c r="Z449" s="26" t="n">
        <f aca="false">Accounts!H182</f>
        <v>537</v>
      </c>
      <c r="AA449" s="28" t="n">
        <f aca="false">IF(Z449&gt;=Assumptions!$B$44,Assumptions!$C$44,IF(Z449&gt;=Assumptions!$B$45,Assumptions!$C$45,IF(Z449&gt;=Assumptions!$B$46,Assumptions!$C$46,Assumptions!$C$47)))</f>
        <v>0</v>
      </c>
      <c r="AB449" s="26" t="n">
        <f aca="false">IF(Z449&gt;=Assumptions!$B$44,Assumptions!$B$44,IF(Z449&gt;=Assumptions!$B$45,Assumptions!$B$45,IF(Z449&gt;=Assumptions!$B$46,Assumptions!$B$46,0)))</f>
        <v>0</v>
      </c>
    </row>
    <row r="450" customFormat="false" ht="15" hidden="false" customHeight="false" outlineLevel="0" collapsed="false">
      <c r="B450" s="14" t="s">
        <v>272</v>
      </c>
      <c r="C450" s="14" t="s">
        <v>259</v>
      </c>
      <c r="D450" s="14" t="s">
        <v>218</v>
      </c>
      <c r="E450" s="14" t="s">
        <v>64</v>
      </c>
      <c r="F450" s="26" t="n">
        <f aca="false">Accounts!G119</f>
        <v>838</v>
      </c>
      <c r="G450" s="17" t="n">
        <f aca="false">Assumptions!$D$10</f>
        <v>96</v>
      </c>
      <c r="H450" s="17" t="n">
        <f aca="false">Assumptions!$E$10</f>
        <v>58</v>
      </c>
      <c r="I450" s="17" t="n">
        <f aca="false">ROUND(F450*G450,2)</f>
        <v>80448</v>
      </c>
      <c r="J450" s="17" t="n">
        <f aca="false">ROUND(I450*Accounts!O119,2)</f>
        <v>1608.96</v>
      </c>
      <c r="K450" s="17" t="n">
        <f aca="false">ROUND(I450*Accounts!N119,2)</f>
        <v>3861.5</v>
      </c>
      <c r="L450" s="17" t="n">
        <f aca="false">ROUND(I450-J450-K450,2)</f>
        <v>74977.54</v>
      </c>
      <c r="M450" s="17" t="n">
        <f aca="false">ROUND(L450*AA450,2)</f>
        <v>0</v>
      </c>
      <c r="N450" s="17" t="n">
        <f aca="false">ROUND(L450*Accounts!R119,2)</f>
        <v>0</v>
      </c>
      <c r="O450" s="17" t="n">
        <f aca="false">ROUND(L450*Accounts!S119,2)</f>
        <v>0</v>
      </c>
      <c r="P450" s="17" t="n">
        <f aca="false">ROUND(L450*Accounts!T119,2)</f>
        <v>0</v>
      </c>
      <c r="Q450" s="17" t="n">
        <f aca="false">ROUND(L450*Accounts!U119,2)</f>
        <v>0</v>
      </c>
      <c r="R450" s="17" t="n">
        <f aca="false">ROUND(L450*Accounts!V119,2)</f>
        <v>749.78</v>
      </c>
      <c r="S450" s="17" t="n">
        <f aca="false">ROUND(L450*Accounts!W119,2)</f>
        <v>0</v>
      </c>
      <c r="T450" s="17" t="n">
        <f aca="false">ROUND(L450-SUM(M450:S450),2)</f>
        <v>74227.76</v>
      </c>
      <c r="U450" s="17" t="n">
        <f aca="false">ROUND(F450*H450,2)</f>
        <v>48604</v>
      </c>
      <c r="V450" s="17" t="n">
        <f aca="false">ROUND(L450*Assumptions!$C$25,2)</f>
        <v>1499.55</v>
      </c>
      <c r="W450" s="17" t="n">
        <f aca="false">ROUND(T450-U450-V450,2)</f>
        <v>24124.21</v>
      </c>
      <c r="X450" s="28" t="n">
        <f aca="false">T450/I450</f>
        <v>0.92267999204455</v>
      </c>
      <c r="Y450" s="17" t="n">
        <f aca="false">T450/F450</f>
        <v>88.5772792362768</v>
      </c>
      <c r="Z450" s="26" t="n">
        <f aca="false">Accounts!H119</f>
        <v>2961</v>
      </c>
      <c r="AA450" s="28" t="n">
        <f aca="false">IF(Z450&gt;=Assumptions!$B$44,Assumptions!$C$44,IF(Z450&gt;=Assumptions!$B$45,Assumptions!$C$45,IF(Z450&gt;=Assumptions!$B$46,Assumptions!$C$46,Assumptions!$C$47)))</f>
        <v>0</v>
      </c>
      <c r="AB450" s="26" t="n">
        <f aca="false">IF(Z450&gt;=Assumptions!$B$44,Assumptions!$B$44,IF(Z450&gt;=Assumptions!$B$45,Assumptions!$B$45,IF(Z450&gt;=Assumptions!$B$46,Assumptions!$B$46,0)))</f>
        <v>0</v>
      </c>
    </row>
    <row r="451" customFormat="false" ht="15" hidden="false" customHeight="false" outlineLevel="0" collapsed="false">
      <c r="B451" s="14" t="s">
        <v>288</v>
      </c>
      <c r="C451" s="14" t="s">
        <v>259</v>
      </c>
      <c r="D451" s="14" t="s">
        <v>227</v>
      </c>
      <c r="E451" s="14" t="s">
        <v>64</v>
      </c>
      <c r="F451" s="26" t="n">
        <f aca="false">Accounts!G135</f>
        <v>640</v>
      </c>
      <c r="G451" s="17" t="n">
        <f aca="false">Assumptions!$D$10</f>
        <v>96</v>
      </c>
      <c r="H451" s="17" t="n">
        <f aca="false">Assumptions!$E$10</f>
        <v>58</v>
      </c>
      <c r="I451" s="17" t="n">
        <f aca="false">ROUND(F451*G451,2)</f>
        <v>61440</v>
      </c>
      <c r="J451" s="17" t="n">
        <f aca="false">ROUND(I451*Accounts!O135,2)</f>
        <v>1228.8</v>
      </c>
      <c r="K451" s="17" t="n">
        <f aca="false">ROUND(I451*Accounts!N135,2)</f>
        <v>884.74</v>
      </c>
      <c r="L451" s="17" t="n">
        <f aca="false">ROUND(I451-J451-K451,2)</f>
        <v>59326.46</v>
      </c>
      <c r="M451" s="17" t="n">
        <f aca="false">ROUND(L451*AA451,2)</f>
        <v>1186.53</v>
      </c>
      <c r="N451" s="17" t="n">
        <f aca="false">ROUND(L451*Accounts!R135,2)</f>
        <v>0</v>
      </c>
      <c r="O451" s="17" t="n">
        <f aca="false">ROUND(L451*Accounts!S135,2)</f>
        <v>0</v>
      </c>
      <c r="P451" s="17" t="n">
        <f aca="false">ROUND(L451*Accounts!T135,2)</f>
        <v>0</v>
      </c>
      <c r="Q451" s="17" t="n">
        <f aca="false">ROUND(L451*Accounts!U135,2)</f>
        <v>0</v>
      </c>
      <c r="R451" s="17" t="n">
        <f aca="false">ROUND(L451*Accounts!V135,2)</f>
        <v>593.26</v>
      </c>
      <c r="S451" s="17" t="n">
        <f aca="false">ROUND(L451*Accounts!W135,2)</f>
        <v>0</v>
      </c>
      <c r="T451" s="17" t="n">
        <f aca="false">ROUND(L451-SUM(M451:S451),2)</f>
        <v>57546.67</v>
      </c>
      <c r="U451" s="17" t="n">
        <f aca="false">ROUND(F451*H451,2)</f>
        <v>37120</v>
      </c>
      <c r="V451" s="17" t="n">
        <f aca="false">ROUND(L451*Assumptions!$C$25,2)</f>
        <v>1186.53</v>
      </c>
      <c r="W451" s="17" t="n">
        <f aca="false">ROUND(T451-U451-V451,2)</f>
        <v>19240.14</v>
      </c>
      <c r="X451" s="28" t="n">
        <f aca="false">T451/I451</f>
        <v>0.936631998697917</v>
      </c>
      <c r="Y451" s="17" t="n">
        <f aca="false">T451/F451</f>
        <v>89.916671875</v>
      </c>
      <c r="Z451" s="26" t="n">
        <f aca="false">Accounts!H135</f>
        <v>3033</v>
      </c>
      <c r="AA451" s="28" t="n">
        <f aca="false">IF(Z451&gt;=Assumptions!$B$44,Assumptions!$C$44,IF(Z451&gt;=Assumptions!$B$45,Assumptions!$C$45,IF(Z451&gt;=Assumptions!$B$46,Assumptions!$C$46,Assumptions!$C$47)))</f>
        <v>0.02</v>
      </c>
      <c r="AB451" s="26" t="n">
        <f aca="false">IF(Z451&gt;=Assumptions!$B$44,Assumptions!$B$44,IF(Z451&gt;=Assumptions!$B$45,Assumptions!$B$45,IF(Z451&gt;=Assumptions!$B$46,Assumptions!$B$46,0)))</f>
        <v>3000</v>
      </c>
    </row>
    <row r="452" customFormat="false" ht="15" hidden="false" customHeight="false" outlineLevel="0" collapsed="false">
      <c r="B452" s="14" t="s">
        <v>304</v>
      </c>
      <c r="C452" s="14" t="s">
        <v>259</v>
      </c>
      <c r="D452" s="14" t="s">
        <v>235</v>
      </c>
      <c r="E452" s="14" t="s">
        <v>64</v>
      </c>
      <c r="F452" s="26" t="n">
        <f aca="false">Accounts!G151</f>
        <v>465</v>
      </c>
      <c r="G452" s="17" t="n">
        <f aca="false">Assumptions!$D$10</f>
        <v>96</v>
      </c>
      <c r="H452" s="17" t="n">
        <f aca="false">Assumptions!$E$10</f>
        <v>58</v>
      </c>
      <c r="I452" s="17" t="n">
        <f aca="false">ROUND(F452*G452,2)</f>
        <v>44640</v>
      </c>
      <c r="J452" s="17" t="n">
        <f aca="false">ROUND(I452*Accounts!O151,2)</f>
        <v>892.8</v>
      </c>
      <c r="K452" s="17" t="n">
        <f aca="false">ROUND(I452*Accounts!N151,2)</f>
        <v>642.82</v>
      </c>
      <c r="L452" s="17" t="n">
        <f aca="false">ROUND(I452-J452-K452,2)</f>
        <v>43104.38</v>
      </c>
      <c r="M452" s="17" t="n">
        <f aca="false">ROUND(L452*AA452,2)</f>
        <v>0</v>
      </c>
      <c r="N452" s="17" t="n">
        <f aca="false">ROUND(L452*Accounts!R151,2)</f>
        <v>0</v>
      </c>
      <c r="O452" s="17" t="n">
        <f aca="false">ROUND(L452*Accounts!S151,2)</f>
        <v>0</v>
      </c>
      <c r="P452" s="17" t="n">
        <f aca="false">ROUND(L452*Accounts!T151,2)</f>
        <v>0</v>
      </c>
      <c r="Q452" s="17" t="n">
        <f aca="false">ROUND(L452*Accounts!U151,2)</f>
        <v>0</v>
      </c>
      <c r="R452" s="17" t="n">
        <f aca="false">ROUND(L452*Accounts!V151,2)</f>
        <v>431.04</v>
      </c>
      <c r="S452" s="17" t="n">
        <f aca="false">ROUND(L452*Accounts!W151,2)</f>
        <v>0</v>
      </c>
      <c r="T452" s="17" t="n">
        <f aca="false">ROUND(L452-SUM(M452:S452),2)</f>
        <v>42673.34</v>
      </c>
      <c r="U452" s="17" t="n">
        <f aca="false">ROUND(F452*H452,2)</f>
        <v>26970</v>
      </c>
      <c r="V452" s="17" t="n">
        <f aca="false">ROUND(L452*Assumptions!$C$25,2)</f>
        <v>862.09</v>
      </c>
      <c r="W452" s="17" t="n">
        <f aca="false">ROUND(T452-U452-V452,2)</f>
        <v>14841.25</v>
      </c>
      <c r="X452" s="28" t="n">
        <f aca="false">T452/I452</f>
        <v>0.955943996415771</v>
      </c>
      <c r="Y452" s="17" t="n">
        <f aca="false">T452/F452</f>
        <v>91.770623655914</v>
      </c>
      <c r="Z452" s="26" t="n">
        <f aca="false">Accounts!H151</f>
        <v>1480</v>
      </c>
      <c r="AA452" s="28" t="n">
        <f aca="false">IF(Z452&gt;=Assumptions!$B$44,Assumptions!$C$44,IF(Z452&gt;=Assumptions!$B$45,Assumptions!$C$45,IF(Z452&gt;=Assumptions!$B$46,Assumptions!$C$46,Assumptions!$C$47)))</f>
        <v>0</v>
      </c>
      <c r="AB452" s="26" t="n">
        <f aca="false">IF(Z452&gt;=Assumptions!$B$44,Assumptions!$B$44,IF(Z452&gt;=Assumptions!$B$45,Assumptions!$B$45,IF(Z452&gt;=Assumptions!$B$46,Assumptions!$B$46,0)))</f>
        <v>0</v>
      </c>
    </row>
    <row r="453" customFormat="false" ht="15" hidden="false" customHeight="false" outlineLevel="0" collapsed="false">
      <c r="B453" s="14" t="s">
        <v>320</v>
      </c>
      <c r="C453" s="14" t="s">
        <v>259</v>
      </c>
      <c r="D453" s="14" t="s">
        <v>243</v>
      </c>
      <c r="E453" s="14" t="s">
        <v>64</v>
      </c>
      <c r="F453" s="26" t="n">
        <f aca="false">Accounts!G167</f>
        <v>683</v>
      </c>
      <c r="G453" s="17" t="n">
        <f aca="false">Assumptions!$D$10</f>
        <v>96</v>
      </c>
      <c r="H453" s="17" t="n">
        <f aca="false">Assumptions!$E$10</f>
        <v>58</v>
      </c>
      <c r="I453" s="17" t="n">
        <f aca="false">ROUND(F453*G453,2)</f>
        <v>65568</v>
      </c>
      <c r="J453" s="17" t="n">
        <f aca="false">ROUND(I453*Accounts!O167,2)</f>
        <v>1311.36</v>
      </c>
      <c r="K453" s="17" t="n">
        <f aca="false">ROUND(I453*Accounts!N167,2)</f>
        <v>2832.54</v>
      </c>
      <c r="L453" s="17" t="n">
        <f aca="false">ROUND(I453-J453-K453,2)</f>
        <v>61424.1</v>
      </c>
      <c r="M453" s="17" t="n">
        <f aca="false">ROUND(L453*AA453,2)</f>
        <v>0</v>
      </c>
      <c r="N453" s="17" t="n">
        <f aca="false">ROUND(L453*Accounts!R167,2)</f>
        <v>0</v>
      </c>
      <c r="O453" s="17" t="n">
        <f aca="false">ROUND(L453*Accounts!S167,2)</f>
        <v>0</v>
      </c>
      <c r="P453" s="17" t="n">
        <f aca="false">ROUND(L453*Accounts!T167,2)</f>
        <v>0</v>
      </c>
      <c r="Q453" s="17" t="n">
        <f aca="false">ROUND(L453*Accounts!U167,2)</f>
        <v>0</v>
      </c>
      <c r="R453" s="17" t="n">
        <f aca="false">ROUND(L453*Accounts!V167,2)</f>
        <v>614.24</v>
      </c>
      <c r="S453" s="17" t="n">
        <f aca="false">ROUND(L453*Accounts!W167,2)</f>
        <v>0</v>
      </c>
      <c r="T453" s="17" t="n">
        <f aca="false">ROUND(L453-SUM(M453:S453),2)</f>
        <v>60809.86</v>
      </c>
      <c r="U453" s="17" t="n">
        <f aca="false">ROUND(F453*H453,2)</f>
        <v>39614</v>
      </c>
      <c r="V453" s="17" t="n">
        <f aca="false">ROUND(L453*Assumptions!$C$25,2)</f>
        <v>1228.48</v>
      </c>
      <c r="W453" s="17" t="n">
        <f aca="false">ROUND(T453-U453-V453,2)</f>
        <v>19967.38</v>
      </c>
      <c r="X453" s="28" t="n">
        <f aca="false">T453/I453</f>
        <v>0.927431979014153</v>
      </c>
      <c r="Y453" s="17" t="n">
        <f aca="false">T453/F453</f>
        <v>89.0334699853587</v>
      </c>
      <c r="Z453" s="26" t="n">
        <f aca="false">Accounts!H167</f>
        <v>2608</v>
      </c>
      <c r="AA453" s="28" t="n">
        <f aca="false">IF(Z453&gt;=Assumptions!$B$44,Assumptions!$C$44,IF(Z453&gt;=Assumptions!$B$45,Assumptions!$C$45,IF(Z453&gt;=Assumptions!$B$46,Assumptions!$C$46,Assumptions!$C$47)))</f>
        <v>0</v>
      </c>
      <c r="AB453" s="26" t="n">
        <f aca="false">IF(Z453&gt;=Assumptions!$B$44,Assumptions!$B$44,IF(Z453&gt;=Assumptions!$B$45,Assumptions!$B$45,IF(Z453&gt;=Assumptions!$B$46,Assumptions!$B$46,0)))</f>
        <v>0</v>
      </c>
    </row>
    <row r="454" customFormat="false" ht="15" hidden="false" customHeight="false" outlineLevel="0" collapsed="false">
      <c r="B454" s="14" t="s">
        <v>336</v>
      </c>
      <c r="C454" s="14" t="s">
        <v>259</v>
      </c>
      <c r="D454" s="14" t="s">
        <v>251</v>
      </c>
      <c r="E454" s="14" t="s">
        <v>64</v>
      </c>
      <c r="F454" s="26" t="n">
        <f aca="false">Accounts!G183</f>
        <v>378</v>
      </c>
      <c r="G454" s="17" t="n">
        <f aca="false">Assumptions!$D$10</f>
        <v>96</v>
      </c>
      <c r="H454" s="17" t="n">
        <f aca="false">Assumptions!$E$10</f>
        <v>58</v>
      </c>
      <c r="I454" s="17" t="n">
        <f aca="false">ROUND(F454*G454,2)</f>
        <v>36288</v>
      </c>
      <c r="J454" s="17" t="n">
        <f aca="false">ROUND(I454*Accounts!O183,2)</f>
        <v>725.76</v>
      </c>
      <c r="K454" s="17" t="n">
        <f aca="false">ROUND(I454*Accounts!N183,2)</f>
        <v>3135.28</v>
      </c>
      <c r="L454" s="17" t="n">
        <f aca="false">ROUND(I454-J454-K454,2)</f>
        <v>32426.96</v>
      </c>
      <c r="M454" s="17" t="n">
        <f aca="false">ROUND(L454*AA454,2)</f>
        <v>0</v>
      </c>
      <c r="N454" s="17" t="n">
        <f aca="false">ROUND(L454*Accounts!R183,2)</f>
        <v>0</v>
      </c>
      <c r="O454" s="17" t="n">
        <f aca="false">ROUND(L454*Accounts!S183,2)</f>
        <v>0</v>
      </c>
      <c r="P454" s="17" t="n">
        <f aca="false">ROUND(L454*Accounts!T183,2)</f>
        <v>0</v>
      </c>
      <c r="Q454" s="17" t="n">
        <f aca="false">ROUND(L454*Accounts!U183,2)</f>
        <v>0</v>
      </c>
      <c r="R454" s="17" t="n">
        <f aca="false">ROUND(L454*Accounts!V183,2)</f>
        <v>324.27</v>
      </c>
      <c r="S454" s="17" t="n">
        <f aca="false">ROUND(L454*Accounts!W183,2)</f>
        <v>0</v>
      </c>
      <c r="T454" s="17" t="n">
        <f aca="false">ROUND(L454-SUM(M454:S454),2)</f>
        <v>32102.69</v>
      </c>
      <c r="U454" s="17" t="n">
        <f aca="false">ROUND(F454*H454,2)</f>
        <v>21924</v>
      </c>
      <c r="V454" s="17" t="n">
        <f aca="false">ROUND(L454*Assumptions!$C$25,2)</f>
        <v>648.54</v>
      </c>
      <c r="W454" s="17" t="n">
        <f aca="false">ROUND(T454-U454-V454,2)</f>
        <v>9530.15</v>
      </c>
      <c r="X454" s="28" t="n">
        <f aca="false">T454/I454</f>
        <v>0.88466407627866</v>
      </c>
      <c r="Y454" s="17" t="n">
        <f aca="false">T454/F454</f>
        <v>84.9277513227513</v>
      </c>
      <c r="Z454" s="26" t="n">
        <f aca="false">Accounts!H183</f>
        <v>2848</v>
      </c>
      <c r="AA454" s="28" t="n">
        <f aca="false">IF(Z454&gt;=Assumptions!$B$44,Assumptions!$C$44,IF(Z454&gt;=Assumptions!$B$45,Assumptions!$C$45,IF(Z454&gt;=Assumptions!$B$46,Assumptions!$C$46,Assumptions!$C$47)))</f>
        <v>0</v>
      </c>
      <c r="AB454" s="26" t="n">
        <f aca="false">IF(Z454&gt;=Assumptions!$B$44,Assumptions!$B$44,IF(Z454&gt;=Assumptions!$B$45,Assumptions!$B$45,IF(Z454&gt;=Assumptions!$B$46,Assumptions!$B$46,0)))</f>
        <v>0</v>
      </c>
    </row>
    <row r="455" customFormat="false" ht="15" hidden="false" customHeight="false" outlineLevel="0" collapsed="false">
      <c r="B455" s="14" t="s">
        <v>273</v>
      </c>
      <c r="C455" s="14" t="s">
        <v>259</v>
      </c>
      <c r="D455" s="14" t="s">
        <v>218</v>
      </c>
      <c r="E455" s="14" t="s">
        <v>64</v>
      </c>
      <c r="F455" s="26" t="n">
        <f aca="false">Accounts!G120</f>
        <v>260</v>
      </c>
      <c r="G455" s="17" t="n">
        <f aca="false">Assumptions!$D$10</f>
        <v>96</v>
      </c>
      <c r="H455" s="17" t="n">
        <f aca="false">Assumptions!$E$10</f>
        <v>58</v>
      </c>
      <c r="I455" s="17" t="n">
        <f aca="false">ROUND(F455*G455,2)</f>
        <v>24960</v>
      </c>
      <c r="J455" s="17" t="n">
        <f aca="false">ROUND(I455*Accounts!O120,2)</f>
        <v>0</v>
      </c>
      <c r="K455" s="17" t="n">
        <f aca="false">ROUND(I455*Accounts!N120,2)</f>
        <v>239.62</v>
      </c>
      <c r="L455" s="17" t="n">
        <f aca="false">ROUND(I455-J455-K455,2)</f>
        <v>24720.38</v>
      </c>
      <c r="M455" s="17" t="n">
        <f aca="false">ROUND(L455*AA455,2)</f>
        <v>0</v>
      </c>
      <c r="N455" s="17" t="n">
        <f aca="false">ROUND(L455*Accounts!R120,2)</f>
        <v>0</v>
      </c>
      <c r="O455" s="17" t="n">
        <f aca="false">ROUND(L455*Accounts!S120,2)</f>
        <v>0</v>
      </c>
      <c r="P455" s="17" t="n">
        <f aca="false">ROUND(L455*Accounts!T120,2)</f>
        <v>0</v>
      </c>
      <c r="Q455" s="17" t="n">
        <f aca="false">ROUND(L455*Accounts!U120,2)</f>
        <v>0</v>
      </c>
      <c r="R455" s="17" t="n">
        <f aca="false">ROUND(L455*Accounts!V120,2)</f>
        <v>247.2</v>
      </c>
      <c r="S455" s="17" t="n">
        <f aca="false">ROUND(L455*Accounts!W120,2)</f>
        <v>0</v>
      </c>
      <c r="T455" s="17" t="n">
        <f aca="false">ROUND(L455-SUM(M455:S455),2)</f>
        <v>24473.18</v>
      </c>
      <c r="U455" s="17" t="n">
        <f aca="false">ROUND(F455*H455,2)</f>
        <v>15080</v>
      </c>
      <c r="V455" s="17" t="n">
        <f aca="false">ROUND(L455*Assumptions!$C$25,2)</f>
        <v>494.41</v>
      </c>
      <c r="W455" s="17" t="n">
        <f aca="false">ROUND(T455-U455-V455,2)</f>
        <v>8898.77</v>
      </c>
      <c r="X455" s="28" t="n">
        <f aca="false">T455/I455</f>
        <v>0.980495993589744</v>
      </c>
      <c r="Y455" s="17" t="n">
        <f aca="false">T455/F455</f>
        <v>94.1276153846154</v>
      </c>
      <c r="Z455" s="26" t="n">
        <f aca="false">Accounts!H120</f>
        <v>1002</v>
      </c>
      <c r="AA455" s="28" t="n">
        <f aca="false">IF(Z455&gt;=Assumptions!$B$44,Assumptions!$C$44,IF(Z455&gt;=Assumptions!$B$45,Assumptions!$C$45,IF(Z455&gt;=Assumptions!$B$46,Assumptions!$C$46,Assumptions!$C$47)))</f>
        <v>0</v>
      </c>
      <c r="AB455" s="26" t="n">
        <f aca="false">IF(Z455&gt;=Assumptions!$B$44,Assumptions!$B$44,IF(Z455&gt;=Assumptions!$B$45,Assumptions!$B$45,IF(Z455&gt;=Assumptions!$B$46,Assumptions!$B$46,0)))</f>
        <v>0</v>
      </c>
    </row>
    <row r="456" customFormat="false" ht="15" hidden="false" customHeight="false" outlineLevel="0" collapsed="false">
      <c r="B456" s="14" t="s">
        <v>289</v>
      </c>
      <c r="C456" s="14" t="s">
        <v>259</v>
      </c>
      <c r="D456" s="14" t="s">
        <v>227</v>
      </c>
      <c r="E456" s="14" t="s">
        <v>64</v>
      </c>
      <c r="F456" s="26" t="n">
        <f aca="false">Accounts!G136</f>
        <v>485</v>
      </c>
      <c r="G456" s="17" t="n">
        <f aca="false">Assumptions!$D$10</f>
        <v>96</v>
      </c>
      <c r="H456" s="17" t="n">
        <f aca="false">Assumptions!$E$10</f>
        <v>58</v>
      </c>
      <c r="I456" s="17" t="n">
        <f aca="false">ROUND(F456*G456,2)</f>
        <v>46560</v>
      </c>
      <c r="J456" s="17" t="n">
        <f aca="false">ROUND(I456*Accounts!O136,2)</f>
        <v>931.2</v>
      </c>
      <c r="K456" s="17" t="n">
        <f aca="false">ROUND(I456*Accounts!N136,2)</f>
        <v>223.49</v>
      </c>
      <c r="L456" s="17" t="n">
        <f aca="false">ROUND(I456-J456-K456,2)</f>
        <v>45405.31</v>
      </c>
      <c r="M456" s="17" t="n">
        <f aca="false">ROUND(L456*AA456,2)</f>
        <v>0</v>
      </c>
      <c r="N456" s="17" t="n">
        <f aca="false">ROUND(L456*Accounts!R136,2)</f>
        <v>0</v>
      </c>
      <c r="O456" s="17" t="n">
        <f aca="false">ROUND(L456*Accounts!S136,2)</f>
        <v>0</v>
      </c>
      <c r="P456" s="17" t="n">
        <f aca="false">ROUND(L456*Accounts!T136,2)</f>
        <v>0</v>
      </c>
      <c r="Q456" s="17" t="n">
        <f aca="false">ROUND(L456*Accounts!U136,2)</f>
        <v>0</v>
      </c>
      <c r="R456" s="17" t="n">
        <f aca="false">ROUND(L456*Accounts!V136,2)</f>
        <v>454.05</v>
      </c>
      <c r="S456" s="17" t="n">
        <f aca="false">ROUND(L456*Accounts!W136,2)</f>
        <v>0</v>
      </c>
      <c r="T456" s="17" t="n">
        <f aca="false">ROUND(L456-SUM(M456:S456),2)</f>
        <v>44951.26</v>
      </c>
      <c r="U456" s="17" t="n">
        <f aca="false">ROUND(F456*H456,2)</f>
        <v>28130</v>
      </c>
      <c r="V456" s="17" t="n">
        <f aca="false">ROUND(L456*Assumptions!$C$25,2)</f>
        <v>908.11</v>
      </c>
      <c r="W456" s="17" t="n">
        <f aca="false">ROUND(T456-U456-V456,2)</f>
        <v>15913.15</v>
      </c>
      <c r="X456" s="28" t="n">
        <f aca="false">T456/I456</f>
        <v>0.965448024054983</v>
      </c>
      <c r="Y456" s="17" t="n">
        <f aca="false">T456/F456</f>
        <v>92.6830103092784</v>
      </c>
      <c r="Z456" s="26" t="n">
        <f aca="false">Accounts!H136</f>
        <v>905</v>
      </c>
      <c r="AA456" s="28" t="n">
        <f aca="false">IF(Z456&gt;=Assumptions!$B$44,Assumptions!$C$44,IF(Z456&gt;=Assumptions!$B$45,Assumptions!$C$45,IF(Z456&gt;=Assumptions!$B$46,Assumptions!$C$46,Assumptions!$C$47)))</f>
        <v>0</v>
      </c>
      <c r="AB456" s="26" t="n">
        <f aca="false">IF(Z456&gt;=Assumptions!$B$44,Assumptions!$B$44,IF(Z456&gt;=Assumptions!$B$45,Assumptions!$B$45,IF(Z456&gt;=Assumptions!$B$46,Assumptions!$B$46,0)))</f>
        <v>0</v>
      </c>
    </row>
    <row r="457" customFormat="false" ht="15" hidden="false" customHeight="false" outlineLevel="0" collapsed="false">
      <c r="B457" s="14" t="s">
        <v>305</v>
      </c>
      <c r="C457" s="14" t="s">
        <v>259</v>
      </c>
      <c r="D457" s="14" t="s">
        <v>235</v>
      </c>
      <c r="E457" s="14" t="s">
        <v>64</v>
      </c>
      <c r="F457" s="26" t="n">
        <f aca="false">Accounts!G152</f>
        <v>162</v>
      </c>
      <c r="G457" s="17" t="n">
        <f aca="false">Assumptions!$D$10</f>
        <v>96</v>
      </c>
      <c r="H457" s="17" t="n">
        <f aca="false">Assumptions!$E$10</f>
        <v>58</v>
      </c>
      <c r="I457" s="17" t="n">
        <f aca="false">ROUND(F457*G457,2)</f>
        <v>15552</v>
      </c>
      <c r="J457" s="17" t="n">
        <f aca="false">ROUND(I457*Accounts!O152,2)</f>
        <v>0</v>
      </c>
      <c r="K457" s="17" t="n">
        <f aca="false">ROUND(I457*Accounts!N152,2)</f>
        <v>0</v>
      </c>
      <c r="L457" s="17" t="n">
        <f aca="false">ROUND(I457-J457-K457,2)</f>
        <v>15552</v>
      </c>
      <c r="M457" s="17" t="n">
        <f aca="false">ROUND(L457*AA457,2)</f>
        <v>0</v>
      </c>
      <c r="N457" s="17" t="n">
        <f aca="false">ROUND(L457*Accounts!R152,2)</f>
        <v>0</v>
      </c>
      <c r="O457" s="17" t="n">
        <f aca="false">ROUND(L457*Accounts!S152,2)</f>
        <v>0</v>
      </c>
      <c r="P457" s="17" t="n">
        <f aca="false">ROUND(L457*Accounts!T152,2)</f>
        <v>0</v>
      </c>
      <c r="Q457" s="17" t="n">
        <f aca="false">ROUND(L457*Accounts!U152,2)</f>
        <v>0</v>
      </c>
      <c r="R457" s="17" t="n">
        <f aca="false">ROUND(L457*Accounts!V152,2)</f>
        <v>155.52</v>
      </c>
      <c r="S457" s="17" t="n">
        <f aca="false">ROUND(L457*Accounts!W152,2)</f>
        <v>0</v>
      </c>
      <c r="T457" s="17" t="n">
        <f aca="false">ROUND(L457-SUM(M457:S457),2)</f>
        <v>15396.48</v>
      </c>
      <c r="U457" s="17" t="n">
        <f aca="false">ROUND(F457*H457,2)</f>
        <v>9396</v>
      </c>
      <c r="V457" s="17" t="n">
        <f aca="false">ROUND(L457*Assumptions!$C$25,2)</f>
        <v>311.04</v>
      </c>
      <c r="W457" s="17" t="n">
        <f aca="false">ROUND(T457-U457-V457,2)</f>
        <v>5689.44</v>
      </c>
      <c r="X457" s="28" t="n">
        <f aca="false">T457/I457</f>
        <v>0.99</v>
      </c>
      <c r="Y457" s="17" t="n">
        <f aca="false">T457/F457</f>
        <v>95.04</v>
      </c>
      <c r="Z457" s="26" t="n">
        <f aca="false">Accounts!H152</f>
        <v>792</v>
      </c>
      <c r="AA457" s="28" t="n">
        <f aca="false">IF(Z457&gt;=Assumptions!$B$44,Assumptions!$C$44,IF(Z457&gt;=Assumptions!$B$45,Assumptions!$C$45,IF(Z457&gt;=Assumptions!$B$46,Assumptions!$C$46,Assumptions!$C$47)))</f>
        <v>0</v>
      </c>
      <c r="AB457" s="26" t="n">
        <f aca="false">IF(Z457&gt;=Assumptions!$B$44,Assumptions!$B$44,IF(Z457&gt;=Assumptions!$B$45,Assumptions!$B$45,IF(Z457&gt;=Assumptions!$B$46,Assumptions!$B$46,0)))</f>
        <v>0</v>
      </c>
    </row>
    <row r="458" customFormat="false" ht="15" hidden="false" customHeight="false" outlineLevel="0" collapsed="false">
      <c r="B458" s="14" t="s">
        <v>321</v>
      </c>
      <c r="C458" s="14" t="s">
        <v>259</v>
      </c>
      <c r="D458" s="14" t="s">
        <v>243</v>
      </c>
      <c r="E458" s="14" t="s">
        <v>64</v>
      </c>
      <c r="F458" s="26" t="n">
        <f aca="false">Accounts!G168</f>
        <v>85</v>
      </c>
      <c r="G458" s="17" t="n">
        <f aca="false">Assumptions!$D$10</f>
        <v>96</v>
      </c>
      <c r="H458" s="17" t="n">
        <f aca="false">Assumptions!$E$10</f>
        <v>58</v>
      </c>
      <c r="I458" s="17" t="n">
        <f aca="false">ROUND(F458*G458,2)</f>
        <v>8160</v>
      </c>
      <c r="J458" s="17" t="n">
        <f aca="false">ROUND(I458*Accounts!O168,2)</f>
        <v>0</v>
      </c>
      <c r="K458" s="17" t="n">
        <f aca="false">ROUND(I458*Accounts!N168,2)</f>
        <v>117.5</v>
      </c>
      <c r="L458" s="17" t="n">
        <f aca="false">ROUND(I458-J458-K458,2)</f>
        <v>8042.5</v>
      </c>
      <c r="M458" s="17" t="n">
        <f aca="false">ROUND(L458*AA458,2)</f>
        <v>0</v>
      </c>
      <c r="N458" s="17" t="n">
        <f aca="false">ROUND(L458*Accounts!R168,2)</f>
        <v>0</v>
      </c>
      <c r="O458" s="17" t="n">
        <f aca="false">ROUND(L458*Accounts!S168,2)</f>
        <v>0</v>
      </c>
      <c r="P458" s="17" t="n">
        <f aca="false">ROUND(L458*Accounts!T168,2)</f>
        <v>0</v>
      </c>
      <c r="Q458" s="17" t="n">
        <f aca="false">ROUND(L458*Accounts!U168,2)</f>
        <v>0</v>
      </c>
      <c r="R458" s="17" t="n">
        <f aca="false">ROUND(L458*Accounts!V168,2)</f>
        <v>80.43</v>
      </c>
      <c r="S458" s="17" t="n">
        <f aca="false">ROUND(L458*Accounts!W168,2)</f>
        <v>0</v>
      </c>
      <c r="T458" s="17" t="n">
        <f aca="false">ROUND(L458-SUM(M458:S458),2)</f>
        <v>7962.07</v>
      </c>
      <c r="U458" s="17" t="n">
        <f aca="false">ROUND(F458*H458,2)</f>
        <v>4930</v>
      </c>
      <c r="V458" s="17" t="n">
        <f aca="false">ROUND(L458*Assumptions!$C$25,2)</f>
        <v>160.85</v>
      </c>
      <c r="W458" s="17" t="n">
        <f aca="false">ROUND(T458-U458-V458,2)</f>
        <v>2871.22</v>
      </c>
      <c r="X458" s="28" t="n">
        <f aca="false">T458/I458</f>
        <v>0.97574387254902</v>
      </c>
      <c r="Y458" s="17" t="n">
        <f aca="false">T458/F458</f>
        <v>93.6714117647059</v>
      </c>
      <c r="Z458" s="26" t="n">
        <f aca="false">Accounts!H168</f>
        <v>94</v>
      </c>
      <c r="AA458" s="28" t="n">
        <f aca="false">IF(Z458&gt;=Assumptions!$B$44,Assumptions!$C$44,IF(Z458&gt;=Assumptions!$B$45,Assumptions!$C$45,IF(Z458&gt;=Assumptions!$B$46,Assumptions!$C$46,Assumptions!$C$47)))</f>
        <v>0</v>
      </c>
      <c r="AB458" s="26" t="n">
        <f aca="false">IF(Z458&gt;=Assumptions!$B$44,Assumptions!$B$44,IF(Z458&gt;=Assumptions!$B$45,Assumptions!$B$45,IF(Z458&gt;=Assumptions!$B$46,Assumptions!$B$46,0)))</f>
        <v>0</v>
      </c>
    </row>
    <row r="459" customFormat="false" ht="15" hidden="false" customHeight="false" outlineLevel="0" collapsed="false">
      <c r="B459" s="14" t="s">
        <v>274</v>
      </c>
      <c r="C459" s="14" t="s">
        <v>259</v>
      </c>
      <c r="D459" s="14" t="s">
        <v>218</v>
      </c>
      <c r="E459" s="14" t="s">
        <v>64</v>
      </c>
      <c r="F459" s="26" t="n">
        <f aca="false">Accounts!G121</f>
        <v>75</v>
      </c>
      <c r="G459" s="17" t="n">
        <f aca="false">Assumptions!$D$10</f>
        <v>96</v>
      </c>
      <c r="H459" s="17" t="n">
        <f aca="false">Assumptions!$E$10</f>
        <v>58</v>
      </c>
      <c r="I459" s="17" t="n">
        <f aca="false">ROUND(F459*G459,2)</f>
        <v>7200</v>
      </c>
      <c r="J459" s="17" t="n">
        <f aca="false">ROUND(I459*Accounts!O121,2)</f>
        <v>0</v>
      </c>
      <c r="K459" s="17" t="n">
        <f aca="false">ROUND(I459*Accounts!N121,2)</f>
        <v>69.12</v>
      </c>
      <c r="L459" s="17" t="n">
        <f aca="false">ROUND(I459-J459-K459,2)</f>
        <v>7130.88</v>
      </c>
      <c r="M459" s="17" t="n">
        <f aca="false">ROUND(L459*AA459,2)</f>
        <v>0</v>
      </c>
      <c r="N459" s="17" t="n">
        <f aca="false">ROUND(L459*Accounts!R121,2)</f>
        <v>0</v>
      </c>
      <c r="O459" s="17" t="n">
        <f aca="false">ROUND(L459*Accounts!S121,2)</f>
        <v>0</v>
      </c>
      <c r="P459" s="17" t="n">
        <f aca="false">ROUND(L459*Accounts!T121,2)</f>
        <v>0</v>
      </c>
      <c r="Q459" s="17" t="n">
        <f aca="false">ROUND(L459*Accounts!U121,2)</f>
        <v>0</v>
      </c>
      <c r="R459" s="17" t="n">
        <f aca="false">ROUND(L459*Accounts!V121,2)</f>
        <v>71.31</v>
      </c>
      <c r="S459" s="17" t="n">
        <f aca="false">ROUND(L459*Accounts!W121,2)</f>
        <v>0</v>
      </c>
      <c r="T459" s="17" t="n">
        <f aca="false">ROUND(L459-SUM(M459:S459),2)</f>
        <v>7059.57</v>
      </c>
      <c r="U459" s="17" t="n">
        <f aca="false">ROUND(F459*H459,2)</f>
        <v>4350</v>
      </c>
      <c r="V459" s="17" t="n">
        <f aca="false">ROUND(L459*Assumptions!$C$25,2)</f>
        <v>142.62</v>
      </c>
      <c r="W459" s="17" t="n">
        <f aca="false">ROUND(T459-U459-V459,2)</f>
        <v>2566.95</v>
      </c>
      <c r="X459" s="28" t="n">
        <f aca="false">T459/I459</f>
        <v>0.980495833333333</v>
      </c>
      <c r="Y459" s="17" t="n">
        <f aca="false">T459/F459</f>
        <v>94.1276</v>
      </c>
      <c r="Z459" s="26" t="n">
        <f aca="false">Accounts!H121</f>
        <v>329</v>
      </c>
      <c r="AA459" s="28" t="n">
        <f aca="false">IF(Z459&gt;=Assumptions!$B$44,Assumptions!$C$44,IF(Z459&gt;=Assumptions!$B$45,Assumptions!$C$45,IF(Z459&gt;=Assumptions!$B$46,Assumptions!$C$46,Assumptions!$C$47)))</f>
        <v>0</v>
      </c>
      <c r="AB459" s="26" t="n">
        <f aca="false">IF(Z459&gt;=Assumptions!$B$44,Assumptions!$B$44,IF(Z459&gt;=Assumptions!$B$45,Assumptions!$B$45,IF(Z459&gt;=Assumptions!$B$46,Assumptions!$B$46,0)))</f>
        <v>0</v>
      </c>
    </row>
    <row r="460" customFormat="false" ht="15" hidden="false" customHeight="false" outlineLevel="0" collapsed="false">
      <c r="B460" s="14" t="s">
        <v>290</v>
      </c>
      <c r="C460" s="14" t="s">
        <v>259</v>
      </c>
      <c r="D460" s="14" t="s">
        <v>227</v>
      </c>
      <c r="E460" s="14" t="s">
        <v>64</v>
      </c>
      <c r="F460" s="26" t="n">
        <f aca="false">Accounts!G137</f>
        <v>207</v>
      </c>
      <c r="G460" s="17" t="n">
        <f aca="false">Assumptions!$D$10</f>
        <v>96</v>
      </c>
      <c r="H460" s="17" t="n">
        <f aca="false">Assumptions!$E$10</f>
        <v>58</v>
      </c>
      <c r="I460" s="17" t="n">
        <f aca="false">ROUND(F460*G460,2)</f>
        <v>19872</v>
      </c>
      <c r="J460" s="17" t="n">
        <f aca="false">ROUND(I460*Accounts!O137,2)</f>
        <v>397.44</v>
      </c>
      <c r="K460" s="17" t="n">
        <f aca="false">ROUND(I460*Accounts!N137,2)</f>
        <v>858.47</v>
      </c>
      <c r="L460" s="17" t="n">
        <f aca="false">ROUND(I460-J460-K460,2)</f>
        <v>18616.09</v>
      </c>
      <c r="M460" s="17" t="n">
        <f aca="false">ROUND(L460*AA460,2)</f>
        <v>0</v>
      </c>
      <c r="N460" s="17" t="n">
        <f aca="false">ROUND(L460*Accounts!R137,2)</f>
        <v>0</v>
      </c>
      <c r="O460" s="17" t="n">
        <f aca="false">ROUND(L460*Accounts!S137,2)</f>
        <v>0</v>
      </c>
      <c r="P460" s="17" t="n">
        <f aca="false">ROUND(L460*Accounts!T137,2)</f>
        <v>0</v>
      </c>
      <c r="Q460" s="17" t="n">
        <f aca="false">ROUND(L460*Accounts!U137,2)</f>
        <v>0</v>
      </c>
      <c r="R460" s="17" t="n">
        <f aca="false">ROUND(L460*Accounts!V137,2)</f>
        <v>186.16</v>
      </c>
      <c r="S460" s="17" t="n">
        <f aca="false">ROUND(L460*Accounts!W137,2)</f>
        <v>0</v>
      </c>
      <c r="T460" s="17" t="n">
        <f aca="false">ROUND(L460-SUM(M460:S460),2)</f>
        <v>18429.93</v>
      </c>
      <c r="U460" s="17" t="n">
        <f aca="false">ROUND(F460*H460,2)</f>
        <v>12006</v>
      </c>
      <c r="V460" s="17" t="n">
        <f aca="false">ROUND(L460*Assumptions!$C$25,2)</f>
        <v>372.32</v>
      </c>
      <c r="W460" s="17" t="n">
        <f aca="false">ROUND(T460-U460-V460,2)</f>
        <v>6051.61</v>
      </c>
      <c r="X460" s="28" t="n">
        <f aca="false">T460/I460</f>
        <v>0.927432065217391</v>
      </c>
      <c r="Y460" s="17" t="n">
        <f aca="false">T460/F460</f>
        <v>89.0334782608696</v>
      </c>
      <c r="Z460" s="26" t="n">
        <f aca="false">Accounts!H137</f>
        <v>1108</v>
      </c>
      <c r="AA460" s="28" t="n">
        <f aca="false">IF(Z460&gt;=Assumptions!$B$44,Assumptions!$C$44,IF(Z460&gt;=Assumptions!$B$45,Assumptions!$C$45,IF(Z460&gt;=Assumptions!$B$46,Assumptions!$C$46,Assumptions!$C$47)))</f>
        <v>0</v>
      </c>
      <c r="AB460" s="26" t="n">
        <f aca="false">IF(Z460&gt;=Assumptions!$B$44,Assumptions!$B$44,IF(Z460&gt;=Assumptions!$B$45,Assumptions!$B$45,IF(Z460&gt;=Assumptions!$B$46,Assumptions!$B$46,0)))</f>
        <v>0</v>
      </c>
    </row>
    <row r="461" customFormat="false" ht="15" hidden="false" customHeight="false" outlineLevel="0" collapsed="false">
      <c r="B461" s="14" t="s">
        <v>306</v>
      </c>
      <c r="C461" s="14" t="s">
        <v>259</v>
      </c>
      <c r="D461" s="14" t="s">
        <v>235</v>
      </c>
      <c r="E461" s="14" t="s">
        <v>64</v>
      </c>
      <c r="F461" s="26" t="n">
        <f aca="false">Accounts!G153</f>
        <v>654</v>
      </c>
      <c r="G461" s="17" t="n">
        <f aca="false">Assumptions!$D$10</f>
        <v>96</v>
      </c>
      <c r="H461" s="17" t="n">
        <f aca="false">Assumptions!$E$10</f>
        <v>58</v>
      </c>
      <c r="I461" s="17" t="n">
        <f aca="false">ROUND(F461*G461,2)</f>
        <v>62784</v>
      </c>
      <c r="J461" s="17" t="n">
        <f aca="false">ROUND(I461*Accounts!O153,2)</f>
        <v>0</v>
      </c>
      <c r="K461" s="17" t="n">
        <f aca="false">ROUND(I461*Accounts!N153,2)</f>
        <v>0</v>
      </c>
      <c r="L461" s="17" t="n">
        <f aca="false">ROUND(I461-J461-K461,2)</f>
        <v>62784</v>
      </c>
      <c r="M461" s="17" t="n">
        <f aca="false">ROUND(L461*AA461,2)</f>
        <v>0</v>
      </c>
      <c r="N461" s="17" t="n">
        <f aca="false">ROUND(L461*Accounts!R153,2)</f>
        <v>0</v>
      </c>
      <c r="O461" s="17" t="n">
        <f aca="false">ROUND(L461*Accounts!S153,2)</f>
        <v>0</v>
      </c>
      <c r="P461" s="17" t="n">
        <f aca="false">ROUND(L461*Accounts!T153,2)</f>
        <v>0</v>
      </c>
      <c r="Q461" s="17" t="n">
        <f aca="false">ROUND(L461*Accounts!U153,2)</f>
        <v>0</v>
      </c>
      <c r="R461" s="17" t="n">
        <f aca="false">ROUND(L461*Accounts!V153,2)</f>
        <v>627.84</v>
      </c>
      <c r="S461" s="17" t="n">
        <f aca="false">ROUND(L461*Accounts!W153,2)</f>
        <v>0</v>
      </c>
      <c r="T461" s="17" t="n">
        <f aca="false">ROUND(L461-SUM(M461:S461),2)</f>
        <v>62156.16</v>
      </c>
      <c r="U461" s="17" t="n">
        <f aca="false">ROUND(F461*H461,2)</f>
        <v>37932</v>
      </c>
      <c r="V461" s="17" t="n">
        <f aca="false">ROUND(L461*Assumptions!$C$25,2)</f>
        <v>1255.68</v>
      </c>
      <c r="W461" s="17" t="n">
        <f aca="false">ROUND(T461-U461-V461,2)</f>
        <v>22968.48</v>
      </c>
      <c r="X461" s="28" t="n">
        <f aca="false">T461/I461</f>
        <v>0.99</v>
      </c>
      <c r="Y461" s="17" t="n">
        <f aca="false">T461/F461</f>
        <v>95.04</v>
      </c>
      <c r="Z461" s="26" t="n">
        <f aca="false">Accounts!H153</f>
        <v>1743</v>
      </c>
      <c r="AA461" s="28" t="n">
        <f aca="false">IF(Z461&gt;=Assumptions!$B$44,Assumptions!$C$44,IF(Z461&gt;=Assumptions!$B$45,Assumptions!$C$45,IF(Z461&gt;=Assumptions!$B$46,Assumptions!$C$46,Assumptions!$C$47)))</f>
        <v>0</v>
      </c>
      <c r="AB461" s="26" t="n">
        <f aca="false">IF(Z461&gt;=Assumptions!$B$44,Assumptions!$B$44,IF(Z461&gt;=Assumptions!$B$45,Assumptions!$B$45,IF(Z461&gt;=Assumptions!$B$46,Assumptions!$B$46,0)))</f>
        <v>0</v>
      </c>
    </row>
    <row r="462" customFormat="false" ht="15" hidden="false" customHeight="false" outlineLevel="0" collapsed="false">
      <c r="B462" s="14" t="s">
        <v>322</v>
      </c>
      <c r="C462" s="14" t="s">
        <v>259</v>
      </c>
      <c r="D462" s="14" t="s">
        <v>243</v>
      </c>
      <c r="E462" s="14" t="s">
        <v>64</v>
      </c>
      <c r="F462" s="26" t="n">
        <f aca="false">Accounts!G169</f>
        <v>89</v>
      </c>
      <c r="G462" s="17" t="n">
        <f aca="false">Assumptions!$D$10</f>
        <v>96</v>
      </c>
      <c r="H462" s="17" t="n">
        <f aca="false">Assumptions!$E$10</f>
        <v>58</v>
      </c>
      <c r="I462" s="17" t="n">
        <f aca="false">ROUND(F462*G462,2)</f>
        <v>8544</v>
      </c>
      <c r="J462" s="17" t="n">
        <f aca="false">ROUND(I462*Accounts!O169,2)</f>
        <v>170.88</v>
      </c>
      <c r="K462" s="17" t="n">
        <f aca="false">ROUND(I462*Accounts!N169,2)</f>
        <v>410.11</v>
      </c>
      <c r="L462" s="17" t="n">
        <f aca="false">ROUND(I462-J462-K462,2)</f>
        <v>7963.01</v>
      </c>
      <c r="M462" s="17" t="n">
        <f aca="false">ROUND(L462*AA462,2)</f>
        <v>0</v>
      </c>
      <c r="N462" s="17" t="n">
        <f aca="false">ROUND(L462*Accounts!R169,2)</f>
        <v>0</v>
      </c>
      <c r="O462" s="17" t="n">
        <f aca="false">ROUND(L462*Accounts!S169,2)</f>
        <v>0</v>
      </c>
      <c r="P462" s="17" t="n">
        <f aca="false">ROUND(L462*Accounts!T169,2)</f>
        <v>0</v>
      </c>
      <c r="Q462" s="17" t="n">
        <f aca="false">ROUND(L462*Accounts!U169,2)</f>
        <v>0</v>
      </c>
      <c r="R462" s="17" t="n">
        <f aca="false">ROUND(L462*Accounts!V169,2)</f>
        <v>79.63</v>
      </c>
      <c r="S462" s="17" t="n">
        <f aca="false">ROUND(L462*Accounts!W169,2)</f>
        <v>0</v>
      </c>
      <c r="T462" s="17" t="n">
        <f aca="false">ROUND(L462-SUM(M462:S462),2)</f>
        <v>7883.38</v>
      </c>
      <c r="U462" s="17" t="n">
        <f aca="false">ROUND(F462*H462,2)</f>
        <v>5162</v>
      </c>
      <c r="V462" s="17" t="n">
        <f aca="false">ROUND(L462*Assumptions!$C$25,2)</f>
        <v>159.26</v>
      </c>
      <c r="W462" s="17" t="n">
        <f aca="false">ROUND(T462-U462-V462,2)</f>
        <v>2562.12</v>
      </c>
      <c r="X462" s="28" t="n">
        <f aca="false">T462/I462</f>
        <v>0.922680243445693</v>
      </c>
      <c r="Y462" s="17" t="n">
        <f aca="false">T462/F462</f>
        <v>88.5773033707865</v>
      </c>
      <c r="Z462" s="26" t="n">
        <f aca="false">Accounts!H169</f>
        <v>413</v>
      </c>
      <c r="AA462" s="28" t="n">
        <f aca="false">IF(Z462&gt;=Assumptions!$B$44,Assumptions!$C$44,IF(Z462&gt;=Assumptions!$B$45,Assumptions!$C$45,IF(Z462&gt;=Assumptions!$B$46,Assumptions!$C$46,Assumptions!$C$47)))</f>
        <v>0</v>
      </c>
      <c r="AB462" s="26" t="n">
        <f aca="false">IF(Z462&gt;=Assumptions!$B$44,Assumptions!$B$44,IF(Z462&gt;=Assumptions!$B$45,Assumptions!$B$45,IF(Z462&gt;=Assumptions!$B$46,Assumptions!$B$46,0)))</f>
        <v>0</v>
      </c>
    </row>
    <row r="463" customFormat="false" ht="15" hidden="false" customHeight="false" outlineLevel="0" collapsed="false">
      <c r="B463" s="14" t="s">
        <v>338</v>
      </c>
      <c r="C463" s="14" t="s">
        <v>259</v>
      </c>
      <c r="D463" s="14" t="s">
        <v>251</v>
      </c>
      <c r="E463" s="14" t="s">
        <v>64</v>
      </c>
      <c r="F463" s="26" t="n">
        <f aca="false">Accounts!G185</f>
        <v>936</v>
      </c>
      <c r="G463" s="17" t="n">
        <f aca="false">Assumptions!$D$10</f>
        <v>96</v>
      </c>
      <c r="H463" s="17" t="n">
        <f aca="false">Assumptions!$E$10</f>
        <v>58</v>
      </c>
      <c r="I463" s="17" t="n">
        <f aca="false">ROUND(F463*G463,2)</f>
        <v>89856</v>
      </c>
      <c r="J463" s="17" t="n">
        <f aca="false">ROUND(I463*Accounts!O185,2)</f>
        <v>1797.12</v>
      </c>
      <c r="K463" s="17" t="n">
        <f aca="false">ROUND(I463*Accounts!N185,2)</f>
        <v>4744.4</v>
      </c>
      <c r="L463" s="17" t="n">
        <f aca="false">ROUND(I463-J463-K463,2)</f>
        <v>83314.48</v>
      </c>
      <c r="M463" s="17" t="n">
        <f aca="false">ROUND(L463*AA463,2)</f>
        <v>0</v>
      </c>
      <c r="N463" s="17" t="n">
        <f aca="false">ROUND(L463*Accounts!R185,2)</f>
        <v>0</v>
      </c>
      <c r="O463" s="17" t="n">
        <f aca="false">ROUND(L463*Accounts!S185,2)</f>
        <v>0</v>
      </c>
      <c r="P463" s="17" t="n">
        <f aca="false">ROUND(L463*Accounts!T185,2)</f>
        <v>0</v>
      </c>
      <c r="Q463" s="17" t="n">
        <f aca="false">ROUND(L463*Accounts!U185,2)</f>
        <v>0</v>
      </c>
      <c r="R463" s="17" t="n">
        <f aca="false">ROUND(L463*Accounts!V185,2)</f>
        <v>833.14</v>
      </c>
      <c r="S463" s="17" t="n">
        <f aca="false">ROUND(L463*Accounts!W185,2)</f>
        <v>0</v>
      </c>
      <c r="T463" s="17" t="n">
        <f aca="false">ROUND(L463-SUM(M463:S463),2)</f>
        <v>82481.34</v>
      </c>
      <c r="U463" s="17" t="n">
        <f aca="false">ROUND(F463*H463,2)</f>
        <v>54288</v>
      </c>
      <c r="V463" s="17" t="n">
        <f aca="false">ROUND(L463*Assumptions!$C$25,2)</f>
        <v>1666.29</v>
      </c>
      <c r="W463" s="17" t="n">
        <f aca="false">ROUND(T463-U463-V463,2)</f>
        <v>26527.05</v>
      </c>
      <c r="X463" s="28" t="n">
        <f aca="false">T463/I463</f>
        <v>0.917928018162393</v>
      </c>
      <c r="Y463" s="17" t="n">
        <f aca="false">T463/F463</f>
        <v>88.1210897435897</v>
      </c>
      <c r="Z463" s="26" t="n">
        <f aca="false">Accounts!H185</f>
        <v>1286</v>
      </c>
      <c r="AA463" s="28" t="n">
        <f aca="false">IF(Z463&gt;=Assumptions!$B$44,Assumptions!$C$44,IF(Z463&gt;=Assumptions!$B$45,Assumptions!$C$45,IF(Z463&gt;=Assumptions!$B$46,Assumptions!$C$46,Assumptions!$C$47)))</f>
        <v>0</v>
      </c>
      <c r="AB463" s="26" t="n">
        <f aca="false">IF(Z463&gt;=Assumptions!$B$44,Assumptions!$B$44,IF(Z463&gt;=Assumptions!$B$45,Assumptions!$B$45,IF(Z463&gt;=Assumptions!$B$46,Assumptions!$B$46,0)))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3" min="3" style="0" width="20"/>
    <col collapsed="false" customWidth="true" hidden="false" outlineLevel="0" max="5" min="4" style="0" width="18"/>
    <col collapsed="false" customWidth="true" hidden="false" outlineLevel="0" max="6" min="6" style="0" width="46"/>
  </cols>
  <sheetData>
    <row r="2" customFormat="false" ht="16.15" hidden="false" customHeight="false" outlineLevel="0" collapsed="false">
      <c r="B2" s="12" t="s">
        <v>350</v>
      </c>
    </row>
    <row r="3" customFormat="false" ht="15" hidden="false" customHeight="false" outlineLevel="0" collapsed="false">
      <c r="B3" s="2" t="s">
        <v>351</v>
      </c>
    </row>
    <row r="6" customFormat="false" ht="15" hidden="false" customHeight="false" outlineLevel="0" collapsed="false">
      <c r="B6" s="6" t="s">
        <v>352</v>
      </c>
      <c r="C6" s="7"/>
      <c r="D6" s="7"/>
      <c r="E6" s="7"/>
      <c r="F6" s="7"/>
    </row>
    <row r="7" customFormat="false" ht="15" hidden="false" customHeight="false" outlineLevel="0" collapsed="false">
      <c r="B7" s="3" t="s">
        <v>132</v>
      </c>
      <c r="C7" s="30" t="n">
        <f aca="false">ROUND(SUM(Lines!I6:I463),2)</f>
        <v>69880000</v>
      </c>
    </row>
    <row r="8" customFormat="false" ht="15" hidden="false" customHeight="false" outlineLevel="0" collapsed="false">
      <c r="B8" s="3" t="s">
        <v>133</v>
      </c>
      <c r="C8" s="30" t="n">
        <f aca="false">ROUND(SUM(Lines!L6:L463),2)</f>
        <v>60253524.93</v>
      </c>
    </row>
    <row r="9" customFormat="false" ht="15" hidden="false" customHeight="false" outlineLevel="0" collapsed="false">
      <c r="B9" s="3" t="s">
        <v>134</v>
      </c>
      <c r="C9" s="30" t="n">
        <f aca="false">ROUND(SUM(Lines!T6:T463),2)</f>
        <v>56124433.13</v>
      </c>
    </row>
    <row r="10" customFormat="false" ht="15" hidden="false" customHeight="false" outlineLevel="0" collapsed="false">
      <c r="B10" s="3" t="s">
        <v>353</v>
      </c>
      <c r="C10" s="30" t="n">
        <f aca="false">ROUND(SUM(Lines!U6:U463),2)</f>
        <v>39780000</v>
      </c>
    </row>
    <row r="11" customFormat="false" ht="15" hidden="false" customHeight="false" outlineLevel="0" collapsed="false">
      <c r="B11" s="3" t="s">
        <v>354</v>
      </c>
      <c r="C11" s="30" t="n">
        <f aca="false">ROUND(SUM(Lines!V6:V463),2)</f>
        <v>1205070.54</v>
      </c>
    </row>
    <row r="12" customFormat="false" ht="15" hidden="false" customHeight="false" outlineLevel="0" collapsed="false">
      <c r="B12" s="4" t="s">
        <v>136</v>
      </c>
      <c r="C12" s="22" t="n">
        <f aca="false">ROUND($C$9-$C$10-$C$11,2)</f>
        <v>15139362.59</v>
      </c>
    </row>
    <row r="13" customFormat="false" ht="15" hidden="false" customHeight="false" outlineLevel="0" collapsed="false">
      <c r="B13" s="3" t="s">
        <v>355</v>
      </c>
      <c r="C13" s="30" t="n">
        <f aca="false">Assumptions!$C$31</f>
        <v>9400000</v>
      </c>
    </row>
    <row r="14" customFormat="false" ht="15" hidden="false" customHeight="false" outlineLevel="0" collapsed="false">
      <c r="B14" s="4" t="s">
        <v>356</v>
      </c>
      <c r="C14" s="22" t="n">
        <f aca="false">ROUND($C$12-$C$13,2)</f>
        <v>5739362.59</v>
      </c>
    </row>
    <row r="15" customFormat="false" ht="15" hidden="false" customHeight="false" outlineLevel="0" collapsed="false">
      <c r="B15" s="4" t="s">
        <v>357</v>
      </c>
      <c r="C15" s="31" t="n">
        <f aca="false">$C$12/$C$9</f>
        <v>0.269746378639281</v>
      </c>
    </row>
    <row r="16" customFormat="false" ht="15" hidden="false" customHeight="false" outlineLevel="0" collapsed="false">
      <c r="B16" s="4" t="s">
        <v>358</v>
      </c>
      <c r="C16" s="22" t="n">
        <f aca="false">ROUND($C$9-$C$11,2)</f>
        <v>54919362.59</v>
      </c>
      <c r="D16" s="2" t="s">
        <v>359</v>
      </c>
    </row>
    <row r="17" customFormat="false" ht="15" hidden="false" customHeight="false" outlineLevel="0" collapsed="false">
      <c r="B17" s="4" t="s">
        <v>360</v>
      </c>
      <c r="C17" s="31" t="n">
        <f aca="false">$C$12/$C$16</f>
        <v>0.275665300470123</v>
      </c>
      <c r="D17" s="2" t="s">
        <v>361</v>
      </c>
    </row>
    <row r="18" customFormat="false" ht="15" hidden="false" customHeight="false" outlineLevel="0" collapsed="false">
      <c r="B18" s="4" t="s">
        <v>362</v>
      </c>
      <c r="C18" s="31" t="n">
        <f aca="false">($C$9-$C$10)/$C$9</f>
        <v>0.291217785525632</v>
      </c>
      <c r="D18" s="2" t="s">
        <v>363</v>
      </c>
    </row>
    <row r="19" customFormat="false" ht="15" hidden="false" customHeight="false" outlineLevel="0" collapsed="false">
      <c r="B19" s="2" t="s">
        <v>364</v>
      </c>
    </row>
    <row r="20" customFormat="false" ht="15" hidden="false" customHeight="false" outlineLevel="0" collapsed="false">
      <c r="B20" s="2" t="s">
        <v>365</v>
      </c>
    </row>
    <row r="23" customFormat="false" ht="15" hidden="false" customHeight="false" outlineLevel="0" collapsed="false">
      <c r="B23" s="6" t="s">
        <v>366</v>
      </c>
      <c r="C23" s="7"/>
      <c r="D23" s="7"/>
      <c r="E23" s="7"/>
      <c r="F23" s="7"/>
    </row>
    <row r="24" customFormat="false" ht="15" hidden="false" customHeight="false" outlineLevel="0" collapsed="false">
      <c r="B24" s="3" t="s">
        <v>367</v>
      </c>
      <c r="C24" s="20" t="n">
        <v>0.01</v>
      </c>
    </row>
    <row r="25" customFormat="false" ht="30" hidden="false" customHeight="true" outlineLevel="0" collapsed="false">
      <c r="B25" s="13" t="s">
        <v>368</v>
      </c>
      <c r="C25" s="13" t="s">
        <v>369</v>
      </c>
      <c r="D25" s="13" t="s">
        <v>370</v>
      </c>
      <c r="E25" s="13" t="s">
        <v>371</v>
      </c>
      <c r="F25" s="13" t="s">
        <v>372</v>
      </c>
    </row>
    <row r="26" customFormat="false" ht="15" hidden="false" customHeight="false" outlineLevel="0" collapsed="false">
      <c r="B26" s="14" t="s">
        <v>373</v>
      </c>
      <c r="C26" s="17" t="n">
        <f aca="false">ROUND($C$24*$C$9-$C$24*$C$11,2)</f>
        <v>549193.63</v>
      </c>
      <c r="D26" s="18" t="n">
        <f aca="false">C26/$C$14</f>
        <v>0.0956889587280806</v>
      </c>
      <c r="E26" s="29"/>
      <c r="F26" s="14" t="s">
        <v>374</v>
      </c>
    </row>
    <row r="27" customFormat="false" ht="15" hidden="false" customHeight="false" outlineLevel="0" collapsed="false">
      <c r="B27" s="14" t="s">
        <v>375</v>
      </c>
      <c r="C27" s="17" t="n">
        <f aca="false">ROUND($C$24*$C$12,2)</f>
        <v>151393.63</v>
      </c>
      <c r="D27" s="18" t="n">
        <f aca="false">C27/$C$14</f>
        <v>0.026378126076889</v>
      </c>
      <c r="E27" s="29" t="n">
        <f aca="false">C26/C27</f>
        <v>3.62758743548193</v>
      </c>
      <c r="F27" s="14" t="s">
        <v>376</v>
      </c>
    </row>
    <row r="28" customFormat="false" ht="15" hidden="false" customHeight="false" outlineLevel="0" collapsed="false">
      <c r="B28" s="14" t="s">
        <v>377</v>
      </c>
      <c r="C28" s="17" t="n">
        <f aca="false">ROUND($C$24*$C$10,2)</f>
        <v>397800</v>
      </c>
      <c r="D28" s="18" t="n">
        <f aca="false">C28/$C$14</f>
        <v>0.0693108326511917</v>
      </c>
      <c r="E28" s="29" t="n">
        <f aca="false">C26/C28</f>
        <v>1.38057724987431</v>
      </c>
      <c r="F28" s="14" t="s">
        <v>378</v>
      </c>
    </row>
    <row r="29" customFormat="false" ht="15" hidden="false" customHeight="false" outlineLevel="0" collapsed="false">
      <c r="B29" s="14" t="s">
        <v>379</v>
      </c>
      <c r="C29" s="17" t="n">
        <f aca="false">ROUND($C$24*$C$13,2)</f>
        <v>94000</v>
      </c>
      <c r="D29" s="18" t="n">
        <f aca="false">C29/$C$14</f>
        <v>0.0163781253625239</v>
      </c>
      <c r="E29" s="29" t="n">
        <f aca="false">C26/C29</f>
        <v>5.84248542553191</v>
      </c>
      <c r="F29" s="14" t="s">
        <v>378</v>
      </c>
    </row>
    <row r="32" customFormat="false" ht="15" hidden="false" customHeight="false" outlineLevel="0" collapsed="false">
      <c r="B32" s="6" t="s">
        <v>380</v>
      </c>
      <c r="C32" s="7"/>
      <c r="D32" s="7"/>
      <c r="E32" s="7"/>
      <c r="F32" s="7"/>
    </row>
    <row r="33" customFormat="false" ht="15" hidden="false" customHeight="false" outlineLevel="0" collapsed="false">
      <c r="B33" s="4" t="s">
        <v>381</v>
      </c>
      <c r="C33" s="32" t="n">
        <f aca="false">C26/C27</f>
        <v>3.62758743548193</v>
      </c>
    </row>
    <row r="34" customFormat="false" ht="15" hidden="false" customHeight="false" outlineLevel="0" collapsed="false">
      <c r="B34" s="4" t="s">
        <v>382</v>
      </c>
      <c r="C34" s="32" t="n">
        <f aca="false">1/$C$15</f>
        <v>3.7071860057749</v>
      </c>
    </row>
    <row r="35" customFormat="false" ht="15" hidden="false" customHeight="false" outlineLevel="0" collapsed="false">
      <c r="B35" s="2" t="s">
        <v>383</v>
      </c>
    </row>
    <row r="36" customFormat="false" ht="15" hidden="false" customHeight="false" outlineLevel="0" collapsed="false">
      <c r="B36" s="4" t="s">
        <v>384</v>
      </c>
      <c r="C36" s="32" t="n">
        <f aca="false">C26/C28</f>
        <v>1.38057724987431</v>
      </c>
    </row>
    <row r="37" customFormat="false" ht="15" hidden="false" customHeight="false" outlineLevel="0" collapsed="false">
      <c r="B37" s="4" t="s">
        <v>385</v>
      </c>
      <c r="C37" s="32" t="n">
        <f aca="false">C26/C29</f>
        <v>5.84248542553191</v>
      </c>
    </row>
    <row r="40" customFormat="false" ht="15" hidden="false" customHeight="false" outlineLevel="0" collapsed="false">
      <c r="B40" s="6" t="s">
        <v>386</v>
      </c>
      <c r="C40" s="7"/>
      <c r="D40" s="7"/>
      <c r="E40" s="7"/>
      <c r="F40" s="7"/>
    </row>
    <row r="41" customFormat="false" ht="30" hidden="false" customHeight="true" outlineLevel="0" collapsed="false">
      <c r="B41" s="13" t="s">
        <v>387</v>
      </c>
      <c r="C41" s="13" t="s">
        <v>381</v>
      </c>
      <c r="D41" s="13"/>
      <c r="E41" s="13"/>
      <c r="F41" s="13"/>
    </row>
    <row r="42" customFormat="false" ht="15" hidden="false" customHeight="false" outlineLevel="0" collapsed="false">
      <c r="B42" s="33" t="n">
        <f aca="false">Assumptions!$D$72</f>
        <v>0.2</v>
      </c>
      <c r="C42" s="29" t="n">
        <f aca="false">$C$24/Assumptions!$D$72</f>
        <v>0.05</v>
      </c>
    </row>
    <row r="43" customFormat="false" ht="15" hidden="false" customHeight="false" outlineLevel="0" collapsed="false">
      <c r="B43" s="33" t="n">
        <f aca="false">Assumptions!$D$73</f>
        <v>0.25</v>
      </c>
      <c r="C43" s="29" t="n">
        <f aca="false">$C$24/Assumptions!$D$73</f>
        <v>0.04</v>
      </c>
    </row>
    <row r="44" customFormat="false" ht="15" hidden="false" customHeight="false" outlineLevel="0" collapsed="false">
      <c r="B44" s="33" t="n">
        <f aca="false">Assumptions!$D$74</f>
        <v>0.3</v>
      </c>
      <c r="C44" s="29" t="n">
        <f aca="false">$C$24/Assumptions!$D$74</f>
        <v>0.0333333333333333</v>
      </c>
    </row>
    <row r="45" customFormat="false" ht="15" hidden="false" customHeight="false" outlineLevel="0" collapsed="false">
      <c r="B45" s="33" t="n">
        <f aca="false">Assumptions!$D$75</f>
        <v>0.35</v>
      </c>
      <c r="C45" s="29" t="n">
        <f aca="false">$C$24/Assumptions!$D$75</f>
        <v>0.0285714285714286</v>
      </c>
    </row>
    <row r="46" customFormat="false" ht="15" hidden="false" customHeight="false" outlineLevel="0" collapsed="false">
      <c r="B46" s="33" t="n">
        <f aca="false">Assumptions!$D$76</f>
        <v>0.4</v>
      </c>
      <c r="C46" s="29" t="n">
        <f aca="false">$C$24/Assumptions!$D$76</f>
        <v>0.025</v>
      </c>
    </row>
    <row r="47" customFormat="false" ht="15" hidden="false" customHeight="false" outlineLevel="0" collapsed="false">
      <c r="B47" s="33" t="n">
        <f aca="false">Assumptions!$D$77</f>
        <v>0.5</v>
      </c>
      <c r="C47" s="29" t="n">
        <f aca="false">$C$24/Assumptions!$D$77</f>
        <v>0.02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4" min="3" style="0" width="26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9" min="7" style="0" width="16"/>
  </cols>
  <sheetData>
    <row r="2" customFormat="false" ht="16.15" hidden="false" customHeight="false" outlineLevel="0" collapsed="false">
      <c r="B2" s="12" t="s">
        <v>388</v>
      </c>
    </row>
    <row r="3" customFormat="false" ht="15" hidden="false" customHeight="false" outlineLevel="0" collapsed="false">
      <c r="B3" s="2" t="s">
        <v>389</v>
      </c>
    </row>
    <row r="6" customFormat="false" ht="15" hidden="false" customHeight="false" outlineLevel="0" collapsed="false">
      <c r="B6" s="6" t="s">
        <v>390</v>
      </c>
      <c r="C6" s="7"/>
      <c r="D6" s="7"/>
      <c r="E6" s="7"/>
      <c r="F6" s="7"/>
      <c r="G6" s="7"/>
      <c r="H6" s="7"/>
      <c r="I6" s="7"/>
    </row>
    <row r="7" customFormat="false" ht="15" hidden="false" customHeight="false" outlineLevel="0" collapsed="false">
      <c r="B7" s="3" t="s">
        <v>391</v>
      </c>
      <c r="C7" s="34" t="n">
        <f aca="false">Levers!$C$15</f>
        <v>0.269746378639281</v>
      </c>
    </row>
    <row r="8" customFormat="false" ht="15" hidden="false" customHeight="false" outlineLevel="0" collapsed="false">
      <c r="B8" s="3" t="s">
        <v>392</v>
      </c>
      <c r="C8" s="20" t="n">
        <v>0.05</v>
      </c>
    </row>
    <row r="9" customFormat="false" ht="15" hidden="false" customHeight="false" outlineLevel="0" collapsed="false">
      <c r="B9" s="4" t="s">
        <v>393</v>
      </c>
      <c r="C9" s="35" t="n">
        <f aca="false">IF($C$7&lt;=$C$8,"no volume is enough",$C$8/($C$7-$C$8))</f>
        <v>0.227535035205637</v>
      </c>
    </row>
    <row r="10" customFormat="false" ht="15" hidden="false" customHeight="false" outlineLevel="0" collapsed="false">
      <c r="B10" s="4" t="s">
        <v>394</v>
      </c>
      <c r="C10" s="35" t="n">
        <f aca="false">$C$8/($C$7+$C$8)</f>
        <v>0.156373936783212</v>
      </c>
    </row>
    <row r="11" customFormat="false" ht="15" hidden="false" customHeight="false" outlineLevel="0" collapsed="false">
      <c r="B11" s="4" t="s">
        <v>395</v>
      </c>
      <c r="C11" s="32" t="n">
        <f aca="false">$C$9/$C$10</f>
        <v>1.45507007041127</v>
      </c>
    </row>
    <row r="12" customFormat="false" ht="15" hidden="false" customHeight="false" outlineLevel="0" collapsed="false">
      <c r="B12" s="2" t="s">
        <v>396</v>
      </c>
    </row>
    <row r="15" customFormat="false" ht="15" hidden="false" customHeight="false" outlineLevel="0" collapsed="false">
      <c r="B15" s="6" t="s">
        <v>397</v>
      </c>
      <c r="C15" s="7"/>
      <c r="D15" s="7"/>
      <c r="E15" s="7"/>
      <c r="F15" s="7"/>
      <c r="G15" s="7"/>
      <c r="H15" s="7"/>
      <c r="I15" s="7"/>
    </row>
    <row r="16" customFormat="false" ht="30" hidden="false" customHeight="true" outlineLevel="0" collapsed="false">
      <c r="B16" s="13" t="s">
        <v>398</v>
      </c>
      <c r="C16" s="13" t="s">
        <v>399</v>
      </c>
      <c r="D16" s="13" t="s">
        <v>400</v>
      </c>
      <c r="E16" s="13" t="s">
        <v>401</v>
      </c>
      <c r="F16" s="13"/>
      <c r="G16" s="13"/>
      <c r="H16" s="13"/>
      <c r="I16" s="13"/>
    </row>
    <row r="17" customFormat="false" ht="15" hidden="false" customHeight="false" outlineLevel="0" collapsed="false">
      <c r="B17" s="33" t="n">
        <f aca="false">Assumptions!$B$72</f>
        <v>0.02</v>
      </c>
      <c r="C17" s="28" t="n">
        <f aca="false">IF($C$7&lt;=Assumptions!$B$72,"no volume is enough",Assumptions!$B$72/($C$7-Assumptions!$B$72))</f>
        <v>0.0800812412534991</v>
      </c>
      <c r="D17" s="33" t="n">
        <f aca="false">Assumptions!$C$72</f>
        <v>0.02</v>
      </c>
      <c r="E17" s="28" t="n">
        <f aca="false">Assumptions!$C$72/($C$7+Assumptions!$C$72)</f>
        <v>0.0690258842713577</v>
      </c>
    </row>
    <row r="18" customFormat="false" ht="15" hidden="false" customHeight="false" outlineLevel="0" collapsed="false">
      <c r="B18" s="33" t="n">
        <f aca="false">Assumptions!$B$73</f>
        <v>0.03</v>
      </c>
      <c r="C18" s="28" t="n">
        <f aca="false">IF($C$7&lt;=Assumptions!$B$73,"no volume is enough",Assumptions!$B$73/($C$7-Assumptions!$B$73))</f>
        <v>0.125132234197946</v>
      </c>
      <c r="D18" s="33" t="n">
        <f aca="false">Assumptions!$C$73</f>
        <v>0.03</v>
      </c>
      <c r="E18" s="28" t="n">
        <f aca="false">Assumptions!$C$73/($C$7+Assumptions!$C$73)</f>
        <v>0.100084611984929</v>
      </c>
    </row>
    <row r="19" customFormat="false" ht="15" hidden="false" customHeight="false" outlineLevel="0" collapsed="false">
      <c r="B19" s="33" t="n">
        <f aca="false">Assumptions!$B$74</f>
        <v>0.05</v>
      </c>
      <c r="C19" s="28" t="n">
        <f aca="false">IF($C$7&lt;=Assumptions!$B$74,"no volume is enough",Assumptions!$B$74/($C$7-Assumptions!$B$74))</f>
        <v>0.227535035205637</v>
      </c>
      <c r="D19" s="33" t="n">
        <f aca="false">Assumptions!$C$74</f>
        <v>0.05</v>
      </c>
      <c r="E19" s="28" t="n">
        <f aca="false">Assumptions!$C$74/($C$7+Assumptions!$C$74)</f>
        <v>0.156373936783212</v>
      </c>
    </row>
    <row r="20" customFormat="false" ht="15" hidden="false" customHeight="false" outlineLevel="0" collapsed="false">
      <c r="B20" s="33" t="n">
        <f aca="false">Assumptions!$B$75</f>
        <v>0.08</v>
      </c>
      <c r="C20" s="28" t="n">
        <f aca="false">IF($C$7&lt;=Assumptions!$B$75,"no volume is enough",Assumptions!$B$75/($C$7-Assumptions!$B$75))</f>
        <v>0.421615424619432</v>
      </c>
      <c r="D20" s="33" t="n">
        <f aca="false">Assumptions!$C$75</f>
        <v>0.08</v>
      </c>
      <c r="E20" s="28" t="n">
        <f aca="false">Assumptions!$C$75/($C$7+Assumptions!$C$75)</f>
        <v>0.228737178955925</v>
      </c>
    </row>
    <row r="21" customFormat="false" ht="15" hidden="false" customHeight="false" outlineLevel="0" collapsed="false">
      <c r="B21" s="33" t="n">
        <f aca="false">Assumptions!$B$76</f>
        <v>0.1</v>
      </c>
      <c r="C21" s="28" t="n">
        <f aca="false">IF($C$7&lt;=Assumptions!$B$76,"no volume is enough",Assumptions!$B$76/($C$7-Assumptions!$B$76))</f>
        <v>0.589114187893838</v>
      </c>
      <c r="D21" s="33" t="n">
        <f aca="false">Assumptions!$C$76</f>
        <v>0.1</v>
      </c>
      <c r="E21" s="28" t="n">
        <f aca="false">Assumptions!$C$76/($C$7+Assumptions!$C$76)</f>
        <v>0.270455657653806</v>
      </c>
    </row>
    <row r="22" customFormat="false" ht="15" hidden="false" customHeight="false" outlineLevel="0" collapsed="false">
      <c r="B22" s="33" t="n">
        <f aca="false">Assumptions!$B$77</f>
        <v>0.15</v>
      </c>
      <c r="C22" s="28" t="n">
        <f aca="false">IF($C$7&lt;=Assumptions!$B$77,"no volume is enough",Assumptions!$B$77/($C$7-Assumptions!$B$77))</f>
        <v>1.25264748466301</v>
      </c>
      <c r="D22" s="33"/>
      <c r="E22" s="28"/>
    </row>
    <row r="25" customFormat="false" ht="15" hidden="false" customHeight="false" outlineLevel="0" collapsed="false">
      <c r="B25" s="6" t="s">
        <v>402</v>
      </c>
      <c r="C25" s="7"/>
      <c r="D25" s="7"/>
      <c r="E25" s="7"/>
      <c r="F25" s="7"/>
      <c r="G25" s="7"/>
      <c r="H25" s="7"/>
      <c r="I25" s="7"/>
    </row>
    <row r="26" customFormat="false" ht="30" hidden="false" customHeight="true" outlineLevel="0" collapsed="false">
      <c r="B26" s="13" t="s">
        <v>403</v>
      </c>
      <c r="C26" s="13" t="s">
        <v>404</v>
      </c>
      <c r="D26" s="13" t="s">
        <v>405</v>
      </c>
      <c r="E26" s="13" t="s">
        <v>406</v>
      </c>
      <c r="F26" s="13" t="s">
        <v>407</v>
      </c>
      <c r="G26" s="13" t="s">
        <v>408</v>
      </c>
      <c r="H26" s="13" t="s">
        <v>409</v>
      </c>
      <c r="I26" s="13"/>
    </row>
    <row r="27" customFormat="false" ht="15" hidden="false" customHeight="false" outlineLevel="0" collapsed="false">
      <c r="B27" s="33" t="n">
        <f aca="false">Assumptions!$D$72</f>
        <v>0.2</v>
      </c>
      <c r="C27" s="28" t="n">
        <f aca="false">IF(Assumptions!$D$72&lt;=Assumptions!$B$72,"no volume is enough",Assumptions!$B$72/(Assumptions!$D$72-Assumptions!$B$72))</f>
        <v>0.111111111111111</v>
      </c>
      <c r="D27" s="28" t="n">
        <f aca="false">IF(Assumptions!$D$72&lt;=Assumptions!$B$73,"no volume is enough",Assumptions!$B$73/(Assumptions!$D$72-Assumptions!$B$73))</f>
        <v>0.176470588235294</v>
      </c>
      <c r="E27" s="28" t="n">
        <f aca="false">IF(Assumptions!$D$72&lt;=Assumptions!$B$74,"no volume is enough",Assumptions!$B$74/(Assumptions!$D$72-Assumptions!$B$74))</f>
        <v>0.333333333333333</v>
      </c>
      <c r="F27" s="28" t="n">
        <f aca="false">IF(Assumptions!$D$72&lt;=Assumptions!$B$75,"no volume is enough",Assumptions!$B$75/(Assumptions!$D$72-Assumptions!$B$75))</f>
        <v>0.666666666666667</v>
      </c>
      <c r="G27" s="28" t="n">
        <f aca="false">IF(Assumptions!$D$72&lt;=Assumptions!$B$76,"no volume is enough",Assumptions!$B$76/(Assumptions!$D$72-Assumptions!$B$76))</f>
        <v>1</v>
      </c>
      <c r="H27" s="28" t="n">
        <f aca="false">IF(Assumptions!$D$72&lt;=Assumptions!$B$77,"no volume is enough",Assumptions!$B$77/(Assumptions!$D$72-Assumptions!$B$77))</f>
        <v>3</v>
      </c>
    </row>
    <row r="28" customFormat="false" ht="15" hidden="false" customHeight="false" outlineLevel="0" collapsed="false">
      <c r="B28" s="33" t="n">
        <f aca="false">Assumptions!$D$73</f>
        <v>0.25</v>
      </c>
      <c r="C28" s="28" t="n">
        <f aca="false">IF(Assumptions!$D$73&lt;=Assumptions!$B$72,"no volume is enough",Assumptions!$B$72/(Assumptions!$D$73-Assumptions!$B$72))</f>
        <v>0.0869565217391304</v>
      </c>
      <c r="D28" s="28" t="n">
        <f aca="false">IF(Assumptions!$D$73&lt;=Assumptions!$B$73,"no volume is enough",Assumptions!$B$73/(Assumptions!$D$73-Assumptions!$B$73))</f>
        <v>0.136363636363636</v>
      </c>
      <c r="E28" s="28" t="n">
        <f aca="false">IF(Assumptions!$D$73&lt;=Assumptions!$B$74,"no volume is enough",Assumptions!$B$74/(Assumptions!$D$73-Assumptions!$B$74))</f>
        <v>0.25</v>
      </c>
      <c r="F28" s="28" t="n">
        <f aca="false">IF(Assumptions!$D$73&lt;=Assumptions!$B$75,"no volume is enough",Assumptions!$B$75/(Assumptions!$D$73-Assumptions!$B$75))</f>
        <v>0.470588235294118</v>
      </c>
      <c r="G28" s="28" t="n">
        <f aca="false">IF(Assumptions!$D$73&lt;=Assumptions!$B$76,"no volume is enough",Assumptions!$B$76/(Assumptions!$D$73-Assumptions!$B$76))</f>
        <v>0.666666666666667</v>
      </c>
      <c r="H28" s="28" t="n">
        <f aca="false">IF(Assumptions!$D$73&lt;=Assumptions!$B$77,"no volume is enough",Assumptions!$B$77/(Assumptions!$D$73-Assumptions!$B$77))</f>
        <v>1.5</v>
      </c>
    </row>
    <row r="29" customFormat="false" ht="15" hidden="false" customHeight="false" outlineLevel="0" collapsed="false">
      <c r="B29" s="33" t="n">
        <f aca="false">Assumptions!$D$74</f>
        <v>0.3</v>
      </c>
      <c r="C29" s="28" t="n">
        <f aca="false">IF(Assumptions!$D$74&lt;=Assumptions!$B$72,"no volume is enough",Assumptions!$B$72/(Assumptions!$D$74-Assumptions!$B$72))</f>
        <v>0.0714285714285714</v>
      </c>
      <c r="D29" s="28" t="n">
        <f aca="false">IF(Assumptions!$D$74&lt;=Assumptions!$B$73,"no volume is enough",Assumptions!$B$73/(Assumptions!$D$74-Assumptions!$B$73))</f>
        <v>0.111111111111111</v>
      </c>
      <c r="E29" s="28" t="n">
        <f aca="false">IF(Assumptions!$D$74&lt;=Assumptions!$B$74,"no volume is enough",Assumptions!$B$74/(Assumptions!$D$74-Assumptions!$B$74))</f>
        <v>0.2</v>
      </c>
      <c r="F29" s="28" t="n">
        <f aca="false">IF(Assumptions!$D$74&lt;=Assumptions!$B$75,"no volume is enough",Assumptions!$B$75/(Assumptions!$D$74-Assumptions!$B$75))</f>
        <v>0.363636363636364</v>
      </c>
      <c r="G29" s="28" t="n">
        <f aca="false">IF(Assumptions!$D$74&lt;=Assumptions!$B$76,"no volume is enough",Assumptions!$B$76/(Assumptions!$D$74-Assumptions!$B$76))</f>
        <v>0.5</v>
      </c>
      <c r="H29" s="28" t="n">
        <f aca="false">IF(Assumptions!$D$74&lt;=Assumptions!$B$77,"no volume is enough",Assumptions!$B$77/(Assumptions!$D$74-Assumptions!$B$77))</f>
        <v>1</v>
      </c>
    </row>
    <row r="30" customFormat="false" ht="15" hidden="false" customHeight="false" outlineLevel="0" collapsed="false">
      <c r="B30" s="33" t="n">
        <f aca="false">Assumptions!$D$75</f>
        <v>0.35</v>
      </c>
      <c r="C30" s="28" t="n">
        <f aca="false">IF(Assumptions!$D$75&lt;=Assumptions!$B$72,"no volume is enough",Assumptions!$B$72/(Assumptions!$D$75-Assumptions!$B$72))</f>
        <v>0.0606060606060606</v>
      </c>
      <c r="D30" s="28" t="n">
        <f aca="false">IF(Assumptions!$D$75&lt;=Assumptions!$B$73,"no volume is enough",Assumptions!$B$73/(Assumptions!$D$75-Assumptions!$B$73))</f>
        <v>0.09375</v>
      </c>
      <c r="E30" s="28" t="n">
        <f aca="false">IF(Assumptions!$D$75&lt;=Assumptions!$B$74,"no volume is enough",Assumptions!$B$74/(Assumptions!$D$75-Assumptions!$B$74))</f>
        <v>0.166666666666667</v>
      </c>
      <c r="F30" s="28" t="n">
        <f aca="false">IF(Assumptions!$D$75&lt;=Assumptions!$B$75,"no volume is enough",Assumptions!$B$75/(Assumptions!$D$75-Assumptions!$B$75))</f>
        <v>0.296296296296296</v>
      </c>
      <c r="G30" s="28" t="n">
        <f aca="false">IF(Assumptions!$D$75&lt;=Assumptions!$B$76,"no volume is enough",Assumptions!$B$76/(Assumptions!$D$75-Assumptions!$B$76))</f>
        <v>0.4</v>
      </c>
      <c r="H30" s="28" t="n">
        <f aca="false">IF(Assumptions!$D$75&lt;=Assumptions!$B$77,"no volume is enough",Assumptions!$B$77/(Assumptions!$D$75-Assumptions!$B$77))</f>
        <v>0.75</v>
      </c>
    </row>
    <row r="31" customFormat="false" ht="15" hidden="false" customHeight="false" outlineLevel="0" collapsed="false">
      <c r="B31" s="33" t="n">
        <f aca="false">Assumptions!$D$76</f>
        <v>0.4</v>
      </c>
      <c r="C31" s="28" t="n">
        <f aca="false">IF(Assumptions!$D$76&lt;=Assumptions!$B$72,"no volume is enough",Assumptions!$B$72/(Assumptions!$D$76-Assumptions!$B$72))</f>
        <v>0.0526315789473684</v>
      </c>
      <c r="D31" s="28" t="n">
        <f aca="false">IF(Assumptions!$D$76&lt;=Assumptions!$B$73,"no volume is enough",Assumptions!$B$73/(Assumptions!$D$76-Assumptions!$B$73))</f>
        <v>0.0810810810810811</v>
      </c>
      <c r="E31" s="28" t="n">
        <f aca="false">IF(Assumptions!$D$76&lt;=Assumptions!$B$74,"no volume is enough",Assumptions!$B$74/(Assumptions!$D$76-Assumptions!$B$74))</f>
        <v>0.142857142857143</v>
      </c>
      <c r="F31" s="28" t="n">
        <f aca="false">IF(Assumptions!$D$76&lt;=Assumptions!$B$75,"no volume is enough",Assumptions!$B$75/(Assumptions!$D$76-Assumptions!$B$75))</f>
        <v>0.25</v>
      </c>
      <c r="G31" s="28" t="n">
        <f aca="false">IF(Assumptions!$D$76&lt;=Assumptions!$B$76,"no volume is enough",Assumptions!$B$76/(Assumptions!$D$76-Assumptions!$B$76))</f>
        <v>0.333333333333333</v>
      </c>
      <c r="H31" s="28" t="n">
        <f aca="false">IF(Assumptions!$D$76&lt;=Assumptions!$B$77,"no volume is enough",Assumptions!$B$77/(Assumptions!$D$76-Assumptions!$B$77))</f>
        <v>0.6</v>
      </c>
    </row>
    <row r="32" customFormat="false" ht="15" hidden="false" customHeight="false" outlineLevel="0" collapsed="false">
      <c r="B32" s="33" t="n">
        <f aca="false">Assumptions!$D$77</f>
        <v>0.5</v>
      </c>
      <c r="C32" s="28" t="n">
        <f aca="false">IF(Assumptions!$D$77&lt;=Assumptions!$B$72,"no volume is enough",Assumptions!$B$72/(Assumptions!$D$77-Assumptions!$B$72))</f>
        <v>0.0416666666666667</v>
      </c>
      <c r="D32" s="28" t="n">
        <f aca="false">IF(Assumptions!$D$77&lt;=Assumptions!$B$73,"no volume is enough",Assumptions!$B$73/(Assumptions!$D$77-Assumptions!$B$73))</f>
        <v>0.0638297872340426</v>
      </c>
      <c r="E32" s="28" t="n">
        <f aca="false">IF(Assumptions!$D$77&lt;=Assumptions!$B$74,"no volume is enough",Assumptions!$B$74/(Assumptions!$D$77-Assumptions!$B$74))</f>
        <v>0.111111111111111</v>
      </c>
      <c r="F32" s="28" t="n">
        <f aca="false">IF(Assumptions!$D$77&lt;=Assumptions!$B$75,"no volume is enough",Assumptions!$B$75/(Assumptions!$D$77-Assumptions!$B$75))</f>
        <v>0.190476190476191</v>
      </c>
      <c r="G32" s="28" t="n">
        <f aca="false">IF(Assumptions!$D$77&lt;=Assumptions!$B$76,"no volume is enough",Assumptions!$B$76/(Assumptions!$D$77-Assumptions!$B$76))</f>
        <v>0.25</v>
      </c>
      <c r="H32" s="28" t="n">
        <f aca="false">IF(Assumptions!$D$77&lt;=Assumptions!$B$77,"no volume is enough",Assumptions!$B$77/(Assumptions!$D$77-Assumptions!$B$77))</f>
        <v>0.428571428571429</v>
      </c>
    </row>
    <row r="35" customFormat="false" ht="15" hidden="false" customHeight="false" outlineLevel="0" collapsed="false">
      <c r="B35" s="6" t="s">
        <v>410</v>
      </c>
      <c r="C35" s="7"/>
      <c r="D35" s="7"/>
      <c r="E35" s="7"/>
      <c r="F35" s="7"/>
      <c r="G35" s="7"/>
      <c r="H35" s="7"/>
      <c r="I35" s="7"/>
    </row>
    <row r="36" customFormat="false" ht="30" hidden="false" customHeight="true" outlineLevel="0" collapsed="false">
      <c r="B36" s="13" t="s">
        <v>53</v>
      </c>
      <c r="C36" s="13" t="s">
        <v>134</v>
      </c>
      <c r="D36" s="13" t="s">
        <v>136</v>
      </c>
      <c r="E36" s="13" t="s">
        <v>387</v>
      </c>
      <c r="F36" s="13" t="s">
        <v>411</v>
      </c>
      <c r="G36" s="13" t="s">
        <v>412</v>
      </c>
      <c r="H36" s="13" t="s">
        <v>413</v>
      </c>
      <c r="I36" s="13"/>
    </row>
    <row r="37" customFormat="false" ht="15" hidden="false" customHeight="false" outlineLevel="0" collapsed="false">
      <c r="B37" s="14" t="s">
        <v>60</v>
      </c>
      <c r="C37" s="17" t="n">
        <f aca="false">ROUND(SUM(Lines!$T$6:$T$158),2)</f>
        <v>19494432.21</v>
      </c>
      <c r="D37" s="17" t="n">
        <f aca="false">ROUND(C37-ROUND(SUM(Lines!$U$6:$U$158),2)-ROUND(SUM(Lines!$V$6:$V$158),2),2)</f>
        <v>6596793.51</v>
      </c>
      <c r="E37" s="28" t="n">
        <f aca="false">D37/C37</f>
        <v>0.338393723855987</v>
      </c>
      <c r="F37" s="28" t="n">
        <f aca="false">Assumptions!$B$74/(E37-Assumptions!$B$74)</f>
        <v>0.173374091958285</v>
      </c>
      <c r="G37" s="28" t="n">
        <f aca="false">Assumptions!$B$76/(E37-Assumptions!$B$76)</f>
        <v>0.419474130369345</v>
      </c>
      <c r="H37" s="28" t="n">
        <f aca="false">Assumptions!$C$74/(E37+Assumptions!$C$74)</f>
        <v>0.12873534490619</v>
      </c>
    </row>
    <row r="38" customFormat="false" ht="15" hidden="false" customHeight="false" outlineLevel="0" collapsed="false">
      <c r="B38" s="14" t="s">
        <v>62</v>
      </c>
      <c r="C38" s="17" t="n">
        <f aca="false">ROUND(SUM(Lines!$T$159:$T$307),2)</f>
        <v>20421807.27</v>
      </c>
      <c r="D38" s="17" t="n">
        <f aca="false">ROUND(C38-ROUND(SUM(Lines!$U$159:$U$307),2)-ROUND(SUM(Lines!$V$159:$V$307),2),2)</f>
        <v>4861661.76</v>
      </c>
      <c r="E38" s="28" t="n">
        <f aca="false">D38/C38</f>
        <v>0.238062268227449</v>
      </c>
      <c r="F38" s="28" t="n">
        <f aca="false">Assumptions!$B$74/(E38-Assumptions!$B$74)</f>
        <v>0.265869387151751</v>
      </c>
      <c r="G38" s="28" t="n">
        <f aca="false">Assumptions!$B$76/(E38-Assumptions!$B$76)</f>
        <v>0.724310858309647</v>
      </c>
      <c r="H38" s="28" t="n">
        <f aca="false">Assumptions!$C$74/(E38+Assumptions!$C$74)</f>
        <v>0.173573582918957</v>
      </c>
    </row>
    <row r="39" customFormat="false" ht="15" hidden="false" customHeight="false" outlineLevel="0" collapsed="false">
      <c r="B39" s="14" t="s">
        <v>64</v>
      </c>
      <c r="C39" s="17" t="n">
        <f aca="false">ROUND(SUM(Lines!$T$308:$T$463),2)</f>
        <v>16208193.65</v>
      </c>
      <c r="D39" s="17" t="n">
        <f aca="false">ROUND(C39-ROUND(SUM(Lines!$U$308:$U$463),2)-ROUND(SUM(Lines!$V$308:$V$463),2),2)</f>
        <v>3680907.32</v>
      </c>
      <c r="E39" s="28" t="n">
        <f aca="false">D39/C39</f>
        <v>0.227101637572056</v>
      </c>
      <c r="F39" s="28" t="n">
        <f aca="false">Assumptions!$B$74/(E39-Assumptions!$B$74)</f>
        <v>0.282323758749305</v>
      </c>
      <c r="G39" s="28" t="n">
        <f aca="false">Assumptions!$B$76/(E39-Assumptions!$B$76)</f>
        <v>0.786771924502612</v>
      </c>
      <c r="H39" s="28" t="n">
        <f aca="false">Assumptions!$C$74/(E39+Assumptions!$C$74)</f>
        <v>0.180439207931416</v>
      </c>
    </row>
    <row r="42" customFormat="false" ht="15" hidden="false" customHeight="false" outlineLevel="0" collapsed="false">
      <c r="B42" s="6" t="s">
        <v>414</v>
      </c>
      <c r="C42" s="7"/>
      <c r="D42" s="7"/>
      <c r="E42" s="7"/>
      <c r="F42" s="7"/>
      <c r="G42" s="7"/>
      <c r="H42" s="7"/>
      <c r="I42" s="7"/>
    </row>
    <row r="43" customFormat="false" ht="15" hidden="false" customHeight="false" outlineLevel="0" collapsed="false">
      <c r="B43" s="2" t="s">
        <v>415</v>
      </c>
    </row>
    <row r="44" customFormat="false" ht="15" hidden="false" customHeight="false" outlineLevel="0" collapsed="false">
      <c r="B44" s="2" t="s">
        <v>416</v>
      </c>
    </row>
    <row r="45" customFormat="false" ht="15" hidden="false" customHeight="false" outlineLevel="0" collapsed="false">
      <c r="B45" s="2" t="s">
        <v>417</v>
      </c>
    </row>
    <row r="46" customFormat="false" ht="15" hidden="false" customHeight="false" outlineLevel="0" collapsed="false">
      <c r="B46" s="2" t="s">
        <v>418</v>
      </c>
    </row>
    <row r="47" customFormat="false" ht="15" hidden="false" customHeight="false" outlineLevel="0" collapsed="false">
      <c r="B47" s="2" t="s">
        <v>419</v>
      </c>
    </row>
    <row r="48" customFormat="false" ht="15" hidden="false" customHeight="false" outlineLevel="0" collapsed="false">
      <c r="B48" s="2" t="s">
        <v>420</v>
      </c>
    </row>
    <row r="49" customFormat="false" ht="15" hidden="false" customHeight="false" outlineLevel="0" collapsed="false">
      <c r="B49" s="3" t="s">
        <v>421</v>
      </c>
      <c r="C49" s="34" t="n">
        <f aca="false">Levers!$C$15</f>
        <v>0.269746378639281</v>
      </c>
    </row>
    <row r="50" customFormat="false" ht="15" hidden="false" customHeight="false" outlineLevel="0" collapsed="false">
      <c r="B50" s="3" t="s">
        <v>422</v>
      </c>
      <c r="C50" s="34" t="n">
        <f aca="false">Levers!$C$17</f>
        <v>0.275665300470123</v>
      </c>
    </row>
    <row r="51" customFormat="false" ht="30" hidden="false" customHeight="true" outlineLevel="0" collapsed="false">
      <c r="B51" s="13" t="s">
        <v>398</v>
      </c>
      <c r="C51" s="13" t="s">
        <v>423</v>
      </c>
      <c r="D51" s="13" t="s">
        <v>424</v>
      </c>
      <c r="E51" s="13" t="s">
        <v>425</v>
      </c>
      <c r="F51" s="13"/>
      <c r="G51" s="13"/>
      <c r="H51" s="13"/>
      <c r="I51" s="13"/>
    </row>
    <row r="52" customFormat="false" ht="15" hidden="false" customHeight="false" outlineLevel="0" collapsed="false">
      <c r="B52" s="33" t="n">
        <f aca="false">Assumptions!$B$72</f>
        <v>0.02</v>
      </c>
      <c r="C52" s="28" t="n">
        <f aca="false">IF($C$49&lt;=Assumptions!$B$72,"no volume is enough",Assumptions!$B$72/($C$49-Assumptions!$B$72))</f>
        <v>0.0800812412534991</v>
      </c>
      <c r="D52" s="28" t="n">
        <f aca="false">IF($C$50&lt;=Assumptions!$B$72,"no volume is enough",Assumptions!$B$72/($C$50-Assumptions!$B$72))</f>
        <v>0.0782272759080858</v>
      </c>
      <c r="E52" s="28" t="n">
        <f aca="false">$C52-$D52</f>
        <v>0.00185396534541321</v>
      </c>
    </row>
    <row r="53" customFormat="false" ht="15" hidden="false" customHeight="false" outlineLevel="0" collapsed="false">
      <c r="B53" s="33" t="n">
        <f aca="false">Assumptions!$B$73</f>
        <v>0.03</v>
      </c>
      <c r="C53" s="28" t="n">
        <f aca="false">IF($C$49&lt;=Assumptions!$B$73,"no volume is enough",Assumptions!$B$73/($C$49-Assumptions!$B$73))</f>
        <v>0.125132234197946</v>
      </c>
      <c r="D53" s="28" t="n">
        <f aca="false">IF($C$50&lt;=Assumptions!$B$73,"no volume is enough",Assumptions!$B$73/($C$50-Assumptions!$B$73))</f>
        <v>0.12211736839753</v>
      </c>
      <c r="E53" s="28" t="n">
        <f aca="false">$C53-$D53</f>
        <v>0.00301486580041589</v>
      </c>
    </row>
    <row r="54" customFormat="false" ht="15" hidden="false" customHeight="false" outlineLevel="0" collapsed="false">
      <c r="B54" s="33" t="n">
        <f aca="false">Assumptions!$B$74</f>
        <v>0.05</v>
      </c>
      <c r="C54" s="28" t="n">
        <f aca="false">IF($C$49&lt;=Assumptions!$B$74,"no volume is enough",Assumptions!$B$74/($C$49-Assumptions!$B$74))</f>
        <v>0.227535035205637</v>
      </c>
      <c r="D54" s="28" t="n">
        <f aca="false">IF($C$50&lt;=Assumptions!$B$74,"no volume is enough",Assumptions!$B$74/($C$50-Assumptions!$B$74))</f>
        <v>0.221567072544322</v>
      </c>
      <c r="E54" s="28" t="n">
        <f aca="false">$C54-$D54</f>
        <v>0.00596796266131472</v>
      </c>
    </row>
    <row r="55" customFormat="false" ht="15" hidden="false" customHeight="false" outlineLevel="0" collapsed="false">
      <c r="B55" s="33" t="n">
        <f aca="false">Assumptions!$B$75</f>
        <v>0.08</v>
      </c>
      <c r="C55" s="28" t="n">
        <f aca="false">IF($C$49&lt;=Assumptions!$B$75,"no volume is enough",Assumptions!$B$75/($C$49-Assumptions!$B$75))</f>
        <v>0.421615424619432</v>
      </c>
      <c r="D55" s="28" t="n">
        <f aca="false">IF($C$50&lt;=Assumptions!$B$75,"no volume is enough",Assumptions!$B$75/($C$50-Assumptions!$B$75))</f>
        <v>0.408861457845539</v>
      </c>
      <c r="E55" s="28" t="n">
        <f aca="false">$C55-$D55</f>
        <v>0.0127539667738928</v>
      </c>
    </row>
    <row r="56" customFormat="false" ht="15" hidden="false" customHeight="false" outlineLevel="0" collapsed="false">
      <c r="B56" s="33" t="n">
        <f aca="false">Assumptions!$B$76</f>
        <v>0.1</v>
      </c>
      <c r="C56" s="28" t="n">
        <f aca="false">IF($C$49&lt;=Assumptions!$B$76,"no volume is enough",Assumptions!$B$76/($C$49-Assumptions!$B$76))</f>
        <v>0.589114187893838</v>
      </c>
      <c r="D56" s="28" t="n">
        <f aca="false">IF($C$50&lt;=Assumptions!$B$76,"no volume is enough",Assumptions!$B$76/($C$50-Assumptions!$B$76))</f>
        <v>0.569264389337994</v>
      </c>
      <c r="E56" s="28" t="n">
        <f aca="false">$C56-$D56</f>
        <v>0.0198497985558433</v>
      </c>
    </row>
    <row r="57" customFormat="false" ht="15" hidden="false" customHeight="false" outlineLevel="0" collapsed="false">
      <c r="B57" s="33" t="n">
        <f aca="false">Assumptions!$B$77</f>
        <v>0.15</v>
      </c>
      <c r="C57" s="28" t="n">
        <f aca="false">IF($C$49&lt;=Assumptions!$B$77,"no volume is enough",Assumptions!$B$77/($C$49-Assumptions!$B$77))</f>
        <v>1.25264748466301</v>
      </c>
      <c r="D57" s="28" t="n">
        <f aca="false">IF($C$50&lt;=Assumptions!$B$77,"no volume is enough",Assumptions!$B$77/($C$50-Assumptions!$B$77))</f>
        <v>1.19364692909529</v>
      </c>
      <c r="E57" s="28" t="n">
        <f aca="false">$C57-$D57</f>
        <v>0.0590005555677164</v>
      </c>
    </row>
    <row r="59" customFormat="false" ht="15" hidden="false" customHeight="false" outlineLevel="0" collapsed="false">
      <c r="B59" s="2" t="s">
        <v>426</v>
      </c>
    </row>
    <row r="60" customFormat="false" ht="15" hidden="false" customHeight="false" outlineLevel="0" collapsed="false">
      <c r="B60" s="2" t="s">
        <v>427</v>
      </c>
    </row>
    <row r="63" customFormat="false" ht="15" hidden="false" customHeight="false" outlineLevel="0" collapsed="false">
      <c r="B63" s="6" t="s">
        <v>428</v>
      </c>
      <c r="C63" s="7"/>
      <c r="D63" s="7"/>
      <c r="E63" s="7"/>
      <c r="F63" s="7"/>
      <c r="G63" s="7"/>
      <c r="H63" s="7"/>
      <c r="I63" s="7"/>
    </row>
    <row r="64" customFormat="false" ht="15" hidden="false" customHeight="false" outlineLevel="0" collapsed="false">
      <c r="B64" s="4" t="s">
        <v>429</v>
      </c>
      <c r="C64" s="31" t="n">
        <f aca="false">Assumptions!$B$74/($C$7-Assumptions!$B$74)</f>
        <v>0.227535035205637</v>
      </c>
    </row>
    <row r="65" customFormat="false" ht="15" hidden="false" customHeight="false" outlineLevel="0" collapsed="false">
      <c r="B65" s="4" t="s">
        <v>430</v>
      </c>
      <c r="C65" s="31" t="n">
        <f aca="false">Assumptions!$C$74/($C$7+Assumptions!$C$74)</f>
        <v>0.156373936783212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6" min="5" style="0" width="20"/>
    <col collapsed="false" customWidth="true" hidden="false" outlineLevel="0" max="8" min="7" style="0" width="18"/>
    <col collapsed="false" customWidth="true" hidden="false" outlineLevel="0" max="9" min="9" style="0" width="22"/>
  </cols>
  <sheetData>
    <row r="2" customFormat="false" ht="16.15" hidden="false" customHeight="false" outlineLevel="0" collapsed="false">
      <c r="B2" s="12" t="s">
        <v>431</v>
      </c>
    </row>
    <row r="3" customFormat="false" ht="15" hidden="false" customHeight="false" outlineLevel="0" collapsed="false">
      <c r="B3" s="2" t="s">
        <v>432</v>
      </c>
    </row>
    <row r="6" customFormat="false" ht="15" hidden="false" customHeight="false" outlineLevel="0" collapsed="false">
      <c r="B6" s="6" t="s">
        <v>433</v>
      </c>
      <c r="C6" s="7"/>
      <c r="D6" s="7"/>
      <c r="E6" s="7"/>
      <c r="F6" s="7"/>
      <c r="G6" s="7"/>
      <c r="H6" s="7"/>
      <c r="I6" s="7"/>
    </row>
    <row r="7" customFormat="false" ht="15" hidden="false" customHeight="false" outlineLevel="0" collapsed="false">
      <c r="B7" s="2" t="s">
        <v>434</v>
      </c>
    </row>
    <row r="8" customFormat="false" ht="15" hidden="false" customHeight="false" outlineLevel="0" collapsed="false">
      <c r="B8" s="2" t="s">
        <v>435</v>
      </c>
    </row>
    <row r="9" customFormat="false" ht="15" hidden="false" customHeight="false" outlineLevel="0" collapsed="false">
      <c r="B9" s="2" t="s">
        <v>436</v>
      </c>
    </row>
    <row r="10" customFormat="false" ht="15" hidden="false" customHeight="false" outlineLevel="0" collapsed="false">
      <c r="B10" s="2" t="s">
        <v>437</v>
      </c>
    </row>
    <row r="11" customFormat="false" ht="15" hidden="false" customHeight="false" outlineLevel="0" collapsed="false">
      <c r="B11" s="2" t="s">
        <v>438</v>
      </c>
    </row>
    <row r="12" customFormat="false" ht="15" hidden="false" customHeight="false" outlineLevel="0" collapsed="false">
      <c r="B12" s="2" t="s">
        <v>439</v>
      </c>
    </row>
    <row r="13" customFormat="false" ht="15" hidden="false" customHeight="false" outlineLevel="0" collapsed="false">
      <c r="B13" s="2" t="s">
        <v>440</v>
      </c>
    </row>
    <row r="16" customFormat="false" ht="15" hidden="false" customHeight="false" outlineLevel="0" collapsed="false">
      <c r="B16" s="6" t="s">
        <v>441</v>
      </c>
      <c r="C16" s="7"/>
      <c r="D16" s="7"/>
      <c r="E16" s="7"/>
      <c r="F16" s="7"/>
      <c r="G16" s="7"/>
      <c r="H16" s="7"/>
      <c r="I16" s="7"/>
    </row>
    <row r="17" customFormat="false" ht="15" hidden="false" customHeight="false" outlineLevel="0" collapsed="false">
      <c r="B17" s="3" t="s">
        <v>92</v>
      </c>
      <c r="C17" s="36" t="str">
        <f aca="false">Assumptions!$C$58</f>
        <v>DIR-075</v>
      </c>
    </row>
    <row r="18" customFormat="false" ht="15" hidden="false" customHeight="false" outlineLevel="0" collapsed="false">
      <c r="B18" s="3" t="s">
        <v>442</v>
      </c>
      <c r="C18" s="37" t="n">
        <f aca="false">Accounts!H66</f>
        <v>9360</v>
      </c>
    </row>
    <row r="19" customFormat="false" ht="15" hidden="false" customHeight="false" outlineLevel="0" collapsed="false">
      <c r="B19" s="3" t="s">
        <v>443</v>
      </c>
      <c r="C19" s="30" t="n">
        <f aca="false">Accounts!AB66</f>
        <v>780270.35</v>
      </c>
    </row>
    <row r="20" customFormat="false" ht="15" hidden="false" customHeight="false" outlineLevel="0" collapsed="false">
      <c r="B20" s="3" t="s">
        <v>444</v>
      </c>
      <c r="C20" s="30" t="n">
        <f aca="false">Accounts!AD66</f>
        <v>477148</v>
      </c>
    </row>
    <row r="21" customFormat="false" ht="15" hidden="false" customHeight="false" outlineLevel="0" collapsed="false">
      <c r="B21" s="3" t="s">
        <v>445</v>
      </c>
      <c r="C21" s="37" t="n">
        <f aca="false">Assumptions!$C$59</f>
        <v>10000</v>
      </c>
    </row>
    <row r="22" customFormat="false" ht="15" hidden="false" customHeight="false" outlineLevel="0" collapsed="false">
      <c r="B22" s="4" t="s">
        <v>446</v>
      </c>
      <c r="C22" s="38" t="n">
        <f aca="false">$C$21-$C$18</f>
        <v>640</v>
      </c>
    </row>
    <row r="23" customFormat="false" ht="15" hidden="false" customHeight="false" outlineLevel="0" collapsed="false">
      <c r="B23" s="4" t="s">
        <v>447</v>
      </c>
      <c r="C23" s="32" t="n">
        <f aca="false">$C$19/$C$18</f>
        <v>83.3622168803419</v>
      </c>
    </row>
    <row r="24" customFormat="false" ht="15" hidden="false" customHeight="false" outlineLevel="0" collapsed="false">
      <c r="B24" s="4" t="s">
        <v>448</v>
      </c>
      <c r="C24" s="32" t="n">
        <f aca="false">$C$20/$C$18</f>
        <v>50.9773504273504</v>
      </c>
    </row>
    <row r="25" customFormat="false" ht="15" hidden="false" customHeight="false" outlineLevel="0" collapsed="false">
      <c r="B25" s="3" t="s">
        <v>449</v>
      </c>
      <c r="C25" s="39" t="n">
        <f aca="false">Accounts!P66</f>
        <v>0.02</v>
      </c>
    </row>
    <row r="26" customFormat="false" ht="15" hidden="false" customHeight="false" outlineLevel="0" collapsed="false">
      <c r="B26" s="4" t="s">
        <v>450</v>
      </c>
      <c r="C26" s="35" t="n">
        <f aca="false">IF($C$21&gt;=Assumptions!$B$44,Assumptions!$C$44,IF($C$21&gt;=Assumptions!$B$45,Assumptions!$C$45,IF($C$21&gt;=Assumptions!$B$46,Assumptions!$C$46,0)))</f>
        <v>0.035</v>
      </c>
    </row>
    <row r="27" customFormat="false" ht="15" hidden="false" customHeight="false" outlineLevel="0" collapsed="false">
      <c r="B27" s="3" t="s">
        <v>451</v>
      </c>
      <c r="C27" s="33" t="n">
        <f aca="false">Accounts!X66-Accounts!P66</f>
        <v>0.021</v>
      </c>
      <c r="D27" s="3" t="s">
        <v>452</v>
      </c>
    </row>
    <row r="29" customFormat="false" ht="15" hidden="false" customHeight="false" outlineLevel="0" collapsed="false">
      <c r="B29" s="6" t="s">
        <v>453</v>
      </c>
      <c r="C29" s="7"/>
      <c r="D29" s="7"/>
      <c r="E29" s="7"/>
      <c r="F29" s="7"/>
      <c r="G29" s="7"/>
      <c r="H29" s="7"/>
      <c r="I29" s="7"/>
    </row>
    <row r="30" customFormat="false" ht="15" hidden="false" customHeight="false" outlineLevel="0" collapsed="false">
      <c r="B30" s="4" t="s">
        <v>454</v>
      </c>
      <c r="C30" s="22" t="n">
        <f aca="false">ROUND($C$19*$C$25,2)</f>
        <v>15605.41</v>
      </c>
    </row>
    <row r="31" customFormat="false" ht="15" hidden="false" customHeight="false" outlineLevel="0" collapsed="false">
      <c r="B31" s="4" t="s">
        <v>455</v>
      </c>
      <c r="C31" s="22" t="n">
        <f aca="false">ROUND($C$19+$C$22*$C$23,2)</f>
        <v>833622.17</v>
      </c>
    </row>
    <row r="32" customFormat="false" ht="15" hidden="false" customHeight="false" outlineLevel="0" collapsed="false">
      <c r="B32" s="4" t="s">
        <v>456</v>
      </c>
      <c r="C32" s="22" t="n">
        <f aca="false">ROUND($C$31*$C$26,2)</f>
        <v>29176.78</v>
      </c>
    </row>
    <row r="33" customFormat="false" ht="15" hidden="false" customHeight="false" outlineLevel="0" collapsed="false">
      <c r="B33" s="4" t="s">
        <v>457</v>
      </c>
      <c r="C33" s="22" t="n">
        <f aca="false">ROUND($C$22*$C$23,2)</f>
        <v>53351.82</v>
      </c>
    </row>
    <row r="34" customFormat="false" ht="15" hidden="false" customHeight="false" outlineLevel="0" collapsed="false">
      <c r="B34" s="4" t="s">
        <v>458</v>
      </c>
      <c r="C34" s="22" t="n">
        <f aca="false">ROUND($C$32-$C$30,2)</f>
        <v>13571.37</v>
      </c>
    </row>
    <row r="35" customFormat="false" ht="15" hidden="false" customHeight="false" outlineLevel="0" collapsed="false">
      <c r="B35" s="4" t="s">
        <v>459</v>
      </c>
      <c r="C35" s="32" t="n">
        <f aca="false">($C$33-$C$34)/$C$22</f>
        <v>62.156953125</v>
      </c>
    </row>
    <row r="36" customFormat="false" ht="15" hidden="false" customHeight="false" outlineLevel="0" collapsed="false">
      <c r="B36" s="4" t="s">
        <v>460</v>
      </c>
      <c r="C36" s="22" t="n">
        <f aca="false">ROUND($C$22*$C$24,2)</f>
        <v>32625.5</v>
      </c>
    </row>
    <row r="37" customFormat="false" ht="15" hidden="false" customHeight="false" outlineLevel="0" collapsed="false">
      <c r="B37" s="4" t="s">
        <v>461</v>
      </c>
      <c r="C37" s="22" t="n">
        <f aca="false">ROUND($C$33-$C$34-$C$36-$C$22*$C$23*Assumptions!$C$25-$C$33*$C$27,2)</f>
        <v>4967.53</v>
      </c>
    </row>
    <row r="38" customFormat="false" ht="15" hidden="false" customHeight="false" outlineLevel="0" collapsed="false">
      <c r="B38" s="4" t="s">
        <v>462</v>
      </c>
      <c r="C38" s="22" t="n">
        <f aca="false">ROUND($C$33-$C$34-$C$36-$C$22*$C$23*Assumptions!$C$25,2)</f>
        <v>6087.91</v>
      </c>
    </row>
    <row r="40" customFormat="false" ht="15" hidden="false" customHeight="false" outlineLevel="0" collapsed="false">
      <c r="B40" s="6" t="s">
        <v>463</v>
      </c>
      <c r="C40" s="7"/>
      <c r="D40" s="7"/>
      <c r="E40" s="7"/>
      <c r="F40" s="7"/>
      <c r="G40" s="7"/>
      <c r="H40" s="7"/>
      <c r="I40" s="7"/>
    </row>
    <row r="41" customFormat="false" ht="30" hidden="false" customHeight="true" outlineLevel="0" collapsed="false">
      <c r="B41" s="13" t="s">
        <v>446</v>
      </c>
      <c r="C41" s="13" t="s">
        <v>457</v>
      </c>
      <c r="D41" s="13" t="s">
        <v>464</v>
      </c>
      <c r="E41" s="13" t="s">
        <v>459</v>
      </c>
      <c r="F41" s="13" t="s">
        <v>465</v>
      </c>
      <c r="G41" s="13" t="s">
        <v>466</v>
      </c>
      <c r="H41" s="13" t="s">
        <v>467</v>
      </c>
      <c r="I41" s="13" t="s">
        <v>468</v>
      </c>
    </row>
    <row r="42" customFormat="false" ht="15" hidden="false" customHeight="false" outlineLevel="0" collapsed="false">
      <c r="B42" s="16" t="n">
        <v>650</v>
      </c>
      <c r="C42" s="17" t="n">
        <f aca="false">ROUND(G42,2)</f>
        <v>54185.44</v>
      </c>
      <c r="D42" s="17" t="n">
        <f aca="false">ROUND(H42,2)</f>
        <v>13588.04</v>
      </c>
      <c r="E42" s="17" t="n">
        <f aca="false">(G42-H42)/$B$42</f>
        <v>62.4575378780407</v>
      </c>
      <c r="F42" s="17" t="n">
        <f aca="false">ROUND(G42-H42-$B$42*$C$24-G42*Assumptions!$C$25-G42*$C$27,2)</f>
        <v>5240.52</v>
      </c>
      <c r="G42" s="40" t="n">
        <f aca="false">$B$42*$C$23</f>
        <v>54185.4409722222</v>
      </c>
      <c r="H42" s="40" t="n">
        <f aca="false">($C$26*$C$21*$C$23-$C$25*($C$21-$B$42)*$C$23)</f>
        <v>13588.0413514957</v>
      </c>
      <c r="I42" s="41" t="str">
        <f aca="false">IF(F42&gt;=0,"yes","no")</f>
        <v>yes</v>
      </c>
    </row>
    <row r="43" customFormat="false" ht="15" hidden="false" customHeight="false" outlineLevel="0" collapsed="false">
      <c r="B43" s="16" t="n">
        <v>400</v>
      </c>
      <c r="C43" s="17" t="n">
        <f aca="false">ROUND(G43,2)</f>
        <v>33344.89</v>
      </c>
      <c r="D43" s="17" t="n">
        <f aca="false">ROUND(H43,2)</f>
        <v>13171.23</v>
      </c>
      <c r="E43" s="17" t="n">
        <f aca="false">(G43-H43)/$B$43</f>
        <v>50.4341412126068</v>
      </c>
      <c r="F43" s="17" t="n">
        <f aca="false">ROUND(G43-H43-$B$43*$C$24-G43*Assumptions!$C$25-G43*$C$27,2)</f>
        <v>-1584.42</v>
      </c>
      <c r="G43" s="40" t="n">
        <f aca="false">$B$43*$C$23</f>
        <v>33344.8867521368</v>
      </c>
      <c r="H43" s="40" t="n">
        <f aca="false">($C$26*$C$21*$C$23-$C$25*($C$21-$B$43)*$C$23)</f>
        <v>13171.230267094</v>
      </c>
      <c r="I43" s="41" t="str">
        <f aca="false">IF(F43&gt;=0,"yes","no")</f>
        <v>no</v>
      </c>
    </row>
    <row r="44" customFormat="false" ht="15" hidden="false" customHeight="false" outlineLevel="0" collapsed="false">
      <c r="B44" s="16" t="n">
        <v>200</v>
      </c>
      <c r="C44" s="17" t="n">
        <f aca="false">ROUND(G44,2)</f>
        <v>16672.44</v>
      </c>
      <c r="D44" s="17" t="n">
        <f aca="false">ROUND(H44,2)</f>
        <v>12837.78</v>
      </c>
      <c r="E44" s="17" t="n">
        <f aca="false">(G44-H44)/$B$44</f>
        <v>19.1733098824786</v>
      </c>
      <c r="F44" s="17" t="n">
        <f aca="false">ROUND(G44-H44-$B$44*$C$24-G44*Assumptions!$C$25-G44*$C$27,2)</f>
        <v>-7044.38</v>
      </c>
      <c r="G44" s="40" t="n">
        <f aca="false">$B$44*$C$23</f>
        <v>16672.4433760684</v>
      </c>
      <c r="H44" s="40" t="n">
        <f aca="false">($C$26*$C$21*$C$23-$C$25*($C$21-$B$44)*$C$23)</f>
        <v>12837.7813995727</v>
      </c>
      <c r="I44" s="41" t="str">
        <f aca="false">IF(F44&gt;=0,"yes","no")</f>
        <v>no</v>
      </c>
    </row>
    <row r="45" customFormat="false" ht="15" hidden="false" customHeight="false" outlineLevel="0" collapsed="false">
      <c r="B45" s="16" t="n">
        <v>145</v>
      </c>
      <c r="C45" s="17" t="n">
        <f aca="false">ROUND(G45,2)</f>
        <v>12087.52</v>
      </c>
      <c r="D45" s="17" t="n">
        <f aca="false">ROUND(H45,2)</f>
        <v>12746.08</v>
      </c>
      <c r="E45" s="17" t="n">
        <f aca="false">(G45-H45)/$B$45</f>
        <v>-4.54180354037729</v>
      </c>
      <c r="F45" s="17" t="n">
        <f aca="false">ROUND(G45-H45-$B$45*$C$24-G45*Assumptions!$C$25-G45*$C$27,2)</f>
        <v>-8545.87</v>
      </c>
      <c r="G45" s="40" t="n">
        <f aca="false">$B$45*$C$23</f>
        <v>12087.5214476496</v>
      </c>
      <c r="H45" s="40" t="n">
        <f aca="false">($C$26*$C$21*$C$23-$C$25*($C$21-$B$45)*$C$23)</f>
        <v>12746.0829610043</v>
      </c>
      <c r="I45" s="41" t="str">
        <f aca="false">IF(F45&gt;=0,"yes","no")</f>
        <v>no</v>
      </c>
    </row>
    <row r="46" customFormat="false" ht="15" hidden="false" customHeight="false" outlineLevel="0" collapsed="false">
      <c r="B46" s="16" t="n">
        <v>100</v>
      </c>
      <c r="C46" s="17" t="n">
        <f aca="false">ROUND(G46,2)</f>
        <v>8336.22</v>
      </c>
      <c r="D46" s="17" t="n">
        <f aca="false">ROUND(H46,2)</f>
        <v>12671.06</v>
      </c>
      <c r="E46" s="17" t="n">
        <f aca="false">(G46-H46)/$B$46</f>
        <v>-43.3483527777778</v>
      </c>
      <c r="F46" s="17" t="n">
        <f aca="false">ROUND(G46-H46-$B$46*$C$24-G46*Assumptions!$C$25-G46*$C$27,2)</f>
        <v>-9774.36</v>
      </c>
      <c r="G46" s="40" t="n">
        <f aca="false">$B$46*$C$23</f>
        <v>8336.22168803419</v>
      </c>
      <c r="H46" s="40" t="n">
        <f aca="false">($C$26*$C$21*$C$23-$C$25*($C$21-$B$46)*$C$23)</f>
        <v>12671.056965812</v>
      </c>
      <c r="I46" s="41" t="str">
        <f aca="false">IF(F46&gt;=0,"yes","no")</f>
        <v>no</v>
      </c>
    </row>
    <row r="47" customFormat="false" ht="15" hidden="false" customHeight="false" outlineLevel="0" collapsed="false">
      <c r="B47" s="16" t="n">
        <v>50</v>
      </c>
      <c r="C47" s="17" t="n">
        <f aca="false">ROUND(G47,2)</f>
        <v>4168.11</v>
      </c>
      <c r="D47" s="17" t="n">
        <f aca="false">ROUND(H47,2)</f>
        <v>12587.69</v>
      </c>
      <c r="E47" s="17" t="n">
        <f aca="false">(G47-H47)/$B$47</f>
        <v>-168.391678098291</v>
      </c>
      <c r="F47" s="17" t="n">
        <f aca="false">ROUND(G47-H47-$B$47*$C$24-G47*Assumptions!$C$25-G47*$C$27,2)</f>
        <v>-11139.34</v>
      </c>
      <c r="G47" s="40" t="n">
        <f aca="false">$B$47*$C$23</f>
        <v>4168.11084401709</v>
      </c>
      <c r="H47" s="40" t="n">
        <f aca="false">($C$26*$C$21*$C$23-$C$25*($C$21-$B$47)*$C$23)</f>
        <v>12587.6947489316</v>
      </c>
      <c r="I47" s="41" t="str">
        <f aca="false">IF(F47&gt;=0,"yes","no")</f>
        <v>no</v>
      </c>
    </row>
    <row r="48" customFormat="false" ht="15" hidden="false" customHeight="false" outlineLevel="0" collapsed="false">
      <c r="B48" s="2" t="s">
        <v>469</v>
      </c>
    </row>
    <row r="49" customFormat="false" ht="15" hidden="false" customHeight="false" outlineLevel="0" collapsed="false">
      <c r="B49" s="2" t="s">
        <v>470</v>
      </c>
    </row>
    <row r="52" customFormat="false" ht="15" hidden="false" customHeight="false" outlineLevel="0" collapsed="false">
      <c r="B52" s="6" t="s">
        <v>471</v>
      </c>
      <c r="C52" s="7"/>
      <c r="D52" s="7"/>
      <c r="E52" s="7"/>
      <c r="F52" s="7"/>
      <c r="G52" s="7"/>
      <c r="H52" s="7"/>
      <c r="I52" s="7"/>
    </row>
    <row r="53" customFormat="false" ht="15" hidden="false" customHeight="false" outlineLevel="0" collapsed="false">
      <c r="B53" s="4" t="s">
        <v>472</v>
      </c>
      <c r="C53" s="32" t="n">
        <f aca="false">($C$26-$C$25)*$C$21/((1-$C$26)+($C$26-$C$25))</f>
        <v>153.061224489796</v>
      </c>
      <c r="D53" s="2" t="s">
        <v>473</v>
      </c>
    </row>
    <row r="54" customFormat="false" ht="15" hidden="false" customHeight="false" outlineLevel="0" collapsed="false">
      <c r="B54" s="4" t="s">
        <v>474</v>
      </c>
      <c r="C54" s="32" t="n">
        <f aca="false">($C$26-$C$25)*$C$21*$C$23/(($C$23-$C$24-$C$23*Assumptions!$C$25-$C$23*$C$27)-$C$26*$C$23+($C$26-$C$25)*$C$23)</f>
        <v>458.037997087071</v>
      </c>
    </row>
    <row r="55" customFormat="false" ht="15" hidden="false" customHeight="false" outlineLevel="0" collapsed="false">
      <c r="B55" s="2" t="s">
        <v>475</v>
      </c>
    </row>
    <row r="56" customFormat="false" ht="15" hidden="false" customHeight="false" outlineLevel="0" collapsed="false">
      <c r="B56" s="2" t="s">
        <v>476</v>
      </c>
    </row>
    <row r="59" customFormat="false" ht="15" hidden="false" customHeight="false" outlineLevel="0" collapsed="false">
      <c r="B59" s="6" t="s">
        <v>477</v>
      </c>
      <c r="C59" s="7"/>
      <c r="D59" s="7"/>
      <c r="E59" s="7"/>
      <c r="F59" s="7"/>
      <c r="G59" s="7"/>
      <c r="H59" s="7"/>
      <c r="I59" s="7"/>
    </row>
    <row r="60" customFormat="false" ht="15" hidden="false" customHeight="false" outlineLevel="0" collapsed="false">
      <c r="B60" s="4" t="s">
        <v>478</v>
      </c>
      <c r="C60" s="38" t="n">
        <f aca="false">COUNTIF(Accounts!$AJ$6:$AJ$185,"&gt;0")</f>
        <v>17</v>
      </c>
    </row>
    <row r="61" customFormat="false" ht="15" hidden="false" customHeight="false" outlineLevel="0" collapsed="false">
      <c r="B61" s="4" t="s">
        <v>479</v>
      </c>
      <c r="C61" s="38" t="n">
        <f aca="false">SUM(Accounts!$AK$6:$AK$185)</f>
        <v>9961</v>
      </c>
    </row>
    <row r="62" customFormat="false" ht="15" hidden="false" customHeight="false" outlineLevel="0" collapsed="false">
      <c r="B62" s="4" t="s">
        <v>480</v>
      </c>
      <c r="C62" s="22" t="n">
        <f aca="false">Accounts!$AN$185</f>
        <v>187091.56</v>
      </c>
      <c r="D62" s="2" t="s">
        <v>481</v>
      </c>
    </row>
    <row r="63" customFormat="false" ht="15" hidden="false" customHeight="false" outlineLevel="0" collapsed="false">
      <c r="B63" s="4" t="s">
        <v>482</v>
      </c>
      <c r="C63" s="22" t="n">
        <f aca="false">ROUND(SUM(Lines!M6:M463),2)</f>
        <v>1604149.89</v>
      </c>
    </row>
    <row r="64" customFormat="false" ht="15" hidden="false" customHeight="false" outlineLevel="0" collapsed="false">
      <c r="B64" s="2" t="s">
        <v>483</v>
      </c>
    </row>
    <row r="65" customFormat="false" ht="15" hidden="false" customHeight="false" outlineLevel="0" collapsed="false">
      <c r="B65" s="2" t="s">
        <v>484</v>
      </c>
    </row>
    <row r="68" customFormat="false" ht="15" hidden="false" customHeight="false" outlineLevel="0" collapsed="false">
      <c r="B68" s="6" t="s">
        <v>485</v>
      </c>
      <c r="C68" s="7"/>
      <c r="D68" s="7"/>
      <c r="E68" s="7"/>
      <c r="F68" s="7"/>
      <c r="G68" s="7"/>
      <c r="H68" s="7"/>
      <c r="I68" s="7"/>
    </row>
    <row r="69" customFormat="false" ht="15" hidden="false" customHeight="false" outlineLevel="0" collapsed="false">
      <c r="B69" s="2" t="s">
        <v>486</v>
      </c>
    </row>
    <row r="70" customFormat="false" ht="15" hidden="false" customHeight="false" outlineLevel="0" collapsed="false">
      <c r="B70" s="2" t="s">
        <v>487</v>
      </c>
    </row>
    <row r="71" customFormat="false" ht="15" hidden="false" customHeight="false" outlineLevel="0" collapsed="false">
      <c r="B71" s="2" t="s">
        <v>488</v>
      </c>
    </row>
    <row r="72" customFormat="false" ht="15" hidden="false" customHeight="false" outlineLevel="0" collapsed="false">
      <c r="B72" s="4" t="s">
        <v>489</v>
      </c>
      <c r="C72" s="22" t="n">
        <f aca="false">ROUND(SUM(Accounts!$AO$6:$AO$185),2)</f>
        <v>1604149.89</v>
      </c>
    </row>
    <row r="73" customFormat="false" ht="15" hidden="false" customHeight="false" outlineLevel="0" collapsed="false">
      <c r="B73" s="4" t="s">
        <v>490</v>
      </c>
      <c r="C73" s="22" t="n">
        <f aca="false">ROUND(SUM(Accounts!$AP$6:$AP$185),2)</f>
        <v>951505.97</v>
      </c>
    </row>
    <row r="74" customFormat="false" ht="15" hidden="false" customHeight="false" outlineLevel="0" collapsed="false">
      <c r="B74" s="4" t="s">
        <v>491</v>
      </c>
      <c r="C74" s="22" t="n">
        <f aca="false">ROUND($C$72-$C$73,2)</f>
        <v>652643.92</v>
      </c>
    </row>
    <row r="75" customFormat="false" ht="15" hidden="false" customHeight="false" outlineLevel="0" collapsed="false">
      <c r="B75" s="4" t="s">
        <v>492</v>
      </c>
      <c r="C75" s="35" t="n">
        <f aca="false">$C$74/(Levers!$C$14)</f>
        <v>0.113713658923926</v>
      </c>
    </row>
    <row r="76" customFormat="false" ht="15" hidden="false" customHeight="false" outlineLevel="0" collapsed="false">
      <c r="B76" s="4" t="s">
        <v>493</v>
      </c>
      <c r="C76" s="35" t="n">
        <f aca="false">$C$74/(Levers!$C$9)</f>
        <v>0.0116285169150536</v>
      </c>
    </row>
    <row r="77" customFormat="false" ht="15" hidden="false" customHeight="false" outlineLevel="0" collapsed="false">
      <c r="B77" s="4" t="s">
        <v>494</v>
      </c>
      <c r="C77" s="38" t="n">
        <f aca="false">COUNTIF(Accounts!$P$6:$P$185,"&gt;0")</f>
        <v>64</v>
      </c>
    </row>
    <row r="78" customFormat="false" ht="15" hidden="false" customHeight="false" outlineLevel="0" collapsed="false">
      <c r="B78" s="4" t="s">
        <v>495</v>
      </c>
      <c r="C78" s="38" t="n">
        <f aca="false">COUNTIF(Accounts!$H$6:$H$185,"&gt;="&amp;Assumptions!$B$45)</f>
        <v>24</v>
      </c>
    </row>
    <row r="79" customFormat="false" ht="15" hidden="false" customHeight="false" outlineLevel="0" collapsed="false">
      <c r="B79" s="2" t="s">
        <v>496</v>
      </c>
    </row>
    <row r="80" customFormat="false" ht="15" hidden="false" customHeight="false" outlineLevel="0" collapsed="false">
      <c r="B80" s="2" t="s">
        <v>497</v>
      </c>
    </row>
    <row r="81" customFormat="false" ht="15" hidden="false" customHeight="false" outlineLevel="0" collapsed="false">
      <c r="B81" s="2" t="s">
        <v>498</v>
      </c>
    </row>
    <row r="82" customFormat="false" ht="15" hidden="false" customHeight="false" outlineLevel="0" collapsed="false">
      <c r="B82" s="2" t="s">
        <v>499</v>
      </c>
    </row>
    <row r="85" customFormat="false" ht="15" hidden="false" customHeight="false" outlineLevel="0" collapsed="false">
      <c r="B85" s="6" t="s">
        <v>500</v>
      </c>
      <c r="C85" s="7"/>
      <c r="D85" s="7"/>
      <c r="E85" s="7"/>
      <c r="F85" s="7"/>
      <c r="G85" s="7"/>
      <c r="H85" s="7"/>
      <c r="I85" s="7"/>
    </row>
    <row r="86" customFormat="false" ht="15" hidden="false" customHeight="false" outlineLevel="0" collapsed="false">
      <c r="B86" s="2" t="s">
        <v>501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Z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4"/>
    <col collapsed="false" customWidth="true" hidden="false" outlineLevel="0" max="26" min="3" style="0" width="13"/>
  </cols>
  <sheetData>
    <row r="2" customFormat="false" ht="16.15" hidden="false" customHeight="false" outlineLevel="0" collapsed="false">
      <c r="B2" s="12" t="s">
        <v>502</v>
      </c>
    </row>
    <row r="3" customFormat="false" ht="15" hidden="false" customHeight="false" outlineLevel="0" collapsed="false">
      <c r="B3" s="2" t="s">
        <v>503</v>
      </c>
    </row>
    <row r="6" customFormat="false" ht="15" hidden="false" customHeight="false" outlineLevel="0" collapsed="false">
      <c r="B6" s="6" t="s">
        <v>504</v>
      </c>
      <c r="C6" s="7"/>
      <c r="D6" s="7"/>
      <c r="E6" s="7"/>
      <c r="F6" s="7"/>
      <c r="G6" s="7"/>
      <c r="H6" s="7"/>
      <c r="I6" s="7"/>
    </row>
    <row r="7" customFormat="false" ht="15" hidden="false" customHeight="false" outlineLevel="0" collapsed="false">
      <c r="B7" s="3" t="s">
        <v>505</v>
      </c>
      <c r="C7" s="19" t="n">
        <v>0</v>
      </c>
    </row>
    <row r="8" customFormat="false" ht="15" hidden="false" customHeight="false" outlineLevel="0" collapsed="false">
      <c r="B8" s="3" t="s">
        <v>506</v>
      </c>
      <c r="C8" s="19" t="n">
        <v>4000</v>
      </c>
    </row>
    <row r="9" customFormat="false" ht="15" hidden="false" customHeight="false" outlineLevel="0" collapsed="false">
      <c r="B9" s="3" t="s">
        <v>507</v>
      </c>
      <c r="C9" s="42" t="n">
        <v>0.0005</v>
      </c>
    </row>
    <row r="12" customFormat="false" ht="15" hidden="false" customHeight="false" outlineLevel="0" collapsed="false">
      <c r="B12" s="6" t="s">
        <v>508</v>
      </c>
      <c r="C12" s="7"/>
      <c r="D12" s="7"/>
      <c r="E12" s="7"/>
      <c r="F12" s="7"/>
      <c r="G12" s="7"/>
      <c r="H12" s="7"/>
      <c r="I12" s="7"/>
    </row>
    <row r="13" customFormat="false" ht="15" hidden="false" customHeight="false" outlineLevel="0" collapsed="false">
      <c r="B13" s="2" t="s">
        <v>509</v>
      </c>
    </row>
    <row r="14" customFormat="false" ht="15" hidden="false" customHeight="false" outlineLevel="0" collapsed="false">
      <c r="B14" s="4" t="s">
        <v>510</v>
      </c>
      <c r="C14" s="43" t="n">
        <v>1</v>
      </c>
      <c r="D14" s="43" t="n">
        <v>2</v>
      </c>
      <c r="E14" s="43" t="n">
        <v>3</v>
      </c>
      <c r="F14" s="43" t="n">
        <v>4</v>
      </c>
      <c r="G14" s="43" t="n">
        <v>5</v>
      </c>
      <c r="H14" s="43" t="n">
        <v>6</v>
      </c>
      <c r="I14" s="43" t="n">
        <v>7</v>
      </c>
      <c r="J14" s="43" t="n">
        <v>8</v>
      </c>
      <c r="K14" s="43" t="n">
        <v>9</v>
      </c>
      <c r="L14" s="43" t="n">
        <v>10</v>
      </c>
      <c r="M14" s="43" t="n">
        <v>11</v>
      </c>
      <c r="N14" s="43" t="n">
        <v>12</v>
      </c>
      <c r="O14" s="43" t="n">
        <v>13</v>
      </c>
      <c r="P14" s="43" t="n">
        <v>14</v>
      </c>
      <c r="Q14" s="43" t="n">
        <v>15</v>
      </c>
      <c r="R14" s="43" t="n">
        <v>16</v>
      </c>
      <c r="S14" s="43" t="n">
        <v>17</v>
      </c>
      <c r="T14" s="43" t="n">
        <v>18</v>
      </c>
      <c r="U14" s="43" t="n">
        <v>19</v>
      </c>
      <c r="V14" s="43" t="n">
        <v>20</v>
      </c>
      <c r="W14" s="43" t="n">
        <v>21</v>
      </c>
      <c r="X14" s="43" t="n">
        <v>22</v>
      </c>
      <c r="Y14" s="43" t="n">
        <v>23</v>
      </c>
      <c r="Z14" s="43" t="n">
        <v>24</v>
      </c>
    </row>
    <row r="15" customFormat="false" ht="15" hidden="false" customHeight="false" outlineLevel="0" collapsed="false">
      <c r="B15" s="3" t="s">
        <v>511</v>
      </c>
      <c r="C15" s="29" t="n">
        <f aca="false">$C$7</f>
        <v>0</v>
      </c>
      <c r="D15" s="29" t="n">
        <f aca="false">IF(C18&lt;0,C17,C15)</f>
        <v>0</v>
      </c>
      <c r="E15" s="29" t="n">
        <f aca="false">IF(D18&lt;0,D17,D15)</f>
        <v>0</v>
      </c>
      <c r="F15" s="29" t="n">
        <f aca="false">IF(E18&lt;0,E17,E15)</f>
        <v>0</v>
      </c>
      <c r="G15" s="29" t="n">
        <f aca="false">IF(F18&lt;0,F17,F15)</f>
        <v>0</v>
      </c>
      <c r="H15" s="29" t="n">
        <f aca="false">IF(G18&lt;0,G17,G15)</f>
        <v>125</v>
      </c>
      <c r="I15" s="29" t="n">
        <f aca="false">IF(H18&lt;0,H17,H15)</f>
        <v>125</v>
      </c>
      <c r="J15" s="29" t="n">
        <f aca="false">IF(I18&lt;0,I17,I15)</f>
        <v>125</v>
      </c>
      <c r="K15" s="29" t="n">
        <f aca="false">IF(J18&lt;0,J17,J15)</f>
        <v>140.625</v>
      </c>
      <c r="L15" s="29" t="n">
        <f aca="false">IF(K18&lt;0,K17,K15)</f>
        <v>148.4375</v>
      </c>
      <c r="M15" s="29" t="n">
        <f aca="false">IF(L18&lt;0,L17,L15)</f>
        <v>152.34375</v>
      </c>
      <c r="N15" s="29" t="n">
        <f aca="false">IF(M18&lt;0,M17,M15)</f>
        <v>152.34375</v>
      </c>
      <c r="O15" s="29" t="n">
        <f aca="false">IF(N18&lt;0,N17,N15)</f>
        <v>152.34375</v>
      </c>
      <c r="P15" s="29" t="n">
        <f aca="false">IF(O18&lt;0,O17,O15)</f>
        <v>152.83203125</v>
      </c>
      <c r="Q15" s="29" t="n">
        <f aca="false">IF(P18&lt;0,P17,P15)</f>
        <v>152.83203125</v>
      </c>
      <c r="R15" s="29" t="n">
        <f aca="false">IF(Q18&lt;0,Q17,Q15)</f>
        <v>152.9541015625</v>
      </c>
      <c r="S15" s="29" t="n">
        <f aca="false">IF(R18&lt;0,R17,R15)</f>
        <v>153.01513671875</v>
      </c>
      <c r="T15" s="29" t="n">
        <f aca="false">IF(S18&lt;0,S17,S15)</f>
        <v>153.045654296875</v>
      </c>
      <c r="U15" s="29" t="n">
        <f aca="false">IF(T18&lt;0,T17,T15)</f>
        <v>153.060913085938</v>
      </c>
      <c r="V15" s="29" t="n">
        <f aca="false">IF(U18&lt;0,U17,U15)</f>
        <v>153.060913085938</v>
      </c>
      <c r="W15" s="29" t="n">
        <f aca="false">IF(V18&lt;0,V17,V15)</f>
        <v>153.060913085938</v>
      </c>
      <c r="X15" s="29" t="n">
        <f aca="false">IF(W18&lt;0,W17,W15)</f>
        <v>153.060913085938</v>
      </c>
      <c r="Y15" s="29" t="n">
        <f aca="false">IF(X18&lt;0,X17,X15)</f>
        <v>153.060913085938</v>
      </c>
      <c r="Z15" s="29" t="n">
        <f aca="false">IF(Y18&lt;0,Y17,Y15)</f>
        <v>153.060913085938</v>
      </c>
    </row>
    <row r="16" customFormat="false" ht="15" hidden="false" customHeight="false" outlineLevel="0" collapsed="false">
      <c r="B16" s="3" t="s">
        <v>512</v>
      </c>
      <c r="C16" s="29" t="n">
        <f aca="false">$C$8</f>
        <v>4000</v>
      </c>
      <c r="D16" s="29" t="n">
        <f aca="false">IF(C18&lt;0,C16,C17)</f>
        <v>2000</v>
      </c>
      <c r="E16" s="29" t="n">
        <f aca="false">IF(D18&lt;0,D16,D17)</f>
        <v>1000</v>
      </c>
      <c r="F16" s="29" t="n">
        <f aca="false">IF(E18&lt;0,E16,E17)</f>
        <v>500</v>
      </c>
      <c r="G16" s="29" t="n">
        <f aca="false">IF(F18&lt;0,F16,F17)</f>
        <v>250</v>
      </c>
      <c r="H16" s="29" t="n">
        <f aca="false">IF(G18&lt;0,G16,G17)</f>
        <v>250</v>
      </c>
      <c r="I16" s="29" t="n">
        <f aca="false">IF(H18&lt;0,H16,H17)</f>
        <v>187.5</v>
      </c>
      <c r="J16" s="29" t="n">
        <f aca="false">IF(I18&lt;0,I16,I17)</f>
        <v>156.25</v>
      </c>
      <c r="K16" s="29" t="n">
        <f aca="false">IF(J18&lt;0,J16,J17)</f>
        <v>156.25</v>
      </c>
      <c r="L16" s="29" t="n">
        <f aca="false">IF(K18&lt;0,K16,K17)</f>
        <v>156.25</v>
      </c>
      <c r="M16" s="29" t="n">
        <f aca="false">IF(L18&lt;0,L16,L17)</f>
        <v>156.25</v>
      </c>
      <c r="N16" s="29" t="n">
        <f aca="false">IF(M18&lt;0,M16,M17)</f>
        <v>154.296875</v>
      </c>
      <c r="O16" s="29" t="n">
        <f aca="false">IF(N18&lt;0,N16,N17)</f>
        <v>153.3203125</v>
      </c>
      <c r="P16" s="29" t="n">
        <f aca="false">IF(O18&lt;0,O16,O17)</f>
        <v>153.3203125</v>
      </c>
      <c r="Q16" s="29" t="n">
        <f aca="false">IF(P18&lt;0,P16,P17)</f>
        <v>153.076171875</v>
      </c>
      <c r="R16" s="29" t="n">
        <f aca="false">IF(Q18&lt;0,Q16,Q17)</f>
        <v>153.076171875</v>
      </c>
      <c r="S16" s="29" t="n">
        <f aca="false">IF(R18&lt;0,R16,R17)</f>
        <v>153.076171875</v>
      </c>
      <c r="T16" s="29" t="n">
        <f aca="false">IF(S18&lt;0,S16,S17)</f>
        <v>153.076171875</v>
      </c>
      <c r="U16" s="29" t="n">
        <f aca="false">IF(T18&lt;0,T16,T17)</f>
        <v>153.076171875</v>
      </c>
      <c r="V16" s="29" t="n">
        <f aca="false">IF(U18&lt;0,U16,U17)</f>
        <v>153.068542480469</v>
      </c>
      <c r="W16" s="29" t="n">
        <f aca="false">IF(V18&lt;0,V16,V17)</f>
        <v>153.064727783203</v>
      </c>
      <c r="X16" s="29" t="n">
        <f aca="false">IF(W18&lt;0,W16,W17)</f>
        <v>153.06282043457</v>
      </c>
      <c r="Y16" s="29" t="n">
        <f aca="false">IF(X18&lt;0,X16,X17)</f>
        <v>153.061866760254</v>
      </c>
      <c r="Z16" s="29" t="n">
        <f aca="false">IF(Y18&lt;0,Y16,Y17)</f>
        <v>153.061389923096</v>
      </c>
    </row>
    <row r="17" customFormat="false" ht="15" hidden="false" customHeight="false" outlineLevel="0" collapsed="false">
      <c r="B17" s="3" t="s">
        <v>513</v>
      </c>
      <c r="C17" s="29" t="n">
        <f aca="false">(C15+C16)/2</f>
        <v>2000</v>
      </c>
      <c r="D17" s="29" t="n">
        <f aca="false">(D15+D16)/2</f>
        <v>1000</v>
      </c>
      <c r="E17" s="29" t="n">
        <f aca="false">(E15+E16)/2</f>
        <v>500</v>
      </c>
      <c r="F17" s="29" t="n">
        <f aca="false">(F15+F16)/2</f>
        <v>250</v>
      </c>
      <c r="G17" s="29" t="n">
        <f aca="false">(G15+G16)/2</f>
        <v>125</v>
      </c>
      <c r="H17" s="29" t="n">
        <f aca="false">(H15+H16)/2</f>
        <v>187.5</v>
      </c>
      <c r="I17" s="29" t="n">
        <f aca="false">(I15+I16)/2</f>
        <v>156.25</v>
      </c>
      <c r="J17" s="29" t="n">
        <f aca="false">(J15+J16)/2</f>
        <v>140.625</v>
      </c>
      <c r="K17" s="29" t="n">
        <f aca="false">(K15+K16)/2</f>
        <v>148.4375</v>
      </c>
      <c r="L17" s="29" t="n">
        <f aca="false">(L15+L16)/2</f>
        <v>152.34375</v>
      </c>
      <c r="M17" s="29" t="n">
        <f aca="false">(M15+M16)/2</f>
        <v>154.296875</v>
      </c>
      <c r="N17" s="29" t="n">
        <f aca="false">(N15+N16)/2</f>
        <v>153.3203125</v>
      </c>
      <c r="O17" s="29" t="n">
        <f aca="false">(O15+O16)/2</f>
        <v>152.83203125</v>
      </c>
      <c r="P17" s="29" t="n">
        <f aca="false">(P15+P16)/2</f>
        <v>153.076171875</v>
      </c>
      <c r="Q17" s="29" t="n">
        <f aca="false">(Q15+Q16)/2</f>
        <v>152.9541015625</v>
      </c>
      <c r="R17" s="29" t="n">
        <f aca="false">(R15+R16)/2</f>
        <v>153.01513671875</v>
      </c>
      <c r="S17" s="29" t="n">
        <f aca="false">(S15+S16)/2</f>
        <v>153.045654296875</v>
      </c>
      <c r="T17" s="29" t="n">
        <f aca="false">(T15+T16)/2</f>
        <v>153.060913085938</v>
      </c>
      <c r="U17" s="29" t="n">
        <f aca="false">(U15+U16)/2</f>
        <v>153.068542480469</v>
      </c>
      <c r="V17" s="29" t="n">
        <f aca="false">(V15+V16)/2</f>
        <v>153.064727783203</v>
      </c>
      <c r="W17" s="29" t="n">
        <f aca="false">(W15+W16)/2</f>
        <v>153.06282043457</v>
      </c>
      <c r="X17" s="29" t="n">
        <f aca="false">(X15+X16)/2</f>
        <v>153.061866760254</v>
      </c>
      <c r="Y17" s="29" t="n">
        <f aca="false">(Y15+Y16)/2</f>
        <v>153.061389923096</v>
      </c>
      <c r="Z17" s="29" t="n">
        <f aca="false">(Z15+Z16)/2</f>
        <v>153.061151504517</v>
      </c>
    </row>
    <row r="18" customFormat="false" ht="15" hidden="false" customHeight="false" outlineLevel="0" collapsed="false">
      <c r="B18" s="3" t="s">
        <v>514</v>
      </c>
      <c r="C18" s="44" t="n">
        <f aca="false">(C17*'Rebate Cliff'!$C$23*(1-'Rebate Cliff'!$C$25))-('Rebate Cliff'!$C$26-'Rebate Cliff'!$C$25)*'Rebate Cliff'!$C$21*'Rebate Cliff'!$C$23</f>
        <v>150885.612553419</v>
      </c>
      <c r="D18" s="44" t="n">
        <f aca="false">(D17*'Rebate Cliff'!$C$23*(1-'Rebate Cliff'!$C$25))-('Rebate Cliff'!$C$26-'Rebate Cliff'!$C$25)*'Rebate Cliff'!$C$21*'Rebate Cliff'!$C$23</f>
        <v>69190.6400106838</v>
      </c>
      <c r="E18" s="44" t="n">
        <f aca="false">(E17*'Rebate Cliff'!$C$23*(1-'Rebate Cliff'!$C$25))-('Rebate Cliff'!$C$26-'Rebate Cliff'!$C$25)*'Rebate Cliff'!$C$21*'Rebate Cliff'!$C$23</f>
        <v>28343.1537393162</v>
      </c>
      <c r="F18" s="44" t="n">
        <f aca="false">(F17*'Rebate Cliff'!$C$23*(1-'Rebate Cliff'!$C$25))-('Rebate Cliff'!$C$26-'Rebate Cliff'!$C$25)*'Rebate Cliff'!$C$21*'Rebate Cliff'!$C$23</f>
        <v>7919.41060363248</v>
      </c>
      <c r="G18" s="44" t="n">
        <f aca="false">(G17*'Rebate Cliff'!$C$23*(1-'Rebate Cliff'!$C$25))-('Rebate Cliff'!$C$26-'Rebate Cliff'!$C$25)*'Rebate Cliff'!$C$21*'Rebate Cliff'!$C$23</f>
        <v>-2292.4609642094</v>
      </c>
      <c r="H18" s="44" t="n">
        <f aca="false">(H17*'Rebate Cliff'!$C$23*(1-'Rebate Cliff'!$C$25))-('Rebate Cliff'!$C$26-'Rebate Cliff'!$C$25)*'Rebate Cliff'!$C$21*'Rebate Cliff'!$C$23</f>
        <v>2813.47481971154</v>
      </c>
      <c r="I18" s="44" t="n">
        <f aca="false">(I17*'Rebate Cliff'!$C$23*(1-'Rebate Cliff'!$C$25))-('Rebate Cliff'!$C$26-'Rebate Cliff'!$C$25)*'Rebate Cliff'!$C$21*'Rebate Cliff'!$C$23</f>
        <v>260.506927751067</v>
      </c>
      <c r="J18" s="44" t="n">
        <f aca="false">(J17*'Rebate Cliff'!$C$23*(1-'Rebate Cliff'!$C$25))-('Rebate Cliff'!$C$26-'Rebate Cliff'!$C$25)*'Rebate Cliff'!$C$21*'Rebate Cliff'!$C$23</f>
        <v>-1015.97701822917</v>
      </c>
      <c r="K18" s="44" t="n">
        <f aca="false">(K17*'Rebate Cliff'!$C$23*(1-'Rebate Cliff'!$C$25))-('Rebate Cliff'!$C$26-'Rebate Cliff'!$C$25)*'Rebate Cliff'!$C$21*'Rebate Cliff'!$C$23</f>
        <v>-377.735045239051</v>
      </c>
      <c r="L18" s="44" t="n">
        <f aca="false">(L17*'Rebate Cliff'!$C$23*(1-'Rebate Cliff'!$C$25))-('Rebate Cliff'!$C$26-'Rebate Cliff'!$C$25)*'Rebate Cliff'!$C$21*'Rebate Cliff'!$C$23</f>
        <v>-58.6140587439932</v>
      </c>
      <c r="M18" s="44" t="n">
        <f aca="false">(M17*'Rebate Cliff'!$C$23*(1-'Rebate Cliff'!$C$25))-('Rebate Cliff'!$C$26-'Rebate Cliff'!$C$25)*'Rebate Cliff'!$C$21*'Rebate Cliff'!$C$23</f>
        <v>100.946434503538</v>
      </c>
      <c r="N18" s="44" t="n">
        <f aca="false">(N17*'Rebate Cliff'!$C$23*(1-'Rebate Cliff'!$C$25))-('Rebate Cliff'!$C$26-'Rebate Cliff'!$C$25)*'Rebate Cliff'!$C$21*'Rebate Cliff'!$C$23</f>
        <v>21.1661878797713</v>
      </c>
      <c r="O18" s="44" t="n">
        <f aca="false">(O17*'Rebate Cliff'!$C$23*(1-'Rebate Cliff'!$C$25))-('Rebate Cliff'!$C$26-'Rebate Cliff'!$C$25)*'Rebate Cliff'!$C$21*'Rebate Cliff'!$C$23</f>
        <v>-18.72393543211</v>
      </c>
      <c r="P18" s="44" t="n">
        <f aca="false">(P17*'Rebate Cliff'!$C$23*(1-'Rebate Cliff'!$C$25))-('Rebate Cliff'!$C$26-'Rebate Cliff'!$C$25)*'Rebate Cliff'!$C$21*'Rebate Cliff'!$C$23</f>
        <v>1.22112622383247</v>
      </c>
      <c r="Q18" s="44" t="n">
        <f aca="false">(Q17*'Rebate Cliff'!$C$23*(1-'Rebate Cliff'!$C$25))-('Rebate Cliff'!$C$26-'Rebate Cliff'!$C$25)*'Rebate Cliff'!$C$21*'Rebate Cliff'!$C$23</f>
        <v>-8.75140460413968</v>
      </c>
      <c r="R18" s="44" t="n">
        <f aca="false">(R17*'Rebate Cliff'!$C$23*(1-'Rebate Cliff'!$C$25))-('Rebate Cliff'!$C$26-'Rebate Cliff'!$C$25)*'Rebate Cliff'!$C$21*'Rebate Cliff'!$C$23</f>
        <v>-3.76513919015451</v>
      </c>
      <c r="S18" s="44" t="n">
        <f aca="false">(S17*'Rebate Cliff'!$C$23*(1-'Rebate Cliff'!$C$25))-('Rebate Cliff'!$C$26-'Rebate Cliff'!$C$25)*'Rebate Cliff'!$C$21*'Rebate Cliff'!$C$23</f>
        <v>-1.27200648316102</v>
      </c>
      <c r="T18" s="44" t="n">
        <f aca="false">(T17*'Rebate Cliff'!$C$23*(1-'Rebate Cliff'!$C$25))-('Rebate Cliff'!$C$26-'Rebate Cliff'!$C$25)*'Rebate Cliff'!$C$21*'Rebate Cliff'!$C$23</f>
        <v>-0.0254401296660944</v>
      </c>
      <c r="U18" s="44" t="n">
        <f aca="false">(U17*'Rebate Cliff'!$C$23*(1-'Rebate Cliff'!$C$25))-('Rebate Cliff'!$C$26-'Rebate Cliff'!$C$25)*'Rebate Cliff'!$C$21*'Rebate Cliff'!$C$23</f>
        <v>0.597843047082279</v>
      </c>
      <c r="V18" s="44" t="n">
        <f aca="false">(V17*'Rebate Cliff'!$C$23*(1-'Rebate Cliff'!$C$25))-('Rebate Cliff'!$C$26-'Rebate Cliff'!$C$25)*'Rebate Cliff'!$C$21*'Rebate Cliff'!$C$23</f>
        <v>0.286201458708092</v>
      </c>
      <c r="W18" s="44" t="n">
        <f aca="false">(W17*'Rebate Cliff'!$C$23*(1-'Rebate Cliff'!$C$25))-('Rebate Cliff'!$C$26-'Rebate Cliff'!$C$25)*'Rebate Cliff'!$C$21*'Rebate Cliff'!$C$23</f>
        <v>0.130380664522818</v>
      </c>
      <c r="X18" s="44" t="n">
        <f aca="false">(X17*'Rebate Cliff'!$C$23*(1-'Rebate Cliff'!$C$25))-('Rebate Cliff'!$C$26-'Rebate Cliff'!$C$25)*'Rebate Cliff'!$C$21*'Rebate Cliff'!$C$23</f>
        <v>0.0524702674283617</v>
      </c>
      <c r="Y18" s="44" t="n">
        <f aca="false">(Y17*'Rebate Cliff'!$C$23*(1-'Rebate Cliff'!$C$25))-('Rebate Cliff'!$C$26-'Rebate Cliff'!$C$25)*'Rebate Cliff'!$C$21*'Rebate Cliff'!$C$23</f>
        <v>0.0135150688820431</v>
      </c>
      <c r="Z18" s="44" t="n">
        <f aca="false">(Z17*'Rebate Cliff'!$C$23*(1-'Rebate Cliff'!$C$25))-('Rebate Cliff'!$C$26-'Rebate Cliff'!$C$25)*'Rebate Cliff'!$C$21*'Rebate Cliff'!$C$23</f>
        <v>-0.00596253039293515</v>
      </c>
    </row>
    <row r="20" customFormat="false" ht="15" hidden="false" customHeight="false" outlineLevel="0" collapsed="false">
      <c r="B20" s="4" t="s">
        <v>515</v>
      </c>
      <c r="C20" s="32" t="n">
        <f aca="false">Z17</f>
        <v>153.061151504517</v>
      </c>
    </row>
    <row r="21" customFormat="false" ht="15" hidden="false" customHeight="false" outlineLevel="0" collapsed="false">
      <c r="B21" s="4" t="s">
        <v>516</v>
      </c>
      <c r="C21" s="45" t="n">
        <f aca="false">Z16-Z15</f>
        <v>0.000476837158203125</v>
      </c>
    </row>
    <row r="22" customFormat="false" ht="15" hidden="false" customHeight="false" outlineLevel="0" collapsed="false">
      <c r="B22" s="4" t="s">
        <v>517</v>
      </c>
      <c r="C22" s="46" t="str">
        <f aca="false">IF(AND(ABS(Z16-Z15)&lt;=$C$9,ABS(Z18)&lt;1),"CONVERGED","NOT CONVERGED")</f>
        <v>CONVERGED</v>
      </c>
    </row>
    <row r="25" customFormat="false" ht="15" hidden="false" customHeight="false" outlineLevel="0" collapsed="false">
      <c r="B25" s="6" t="s">
        <v>518</v>
      </c>
      <c r="C25" s="7"/>
      <c r="D25" s="7"/>
      <c r="E25" s="7"/>
      <c r="F25" s="7"/>
      <c r="G25" s="7"/>
      <c r="H25" s="7"/>
      <c r="I25" s="7"/>
    </row>
    <row r="26" customFormat="false" ht="15" hidden="false" customHeight="false" outlineLevel="0" collapsed="false">
      <c r="B26" s="2" t="s">
        <v>519</v>
      </c>
    </row>
    <row r="27" customFormat="false" ht="15" hidden="false" customHeight="false" outlineLevel="0" collapsed="false">
      <c r="B27" s="4" t="s">
        <v>510</v>
      </c>
      <c r="C27" s="43" t="n">
        <v>1</v>
      </c>
      <c r="D27" s="43" t="n">
        <v>2</v>
      </c>
      <c r="E27" s="43" t="n">
        <v>3</v>
      </c>
      <c r="F27" s="43" t="n">
        <v>4</v>
      </c>
      <c r="G27" s="43" t="n">
        <v>5</v>
      </c>
      <c r="H27" s="43" t="n">
        <v>6</v>
      </c>
      <c r="I27" s="43" t="n">
        <v>7</v>
      </c>
      <c r="J27" s="43" t="n">
        <v>8</v>
      </c>
      <c r="K27" s="43" t="n">
        <v>9</v>
      </c>
      <c r="L27" s="43" t="n">
        <v>10</v>
      </c>
      <c r="M27" s="43" t="n">
        <v>11</v>
      </c>
      <c r="N27" s="43" t="n">
        <v>12</v>
      </c>
      <c r="O27" s="43" t="n">
        <v>13</v>
      </c>
      <c r="P27" s="43" t="n">
        <v>14</v>
      </c>
      <c r="Q27" s="43" t="n">
        <v>15</v>
      </c>
      <c r="R27" s="43" t="n">
        <v>16</v>
      </c>
      <c r="S27" s="43" t="n">
        <v>17</v>
      </c>
      <c r="T27" s="43" t="n">
        <v>18</v>
      </c>
      <c r="U27" s="43" t="n">
        <v>19</v>
      </c>
      <c r="V27" s="43" t="n">
        <v>20</v>
      </c>
      <c r="W27" s="43" t="n">
        <v>21</v>
      </c>
      <c r="X27" s="43" t="n">
        <v>22</v>
      </c>
      <c r="Y27" s="43" t="n">
        <v>23</v>
      </c>
      <c r="Z27" s="43" t="n">
        <v>24</v>
      </c>
    </row>
    <row r="28" customFormat="false" ht="15" hidden="false" customHeight="false" outlineLevel="0" collapsed="false">
      <c r="B28" s="3" t="s">
        <v>511</v>
      </c>
      <c r="C28" s="29" t="n">
        <f aca="false">$C$7</f>
        <v>0</v>
      </c>
      <c r="D28" s="29" t="n">
        <f aca="false">IF(C31&lt;0,C30,C28)</f>
        <v>0</v>
      </c>
      <c r="E28" s="29" t="n">
        <f aca="false">IF(D31&lt;0,D30,D28)</f>
        <v>0</v>
      </c>
      <c r="F28" s="29" t="n">
        <f aca="false">IF(E31&lt;0,E30,E28)</f>
        <v>0</v>
      </c>
      <c r="G28" s="29" t="n">
        <f aca="false">IF(F31&lt;0,F30,F28)</f>
        <v>250</v>
      </c>
      <c r="H28" s="29" t="n">
        <f aca="false">IF(G31&lt;0,G30,G28)</f>
        <v>375</v>
      </c>
      <c r="I28" s="29" t="n">
        <f aca="false">IF(H31&lt;0,H30,H28)</f>
        <v>437.5</v>
      </c>
      <c r="J28" s="29" t="n">
        <f aca="false">IF(I31&lt;0,I30,I28)</f>
        <v>437.5</v>
      </c>
      <c r="K28" s="29" t="n">
        <f aca="false">IF(J31&lt;0,J30,J28)</f>
        <v>453.125</v>
      </c>
      <c r="L28" s="29" t="n">
        <f aca="false">IF(K31&lt;0,K30,K28)</f>
        <v>453.125</v>
      </c>
      <c r="M28" s="29" t="n">
        <f aca="false">IF(L31&lt;0,L30,L28)</f>
        <v>457.03125</v>
      </c>
      <c r="N28" s="29" t="n">
        <f aca="false">IF(M31&lt;0,M30,M28)</f>
        <v>457.03125</v>
      </c>
      <c r="O28" s="29" t="n">
        <f aca="false">IF(N31&lt;0,N30,N28)</f>
        <v>458.0078125</v>
      </c>
      <c r="P28" s="29" t="n">
        <f aca="false">IF(O31&lt;0,O30,O28)</f>
        <v>458.0078125</v>
      </c>
      <c r="Q28" s="29" t="n">
        <f aca="false">IF(P31&lt;0,P30,P28)</f>
        <v>458.0078125</v>
      </c>
      <c r="R28" s="29" t="n">
        <f aca="false">IF(Q31&lt;0,Q30,Q28)</f>
        <v>458.0078125</v>
      </c>
      <c r="S28" s="29" t="n">
        <f aca="false">IF(R31&lt;0,R30,R28)</f>
        <v>458.0078125</v>
      </c>
      <c r="T28" s="29" t="n">
        <f aca="false">IF(S31&lt;0,S30,S28)</f>
        <v>458.0078125</v>
      </c>
      <c r="U28" s="29" t="n">
        <f aca="false">IF(T31&lt;0,T30,T28)</f>
        <v>458.023071289063</v>
      </c>
      <c r="V28" s="29" t="n">
        <f aca="false">IF(U31&lt;0,U30,U28)</f>
        <v>458.030700683594</v>
      </c>
      <c r="W28" s="29" t="n">
        <f aca="false">IF(V31&lt;0,V30,V28)</f>
        <v>458.034515380859</v>
      </c>
      <c r="X28" s="29" t="n">
        <f aca="false">IF(W31&lt;0,W30,W28)</f>
        <v>458.036422729492</v>
      </c>
      <c r="Y28" s="29" t="n">
        <f aca="false">IF(X31&lt;0,X30,X28)</f>
        <v>458.037376403809</v>
      </c>
      <c r="Z28" s="29" t="n">
        <f aca="false">IF(Y31&lt;0,Y30,Y28)</f>
        <v>458.037853240967</v>
      </c>
    </row>
    <row r="29" customFormat="false" ht="15" hidden="false" customHeight="false" outlineLevel="0" collapsed="false">
      <c r="B29" s="3" t="s">
        <v>512</v>
      </c>
      <c r="C29" s="29" t="n">
        <f aca="false">$C$8</f>
        <v>4000</v>
      </c>
      <c r="D29" s="29" t="n">
        <f aca="false">IF(C31&lt;0,C29,C30)</f>
        <v>2000</v>
      </c>
      <c r="E29" s="29" t="n">
        <f aca="false">IF(D31&lt;0,D29,D30)</f>
        <v>1000</v>
      </c>
      <c r="F29" s="29" t="n">
        <f aca="false">IF(E31&lt;0,E29,E30)</f>
        <v>500</v>
      </c>
      <c r="G29" s="29" t="n">
        <f aca="false">IF(F31&lt;0,F29,F30)</f>
        <v>500</v>
      </c>
      <c r="H29" s="29" t="n">
        <f aca="false">IF(G31&lt;0,G29,G30)</f>
        <v>500</v>
      </c>
      <c r="I29" s="29" t="n">
        <f aca="false">IF(H31&lt;0,H29,H30)</f>
        <v>500</v>
      </c>
      <c r="J29" s="29" t="n">
        <f aca="false">IF(I31&lt;0,I29,I30)</f>
        <v>468.75</v>
      </c>
      <c r="K29" s="29" t="n">
        <f aca="false">IF(J31&lt;0,J29,J30)</f>
        <v>468.75</v>
      </c>
      <c r="L29" s="29" t="n">
        <f aca="false">IF(K31&lt;0,K29,K30)</f>
        <v>460.9375</v>
      </c>
      <c r="M29" s="29" t="n">
        <f aca="false">IF(L31&lt;0,L29,L30)</f>
        <v>460.9375</v>
      </c>
      <c r="N29" s="29" t="n">
        <f aca="false">IF(M31&lt;0,M29,M30)</f>
        <v>458.984375</v>
      </c>
      <c r="O29" s="29" t="n">
        <f aca="false">IF(N31&lt;0,N29,N30)</f>
        <v>458.984375</v>
      </c>
      <c r="P29" s="29" t="n">
        <f aca="false">IF(O31&lt;0,O29,O30)</f>
        <v>458.49609375</v>
      </c>
      <c r="Q29" s="29" t="n">
        <f aca="false">IF(P31&lt;0,P29,P30)</f>
        <v>458.251953125</v>
      </c>
      <c r="R29" s="29" t="n">
        <f aca="false">IF(Q31&lt;0,Q29,Q30)</f>
        <v>458.1298828125</v>
      </c>
      <c r="S29" s="29" t="n">
        <f aca="false">IF(R31&lt;0,R29,R30)</f>
        <v>458.06884765625</v>
      </c>
      <c r="T29" s="29" t="n">
        <f aca="false">IF(S31&lt;0,S29,S30)</f>
        <v>458.038330078125</v>
      </c>
      <c r="U29" s="29" t="n">
        <f aca="false">IF(T31&lt;0,T29,T30)</f>
        <v>458.038330078125</v>
      </c>
      <c r="V29" s="29" t="n">
        <f aca="false">IF(U31&lt;0,U29,U30)</f>
        <v>458.038330078125</v>
      </c>
      <c r="W29" s="29" t="n">
        <f aca="false">IF(V31&lt;0,V29,V30)</f>
        <v>458.038330078125</v>
      </c>
      <c r="X29" s="29" t="n">
        <f aca="false">IF(W31&lt;0,W29,W30)</f>
        <v>458.038330078125</v>
      </c>
      <c r="Y29" s="29" t="n">
        <f aca="false">IF(X31&lt;0,X29,X30)</f>
        <v>458.038330078125</v>
      </c>
      <c r="Z29" s="29" t="n">
        <f aca="false">IF(Y31&lt;0,Y29,Y30)</f>
        <v>458.038330078125</v>
      </c>
    </row>
    <row r="30" customFormat="false" ht="15" hidden="false" customHeight="false" outlineLevel="0" collapsed="false">
      <c r="B30" s="3" t="s">
        <v>513</v>
      </c>
      <c r="C30" s="29" t="n">
        <f aca="false">(C28+C29)/2</f>
        <v>2000</v>
      </c>
      <c r="D30" s="29" t="n">
        <f aca="false">(D28+D29)/2</f>
        <v>1000</v>
      </c>
      <c r="E30" s="29" t="n">
        <f aca="false">(E28+E29)/2</f>
        <v>500</v>
      </c>
      <c r="F30" s="29" t="n">
        <f aca="false">(F28+F29)/2</f>
        <v>250</v>
      </c>
      <c r="G30" s="29" t="n">
        <f aca="false">(G28+G29)/2</f>
        <v>375</v>
      </c>
      <c r="H30" s="29" t="n">
        <f aca="false">(H28+H29)/2</f>
        <v>437.5</v>
      </c>
      <c r="I30" s="29" t="n">
        <f aca="false">(I28+I29)/2</f>
        <v>468.75</v>
      </c>
      <c r="J30" s="29" t="n">
        <f aca="false">(J28+J29)/2</f>
        <v>453.125</v>
      </c>
      <c r="K30" s="29" t="n">
        <f aca="false">(K28+K29)/2</f>
        <v>460.9375</v>
      </c>
      <c r="L30" s="29" t="n">
        <f aca="false">(L28+L29)/2</f>
        <v>457.03125</v>
      </c>
      <c r="M30" s="29" t="n">
        <f aca="false">(M28+M29)/2</f>
        <v>458.984375</v>
      </c>
      <c r="N30" s="29" t="n">
        <f aca="false">(N28+N29)/2</f>
        <v>458.0078125</v>
      </c>
      <c r="O30" s="29" t="n">
        <f aca="false">(O28+O29)/2</f>
        <v>458.49609375</v>
      </c>
      <c r="P30" s="29" t="n">
        <f aca="false">(P28+P29)/2</f>
        <v>458.251953125</v>
      </c>
      <c r="Q30" s="29" t="n">
        <f aca="false">(Q28+Q29)/2</f>
        <v>458.1298828125</v>
      </c>
      <c r="R30" s="29" t="n">
        <f aca="false">(R28+R29)/2</f>
        <v>458.06884765625</v>
      </c>
      <c r="S30" s="29" t="n">
        <f aca="false">(S28+S29)/2</f>
        <v>458.038330078125</v>
      </c>
      <c r="T30" s="29" t="n">
        <f aca="false">(T28+T29)/2</f>
        <v>458.023071289063</v>
      </c>
      <c r="U30" s="29" t="n">
        <f aca="false">(U28+U29)/2</f>
        <v>458.030700683594</v>
      </c>
      <c r="V30" s="29" t="n">
        <f aca="false">(V28+V29)/2</f>
        <v>458.034515380859</v>
      </c>
      <c r="W30" s="29" t="n">
        <f aca="false">(W28+W29)/2</f>
        <v>458.036422729492</v>
      </c>
      <c r="X30" s="29" t="n">
        <f aca="false">(X28+X29)/2</f>
        <v>458.037376403809</v>
      </c>
      <c r="Y30" s="29" t="n">
        <f aca="false">(Y28+Y29)/2</f>
        <v>458.037853240967</v>
      </c>
      <c r="Z30" s="29" t="n">
        <f aca="false">(Z28+Z29)/2</f>
        <v>458.038091659546</v>
      </c>
    </row>
    <row r="31" customFormat="false" ht="15" hidden="false" customHeight="false" outlineLevel="0" collapsed="false">
      <c r="B31" s="3" t="s">
        <v>514</v>
      </c>
      <c r="C31" s="44" t="n">
        <f aca="false">(C30*'Rebate Cliff'!$C$23*(1-'Rebate Cliff'!$C$25))-('Rebate Cliff'!$C$26-'Rebate Cliff'!$C$25)*'Rebate Cliff'!$C$21*'Rebate Cliff'!$C$23-C30*'Rebate Cliff'!$C$24-C30*'Rebate Cliff'!$C$23*Assumptions!$C$25-C30*'Rebate Cliff'!$C$23*'Rebate Cliff'!$C$27</f>
        <v>42095.2099145299</v>
      </c>
      <c r="D31" s="44" t="n">
        <f aca="false">(D30*'Rebate Cliff'!$C$23*(1-'Rebate Cliff'!$C$25))-('Rebate Cliff'!$C$26-'Rebate Cliff'!$C$25)*'Rebate Cliff'!$C$21*'Rebate Cliff'!$C$23-D30*'Rebate Cliff'!$C$24-D30*'Rebate Cliff'!$C$23*Assumptions!$C$25-D30*'Rebate Cliff'!$C$23*'Rebate Cliff'!$C$27</f>
        <v>14795.4386912393</v>
      </c>
      <c r="E31" s="44" t="n">
        <f aca="false">(E30*'Rebate Cliff'!$C$23*(1-'Rebate Cliff'!$C$25))-('Rebate Cliff'!$C$26-'Rebate Cliff'!$C$25)*'Rebate Cliff'!$C$21*'Rebate Cliff'!$C$23-E30*'Rebate Cliff'!$C$24-E30*'Rebate Cliff'!$C$23*Assumptions!$C$25-E30*'Rebate Cliff'!$C$23*'Rebate Cliff'!$C$27</f>
        <v>1145.55307959401</v>
      </c>
      <c r="F31" s="44" t="n">
        <f aca="false">(F30*'Rebate Cliff'!$C$23*(1-'Rebate Cliff'!$C$25))-('Rebate Cliff'!$C$26-'Rebate Cliff'!$C$25)*'Rebate Cliff'!$C$21*'Rebate Cliff'!$C$23-F30*'Rebate Cliff'!$C$24-F30*'Rebate Cliff'!$C$23*Assumptions!$C$25-F30*'Rebate Cliff'!$C$23*'Rebate Cliff'!$C$27</f>
        <v>-5679.38972622864</v>
      </c>
      <c r="G31" s="44" t="n">
        <f aca="false">(G30*'Rebate Cliff'!$C$23*(1-'Rebate Cliff'!$C$25))-('Rebate Cliff'!$C$26-'Rebate Cliff'!$C$25)*'Rebate Cliff'!$C$21*'Rebate Cliff'!$C$23-G30*'Rebate Cliff'!$C$24-G30*'Rebate Cliff'!$C$23*Assumptions!$C$25-G30*'Rebate Cliff'!$C$23*'Rebate Cliff'!$C$27</f>
        <v>-2266.91832331731</v>
      </c>
      <c r="H31" s="44" t="n">
        <f aca="false">(H30*'Rebate Cliff'!$C$23*(1-'Rebate Cliff'!$C$25))-('Rebate Cliff'!$C$26-'Rebate Cliff'!$C$25)*'Rebate Cliff'!$C$21*'Rebate Cliff'!$C$23-H30*'Rebate Cliff'!$C$24-H30*'Rebate Cliff'!$C$23*Assumptions!$C$25-H30*'Rebate Cliff'!$C$23*'Rebate Cliff'!$C$27</f>
        <v>-560.682621861649</v>
      </c>
      <c r="I31" s="44" t="n">
        <f aca="false">(I30*'Rebate Cliff'!$C$23*(1-'Rebate Cliff'!$C$25))-('Rebate Cliff'!$C$26-'Rebate Cliff'!$C$25)*'Rebate Cliff'!$C$21*'Rebate Cliff'!$C$23-I30*'Rebate Cliff'!$C$24-I30*'Rebate Cliff'!$C$23*Assumptions!$C$25-I30*'Rebate Cliff'!$C$23*'Rebate Cliff'!$C$27</f>
        <v>292.435228866187</v>
      </c>
      <c r="J31" s="44" t="n">
        <f aca="false">(J30*'Rebate Cliff'!$C$23*(1-'Rebate Cliff'!$C$25))-('Rebate Cliff'!$C$26-'Rebate Cliff'!$C$25)*'Rebate Cliff'!$C$21*'Rebate Cliff'!$C$23-J30*'Rebate Cliff'!$C$24-J30*'Rebate Cliff'!$C$23*Assumptions!$C$25-J30*'Rebate Cliff'!$C$23*'Rebate Cliff'!$C$27</f>
        <v>-134.123696497731</v>
      </c>
      <c r="K31" s="44" t="n">
        <f aca="false">(K30*'Rebate Cliff'!$C$23*(1-'Rebate Cliff'!$C$25))-('Rebate Cliff'!$C$26-'Rebate Cliff'!$C$25)*'Rebate Cliff'!$C$21*'Rebate Cliff'!$C$23-K30*'Rebate Cliff'!$C$24-K30*'Rebate Cliff'!$C$23*Assumptions!$C$25-K30*'Rebate Cliff'!$C$23*'Rebate Cliff'!$C$27</f>
        <v>79.1557661842246</v>
      </c>
      <c r="L31" s="44" t="n">
        <f aca="false">(L30*'Rebate Cliff'!$C$23*(1-'Rebate Cliff'!$C$25))-('Rebate Cliff'!$C$26-'Rebate Cliff'!$C$25)*'Rebate Cliff'!$C$21*'Rebate Cliff'!$C$23-L30*'Rebate Cliff'!$C$24-L30*'Rebate Cliff'!$C$23*Assumptions!$C$25-L30*'Rebate Cliff'!$C$23*'Rebate Cliff'!$C$27</f>
        <v>-27.4839651567513</v>
      </c>
      <c r="M31" s="44" t="n">
        <f aca="false">(M30*'Rebate Cliff'!$C$23*(1-'Rebate Cliff'!$C$25))-('Rebate Cliff'!$C$26-'Rebate Cliff'!$C$25)*'Rebate Cliff'!$C$21*'Rebate Cliff'!$C$23-M30*'Rebate Cliff'!$C$24-M30*'Rebate Cliff'!$C$23*Assumptions!$C$25-M30*'Rebate Cliff'!$C$23*'Rebate Cliff'!$C$27</f>
        <v>25.8359005137313</v>
      </c>
      <c r="N31" s="44" t="n">
        <f aca="false">(N30*'Rebate Cliff'!$C$23*(1-'Rebate Cliff'!$C$25))-('Rebate Cliff'!$C$26-'Rebate Cliff'!$C$25)*'Rebate Cliff'!$C$21*'Rebate Cliff'!$C$23-N30*'Rebate Cliff'!$C$24-N30*'Rebate Cliff'!$C$23*Assumptions!$C$25-N30*'Rebate Cliff'!$C$23*'Rebate Cliff'!$C$27</f>
        <v>-0.824032321509776</v>
      </c>
      <c r="O31" s="44" t="n">
        <f aca="false">(O30*'Rebate Cliff'!$C$23*(1-'Rebate Cliff'!$C$25))-('Rebate Cliff'!$C$26-'Rebate Cliff'!$C$25)*'Rebate Cliff'!$C$21*'Rebate Cliff'!$C$23-O30*'Rebate Cliff'!$C$24-O30*'Rebate Cliff'!$C$23*Assumptions!$C$25-O30*'Rebate Cliff'!$C$23*'Rebate Cliff'!$C$27</f>
        <v>12.5059340961105</v>
      </c>
      <c r="P31" s="44" t="n">
        <f aca="false">(P30*'Rebate Cliff'!$C$23*(1-'Rebate Cliff'!$C$25))-('Rebate Cliff'!$C$26-'Rebate Cliff'!$C$25)*'Rebate Cliff'!$C$21*'Rebate Cliff'!$C$23-P30*'Rebate Cliff'!$C$24-P30*'Rebate Cliff'!$C$23*Assumptions!$C$25-P30*'Rebate Cliff'!$C$23*'Rebate Cliff'!$C$27</f>
        <v>5.84095088730226</v>
      </c>
      <c r="Q31" s="44" t="n">
        <f aca="false">(Q30*'Rebate Cliff'!$C$23*(1-'Rebate Cliff'!$C$25))-('Rebate Cliff'!$C$26-'Rebate Cliff'!$C$25)*'Rebate Cliff'!$C$21*'Rebate Cliff'!$C$23-Q30*'Rebate Cliff'!$C$24-Q30*'Rebate Cliff'!$C$23*Assumptions!$C$25-Q30*'Rebate Cliff'!$C$23*'Rebate Cliff'!$C$27</f>
        <v>2.50845928289789</v>
      </c>
      <c r="R31" s="44" t="n">
        <f aca="false">(R30*'Rebate Cliff'!$C$23*(1-'Rebate Cliff'!$C$25))-('Rebate Cliff'!$C$26-'Rebate Cliff'!$C$25)*'Rebate Cliff'!$C$21*'Rebate Cliff'!$C$23-R30*'Rebate Cliff'!$C$24-R30*'Rebate Cliff'!$C$23*Assumptions!$C$25-R30*'Rebate Cliff'!$C$23*'Rebate Cliff'!$C$27</f>
        <v>0.842213480695705</v>
      </c>
      <c r="S31" s="44" t="n">
        <f aca="false">(S30*'Rebate Cliff'!$C$23*(1-'Rebate Cliff'!$C$25))-('Rebate Cliff'!$C$26-'Rebate Cliff'!$C$25)*'Rebate Cliff'!$C$21*'Rebate Cliff'!$C$23-S30*'Rebate Cliff'!$C$24-S30*'Rebate Cliff'!$C$23*Assumptions!$C$25-S30*'Rebate Cliff'!$C$23*'Rebate Cliff'!$C$27</f>
        <v>0.00909057959086113</v>
      </c>
      <c r="T31" s="44" t="n">
        <f aca="false">(T30*'Rebate Cliff'!$C$23*(1-'Rebate Cliff'!$C$25))-('Rebate Cliff'!$C$26-'Rebate Cliff'!$C$25)*'Rebate Cliff'!$C$21*'Rebate Cliff'!$C$23-T30*'Rebate Cliff'!$C$24-T30*'Rebate Cliff'!$C$23*Assumptions!$C$25-T30*'Rebate Cliff'!$C$23*'Rebate Cliff'!$C$27</f>
        <v>-0.407470870952238</v>
      </c>
      <c r="U31" s="44" t="n">
        <f aca="false">(U30*'Rebate Cliff'!$C$23*(1-'Rebate Cliff'!$C$25))-('Rebate Cliff'!$C$26-'Rebate Cliff'!$C$25)*'Rebate Cliff'!$C$21*'Rebate Cliff'!$C$23-U30*'Rebate Cliff'!$C$24-U30*'Rebate Cliff'!$C$23*Assumptions!$C$25-U30*'Rebate Cliff'!$C$23*'Rebate Cliff'!$C$27</f>
        <v>-0.199190145682337</v>
      </c>
      <c r="V31" s="44" t="n">
        <f aca="false">(V30*'Rebate Cliff'!$C$23*(1-'Rebate Cliff'!$C$25))-('Rebate Cliff'!$C$26-'Rebate Cliff'!$C$25)*'Rebate Cliff'!$C$21*'Rebate Cliff'!$C$23-V30*'Rebate Cliff'!$C$24-V30*'Rebate Cliff'!$C$23*Assumptions!$C$25-V30*'Rebate Cliff'!$C$23*'Rebate Cliff'!$C$27</f>
        <v>-0.0950497830421</v>
      </c>
      <c r="W31" s="44" t="n">
        <f aca="false">(W30*'Rebate Cliff'!$C$23*(1-'Rebate Cliff'!$C$25))-('Rebate Cliff'!$C$26-'Rebate Cliff'!$C$25)*'Rebate Cliff'!$C$21*'Rebate Cliff'!$C$23-W30*'Rebate Cliff'!$C$24-W30*'Rebate Cliff'!$C$23*Assumptions!$C$25-W30*'Rebate Cliff'!$C$23*'Rebate Cliff'!$C$27</f>
        <v>-0.0429796017256194</v>
      </c>
      <c r="X31" s="44" t="n">
        <f aca="false">(X30*'Rebate Cliff'!$C$23*(1-'Rebate Cliff'!$C$25))-('Rebate Cliff'!$C$26-'Rebate Cliff'!$C$25)*'Rebate Cliff'!$C$21*'Rebate Cliff'!$C$23-X30*'Rebate Cliff'!$C$24-X30*'Rebate Cliff'!$C$23*Assumptions!$C$25-X30*'Rebate Cliff'!$C$23*'Rebate Cliff'!$C$27</f>
        <v>-0.0169445110655033</v>
      </c>
      <c r="Y31" s="44" t="n">
        <f aca="false">(Y30*'Rebate Cliff'!$C$23*(1-'Rebate Cliff'!$C$25))-('Rebate Cliff'!$C$26-'Rebate Cliff'!$C$25)*'Rebate Cliff'!$C$21*'Rebate Cliff'!$C$23-Y30*'Rebate Cliff'!$C$24-Y30*'Rebate Cliff'!$C$23*Assumptions!$C$25-Y30*'Rebate Cliff'!$C$23*'Rebate Cliff'!$C$27</f>
        <v>-0.00392696573896956</v>
      </c>
      <c r="Z31" s="44" t="n">
        <f aca="false">(Z30*'Rebate Cliff'!$C$23*(1-'Rebate Cliff'!$C$25))-('Rebate Cliff'!$C$26-'Rebate Cliff'!$C$25)*'Rebate Cliff'!$C$21*'Rebate Cliff'!$C$23-Z30*'Rebate Cliff'!$C$24-Z30*'Rebate Cliff'!$C$23*Assumptions!$C$25-Z30*'Rebate Cliff'!$C$23*'Rebate Cliff'!$C$27</f>
        <v>0.00258180692969745</v>
      </c>
    </row>
    <row r="33" customFormat="false" ht="15" hidden="false" customHeight="false" outlineLevel="0" collapsed="false">
      <c r="B33" s="4" t="s">
        <v>515</v>
      </c>
      <c r="C33" s="32" t="n">
        <f aca="false">Z30</f>
        <v>458.038091659546</v>
      </c>
    </row>
    <row r="34" customFormat="false" ht="15" hidden="false" customHeight="false" outlineLevel="0" collapsed="false">
      <c r="B34" s="4" t="s">
        <v>516</v>
      </c>
      <c r="C34" s="45" t="n">
        <f aca="false">Z29-Z28</f>
        <v>0.000476837158203125</v>
      </c>
    </row>
    <row r="35" customFormat="false" ht="15" hidden="false" customHeight="false" outlineLevel="0" collapsed="false">
      <c r="B35" s="4" t="s">
        <v>517</v>
      </c>
      <c r="C35" s="46" t="str">
        <f aca="false">IF(AND(ABS(Z29-Z28)&lt;=$C$9,ABS(Z31)&lt;1),"CONVERGED","NOT CONVERGED")</f>
        <v>CONVERGED</v>
      </c>
    </row>
    <row r="38" customFormat="false" ht="15" hidden="false" customHeight="false" outlineLevel="0" collapsed="false">
      <c r="B38" s="6" t="s">
        <v>520</v>
      </c>
      <c r="C38" s="7"/>
      <c r="D38" s="7"/>
      <c r="E38" s="7"/>
      <c r="F38" s="7"/>
      <c r="G38" s="7"/>
      <c r="H38" s="7"/>
      <c r="I38" s="7"/>
    </row>
    <row r="39" customFormat="false" ht="15" hidden="false" customHeight="false" outlineLevel="0" collapsed="false">
      <c r="B39" s="4" t="s">
        <v>521</v>
      </c>
      <c r="C39" s="45" t="n">
        <f aca="false">$C$20-'Rebate Cliff'!$C$53</f>
        <v>-7.29852793597274E-005</v>
      </c>
    </row>
    <row r="40" customFormat="false" ht="15" hidden="false" customHeight="false" outlineLevel="0" collapsed="false">
      <c r="B40" s="4" t="s">
        <v>522</v>
      </c>
      <c r="C40" s="45" t="n">
        <f aca="false">$C$33-'Rebate Cliff'!$C$54</f>
        <v>9.45724747793975E-005</v>
      </c>
    </row>
    <row r="41" customFormat="false" ht="15" hidden="false" customHeight="false" outlineLevel="0" collapsed="false">
      <c r="B41" s="4" t="s">
        <v>523</v>
      </c>
      <c r="C41" s="46" t="str">
        <f aca="false">IF(AND(ABS($C$39)&lt;0.01,ABS($C$40)&lt;0.01),"CONVERGED, AND THEY AGREE","THEY DO NOT AGREE")</f>
        <v>CONVERGED, AND THEY AGREE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5" min="3" style="0" width="22"/>
    <col collapsed="false" customWidth="true" hidden="false" outlineLevel="0" max="6" min="6" style="0" width="46"/>
  </cols>
  <sheetData>
    <row r="2" customFormat="false" ht="16.15" hidden="false" customHeight="false" outlineLevel="0" collapsed="false">
      <c r="B2" s="12" t="s">
        <v>524</v>
      </c>
    </row>
    <row r="3" customFormat="false" ht="15" hidden="false" customHeight="false" outlineLevel="0" collapsed="false">
      <c r="B3" s="2" t="s">
        <v>525</v>
      </c>
    </row>
    <row r="6" customFormat="false" ht="15" hidden="false" customHeight="false" outlineLevel="0" collapsed="false">
      <c r="B6" s="6" t="s">
        <v>526</v>
      </c>
      <c r="C6" s="7"/>
      <c r="D6" s="7"/>
      <c r="E6" s="7"/>
      <c r="F6" s="7"/>
    </row>
    <row r="7" customFormat="false" ht="15" hidden="false" customHeight="false" outlineLevel="0" collapsed="false">
      <c r="B7" s="3" t="s">
        <v>527</v>
      </c>
      <c r="C7" s="39" t="n">
        <f aca="false">Assumptions!$C$51</f>
        <v>0.02</v>
      </c>
    </row>
    <row r="8" customFormat="false" ht="15" hidden="false" customHeight="false" outlineLevel="0" collapsed="false">
      <c r="B8" s="3" t="s">
        <v>88</v>
      </c>
      <c r="C8" s="37" t="n">
        <f aca="false">Assumptions!$C$52</f>
        <v>10</v>
      </c>
    </row>
    <row r="9" customFormat="false" ht="15" hidden="false" customHeight="false" outlineLevel="0" collapsed="false">
      <c r="B9" s="3" t="s">
        <v>89</v>
      </c>
      <c r="C9" s="37" t="n">
        <f aca="false">Assumptions!$C$53</f>
        <v>30</v>
      </c>
    </row>
    <row r="10" customFormat="false" ht="15" hidden="false" customHeight="false" outlineLevel="0" collapsed="false">
      <c r="B10" s="3" t="s">
        <v>90</v>
      </c>
      <c r="C10" s="37" t="n">
        <f aca="false">Assumptions!$C$54</f>
        <v>365</v>
      </c>
    </row>
    <row r="11" customFormat="false" ht="15" hidden="false" customHeight="false" outlineLevel="0" collapsed="false">
      <c r="B11" s="4" t="s">
        <v>528</v>
      </c>
      <c r="C11" s="38" t="n">
        <f aca="false">$C$9-$C$8</f>
        <v>20</v>
      </c>
    </row>
    <row r="12" customFormat="false" ht="15" hidden="false" customHeight="false" outlineLevel="0" collapsed="false">
      <c r="B12" s="4" t="s">
        <v>529</v>
      </c>
      <c r="C12" s="35" t="n">
        <f aca="false">($C$7/(1-$C$7))*($C$10/$C$11)</f>
        <v>0.372448979591837</v>
      </c>
    </row>
    <row r="13" customFormat="false" ht="15" hidden="false" customHeight="false" outlineLevel="0" collapsed="false">
      <c r="B13" s="3" t="s">
        <v>530</v>
      </c>
      <c r="C13" s="39" t="n">
        <f aca="false">Assumptions!$C$26</f>
        <v>0.07</v>
      </c>
    </row>
    <row r="14" customFormat="false" ht="15" hidden="false" customHeight="false" outlineLevel="0" collapsed="false">
      <c r="B14" s="4" t="s">
        <v>531</v>
      </c>
      <c r="C14" s="31" t="n">
        <f aca="false">(1-$C$7)*$C$13*$C$11/$C$10</f>
        <v>0.00375890410958904</v>
      </c>
    </row>
    <row r="15" customFormat="false" ht="15" hidden="false" customHeight="false" outlineLevel="0" collapsed="false">
      <c r="B15" s="2" t="s">
        <v>532</v>
      </c>
    </row>
    <row r="16" customFormat="false" ht="15" hidden="false" customHeight="false" outlineLevel="0" collapsed="false">
      <c r="B16" s="2" t="s">
        <v>533</v>
      </c>
    </row>
    <row r="17" customFormat="false" ht="15" hidden="false" customHeight="false" outlineLevel="0" collapsed="false">
      <c r="B17" s="2" t="s">
        <v>534</v>
      </c>
    </row>
    <row r="18" customFormat="false" ht="15" hidden="false" customHeight="false" outlineLevel="0" collapsed="false">
      <c r="B18" s="4" t="s">
        <v>535</v>
      </c>
      <c r="C18" s="35" t="n">
        <f aca="false">$C$12</f>
        <v>0.372448979591837</v>
      </c>
    </row>
    <row r="19" customFormat="false" ht="15" hidden="false" customHeight="false" outlineLevel="0" collapsed="false">
      <c r="B19" s="4" t="s">
        <v>536</v>
      </c>
      <c r="C19" s="46" t="str">
        <f aca="false">IF($C$13&gt;$C$12,"yes","no")</f>
        <v>no</v>
      </c>
    </row>
    <row r="22" customFormat="false" ht="15" hidden="false" customHeight="false" outlineLevel="0" collapsed="false">
      <c r="B22" s="6" t="s">
        <v>537</v>
      </c>
      <c r="C22" s="7"/>
      <c r="D22" s="7"/>
      <c r="E22" s="7"/>
      <c r="F22" s="7"/>
    </row>
    <row r="23" customFormat="false" ht="30" hidden="false" customHeight="true" outlineLevel="0" collapsed="false">
      <c r="B23" s="13" t="s">
        <v>538</v>
      </c>
      <c r="C23" s="13" t="s">
        <v>539</v>
      </c>
      <c r="D23" s="13" t="s">
        <v>540</v>
      </c>
      <c r="E23" s="13"/>
      <c r="F23" s="13"/>
    </row>
    <row r="24" customFormat="false" ht="15" hidden="false" customHeight="false" outlineLevel="0" collapsed="false">
      <c r="B24" s="14" t="s">
        <v>15</v>
      </c>
      <c r="C24" s="26" t="n">
        <f aca="false">SUMIF(Accounts!$Q$6:$Q$185,1)</f>
        <v>52</v>
      </c>
      <c r="D24" s="26" t="n">
        <f aca="false">SUMIF(Accounts!$Y$6:$Y$185,1)</f>
        <v>18</v>
      </c>
    </row>
    <row r="25" customFormat="false" ht="15" hidden="false" customHeight="false" outlineLevel="0" collapsed="false">
      <c r="B25" s="14" t="s">
        <v>133</v>
      </c>
      <c r="C25" s="17" t="n">
        <f aca="false">ROUND(SUMIF(Accounts!$Q$6:$Q$185,1,Accounts!$AB$6:$AB$185),2)</f>
        <v>20303992.74</v>
      </c>
      <c r="D25" s="17" t="n">
        <f aca="false">ROUND(SUMIF(Accounts!$Y$6:$Y$185,1,Accounts!$AB$6:$AB$185),2)</f>
        <v>6521105.3</v>
      </c>
    </row>
    <row r="26" customFormat="false" ht="15" hidden="false" customHeight="false" outlineLevel="0" collapsed="false">
      <c r="B26" s="14" t="s">
        <v>541</v>
      </c>
      <c r="C26" s="17" t="n">
        <f aca="false">ROUND(SUMIF(Accounts!$Q$6:$Q$185,1,Accounts!$AQ$6:$AQ$185),2)</f>
        <v>406079.9</v>
      </c>
      <c r="D26" s="17" t="n">
        <f aca="false">ROUND(SUMIF(Accounts!$Y$6:$Y$185,1,Accounts!$AQ$6:$AQ$185),2)</f>
        <v>130422.13</v>
      </c>
    </row>
    <row r="27" customFormat="false" ht="15" hidden="false" customHeight="false" outlineLevel="0" collapsed="false">
      <c r="B27" s="14" t="s">
        <v>542</v>
      </c>
      <c r="C27" s="26" t="n">
        <f aca="false">$C$11</f>
        <v>20</v>
      </c>
      <c r="D27" s="16" t="n">
        <v>5</v>
      </c>
    </row>
    <row r="28" customFormat="false" ht="15" hidden="false" customHeight="false" outlineLevel="0" collapsed="false">
      <c r="B28" s="14" t="s">
        <v>543</v>
      </c>
      <c r="C28" s="17" t="n">
        <f aca="false">ROUND(C25*(1-$C$7)*$C$13*C27/$C$10,2)</f>
        <v>76320.76</v>
      </c>
      <c r="D28" s="17" t="n">
        <f aca="false">ROUND(D25*(1-$C$7)*$C$13*D27/$C$10,2)</f>
        <v>6128.05</v>
      </c>
    </row>
    <row r="29" customFormat="false" ht="15" hidden="false" customHeight="false" outlineLevel="0" collapsed="false">
      <c r="B29" s="46" t="s">
        <v>544</v>
      </c>
      <c r="C29" s="22" t="n">
        <f aca="false">ROUND(C26-C28,2)</f>
        <v>329759.14</v>
      </c>
      <c r="D29" s="22" t="n">
        <f aca="false">ROUND(D26-D28,2)</f>
        <v>124294.08</v>
      </c>
    </row>
    <row r="31" customFormat="false" ht="15" hidden="false" customHeight="false" outlineLevel="0" collapsed="false">
      <c r="B31" s="4" t="s">
        <v>545</v>
      </c>
      <c r="C31" s="22" t="n">
        <f aca="false">ROUND(SUM(Lines!N6:N463),2)</f>
        <v>406079.9</v>
      </c>
    </row>
    <row r="32" customFormat="false" ht="15" hidden="false" customHeight="false" outlineLevel="0" collapsed="false">
      <c r="B32" s="4" t="s">
        <v>546</v>
      </c>
      <c r="C32" s="46" t="str">
        <f aca="false">IF(ABS(C26-$C$31)&lt;0.005,"ONE FIGURE, AND IT TIES","THE TWO DO NOT TIE")</f>
        <v>ONE FIGURE, AND IT TIES</v>
      </c>
    </row>
    <row r="33" customFormat="false" ht="15" hidden="false" customHeight="false" outlineLevel="0" collapsed="false">
      <c r="B33" s="2" t="s">
        <v>547</v>
      </c>
    </row>
    <row r="34" customFormat="false" ht="15" hidden="false" customHeight="false" outlineLevel="0" collapsed="false">
      <c r="B34" s="2" t="s">
        <v>548</v>
      </c>
    </row>
    <row r="37" customFormat="false" ht="15" hidden="false" customHeight="false" outlineLevel="0" collapsed="false">
      <c r="B37" s="6" t="s">
        <v>549</v>
      </c>
      <c r="C37" s="7"/>
      <c r="D37" s="7"/>
      <c r="E37" s="7"/>
      <c r="F37" s="7"/>
    </row>
    <row r="38" customFormat="false" ht="15" hidden="false" customHeight="false" outlineLevel="0" collapsed="false">
      <c r="B38" s="2" t="s">
        <v>550</v>
      </c>
    </row>
    <row r="39" customFormat="false" ht="15" hidden="false" customHeight="false" outlineLevel="0" collapsed="false">
      <c r="B39" s="2" t="s">
        <v>551</v>
      </c>
    </row>
    <row r="40" customFormat="false" ht="30" hidden="false" customHeight="true" outlineLevel="0" collapsed="false">
      <c r="B40" s="13" t="s">
        <v>552</v>
      </c>
      <c r="C40" s="13" t="s">
        <v>553</v>
      </c>
      <c r="D40" s="13" t="s">
        <v>554</v>
      </c>
      <c r="E40" s="13" t="s">
        <v>544</v>
      </c>
      <c r="F40" s="13"/>
    </row>
    <row r="41" customFormat="false" ht="15" hidden="false" customHeight="false" outlineLevel="0" collapsed="false">
      <c r="B41" s="16" t="n">
        <v>30</v>
      </c>
      <c r="C41" s="26" t="n">
        <f aca="false">$B41-$C$8</f>
        <v>20</v>
      </c>
      <c r="D41" s="17" t="n">
        <f aca="false">ROUND(C25*(1-$C$7)*$C$13*$C41/$C$10,2)</f>
        <v>76320.76</v>
      </c>
      <c r="E41" s="17" t="n">
        <f aca="false">ROUND(C26-$D41,2)</f>
        <v>329759.14</v>
      </c>
    </row>
    <row r="42" customFormat="false" ht="15" hidden="false" customHeight="false" outlineLevel="0" collapsed="false">
      <c r="B42" s="16" t="n">
        <v>40</v>
      </c>
      <c r="C42" s="26" t="n">
        <f aca="false">$B42-$C$8</f>
        <v>30</v>
      </c>
      <c r="D42" s="17" t="n">
        <f aca="false">ROUND(C25*(1-$C$7)*$C$13*$C42/$C$10,2)</f>
        <v>114481.14</v>
      </c>
      <c r="E42" s="17" t="n">
        <f aca="false">ROUND(C26-$D42,2)</f>
        <v>291598.76</v>
      </c>
    </row>
    <row r="43" customFormat="false" ht="15" hidden="false" customHeight="false" outlineLevel="0" collapsed="false">
      <c r="B43" s="16" t="n">
        <v>50</v>
      </c>
      <c r="C43" s="26" t="n">
        <f aca="false">$B43-$C$8</f>
        <v>40</v>
      </c>
      <c r="D43" s="17" t="n">
        <f aca="false">ROUND(C25*(1-$C$7)*$C$13*$C43/$C$10,2)</f>
        <v>152641.52</v>
      </c>
      <c r="E43" s="17" t="n">
        <f aca="false">ROUND(C26-$D43,2)</f>
        <v>253438.38</v>
      </c>
    </row>
    <row r="45" customFormat="false" ht="15" hidden="false" customHeight="false" outlineLevel="0" collapsed="false">
      <c r="B45" s="4" t="s">
        <v>555</v>
      </c>
      <c r="C45" s="22" t="n">
        <f aca="false">MIN($E$41:$E$43)</f>
        <v>253438.38</v>
      </c>
    </row>
    <row r="46" customFormat="false" ht="15" hidden="false" customHeight="false" outlineLevel="0" collapsed="false">
      <c r="B46" s="4" t="s">
        <v>556</v>
      </c>
      <c r="C46" s="22" t="n">
        <f aca="false">MAX($E$41:$E$43)</f>
        <v>329759.14</v>
      </c>
    </row>
    <row r="47" customFormat="false" ht="15" hidden="false" customHeight="false" outlineLevel="0" collapsed="false">
      <c r="B47" s="4" t="s">
        <v>557</v>
      </c>
      <c r="C47" s="46" t="str">
        <f aca="false">IF(MIN($E$41:$E$43)&gt;0,"THE COMPANY OVERPAYS AT EVERY DAY TESTED","IT DOES NOT SURVIVE")</f>
        <v>THE COMPANY OVERPAYS AT EVERY DAY TESTED</v>
      </c>
    </row>
    <row r="48" customFormat="false" ht="15" hidden="false" customHeight="false" outlineLevel="0" collapsed="false">
      <c r="B48" s="2" t="s">
        <v>558</v>
      </c>
    </row>
    <row r="51" customFormat="false" ht="15" hidden="false" customHeight="false" outlineLevel="0" collapsed="false">
      <c r="B51" s="6" t="s">
        <v>559</v>
      </c>
      <c r="C51" s="7"/>
      <c r="D51" s="7"/>
      <c r="E51" s="7"/>
      <c r="F51" s="7"/>
    </row>
    <row r="52" customFormat="false" ht="15" hidden="false" customHeight="false" outlineLevel="0" collapsed="false">
      <c r="B52" s="4" t="s">
        <v>560</v>
      </c>
      <c r="C52" s="22" t="n">
        <f aca="false">ROUND(SUMIF(Accounts!$C$6:$C$185,"OEM key accounts",Accounts!$AB$6:$AB$185),2)</f>
        <v>22240101.84</v>
      </c>
    </row>
    <row r="53" customFormat="false" ht="15" hidden="false" customHeight="false" outlineLevel="0" collapsed="false">
      <c r="B53" s="3" t="s">
        <v>561</v>
      </c>
      <c r="C53" s="16" t="n">
        <v>30</v>
      </c>
    </row>
    <row r="54" customFormat="false" ht="15" hidden="false" customHeight="false" outlineLevel="0" collapsed="false">
      <c r="B54" s="4" t="s">
        <v>562</v>
      </c>
      <c r="C54" s="22" t="n">
        <f aca="false">ROUND($C$52*$C$13*$C$53/$C$10,2)</f>
        <v>127956.75</v>
      </c>
    </row>
    <row r="55" customFormat="false" ht="15" hidden="false" customHeight="false" outlineLevel="0" collapsed="false">
      <c r="B55" s="2" t="s">
        <v>563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3" min="2" style="0" width="26"/>
    <col collapsed="false" customWidth="true" hidden="false" outlineLevel="0" max="5" min="4" style="0" width="32"/>
    <col collapsed="false" customWidth="true" hidden="false" outlineLevel="0" max="6" min="6" style="0" width="30"/>
    <col collapsed="false" customWidth="true" hidden="false" outlineLevel="0" max="7" min="7" style="0" width="34"/>
  </cols>
  <sheetData>
    <row r="2" customFormat="false" ht="16.15" hidden="false" customHeight="false" outlineLevel="0" collapsed="false">
      <c r="B2" s="12" t="s">
        <v>564</v>
      </c>
    </row>
    <row r="3" customFormat="false" ht="15" hidden="false" customHeight="false" outlineLevel="0" collapsed="false">
      <c r="B3" s="2" t="s">
        <v>565</v>
      </c>
    </row>
    <row r="5" customFormat="false" ht="15" hidden="false" customHeight="false" outlineLevel="0" collapsed="false">
      <c r="B5" s="3" t="s">
        <v>566</v>
      </c>
      <c r="C5" s="34" t="n">
        <f aca="false">Levers!$C$15</f>
        <v>0.269746378639281</v>
      </c>
    </row>
    <row r="6" customFormat="false" ht="15" hidden="false" customHeight="false" outlineLevel="0" collapsed="false">
      <c r="B6" s="4" t="s">
        <v>567</v>
      </c>
      <c r="C6" s="31" t="n">
        <f aca="false">Levers!$C$8/Levers!$C$7</f>
        <v>0.862242772323984</v>
      </c>
    </row>
    <row r="7" customFormat="false" ht="15" hidden="false" customHeight="false" outlineLevel="0" collapsed="false">
      <c r="B7" s="4" t="s">
        <v>568</v>
      </c>
      <c r="C7" s="31" t="n">
        <f aca="false">Levers!$C$9/Levers!$C$7</f>
        <v>0.80315445234688</v>
      </c>
    </row>
    <row r="8" customFormat="false" ht="15" hidden="false" customHeight="false" outlineLevel="0" collapsed="false">
      <c r="B8" s="2" t="s">
        <v>569</v>
      </c>
    </row>
    <row r="9" customFormat="false" ht="15" hidden="false" customHeight="false" outlineLevel="0" collapsed="false">
      <c r="B9" s="2" t="s">
        <v>570</v>
      </c>
    </row>
    <row r="10" customFormat="false" ht="15" hidden="false" customHeight="false" outlineLevel="0" collapsed="false">
      <c r="B10" s="2" t="s">
        <v>571</v>
      </c>
    </row>
    <row r="11" customFormat="false" ht="15" hidden="false" customHeight="false" outlineLevel="0" collapsed="false">
      <c r="B11" s="2" t="s">
        <v>572</v>
      </c>
    </row>
    <row r="12" customFormat="false" ht="15" hidden="false" customHeight="false" outlineLevel="0" collapsed="false">
      <c r="B12" s="2" t="s">
        <v>573</v>
      </c>
    </row>
    <row r="13" customFormat="false" ht="15" hidden="false" customHeight="false" outlineLevel="0" collapsed="false">
      <c r="B13" s="2" t="s">
        <v>574</v>
      </c>
    </row>
    <row r="15" customFormat="false" ht="30" hidden="false" customHeight="true" outlineLevel="0" collapsed="false">
      <c r="B15" s="13" t="s">
        <v>575</v>
      </c>
      <c r="C15" s="13" t="s">
        <v>576</v>
      </c>
      <c r="D15" s="13" t="s">
        <v>577</v>
      </c>
      <c r="E15" s="13" t="s">
        <v>578</v>
      </c>
      <c r="F15" s="13" t="s">
        <v>579</v>
      </c>
      <c r="G15" s="13" t="s">
        <v>97</v>
      </c>
    </row>
    <row r="16" customFormat="false" ht="15" hidden="false" customHeight="false" outlineLevel="0" collapsed="false">
      <c r="B16" s="33" t="n">
        <f aca="false">Assumptions!$B$64</f>
        <v>0.03</v>
      </c>
      <c r="C16" s="28" t="n">
        <f aca="false">Assumptions!$B$64/$C$6</f>
        <v>0.0347929851811244</v>
      </c>
      <c r="D16" s="28" t="n">
        <f aca="false">IF(Assumptions!$B$64&gt;=$C$5,"any volume: the deal cannot pay for itself",Assumptions!$B$64/($C$5-Assumptions!$B$64))</f>
        <v>0.125132234197946</v>
      </c>
      <c r="E16" s="28" t="n">
        <f aca="false">IF($C16&gt;=$C$5,"any volume: the deal cannot pay for itself",$C16/($C$5-$C16))</f>
        <v>0.148084625078296</v>
      </c>
      <c r="F16" s="28" t="n">
        <f aca="false">$C16/($C$5+$C16)</f>
        <v>0.114247907871912</v>
      </c>
      <c r="G16" s="36" t="str">
        <f aca="false">Assumptions!$C$64</f>
        <v>Sales representative</v>
      </c>
    </row>
    <row r="17" customFormat="false" ht="15" hidden="false" customHeight="false" outlineLevel="0" collapsed="false">
      <c r="B17" s="33" t="n">
        <f aca="false">Assumptions!$B$65</f>
        <v>0.06</v>
      </c>
      <c r="C17" s="28" t="n">
        <f aca="false">Assumptions!$B$65/$C$6</f>
        <v>0.0695859703622488</v>
      </c>
      <c r="D17" s="28" t="n">
        <f aca="false">IF(Assumptions!$B$65&gt;=$C$5,"any volume: the deal cannot pay for itself",Assumptions!$B$65/($C$5-Assumptions!$B$65))</f>
        <v>0.28605976603385</v>
      </c>
      <c r="E17" s="28" t="n">
        <f aca="false">IF($C17&gt;=$C$5,"any volume: the deal cannot pay for itself",$C17/($C$5-$C17))</f>
        <v>0.347651021304564</v>
      </c>
      <c r="F17" s="28" t="n">
        <f aca="false">$C17/($C$5+$C17)</f>
        <v>0.205067305156736</v>
      </c>
      <c r="G17" s="36" t="str">
        <f aca="false">Assumptions!$C$65</f>
        <v>Regional sales manager</v>
      </c>
    </row>
    <row r="18" customFormat="false" ht="15" hidden="false" customHeight="false" outlineLevel="0" collapsed="false">
      <c r="B18" s="33" t="n">
        <f aca="false">Assumptions!$B$66</f>
        <v>0.1</v>
      </c>
      <c r="C18" s="28" t="n">
        <f aca="false">Assumptions!$B$66/$C$6</f>
        <v>0.115976617270415</v>
      </c>
      <c r="D18" s="28" t="n">
        <f aca="false">IF(Assumptions!$B$66&gt;=$C$5,"any volume: the deal cannot pay for itself",Assumptions!$B$66/($C$5-Assumptions!$B$66))</f>
        <v>0.589114187893838</v>
      </c>
      <c r="E18" s="28" t="n">
        <f aca="false">IF($C18&gt;=$C$5,"any volume: the deal cannot pay for itself",$C18/($C$5-$C18))</f>
        <v>0.754222522282566</v>
      </c>
      <c r="F18" s="28" t="n">
        <f aca="false">$C18/($C$5+$C18)</f>
        <v>0.300673329047685</v>
      </c>
      <c r="G18" s="36" t="str">
        <f aca="false">Assumptions!$C$66</f>
        <v>Pricing committee</v>
      </c>
    </row>
    <row r="19" customFormat="false" ht="15" hidden="false" customHeight="false" outlineLevel="0" collapsed="false">
      <c r="B19" s="33" t="n">
        <f aca="false">Assumptions!$B$67</f>
        <v>0.99</v>
      </c>
      <c r="C19" s="28" t="n">
        <f aca="false">Assumptions!$B$67/$C$6</f>
        <v>1.14816851097711</v>
      </c>
      <c r="D19" s="28" t="str">
        <f aca="false">IF(Assumptions!$B$67&gt;=$C$5,"any volume: the deal cannot pay for itself",Assumptions!$B$67/($C$5-Assumptions!$B$67))</f>
        <v>any volume: the deal cannot pay for itself</v>
      </c>
      <c r="E19" s="28" t="str">
        <f aca="false">IF($C19&gt;=$C$5,"any volume: the deal cannot pay for itself",$C19/($C$5-$C19))</f>
        <v>any volume: the deal cannot pay for itself</v>
      </c>
      <c r="F19" s="28" t="n">
        <f aca="false">$C19/($C$5+$C19)</f>
        <v>0.809758413135601</v>
      </c>
      <c r="G19" s="36" t="str">
        <f aca="false">Assumptions!$C$67</f>
        <v>Chief financial officer</v>
      </c>
    </row>
    <row r="22" customFormat="false" ht="15" hidden="false" customHeight="false" outlineLevel="0" collapsed="false">
      <c r="B22" s="6" t="s">
        <v>580</v>
      </c>
      <c r="C22" s="7"/>
      <c r="D22" s="7"/>
      <c r="E22" s="7"/>
      <c r="F22" s="7"/>
    </row>
    <row r="23" customFormat="false" ht="15" hidden="false" customHeight="false" outlineLevel="0" collapsed="false">
      <c r="B23" s="2" t="s">
        <v>581</v>
      </c>
    </row>
    <row r="24" customFormat="false" ht="15" hidden="false" customHeight="false" outlineLevel="0" collapsed="false">
      <c r="B24" s="2" t="s">
        <v>582</v>
      </c>
    </row>
    <row r="25" customFormat="false" ht="15" hidden="false" customHeight="false" outlineLevel="0" collapsed="false">
      <c r="B25" s="2" t="s">
        <v>583</v>
      </c>
    </row>
    <row r="26" customFormat="false" ht="15" hidden="false" customHeight="false" outlineLevel="0" collapsed="false">
      <c r="B26" s="3" t="s">
        <v>584</v>
      </c>
      <c r="C26" s="20" t="n">
        <v>0.05</v>
      </c>
    </row>
    <row r="27" customFormat="false" ht="15" hidden="false" customHeight="false" outlineLevel="0" collapsed="false">
      <c r="B27" s="3" t="s">
        <v>585</v>
      </c>
      <c r="C27" s="20" t="n">
        <v>0.1</v>
      </c>
      <c r="D27" s="2" t="s">
        <v>586</v>
      </c>
    </row>
    <row r="28" customFormat="false" ht="15" hidden="false" customHeight="false" outlineLevel="0" collapsed="false">
      <c r="B28" s="3" t="s">
        <v>587</v>
      </c>
      <c r="C28" s="20" t="n">
        <v>0.9</v>
      </c>
      <c r="D28" s="2" t="s">
        <v>588</v>
      </c>
    </row>
    <row r="29" customFormat="false" ht="15" hidden="false" customHeight="false" outlineLevel="0" collapsed="false">
      <c r="B29" s="3" t="s">
        <v>589</v>
      </c>
      <c r="C29" s="15" t="n">
        <v>148</v>
      </c>
    </row>
    <row r="30" customFormat="false" ht="15" hidden="false" customHeight="false" outlineLevel="0" collapsed="false">
      <c r="B30" s="3" t="s">
        <v>342</v>
      </c>
      <c r="C30" s="15" t="n">
        <v>78</v>
      </c>
    </row>
    <row r="31" customFormat="false" ht="15" hidden="false" customHeight="false" outlineLevel="0" collapsed="false">
      <c r="B31" s="3" t="s">
        <v>590</v>
      </c>
      <c r="C31" s="20" t="n">
        <v>0.06</v>
      </c>
    </row>
    <row r="32" customFormat="false" ht="15" hidden="false" customHeight="false" outlineLevel="0" collapsed="false">
      <c r="B32" s="4" t="s">
        <v>591</v>
      </c>
      <c r="C32" s="31" t="n">
        <f aca="false">1-$C$27</f>
        <v>0.9</v>
      </c>
    </row>
    <row r="33" customFormat="false" ht="15" hidden="false" customHeight="false" outlineLevel="0" collapsed="false">
      <c r="B33" s="4" t="s">
        <v>592</v>
      </c>
      <c r="C33" s="22" t="n">
        <f aca="false">ROUND($C$29*$C$32,2)</f>
        <v>133.2</v>
      </c>
    </row>
    <row r="34" customFormat="false" ht="15" hidden="false" customHeight="false" outlineLevel="0" collapsed="false">
      <c r="B34" s="4" t="s">
        <v>593</v>
      </c>
      <c r="C34" s="22" t="n">
        <f aca="false">ROUND($C$33*(1-$C$31),2)</f>
        <v>125.21</v>
      </c>
    </row>
    <row r="35" customFormat="false" ht="15" hidden="false" customHeight="false" outlineLevel="0" collapsed="false">
      <c r="B35" s="4" t="s">
        <v>594</v>
      </c>
      <c r="C35" s="31" t="n">
        <f aca="false">($C$34-$C$30-ROUND($C$33*Assumptions!$C$25,2))/$C$34</f>
        <v>0.355802252216277</v>
      </c>
    </row>
    <row r="36" customFormat="false" ht="15" hidden="false" customHeight="false" outlineLevel="0" collapsed="false">
      <c r="B36" s="4" t="s">
        <v>595</v>
      </c>
      <c r="C36" s="22" t="n">
        <f aca="false">ROUND($C$29*($C$32-$C$26)*(1-$C$31),2)</f>
        <v>118.25</v>
      </c>
    </row>
    <row r="37" customFormat="false" ht="15" hidden="false" customHeight="false" outlineLevel="0" collapsed="false">
      <c r="B37" s="4" t="s">
        <v>596</v>
      </c>
      <c r="C37" s="35" t="n">
        <f aca="false">$C$36/$C$29</f>
        <v>0.798986486486487</v>
      </c>
    </row>
    <row r="38" customFormat="false" ht="15" hidden="false" customHeight="false" outlineLevel="0" collapsed="false">
      <c r="B38" s="4" t="s">
        <v>597</v>
      </c>
      <c r="C38" s="46" t="str">
        <f aca="false">IF($C$37&gt;=$C$28,"at or above the floor","BELOW THE FLOOR")</f>
        <v>BELOW THE FLOOR</v>
      </c>
    </row>
    <row r="39" customFormat="false" ht="15" hidden="false" customHeight="false" outlineLevel="0" collapsed="false">
      <c r="B39" s="4" t="s">
        <v>598</v>
      </c>
      <c r="C39" s="31" t="n">
        <f aca="false">$C$26/$C$32</f>
        <v>0.0555555555555556</v>
      </c>
    </row>
    <row r="40" customFormat="false" ht="15" hidden="false" customHeight="false" outlineLevel="0" collapsed="false">
      <c r="B40" s="4" t="s">
        <v>599</v>
      </c>
      <c r="C40" s="31" t="n">
        <f aca="false">$C$26/$C$6</f>
        <v>0.0579883086352074</v>
      </c>
    </row>
    <row r="41" customFormat="false" ht="15" hidden="false" customHeight="false" outlineLevel="0" collapsed="false">
      <c r="B41" s="4" t="s">
        <v>600</v>
      </c>
      <c r="C41" s="35" t="n">
        <f aca="false">IF($C$39&gt;=$C$35,"no volume is enough",$C$39/($C$35-$C$39))</f>
        <v>0.185033028417739</v>
      </c>
    </row>
    <row r="42" customFormat="false" ht="15" hidden="false" customHeight="false" outlineLevel="0" collapsed="false">
      <c r="B42" s="4" t="s">
        <v>601</v>
      </c>
      <c r="C42" s="35" t="n">
        <f aca="false">IF($C$40&gt;=$C$5,"no volume is enough",$C$40/($C$5-$C$40))</f>
        <v>0.273842260812501</v>
      </c>
    </row>
    <row r="43" customFormat="false" ht="15" hidden="false" customHeight="false" outlineLevel="0" collapsed="false">
      <c r="B43" s="4" t="s">
        <v>602</v>
      </c>
      <c r="C43" s="35" t="n">
        <f aca="false">IF($C$26&gt;=$C$5,"no volume is enough",$C$26/($C$5-$C$26))</f>
        <v>0.227535035205637</v>
      </c>
    </row>
    <row r="44" customFormat="false" ht="15" hidden="false" customHeight="false" outlineLevel="0" collapsed="false">
      <c r="B44" s="2" t="s">
        <v>603</v>
      </c>
    </row>
    <row r="45" customFormat="false" ht="15" hidden="false" customHeight="false" outlineLevel="0" collapsed="false">
      <c r="B45" s="2" t="s">
        <v>604</v>
      </c>
    </row>
    <row r="46" customFormat="false" ht="15" hidden="false" customHeight="false" outlineLevel="0" collapsed="false">
      <c r="B46" s="2" t="s">
        <v>605</v>
      </c>
    </row>
    <row r="47" customFormat="false" ht="15" hidden="false" customHeight="false" outlineLevel="0" collapsed="false">
      <c r="B47" s="2" t="s">
        <v>606</v>
      </c>
    </row>
    <row r="48" customFormat="false" ht="15" hidden="false" customHeight="false" outlineLevel="0" collapsed="false">
      <c r="B48" s="2" t="s">
        <v>607</v>
      </c>
    </row>
    <row r="49" customFormat="false" ht="15" hidden="false" customHeight="false" outlineLevel="0" collapsed="false">
      <c r="B49" s="2" t="s">
        <v>608</v>
      </c>
    </row>
    <row r="50" customFormat="false" ht="15" hidden="false" customHeight="false" outlineLevel="0" collapsed="false">
      <c r="B50" s="2" t="s">
        <v>609</v>
      </c>
    </row>
    <row r="51" customFormat="false" ht="15" hidden="false" customHeight="false" outlineLevel="0" collapsed="false">
      <c r="B51" s="4" t="s">
        <v>610</v>
      </c>
      <c r="C51" s="22" t="n">
        <f aca="false">ROUND($C$36-$C$30-ROUND($C$29*($C$32-$C$26)*Assumptions!$C$25,2),2)</f>
        <v>37.73</v>
      </c>
    </row>
    <row r="52" customFormat="false" ht="15" hidden="false" customHeight="false" outlineLevel="0" collapsed="false">
      <c r="B52" s="4" t="s">
        <v>611</v>
      </c>
      <c r="C52" s="46" t="str">
        <f aca="false">IF($C$26&lt;=Assumptions!$B$64,Assumptions!$C$64,IF($C$26&lt;=Assumptions!$B$65,Assumptions!$C$65,IF($C$26&lt;=Assumptions!$B$66,Assumptions!$C$66,Assumptions!$C$67)))</f>
        <v>Regional sales manager</v>
      </c>
    </row>
    <row r="55" customFormat="false" ht="15" hidden="false" customHeight="false" outlineLevel="0" collapsed="false">
      <c r="B55" s="6" t="s">
        <v>612</v>
      </c>
      <c r="C55" s="7"/>
      <c r="D55" s="7"/>
      <c r="E55" s="7"/>
      <c r="F55" s="7"/>
    </row>
    <row r="56" customFormat="false" ht="15" hidden="false" customHeight="false" outlineLevel="0" collapsed="false">
      <c r="B56" s="2" t="s">
        <v>613</v>
      </c>
    </row>
    <row r="57" customFormat="false" ht="15" hidden="false" customHeight="false" outlineLevel="0" collapsed="false">
      <c r="B57" s="2" t="s">
        <v>614</v>
      </c>
    </row>
    <row r="58" customFormat="false" ht="15" hidden="false" customHeight="false" outlineLevel="0" collapsed="false">
      <c r="B58" s="2" t="s">
        <v>615</v>
      </c>
    </row>
    <row r="59" customFormat="false" ht="15" hidden="false" customHeight="false" outlineLevel="0" collapsed="false">
      <c r="B59" s="2" t="s">
        <v>616</v>
      </c>
    </row>
    <row r="60" customFormat="false" ht="15" hidden="false" customHeight="false" outlineLevel="0" collapsed="false">
      <c r="B60" s="4" t="s">
        <v>617</v>
      </c>
      <c r="C60" s="31" t="n">
        <f aca="false">1-(SUMPRODUCT(((Lines!$K$6:$K$463/Lines!$I$6:$I$463+Assumptions!$B$64)&lt;=Assumptions!$C$18)*(Lines!$L$6:$L$463-Lines!$I$6:$I$463*Assumptions!$B$64)*Lines!$T$6:$T$463/Lines!$L$6:$L$463))/(SUMPRODUCT(((Lines!$K$6:$K$463/Lines!$I$6:$I$463+Assumptions!$B$64)&lt;=Assumptions!$C$18)*Lines!$T$6:$T$463))</f>
        <v>0.0346317424312134</v>
      </c>
    </row>
    <row r="61" customFormat="false" ht="15" hidden="false" customHeight="false" outlineLevel="0" collapsed="false">
      <c r="B61" s="4" t="s">
        <v>618</v>
      </c>
      <c r="C61" s="38" t="n">
        <f aca="false">SUMPRODUCT(--((Lines!$K$6:$K$463/Lines!$I$6:$I$463+Assumptions!$B$64)&gt;Assumptions!$C$18))</f>
        <v>4</v>
      </c>
    </row>
    <row r="62" customFormat="false" ht="15" hidden="false" customHeight="false" outlineLevel="0" collapsed="false">
      <c r="B62" s="4" t="s">
        <v>619</v>
      </c>
      <c r="C62" s="31" t="n">
        <f aca="false">1-(SUMPRODUCT(((Lines!$K$6:$K$463/Lines!$I$6:$I$463+Assumptions!$B$65)&lt;=Assumptions!$C$18)*(Lines!$L$6:$L$463-Lines!$I$6:$I$463*Assumptions!$B$65)*Lines!$T$6:$T$463/Lines!$L$6:$L$463))/(SUMPRODUCT(((Lines!$K$6:$K$463/Lines!$I$6:$I$463+Assumptions!$B$65)&lt;=Assumptions!$C$18)*Lines!$T$6:$T$463))</f>
        <v>0.0685785391246548</v>
      </c>
    </row>
    <row r="63" customFormat="false" ht="15" hidden="false" customHeight="false" outlineLevel="0" collapsed="false">
      <c r="B63" s="4" t="s">
        <v>618</v>
      </c>
      <c r="C63" s="38" t="n">
        <f aca="false">SUMPRODUCT(--((Lines!$K$6:$K$463/Lines!$I$6:$I$463+Assumptions!$B$65)&gt;Assumptions!$C$18))</f>
        <v>16</v>
      </c>
    </row>
    <row r="64" customFormat="false" ht="15" hidden="false" customHeight="false" outlineLevel="0" collapsed="false">
      <c r="B64" s="4" t="s">
        <v>620</v>
      </c>
      <c r="C64" s="31" t="n">
        <f aca="false">1-(SUMPRODUCT(((Lines!$K$6:$K$463/Lines!$I$6:$I$463+Assumptions!$B$66)&lt;=Assumptions!$C$18)*(Lines!$L$6:$L$463-Lines!$I$6:$I$463*Assumptions!$B$66)*Lines!$T$6:$T$463/Lines!$L$6:$L$463))/(SUMPRODUCT(((Lines!$K$6:$K$463/Lines!$I$6:$I$463+Assumptions!$B$66)&lt;=Assumptions!$C$18)*Lines!$T$6:$T$463))</f>
        <v>0.112768809321424</v>
      </c>
    </row>
    <row r="65" customFormat="false" ht="15" hidden="false" customHeight="false" outlineLevel="0" collapsed="false">
      <c r="B65" s="4" t="s">
        <v>618</v>
      </c>
      <c r="C65" s="38" t="n">
        <f aca="false">SUMPRODUCT(--((Lines!$K$6:$K$463/Lines!$I$6:$I$463+Assumptions!$B$66)&gt;Assumptions!$C$18))</f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60"/>
    <col collapsed="false" customWidth="true" hidden="false" outlineLevel="0" max="4" min="3" style="0" width="22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46"/>
  </cols>
  <sheetData>
    <row r="2" customFormat="false" ht="16.15" hidden="false" customHeight="false" outlineLevel="0" collapsed="false">
      <c r="B2" s="12" t="s">
        <v>31</v>
      </c>
    </row>
    <row r="3" customFormat="false" ht="15" hidden="false" customHeight="false" outlineLevel="0" collapsed="false">
      <c r="B3" s="2" t="s">
        <v>621</v>
      </c>
    </row>
    <row r="5" customFormat="false" ht="30" hidden="false" customHeight="true" outlineLevel="0" collapsed="false">
      <c r="B5" s="13" t="s">
        <v>622</v>
      </c>
      <c r="C5" s="13" t="s">
        <v>623</v>
      </c>
      <c r="D5" s="13" t="s">
        <v>624</v>
      </c>
      <c r="E5" s="13" t="s">
        <v>625</v>
      </c>
      <c r="F5" s="13" t="s">
        <v>517</v>
      </c>
      <c r="G5" s="13" t="s">
        <v>626</v>
      </c>
    </row>
    <row r="6" customFormat="false" ht="15" hidden="false" customHeight="false" outlineLevel="0" collapsed="false">
      <c r="B6" s="14" t="s">
        <v>132</v>
      </c>
      <c r="C6" s="30" t="n">
        <v>69880000</v>
      </c>
      <c r="D6" s="17" t="n">
        <f aca="false">Levers!$C$7</f>
        <v>69880000</v>
      </c>
      <c r="E6" s="44" t="n">
        <f aca="false">ROUND(C6-D6,6)</f>
        <v>0</v>
      </c>
      <c r="F6" s="41" t="str">
        <f aca="false">IF(ABS(E6)&lt;=0.005,"PASS","FAIL")</f>
        <v>PASS</v>
      </c>
      <c r="G6" s="47" t="s">
        <v>627</v>
      </c>
    </row>
    <row r="7" customFormat="false" ht="15" hidden="false" customHeight="false" outlineLevel="0" collapsed="false">
      <c r="B7" s="14" t="s">
        <v>133</v>
      </c>
      <c r="C7" s="30" t="n">
        <v>60253524.93</v>
      </c>
      <c r="D7" s="17" t="n">
        <f aca="false">Levers!$C$8</f>
        <v>60253524.93</v>
      </c>
      <c r="E7" s="44" t="n">
        <f aca="false">ROUND(C7-D7,6)</f>
        <v>0</v>
      </c>
      <c r="F7" s="41" t="str">
        <f aca="false">IF(ABS(E7)&lt;=0.005,"PASS","FAIL")</f>
        <v>PASS</v>
      </c>
      <c r="G7" s="47" t="s">
        <v>627</v>
      </c>
    </row>
    <row r="8" customFormat="false" ht="15" hidden="false" customHeight="false" outlineLevel="0" collapsed="false">
      <c r="B8" s="14" t="s">
        <v>134</v>
      </c>
      <c r="C8" s="30" t="n">
        <v>56124433.13</v>
      </c>
      <c r="D8" s="17" t="n">
        <f aca="false">Levers!$C$9</f>
        <v>56124433.13</v>
      </c>
      <c r="E8" s="44" t="n">
        <f aca="false">ROUND(C8-D8,6)</f>
        <v>0</v>
      </c>
      <c r="F8" s="41" t="str">
        <f aca="false">IF(ABS(E8)&lt;=0.005,"PASS","FAIL")</f>
        <v>PASS</v>
      </c>
      <c r="G8" s="47" t="s">
        <v>627</v>
      </c>
    </row>
    <row r="9" customFormat="false" ht="15" hidden="false" customHeight="false" outlineLevel="0" collapsed="false">
      <c r="B9" s="14" t="s">
        <v>353</v>
      </c>
      <c r="C9" s="30" t="n">
        <v>39780000</v>
      </c>
      <c r="D9" s="17" t="n">
        <f aca="false">Levers!$C$10</f>
        <v>39780000</v>
      </c>
      <c r="E9" s="44" t="n">
        <f aca="false">ROUND(C9-D9,6)</f>
        <v>0</v>
      </c>
      <c r="F9" s="41" t="str">
        <f aca="false">IF(ABS(E9)&lt;=0.005,"PASS","FAIL")</f>
        <v>PASS</v>
      </c>
      <c r="G9" s="47" t="s">
        <v>627</v>
      </c>
    </row>
    <row r="10" customFormat="false" ht="15" hidden="false" customHeight="false" outlineLevel="0" collapsed="false">
      <c r="B10" s="14" t="s">
        <v>628</v>
      </c>
      <c r="C10" s="30" t="n">
        <v>1205070.54</v>
      </c>
      <c r="D10" s="17" t="n">
        <f aca="false">Levers!$C$11</f>
        <v>1205070.54</v>
      </c>
      <c r="E10" s="44" t="n">
        <f aca="false">ROUND(C10-D10,6)</f>
        <v>0</v>
      </c>
      <c r="F10" s="41" t="str">
        <f aca="false">IF(ABS(E10)&lt;=0.005,"PASS","FAIL")</f>
        <v>PASS</v>
      </c>
      <c r="G10" s="47" t="s">
        <v>627</v>
      </c>
    </row>
    <row r="11" customFormat="false" ht="15" hidden="false" customHeight="false" outlineLevel="0" collapsed="false">
      <c r="B11" s="14" t="s">
        <v>136</v>
      </c>
      <c r="C11" s="30" t="n">
        <v>15139362.59</v>
      </c>
      <c r="D11" s="17" t="n">
        <f aca="false">Levers!$C$12</f>
        <v>15139362.59</v>
      </c>
      <c r="E11" s="44" t="n">
        <f aca="false">ROUND(C11-D11,6)</f>
        <v>0</v>
      </c>
      <c r="F11" s="41" t="str">
        <f aca="false">IF(ABS(E11)&lt;=0.005,"PASS","FAIL")</f>
        <v>PASS</v>
      </c>
      <c r="G11" s="47" t="s">
        <v>627</v>
      </c>
    </row>
    <row r="12" customFormat="false" ht="15" hidden="false" customHeight="false" outlineLevel="0" collapsed="false">
      <c r="B12" s="14" t="s">
        <v>356</v>
      </c>
      <c r="C12" s="30" t="n">
        <v>5739362.59</v>
      </c>
      <c r="D12" s="17" t="n">
        <f aca="false">Levers!$C$14</f>
        <v>5739362.59</v>
      </c>
      <c r="E12" s="44" t="n">
        <f aca="false">ROUND(C12-D12,6)</f>
        <v>0</v>
      </c>
      <c r="F12" s="41" t="str">
        <f aca="false">IF(ABS(E12)&lt;=0.005,"PASS","FAIL")</f>
        <v>PASS</v>
      </c>
      <c r="G12" s="47" t="s">
        <v>627</v>
      </c>
    </row>
    <row r="13" customFormat="false" ht="15" hidden="false" customHeight="false" outlineLevel="0" collapsed="false">
      <c r="B13" s="14" t="s">
        <v>629</v>
      </c>
      <c r="C13" s="34" t="n">
        <v>0.269746</v>
      </c>
      <c r="D13" s="48" t="n">
        <f aca="false">Levers!$C$15</f>
        <v>0.269746378639281</v>
      </c>
      <c r="E13" s="44" t="n">
        <f aca="false">ROUND(C13-D13,6)</f>
        <v>-0</v>
      </c>
      <c r="F13" s="41" t="str">
        <f aca="false">IF(ABS(E13)&lt;=0.000005,"PASS","FAIL")</f>
        <v>PASS</v>
      </c>
      <c r="G13" s="47" t="s">
        <v>630</v>
      </c>
    </row>
    <row r="14" customFormat="false" ht="15" hidden="false" customHeight="false" outlineLevel="0" collapsed="false">
      <c r="B14" s="14" t="s">
        <v>631</v>
      </c>
      <c r="C14" s="34" t="n">
        <v>0.275665</v>
      </c>
      <c r="D14" s="48" t="n">
        <f aca="false">Levers!$C$17</f>
        <v>0.275665300470123</v>
      </c>
      <c r="E14" s="44" t="n">
        <f aca="false">ROUND(C14-D14,6)</f>
        <v>-0</v>
      </c>
      <c r="F14" s="41" t="str">
        <f aca="false">IF(ABS(E14)&lt;=0.000005,"PASS","FAIL")</f>
        <v>PASS</v>
      </c>
      <c r="G14" s="47" t="s">
        <v>632</v>
      </c>
    </row>
    <row r="15" customFormat="false" ht="15" hidden="false" customHeight="false" outlineLevel="0" collapsed="false">
      <c r="B15" s="14" t="s">
        <v>633</v>
      </c>
      <c r="C15" s="30" t="n">
        <v>549193.63</v>
      </c>
      <c r="D15" s="17" t="n">
        <f aca="false">Levers!$C$26</f>
        <v>549193.63</v>
      </c>
      <c r="E15" s="44" t="n">
        <f aca="false">ROUND(C15-D15,6)</f>
        <v>0</v>
      </c>
      <c r="F15" s="41" t="str">
        <f aca="false">IF(ABS(E15)&lt;=0.005,"PASS","FAIL")</f>
        <v>PASS</v>
      </c>
      <c r="G15" s="47" t="s">
        <v>634</v>
      </c>
    </row>
    <row r="16" customFormat="false" ht="15" hidden="false" customHeight="false" outlineLevel="0" collapsed="false">
      <c r="B16" s="14" t="s">
        <v>635</v>
      </c>
      <c r="C16" s="30" t="n">
        <v>151393.63</v>
      </c>
      <c r="D16" s="17" t="n">
        <f aca="false">Levers!$C$27</f>
        <v>151393.63</v>
      </c>
      <c r="E16" s="44" t="n">
        <f aca="false">ROUND(C16-D16,6)</f>
        <v>0</v>
      </c>
      <c r="F16" s="41" t="str">
        <f aca="false">IF(ABS(E16)&lt;=0.005,"PASS","FAIL")</f>
        <v>PASS</v>
      </c>
      <c r="G16" s="47" t="s">
        <v>634</v>
      </c>
    </row>
    <row r="17" customFormat="false" ht="15" hidden="false" customHeight="false" outlineLevel="0" collapsed="false">
      <c r="B17" s="14" t="s">
        <v>636</v>
      </c>
      <c r="C17" s="30" t="n">
        <v>397800</v>
      </c>
      <c r="D17" s="17" t="n">
        <f aca="false">Levers!$C$28</f>
        <v>397800</v>
      </c>
      <c r="E17" s="44" t="n">
        <f aca="false">ROUND(C17-D17,6)</f>
        <v>0</v>
      </c>
      <c r="F17" s="41" t="str">
        <f aca="false">IF(ABS(E17)&lt;=0.005,"PASS","FAIL")</f>
        <v>PASS</v>
      </c>
      <c r="G17" s="47" t="s">
        <v>634</v>
      </c>
    </row>
    <row r="18" customFormat="false" ht="15" hidden="false" customHeight="false" outlineLevel="0" collapsed="false">
      <c r="B18" s="14" t="s">
        <v>637</v>
      </c>
      <c r="C18" s="30" t="n">
        <v>94000</v>
      </c>
      <c r="D18" s="17" t="n">
        <f aca="false">Levers!$C$29</f>
        <v>94000</v>
      </c>
      <c r="E18" s="44" t="n">
        <f aca="false">ROUND(C18-D18,6)</f>
        <v>0</v>
      </c>
      <c r="F18" s="41" t="str">
        <f aca="false">IF(ABS(E18)&lt;=0.005,"PASS","FAIL")</f>
        <v>PASS</v>
      </c>
      <c r="G18" s="47" t="s">
        <v>634</v>
      </c>
    </row>
    <row r="19" customFormat="false" ht="15" hidden="false" customHeight="false" outlineLevel="0" collapsed="false">
      <c r="B19" s="14" t="s">
        <v>638</v>
      </c>
      <c r="C19" s="34" t="n">
        <v>0.095689</v>
      </c>
      <c r="D19" s="48" t="n">
        <f aca="false">Levers!$D$26</f>
        <v>0.0956889587280806</v>
      </c>
      <c r="E19" s="44" t="n">
        <f aca="false">ROUND(C19-D19,6)</f>
        <v>0</v>
      </c>
      <c r="F19" s="41" t="str">
        <f aca="false">IF(ABS(E19)&lt;=0.000005,"PASS","FAIL")</f>
        <v>PASS</v>
      </c>
      <c r="G19" s="47" t="s">
        <v>634</v>
      </c>
    </row>
    <row r="20" customFormat="false" ht="15" hidden="false" customHeight="false" outlineLevel="0" collapsed="false">
      <c r="B20" s="14" t="s">
        <v>639</v>
      </c>
      <c r="C20" s="34" t="n">
        <v>0.026378</v>
      </c>
      <c r="D20" s="48" t="n">
        <f aca="false">Levers!$D$27</f>
        <v>0.026378126076889</v>
      </c>
      <c r="E20" s="44" t="n">
        <f aca="false">ROUND(C20-D20,6)</f>
        <v>-0</v>
      </c>
      <c r="F20" s="41" t="str">
        <f aca="false">IF(ABS(E20)&lt;=0.000005,"PASS","FAIL")</f>
        <v>PASS</v>
      </c>
      <c r="G20" s="47" t="s">
        <v>634</v>
      </c>
    </row>
    <row r="21" customFormat="false" ht="15" hidden="false" customHeight="false" outlineLevel="0" collapsed="false">
      <c r="B21" s="14" t="s">
        <v>640</v>
      </c>
      <c r="C21" s="34" t="n">
        <v>0.069311</v>
      </c>
      <c r="D21" s="48" t="n">
        <f aca="false">Levers!$D$28</f>
        <v>0.0693108326511917</v>
      </c>
      <c r="E21" s="44" t="n">
        <f aca="false">ROUND(C21-D21,6)</f>
        <v>0</v>
      </c>
      <c r="F21" s="41" t="str">
        <f aca="false">IF(ABS(E21)&lt;=0.000005,"PASS","FAIL")</f>
        <v>PASS</v>
      </c>
      <c r="G21" s="47" t="s">
        <v>634</v>
      </c>
    </row>
    <row r="22" customFormat="false" ht="15" hidden="false" customHeight="false" outlineLevel="0" collapsed="false">
      <c r="B22" s="14" t="s">
        <v>641</v>
      </c>
      <c r="C22" s="34" t="n">
        <v>0.016378</v>
      </c>
      <c r="D22" s="48" t="n">
        <f aca="false">Levers!$D$29</f>
        <v>0.0163781253625239</v>
      </c>
      <c r="E22" s="44" t="n">
        <f aca="false">ROUND(C22-D22,6)</f>
        <v>-0</v>
      </c>
      <c r="F22" s="41" t="str">
        <f aca="false">IF(ABS(E22)&lt;=0.000005,"PASS","FAIL")</f>
        <v>PASS</v>
      </c>
      <c r="G22" s="47" t="s">
        <v>634</v>
      </c>
    </row>
    <row r="23" customFormat="false" ht="15" hidden="false" customHeight="false" outlineLevel="0" collapsed="false">
      <c r="B23" s="14" t="s">
        <v>381</v>
      </c>
      <c r="C23" s="49" t="n">
        <v>3.627587</v>
      </c>
      <c r="D23" s="44" t="n">
        <f aca="false">Levers!$C$33</f>
        <v>3.62758743548193</v>
      </c>
      <c r="E23" s="44" t="n">
        <f aca="false">ROUND(C23-D23,6)</f>
        <v>-0</v>
      </c>
      <c r="F23" s="41" t="str">
        <f aca="false">IF(ABS(E23)&lt;=0.000005,"PASS","FAIL")</f>
        <v>PASS</v>
      </c>
      <c r="G23" s="47" t="s">
        <v>634</v>
      </c>
    </row>
    <row r="24" customFormat="false" ht="15" hidden="false" customHeight="false" outlineLevel="0" collapsed="false">
      <c r="B24" s="14" t="s">
        <v>642</v>
      </c>
      <c r="C24" s="49" t="n">
        <v>3.707186</v>
      </c>
      <c r="D24" s="44" t="n">
        <f aca="false">Levers!$C$34</f>
        <v>3.7071860057749</v>
      </c>
      <c r="E24" s="44" t="n">
        <f aca="false">ROUND(C24-D24,6)</f>
        <v>-0</v>
      </c>
      <c r="F24" s="41" t="str">
        <f aca="false">IF(ABS(E24)&lt;=0.000005,"PASS","FAIL")</f>
        <v>PASS</v>
      </c>
      <c r="G24" s="47" t="s">
        <v>634</v>
      </c>
    </row>
    <row r="25" customFormat="false" ht="15" hidden="false" customHeight="false" outlineLevel="0" collapsed="false">
      <c r="B25" s="14" t="s">
        <v>384</v>
      </c>
      <c r="C25" s="49" t="n">
        <v>1.380577</v>
      </c>
      <c r="D25" s="44" t="n">
        <f aca="false">Levers!$C$36</f>
        <v>1.38057724987431</v>
      </c>
      <c r="E25" s="44" t="n">
        <f aca="false">ROUND(C25-D25,6)</f>
        <v>-0</v>
      </c>
      <c r="F25" s="41" t="str">
        <f aca="false">IF(ABS(E25)&lt;=0.000005,"PASS","FAIL")</f>
        <v>PASS</v>
      </c>
      <c r="G25" s="47" t="s">
        <v>634</v>
      </c>
    </row>
    <row r="26" customFormat="false" ht="15" hidden="false" customHeight="false" outlineLevel="0" collapsed="false">
      <c r="B26" s="14" t="s">
        <v>385</v>
      </c>
      <c r="C26" s="49" t="n">
        <v>5.842485</v>
      </c>
      <c r="D26" s="44" t="n">
        <f aca="false">Levers!$C$37</f>
        <v>5.84248542553191</v>
      </c>
      <c r="E26" s="44" t="n">
        <f aca="false">ROUND(C26-D26,6)</f>
        <v>-0</v>
      </c>
      <c r="F26" s="41" t="str">
        <f aca="false">IF(ABS(E26)&lt;=0.000005,"PASS","FAIL")</f>
        <v>PASS</v>
      </c>
      <c r="G26" s="47" t="s">
        <v>634</v>
      </c>
    </row>
    <row r="27" customFormat="false" ht="15" hidden="false" customHeight="false" outlineLevel="0" collapsed="false">
      <c r="B27" s="14" t="s">
        <v>643</v>
      </c>
      <c r="C27" s="49" t="n">
        <v>0.05</v>
      </c>
      <c r="D27" s="44" t="n">
        <f aca="false">Levers!$C$42</f>
        <v>0.05</v>
      </c>
      <c r="E27" s="44" t="n">
        <f aca="false">ROUND(C27-D27,6)</f>
        <v>0</v>
      </c>
      <c r="F27" s="41" t="str">
        <f aca="false">IF(ABS(E27)&lt;=0.000005,"PASS","FAIL")</f>
        <v>PASS</v>
      </c>
      <c r="G27" s="47" t="s">
        <v>644</v>
      </c>
    </row>
    <row r="28" customFormat="false" ht="15" hidden="false" customHeight="false" outlineLevel="0" collapsed="false">
      <c r="B28" s="14" t="s">
        <v>645</v>
      </c>
      <c r="C28" s="49" t="n">
        <v>0.04</v>
      </c>
      <c r="D28" s="44" t="n">
        <f aca="false">Levers!$C$43</f>
        <v>0.04</v>
      </c>
      <c r="E28" s="44" t="n">
        <f aca="false">ROUND(C28-D28,6)</f>
        <v>0</v>
      </c>
      <c r="F28" s="41" t="str">
        <f aca="false">IF(ABS(E28)&lt;=0.000005,"PASS","FAIL")</f>
        <v>PASS</v>
      </c>
      <c r="G28" s="47" t="s">
        <v>644</v>
      </c>
    </row>
    <row r="29" customFormat="false" ht="15" hidden="false" customHeight="false" outlineLevel="0" collapsed="false">
      <c r="B29" s="14" t="s">
        <v>646</v>
      </c>
      <c r="C29" s="49" t="n">
        <v>0.033333</v>
      </c>
      <c r="D29" s="44" t="n">
        <f aca="false">Levers!$C$44</f>
        <v>0.0333333333333333</v>
      </c>
      <c r="E29" s="44" t="n">
        <f aca="false">ROUND(C29-D29,6)</f>
        <v>-0</v>
      </c>
      <c r="F29" s="41" t="str">
        <f aca="false">IF(ABS(E29)&lt;=0.000005,"PASS","FAIL")</f>
        <v>PASS</v>
      </c>
      <c r="G29" s="47" t="s">
        <v>644</v>
      </c>
    </row>
    <row r="30" customFormat="false" ht="15" hidden="false" customHeight="false" outlineLevel="0" collapsed="false">
      <c r="B30" s="14" t="s">
        <v>647</v>
      </c>
      <c r="C30" s="49" t="n">
        <v>0.028571</v>
      </c>
      <c r="D30" s="44" t="n">
        <f aca="false">Levers!$C$45</f>
        <v>0.0285714285714286</v>
      </c>
      <c r="E30" s="44" t="n">
        <f aca="false">ROUND(C30-D30,6)</f>
        <v>-0</v>
      </c>
      <c r="F30" s="41" t="str">
        <f aca="false">IF(ABS(E30)&lt;=0.000005,"PASS","FAIL")</f>
        <v>PASS</v>
      </c>
      <c r="G30" s="47" t="s">
        <v>644</v>
      </c>
    </row>
    <row r="31" customFormat="false" ht="15" hidden="false" customHeight="false" outlineLevel="0" collapsed="false">
      <c r="B31" s="14" t="s">
        <v>648</v>
      </c>
      <c r="C31" s="49" t="n">
        <v>0.025</v>
      </c>
      <c r="D31" s="44" t="n">
        <f aca="false">Levers!$C$46</f>
        <v>0.025</v>
      </c>
      <c r="E31" s="44" t="n">
        <f aca="false">ROUND(C31-D31,6)</f>
        <v>0</v>
      </c>
      <c r="F31" s="41" t="str">
        <f aca="false">IF(ABS(E31)&lt;=0.000005,"PASS","FAIL")</f>
        <v>PASS</v>
      </c>
      <c r="G31" s="47" t="s">
        <v>644</v>
      </c>
    </row>
    <row r="32" customFormat="false" ht="15" hidden="false" customHeight="false" outlineLevel="0" collapsed="false">
      <c r="B32" s="14" t="s">
        <v>649</v>
      </c>
      <c r="C32" s="49" t="n">
        <v>0.02</v>
      </c>
      <c r="D32" s="44" t="n">
        <f aca="false">Levers!$C$47</f>
        <v>0.02</v>
      </c>
      <c r="E32" s="44" t="n">
        <f aca="false">ROUND(C32-D32,6)</f>
        <v>0</v>
      </c>
      <c r="F32" s="41" t="str">
        <f aca="false">IF(ABS(E32)&lt;=0.000005,"PASS","FAIL")</f>
        <v>PASS</v>
      </c>
      <c r="G32" s="47" t="s">
        <v>644</v>
      </c>
    </row>
    <row r="33" customFormat="false" ht="15" hidden="false" customHeight="false" outlineLevel="0" collapsed="false">
      <c r="B33" s="14" t="s">
        <v>650</v>
      </c>
      <c r="C33" s="34" t="n">
        <v>0.080081</v>
      </c>
      <c r="D33" s="48" t="n">
        <f aca="false">'Break-Even'!$C$17</f>
        <v>0.0800812412534991</v>
      </c>
      <c r="E33" s="44" t="n">
        <f aca="false">ROUND(C33-D33,6)</f>
        <v>-0</v>
      </c>
      <c r="F33" s="41" t="str">
        <f aca="false">IF(ABS(E33)&lt;=0.000005,"PASS","FAIL")</f>
        <v>PASS</v>
      </c>
      <c r="G33" s="47" t="s">
        <v>632</v>
      </c>
    </row>
    <row r="34" customFormat="false" ht="15" hidden="false" customHeight="false" outlineLevel="0" collapsed="false">
      <c r="B34" s="14" t="s">
        <v>651</v>
      </c>
      <c r="C34" s="34" t="n">
        <v>0.125132</v>
      </c>
      <c r="D34" s="48" t="n">
        <f aca="false">'Break-Even'!$C$18</f>
        <v>0.125132234197946</v>
      </c>
      <c r="E34" s="44" t="n">
        <f aca="false">ROUND(C34-D34,6)</f>
        <v>-0</v>
      </c>
      <c r="F34" s="41" t="str">
        <f aca="false">IF(ABS(E34)&lt;=0.000005,"PASS","FAIL")</f>
        <v>PASS</v>
      </c>
      <c r="G34" s="47" t="s">
        <v>632</v>
      </c>
    </row>
    <row r="35" customFormat="false" ht="15" hidden="false" customHeight="false" outlineLevel="0" collapsed="false">
      <c r="B35" s="14" t="s">
        <v>652</v>
      </c>
      <c r="C35" s="34" t="n">
        <v>0.227535</v>
      </c>
      <c r="D35" s="48" t="n">
        <f aca="false">'Break-Even'!$C$19</f>
        <v>0.227535035205637</v>
      </c>
      <c r="E35" s="44" t="n">
        <f aca="false">ROUND(C35-D35,6)</f>
        <v>-0</v>
      </c>
      <c r="F35" s="41" t="str">
        <f aca="false">IF(ABS(E35)&lt;=0.000005,"PASS","FAIL")</f>
        <v>PASS</v>
      </c>
      <c r="G35" s="47" t="s">
        <v>632</v>
      </c>
    </row>
    <row r="36" customFormat="false" ht="15" hidden="false" customHeight="false" outlineLevel="0" collapsed="false">
      <c r="B36" s="14" t="s">
        <v>653</v>
      </c>
      <c r="C36" s="34" t="n">
        <v>0.421615</v>
      </c>
      <c r="D36" s="48" t="n">
        <f aca="false">'Break-Even'!$C$20</f>
        <v>0.421615424619432</v>
      </c>
      <c r="E36" s="44" t="n">
        <f aca="false">ROUND(C36-D36,6)</f>
        <v>-0</v>
      </c>
      <c r="F36" s="41" t="str">
        <f aca="false">IF(ABS(E36)&lt;=0.000005,"PASS","FAIL")</f>
        <v>PASS</v>
      </c>
      <c r="G36" s="47" t="s">
        <v>632</v>
      </c>
    </row>
    <row r="37" customFormat="false" ht="15" hidden="false" customHeight="false" outlineLevel="0" collapsed="false">
      <c r="B37" s="14" t="s">
        <v>654</v>
      </c>
      <c r="C37" s="34" t="n">
        <v>0.589114</v>
      </c>
      <c r="D37" s="48" t="n">
        <f aca="false">'Break-Even'!$C$21</f>
        <v>0.589114187893838</v>
      </c>
      <c r="E37" s="44" t="n">
        <f aca="false">ROUND(C37-D37,6)</f>
        <v>-0</v>
      </c>
      <c r="F37" s="41" t="str">
        <f aca="false">IF(ABS(E37)&lt;=0.000005,"PASS","FAIL")</f>
        <v>PASS</v>
      </c>
      <c r="G37" s="47" t="s">
        <v>632</v>
      </c>
    </row>
    <row r="38" customFormat="false" ht="15" hidden="false" customHeight="false" outlineLevel="0" collapsed="false">
      <c r="B38" s="14" t="s">
        <v>655</v>
      </c>
      <c r="C38" s="34" t="n">
        <v>1.252647</v>
      </c>
      <c r="D38" s="48" t="n">
        <f aca="false">'Break-Even'!$C$22</f>
        <v>1.25264748466301</v>
      </c>
      <c r="E38" s="44" t="n">
        <f aca="false">ROUND(C38-D38,6)</f>
        <v>-0</v>
      </c>
      <c r="F38" s="41" t="str">
        <f aca="false">IF(ABS(E38)&lt;=0.000005,"PASS","FAIL")</f>
        <v>PASS</v>
      </c>
      <c r="G38" s="47" t="s">
        <v>632</v>
      </c>
    </row>
    <row r="39" customFormat="false" ht="15" hidden="false" customHeight="false" outlineLevel="0" collapsed="false">
      <c r="B39" s="14" t="s">
        <v>656</v>
      </c>
      <c r="C39" s="34" t="n">
        <v>0.069026</v>
      </c>
      <c r="D39" s="48" t="n">
        <f aca="false">'Break-Even'!$E$17</f>
        <v>0.0690258842713577</v>
      </c>
      <c r="E39" s="44" t="n">
        <f aca="false">ROUND(C39-D39,6)</f>
        <v>0</v>
      </c>
      <c r="F39" s="41" t="str">
        <f aca="false">IF(ABS(E39)&lt;=0.000005,"PASS","FAIL")</f>
        <v>PASS</v>
      </c>
      <c r="G39" s="47" t="s">
        <v>632</v>
      </c>
    </row>
    <row r="40" customFormat="false" ht="15" hidden="false" customHeight="false" outlineLevel="0" collapsed="false">
      <c r="B40" s="14" t="s">
        <v>657</v>
      </c>
      <c r="C40" s="34" t="n">
        <v>0.100085</v>
      </c>
      <c r="D40" s="48" t="n">
        <f aca="false">'Break-Even'!$E$18</f>
        <v>0.100084611984929</v>
      </c>
      <c r="E40" s="44" t="n">
        <f aca="false">ROUND(C40-D40,6)</f>
        <v>0</v>
      </c>
      <c r="F40" s="41" t="str">
        <f aca="false">IF(ABS(E40)&lt;=0.000005,"PASS","FAIL")</f>
        <v>PASS</v>
      </c>
      <c r="G40" s="47" t="s">
        <v>632</v>
      </c>
    </row>
    <row r="41" customFormat="false" ht="15" hidden="false" customHeight="false" outlineLevel="0" collapsed="false">
      <c r="B41" s="14" t="s">
        <v>658</v>
      </c>
      <c r="C41" s="34" t="n">
        <v>0.156374</v>
      </c>
      <c r="D41" s="48" t="n">
        <f aca="false">'Break-Even'!$E$19</f>
        <v>0.156373936783212</v>
      </c>
      <c r="E41" s="44" t="n">
        <f aca="false">ROUND(C41-D41,6)</f>
        <v>0</v>
      </c>
      <c r="F41" s="41" t="str">
        <f aca="false">IF(ABS(E41)&lt;=0.000005,"PASS","FAIL")</f>
        <v>PASS</v>
      </c>
      <c r="G41" s="47" t="s">
        <v>632</v>
      </c>
    </row>
    <row r="42" customFormat="false" ht="15" hidden="false" customHeight="false" outlineLevel="0" collapsed="false">
      <c r="B42" s="14" t="s">
        <v>659</v>
      </c>
      <c r="C42" s="34" t="n">
        <v>0.228737</v>
      </c>
      <c r="D42" s="48" t="n">
        <f aca="false">'Break-Even'!$E$20</f>
        <v>0.228737178955925</v>
      </c>
      <c r="E42" s="44" t="n">
        <f aca="false">ROUND(C42-D42,6)</f>
        <v>-0</v>
      </c>
      <c r="F42" s="41" t="str">
        <f aca="false">IF(ABS(E42)&lt;=0.000005,"PASS","FAIL")</f>
        <v>PASS</v>
      </c>
      <c r="G42" s="47" t="s">
        <v>632</v>
      </c>
    </row>
    <row r="43" customFormat="false" ht="15" hidden="false" customHeight="false" outlineLevel="0" collapsed="false">
      <c r="B43" s="14" t="s">
        <v>660</v>
      </c>
      <c r="C43" s="34" t="n">
        <v>0.270456</v>
      </c>
      <c r="D43" s="48" t="n">
        <f aca="false">'Break-Even'!$E$21</f>
        <v>0.270455657653806</v>
      </c>
      <c r="E43" s="44" t="n">
        <f aca="false">ROUND(C43-D43,6)</f>
        <v>0</v>
      </c>
      <c r="F43" s="41" t="str">
        <f aca="false">IF(ABS(E43)&lt;=0.000005,"PASS","FAIL")</f>
        <v>PASS</v>
      </c>
      <c r="G43" s="47" t="s">
        <v>632</v>
      </c>
    </row>
    <row r="44" customFormat="false" ht="15" hidden="false" customHeight="false" outlineLevel="0" collapsed="false">
      <c r="B44" s="14" t="s">
        <v>661</v>
      </c>
      <c r="C44" s="34" t="n">
        <v>0.111111</v>
      </c>
      <c r="D44" s="48" t="n">
        <f aca="false">'Break-Even'!$C$27</f>
        <v>0.111111111111111</v>
      </c>
      <c r="E44" s="44" t="n">
        <f aca="false">ROUND(C44-D44,6)</f>
        <v>-0</v>
      </c>
      <c r="F44" s="41" t="str">
        <f aca="false">IF(ABS(E44)&lt;=0.000005,"PASS","FAIL")</f>
        <v>PASS</v>
      </c>
      <c r="G44" s="47" t="s">
        <v>632</v>
      </c>
    </row>
    <row r="45" customFormat="false" ht="15" hidden="false" customHeight="false" outlineLevel="0" collapsed="false">
      <c r="B45" s="14" t="s">
        <v>662</v>
      </c>
      <c r="C45" s="34" t="n">
        <v>0.176471</v>
      </c>
      <c r="D45" s="48" t="n">
        <f aca="false">'Break-Even'!$D$27</f>
        <v>0.176470588235294</v>
      </c>
      <c r="E45" s="44" t="n">
        <f aca="false">ROUND(C45-D45,6)</f>
        <v>0</v>
      </c>
      <c r="F45" s="41" t="str">
        <f aca="false">IF(ABS(E45)&lt;=0.000005,"PASS","FAIL")</f>
        <v>PASS</v>
      </c>
      <c r="G45" s="47" t="s">
        <v>632</v>
      </c>
    </row>
    <row r="46" customFormat="false" ht="15" hidden="false" customHeight="false" outlineLevel="0" collapsed="false">
      <c r="B46" s="14" t="s">
        <v>663</v>
      </c>
      <c r="C46" s="34" t="n">
        <v>0.333333</v>
      </c>
      <c r="D46" s="48" t="n">
        <f aca="false">'Break-Even'!$E$27</f>
        <v>0.333333333333333</v>
      </c>
      <c r="E46" s="44" t="n">
        <f aca="false">ROUND(C46-D46,6)</f>
        <v>-0</v>
      </c>
      <c r="F46" s="41" t="str">
        <f aca="false">IF(ABS(E46)&lt;=0.000005,"PASS","FAIL")</f>
        <v>PASS</v>
      </c>
      <c r="G46" s="47" t="s">
        <v>632</v>
      </c>
    </row>
    <row r="47" customFormat="false" ht="15" hidden="false" customHeight="false" outlineLevel="0" collapsed="false">
      <c r="B47" s="14" t="s">
        <v>664</v>
      </c>
      <c r="C47" s="34" t="n">
        <v>0.666667</v>
      </c>
      <c r="D47" s="48" t="n">
        <f aca="false">'Break-Even'!$F$27</f>
        <v>0.666666666666667</v>
      </c>
      <c r="E47" s="44" t="n">
        <f aca="false">ROUND(C47-D47,6)</f>
        <v>0</v>
      </c>
      <c r="F47" s="41" t="str">
        <f aca="false">IF(ABS(E47)&lt;=0.000005,"PASS","FAIL")</f>
        <v>PASS</v>
      </c>
      <c r="G47" s="47" t="s">
        <v>632</v>
      </c>
    </row>
    <row r="48" customFormat="false" ht="15" hidden="false" customHeight="false" outlineLevel="0" collapsed="false">
      <c r="B48" s="14" t="s">
        <v>665</v>
      </c>
      <c r="C48" s="34" t="n">
        <v>1</v>
      </c>
      <c r="D48" s="48" t="n">
        <f aca="false">'Break-Even'!$G$27</f>
        <v>1</v>
      </c>
      <c r="E48" s="44" t="n">
        <f aca="false">ROUND(C48-D48,6)</f>
        <v>0</v>
      </c>
      <c r="F48" s="41" t="str">
        <f aca="false">IF(ABS(E48)&lt;=0.000005,"PASS","FAIL")</f>
        <v>PASS</v>
      </c>
      <c r="G48" s="47" t="s">
        <v>632</v>
      </c>
    </row>
    <row r="49" customFormat="false" ht="15" hidden="false" customHeight="false" outlineLevel="0" collapsed="false">
      <c r="B49" s="14" t="s">
        <v>666</v>
      </c>
      <c r="C49" s="34" t="n">
        <v>3</v>
      </c>
      <c r="D49" s="48" t="n">
        <f aca="false">'Break-Even'!$H$27</f>
        <v>3</v>
      </c>
      <c r="E49" s="44" t="n">
        <f aca="false">ROUND(C49-D49,6)</f>
        <v>0</v>
      </c>
      <c r="F49" s="41" t="str">
        <f aca="false">IF(ABS(E49)&lt;=0.000005,"PASS","FAIL")</f>
        <v>PASS</v>
      </c>
      <c r="G49" s="47" t="s">
        <v>632</v>
      </c>
    </row>
    <row r="50" customFormat="false" ht="15" hidden="false" customHeight="false" outlineLevel="0" collapsed="false">
      <c r="B50" s="14" t="s">
        <v>667</v>
      </c>
      <c r="C50" s="34" t="n">
        <v>0.086957</v>
      </c>
      <c r="D50" s="48" t="n">
        <f aca="false">'Break-Even'!$C$28</f>
        <v>0.0869565217391304</v>
      </c>
      <c r="E50" s="44" t="n">
        <f aca="false">ROUND(C50-D50,6)</f>
        <v>0</v>
      </c>
      <c r="F50" s="41" t="str">
        <f aca="false">IF(ABS(E50)&lt;=0.000005,"PASS","FAIL")</f>
        <v>PASS</v>
      </c>
      <c r="G50" s="47" t="s">
        <v>632</v>
      </c>
    </row>
    <row r="51" customFormat="false" ht="15" hidden="false" customHeight="false" outlineLevel="0" collapsed="false">
      <c r="B51" s="14" t="s">
        <v>668</v>
      </c>
      <c r="C51" s="34" t="n">
        <v>0.136364</v>
      </c>
      <c r="D51" s="48" t="n">
        <f aca="false">'Break-Even'!$D$28</f>
        <v>0.136363636363636</v>
      </c>
      <c r="E51" s="44" t="n">
        <f aca="false">ROUND(C51-D51,6)</f>
        <v>0</v>
      </c>
      <c r="F51" s="41" t="str">
        <f aca="false">IF(ABS(E51)&lt;=0.000005,"PASS","FAIL")</f>
        <v>PASS</v>
      </c>
      <c r="G51" s="47" t="s">
        <v>632</v>
      </c>
    </row>
    <row r="52" customFormat="false" ht="15" hidden="false" customHeight="false" outlineLevel="0" collapsed="false">
      <c r="B52" s="14" t="s">
        <v>669</v>
      </c>
      <c r="C52" s="34" t="n">
        <v>0.25</v>
      </c>
      <c r="D52" s="48" t="n">
        <f aca="false">'Break-Even'!$E$28</f>
        <v>0.25</v>
      </c>
      <c r="E52" s="44" t="n">
        <f aca="false">ROUND(C52-D52,6)</f>
        <v>0</v>
      </c>
      <c r="F52" s="41" t="str">
        <f aca="false">IF(ABS(E52)&lt;=0.000005,"PASS","FAIL")</f>
        <v>PASS</v>
      </c>
      <c r="G52" s="47" t="s">
        <v>632</v>
      </c>
    </row>
    <row r="53" customFormat="false" ht="15" hidden="false" customHeight="false" outlineLevel="0" collapsed="false">
      <c r="B53" s="14" t="s">
        <v>670</v>
      </c>
      <c r="C53" s="34" t="n">
        <v>0.470588</v>
      </c>
      <c r="D53" s="48" t="n">
        <f aca="false">'Break-Even'!$F$28</f>
        <v>0.470588235294118</v>
      </c>
      <c r="E53" s="44" t="n">
        <f aca="false">ROUND(C53-D53,6)</f>
        <v>-0</v>
      </c>
      <c r="F53" s="41" t="str">
        <f aca="false">IF(ABS(E53)&lt;=0.000005,"PASS","FAIL")</f>
        <v>PASS</v>
      </c>
      <c r="G53" s="47" t="s">
        <v>632</v>
      </c>
    </row>
    <row r="54" customFormat="false" ht="15" hidden="false" customHeight="false" outlineLevel="0" collapsed="false">
      <c r="B54" s="14" t="s">
        <v>671</v>
      </c>
      <c r="C54" s="34" t="n">
        <v>0.666667</v>
      </c>
      <c r="D54" s="48" t="n">
        <f aca="false">'Break-Even'!$G$28</f>
        <v>0.666666666666667</v>
      </c>
      <c r="E54" s="44" t="n">
        <f aca="false">ROUND(C54-D54,6)</f>
        <v>0</v>
      </c>
      <c r="F54" s="41" t="str">
        <f aca="false">IF(ABS(E54)&lt;=0.000005,"PASS","FAIL")</f>
        <v>PASS</v>
      </c>
      <c r="G54" s="47" t="s">
        <v>632</v>
      </c>
    </row>
    <row r="55" customFormat="false" ht="15" hidden="false" customHeight="false" outlineLevel="0" collapsed="false">
      <c r="B55" s="14" t="s">
        <v>672</v>
      </c>
      <c r="C55" s="34" t="n">
        <v>1.5</v>
      </c>
      <c r="D55" s="48" t="n">
        <f aca="false">'Break-Even'!$H$28</f>
        <v>1.5</v>
      </c>
      <c r="E55" s="44" t="n">
        <f aca="false">ROUND(C55-D55,6)</f>
        <v>0</v>
      </c>
      <c r="F55" s="41" t="str">
        <f aca="false">IF(ABS(E55)&lt;=0.000005,"PASS","FAIL")</f>
        <v>PASS</v>
      </c>
      <c r="G55" s="47" t="s">
        <v>632</v>
      </c>
    </row>
    <row r="56" customFormat="false" ht="15" hidden="false" customHeight="false" outlineLevel="0" collapsed="false">
      <c r="B56" s="14" t="s">
        <v>673</v>
      </c>
      <c r="C56" s="34" t="n">
        <v>0.071429</v>
      </c>
      <c r="D56" s="48" t="n">
        <f aca="false">'Break-Even'!$C$29</f>
        <v>0.0714285714285714</v>
      </c>
      <c r="E56" s="44" t="n">
        <f aca="false">ROUND(C56-D56,6)</f>
        <v>0</v>
      </c>
      <c r="F56" s="41" t="str">
        <f aca="false">IF(ABS(E56)&lt;=0.000005,"PASS","FAIL")</f>
        <v>PASS</v>
      </c>
      <c r="G56" s="47" t="s">
        <v>632</v>
      </c>
    </row>
    <row r="57" customFormat="false" ht="15" hidden="false" customHeight="false" outlineLevel="0" collapsed="false">
      <c r="B57" s="14" t="s">
        <v>674</v>
      </c>
      <c r="C57" s="34" t="n">
        <v>0.111111</v>
      </c>
      <c r="D57" s="48" t="n">
        <f aca="false">'Break-Even'!$D$29</f>
        <v>0.111111111111111</v>
      </c>
      <c r="E57" s="44" t="n">
        <f aca="false">ROUND(C57-D57,6)</f>
        <v>-0</v>
      </c>
      <c r="F57" s="41" t="str">
        <f aca="false">IF(ABS(E57)&lt;=0.000005,"PASS","FAIL")</f>
        <v>PASS</v>
      </c>
      <c r="G57" s="47" t="s">
        <v>632</v>
      </c>
    </row>
    <row r="58" customFormat="false" ht="15" hidden="false" customHeight="false" outlineLevel="0" collapsed="false">
      <c r="B58" s="14" t="s">
        <v>675</v>
      </c>
      <c r="C58" s="34" t="n">
        <v>0.2</v>
      </c>
      <c r="D58" s="48" t="n">
        <f aca="false">'Break-Even'!$E$29</f>
        <v>0.2</v>
      </c>
      <c r="E58" s="44" t="n">
        <f aca="false">ROUND(C58-D58,6)</f>
        <v>0</v>
      </c>
      <c r="F58" s="41" t="str">
        <f aca="false">IF(ABS(E58)&lt;=0.000005,"PASS","FAIL")</f>
        <v>PASS</v>
      </c>
      <c r="G58" s="47" t="s">
        <v>632</v>
      </c>
    </row>
    <row r="59" customFormat="false" ht="15" hidden="false" customHeight="false" outlineLevel="0" collapsed="false">
      <c r="B59" s="14" t="s">
        <v>676</v>
      </c>
      <c r="C59" s="34" t="n">
        <v>0.363636</v>
      </c>
      <c r="D59" s="48" t="n">
        <f aca="false">'Break-Even'!$F$29</f>
        <v>0.363636363636364</v>
      </c>
      <c r="E59" s="44" t="n">
        <f aca="false">ROUND(C59-D59,6)</f>
        <v>-0</v>
      </c>
      <c r="F59" s="41" t="str">
        <f aca="false">IF(ABS(E59)&lt;=0.000005,"PASS","FAIL")</f>
        <v>PASS</v>
      </c>
      <c r="G59" s="47" t="s">
        <v>632</v>
      </c>
    </row>
    <row r="60" customFormat="false" ht="15" hidden="false" customHeight="false" outlineLevel="0" collapsed="false">
      <c r="B60" s="14" t="s">
        <v>677</v>
      </c>
      <c r="C60" s="34" t="n">
        <v>0.5</v>
      </c>
      <c r="D60" s="48" t="n">
        <f aca="false">'Break-Even'!$G$29</f>
        <v>0.5</v>
      </c>
      <c r="E60" s="44" t="n">
        <f aca="false">ROUND(C60-D60,6)</f>
        <v>0</v>
      </c>
      <c r="F60" s="41" t="str">
        <f aca="false">IF(ABS(E60)&lt;=0.000005,"PASS","FAIL")</f>
        <v>PASS</v>
      </c>
      <c r="G60" s="47" t="s">
        <v>632</v>
      </c>
    </row>
    <row r="61" customFormat="false" ht="15" hidden="false" customHeight="false" outlineLevel="0" collapsed="false">
      <c r="B61" s="14" t="s">
        <v>678</v>
      </c>
      <c r="C61" s="34" t="n">
        <v>1</v>
      </c>
      <c r="D61" s="48" t="n">
        <f aca="false">'Break-Even'!$H$29</f>
        <v>1</v>
      </c>
      <c r="E61" s="44" t="n">
        <f aca="false">ROUND(C61-D61,6)</f>
        <v>0</v>
      </c>
      <c r="F61" s="41" t="str">
        <f aca="false">IF(ABS(E61)&lt;=0.000005,"PASS","FAIL")</f>
        <v>PASS</v>
      </c>
      <c r="G61" s="47" t="s">
        <v>632</v>
      </c>
    </row>
    <row r="62" customFormat="false" ht="15" hidden="false" customHeight="false" outlineLevel="0" collapsed="false">
      <c r="B62" s="14" t="s">
        <v>679</v>
      </c>
      <c r="C62" s="34" t="n">
        <v>0.060606</v>
      </c>
      <c r="D62" s="48" t="n">
        <f aca="false">'Break-Even'!$C$30</f>
        <v>0.0606060606060606</v>
      </c>
      <c r="E62" s="44" t="n">
        <f aca="false">ROUND(C62-D62,6)</f>
        <v>-0</v>
      </c>
      <c r="F62" s="41" t="str">
        <f aca="false">IF(ABS(E62)&lt;=0.000005,"PASS","FAIL")</f>
        <v>PASS</v>
      </c>
      <c r="G62" s="47" t="s">
        <v>632</v>
      </c>
    </row>
    <row r="63" customFormat="false" ht="15" hidden="false" customHeight="false" outlineLevel="0" collapsed="false">
      <c r="B63" s="14" t="s">
        <v>680</v>
      </c>
      <c r="C63" s="34" t="n">
        <v>0.09375</v>
      </c>
      <c r="D63" s="48" t="n">
        <f aca="false">'Break-Even'!$D$30</f>
        <v>0.09375</v>
      </c>
      <c r="E63" s="44" t="n">
        <f aca="false">ROUND(C63-D63,6)</f>
        <v>0</v>
      </c>
      <c r="F63" s="41" t="str">
        <f aca="false">IF(ABS(E63)&lt;=0.000005,"PASS","FAIL")</f>
        <v>PASS</v>
      </c>
      <c r="G63" s="47" t="s">
        <v>632</v>
      </c>
    </row>
    <row r="64" customFormat="false" ht="15" hidden="false" customHeight="false" outlineLevel="0" collapsed="false">
      <c r="B64" s="14" t="s">
        <v>681</v>
      </c>
      <c r="C64" s="34" t="n">
        <v>0.166667</v>
      </c>
      <c r="D64" s="48" t="n">
        <f aca="false">'Break-Even'!$E$30</f>
        <v>0.166666666666667</v>
      </c>
      <c r="E64" s="44" t="n">
        <f aca="false">ROUND(C64-D64,6)</f>
        <v>0</v>
      </c>
      <c r="F64" s="41" t="str">
        <f aca="false">IF(ABS(E64)&lt;=0.000005,"PASS","FAIL")</f>
        <v>PASS</v>
      </c>
      <c r="G64" s="47" t="s">
        <v>632</v>
      </c>
    </row>
    <row r="65" customFormat="false" ht="15" hidden="false" customHeight="false" outlineLevel="0" collapsed="false">
      <c r="B65" s="14" t="s">
        <v>682</v>
      </c>
      <c r="C65" s="34" t="n">
        <v>0.296296</v>
      </c>
      <c r="D65" s="48" t="n">
        <f aca="false">'Break-Even'!$F$30</f>
        <v>0.296296296296296</v>
      </c>
      <c r="E65" s="44" t="n">
        <f aca="false">ROUND(C65-D65,6)</f>
        <v>-0</v>
      </c>
      <c r="F65" s="41" t="str">
        <f aca="false">IF(ABS(E65)&lt;=0.000005,"PASS","FAIL")</f>
        <v>PASS</v>
      </c>
      <c r="G65" s="47" t="s">
        <v>632</v>
      </c>
    </row>
    <row r="66" customFormat="false" ht="15" hidden="false" customHeight="false" outlineLevel="0" collapsed="false">
      <c r="B66" s="14" t="s">
        <v>683</v>
      </c>
      <c r="C66" s="34" t="n">
        <v>0.4</v>
      </c>
      <c r="D66" s="48" t="n">
        <f aca="false">'Break-Even'!$G$30</f>
        <v>0.4</v>
      </c>
      <c r="E66" s="44" t="n">
        <f aca="false">ROUND(C66-D66,6)</f>
        <v>0</v>
      </c>
      <c r="F66" s="41" t="str">
        <f aca="false">IF(ABS(E66)&lt;=0.000005,"PASS","FAIL")</f>
        <v>PASS</v>
      </c>
      <c r="G66" s="47" t="s">
        <v>632</v>
      </c>
    </row>
    <row r="67" customFormat="false" ht="15" hidden="false" customHeight="false" outlineLevel="0" collapsed="false">
      <c r="B67" s="14" t="s">
        <v>684</v>
      </c>
      <c r="C67" s="34" t="n">
        <v>0.75</v>
      </c>
      <c r="D67" s="48" t="n">
        <f aca="false">'Break-Even'!$H$30</f>
        <v>0.75</v>
      </c>
      <c r="E67" s="44" t="n">
        <f aca="false">ROUND(C67-D67,6)</f>
        <v>0</v>
      </c>
      <c r="F67" s="41" t="str">
        <f aca="false">IF(ABS(E67)&lt;=0.000005,"PASS","FAIL")</f>
        <v>PASS</v>
      </c>
      <c r="G67" s="47" t="s">
        <v>632</v>
      </c>
    </row>
    <row r="68" customFormat="false" ht="15" hidden="false" customHeight="false" outlineLevel="0" collapsed="false">
      <c r="B68" s="14" t="s">
        <v>685</v>
      </c>
      <c r="C68" s="34" t="n">
        <v>0.052632</v>
      </c>
      <c r="D68" s="48" t="n">
        <f aca="false">'Break-Even'!$C$31</f>
        <v>0.0526315789473684</v>
      </c>
      <c r="E68" s="44" t="n">
        <f aca="false">ROUND(C68-D68,6)</f>
        <v>0</v>
      </c>
      <c r="F68" s="41" t="str">
        <f aca="false">IF(ABS(E68)&lt;=0.000005,"PASS","FAIL")</f>
        <v>PASS</v>
      </c>
      <c r="G68" s="47" t="s">
        <v>632</v>
      </c>
    </row>
    <row r="69" customFormat="false" ht="15" hidden="false" customHeight="false" outlineLevel="0" collapsed="false">
      <c r="B69" s="14" t="s">
        <v>686</v>
      </c>
      <c r="C69" s="34" t="n">
        <v>0.081081</v>
      </c>
      <c r="D69" s="48" t="n">
        <f aca="false">'Break-Even'!$D$31</f>
        <v>0.0810810810810811</v>
      </c>
      <c r="E69" s="44" t="n">
        <f aca="false">ROUND(C69-D69,6)</f>
        <v>-0</v>
      </c>
      <c r="F69" s="41" t="str">
        <f aca="false">IF(ABS(E69)&lt;=0.000005,"PASS","FAIL")</f>
        <v>PASS</v>
      </c>
      <c r="G69" s="47" t="s">
        <v>632</v>
      </c>
    </row>
    <row r="70" customFormat="false" ht="15" hidden="false" customHeight="false" outlineLevel="0" collapsed="false">
      <c r="B70" s="14" t="s">
        <v>687</v>
      </c>
      <c r="C70" s="34" t="n">
        <v>0.142857</v>
      </c>
      <c r="D70" s="48" t="n">
        <f aca="false">'Break-Even'!$E$31</f>
        <v>0.142857142857143</v>
      </c>
      <c r="E70" s="44" t="n">
        <f aca="false">ROUND(C70-D70,6)</f>
        <v>-0</v>
      </c>
      <c r="F70" s="41" t="str">
        <f aca="false">IF(ABS(E70)&lt;=0.000005,"PASS","FAIL")</f>
        <v>PASS</v>
      </c>
      <c r="G70" s="47" t="s">
        <v>632</v>
      </c>
    </row>
    <row r="71" customFormat="false" ht="15" hidden="false" customHeight="false" outlineLevel="0" collapsed="false">
      <c r="B71" s="14" t="s">
        <v>688</v>
      </c>
      <c r="C71" s="34" t="n">
        <v>0.25</v>
      </c>
      <c r="D71" s="48" t="n">
        <f aca="false">'Break-Even'!$F$31</f>
        <v>0.25</v>
      </c>
      <c r="E71" s="44" t="n">
        <f aca="false">ROUND(C71-D71,6)</f>
        <v>0</v>
      </c>
      <c r="F71" s="41" t="str">
        <f aca="false">IF(ABS(E71)&lt;=0.000005,"PASS","FAIL")</f>
        <v>PASS</v>
      </c>
      <c r="G71" s="47" t="s">
        <v>632</v>
      </c>
    </row>
    <row r="72" customFormat="false" ht="15" hidden="false" customHeight="false" outlineLevel="0" collapsed="false">
      <c r="B72" s="14" t="s">
        <v>689</v>
      </c>
      <c r="C72" s="34" t="n">
        <v>0.333333</v>
      </c>
      <c r="D72" s="48" t="n">
        <f aca="false">'Break-Even'!$G$31</f>
        <v>0.333333333333333</v>
      </c>
      <c r="E72" s="44" t="n">
        <f aca="false">ROUND(C72-D72,6)</f>
        <v>-0</v>
      </c>
      <c r="F72" s="41" t="str">
        <f aca="false">IF(ABS(E72)&lt;=0.000005,"PASS","FAIL")</f>
        <v>PASS</v>
      </c>
      <c r="G72" s="47" t="s">
        <v>632</v>
      </c>
    </row>
    <row r="73" customFormat="false" ht="15" hidden="false" customHeight="false" outlineLevel="0" collapsed="false">
      <c r="B73" s="14" t="s">
        <v>690</v>
      </c>
      <c r="C73" s="34" t="n">
        <v>0.6</v>
      </c>
      <c r="D73" s="48" t="n">
        <f aca="false">'Break-Even'!$H$31</f>
        <v>0.6</v>
      </c>
      <c r="E73" s="44" t="n">
        <f aca="false">ROUND(C73-D73,6)</f>
        <v>0</v>
      </c>
      <c r="F73" s="41" t="str">
        <f aca="false">IF(ABS(E73)&lt;=0.000005,"PASS","FAIL")</f>
        <v>PASS</v>
      </c>
      <c r="G73" s="47" t="s">
        <v>632</v>
      </c>
    </row>
    <row r="74" customFormat="false" ht="15" hidden="false" customHeight="false" outlineLevel="0" collapsed="false">
      <c r="B74" s="14" t="s">
        <v>691</v>
      </c>
      <c r="C74" s="34" t="n">
        <v>0.041667</v>
      </c>
      <c r="D74" s="48" t="n">
        <f aca="false">'Break-Even'!$C$32</f>
        <v>0.0416666666666667</v>
      </c>
      <c r="E74" s="44" t="n">
        <f aca="false">ROUND(C74-D74,6)</f>
        <v>0</v>
      </c>
      <c r="F74" s="41" t="str">
        <f aca="false">IF(ABS(E74)&lt;=0.000005,"PASS","FAIL")</f>
        <v>PASS</v>
      </c>
      <c r="G74" s="47" t="s">
        <v>632</v>
      </c>
    </row>
    <row r="75" customFormat="false" ht="15" hidden="false" customHeight="false" outlineLevel="0" collapsed="false">
      <c r="B75" s="14" t="s">
        <v>692</v>
      </c>
      <c r="C75" s="34" t="n">
        <v>0.06383</v>
      </c>
      <c r="D75" s="48" t="n">
        <f aca="false">'Break-Even'!$D$32</f>
        <v>0.0638297872340426</v>
      </c>
      <c r="E75" s="44" t="n">
        <f aca="false">ROUND(C75-D75,6)</f>
        <v>0</v>
      </c>
      <c r="F75" s="41" t="str">
        <f aca="false">IF(ABS(E75)&lt;=0.000005,"PASS","FAIL")</f>
        <v>PASS</v>
      </c>
      <c r="G75" s="47" t="s">
        <v>632</v>
      </c>
    </row>
    <row r="76" customFormat="false" ht="15" hidden="false" customHeight="false" outlineLevel="0" collapsed="false">
      <c r="B76" s="14" t="s">
        <v>693</v>
      </c>
      <c r="C76" s="34" t="n">
        <v>0.111111</v>
      </c>
      <c r="D76" s="48" t="n">
        <f aca="false">'Break-Even'!$E$32</f>
        <v>0.111111111111111</v>
      </c>
      <c r="E76" s="44" t="n">
        <f aca="false">ROUND(C76-D76,6)</f>
        <v>-0</v>
      </c>
      <c r="F76" s="41" t="str">
        <f aca="false">IF(ABS(E76)&lt;=0.000005,"PASS","FAIL")</f>
        <v>PASS</v>
      </c>
      <c r="G76" s="47" t="s">
        <v>632</v>
      </c>
    </row>
    <row r="77" customFormat="false" ht="15" hidden="false" customHeight="false" outlineLevel="0" collapsed="false">
      <c r="B77" s="14" t="s">
        <v>694</v>
      </c>
      <c r="C77" s="34" t="n">
        <v>0.190476</v>
      </c>
      <c r="D77" s="48" t="n">
        <f aca="false">'Break-Even'!$F$32</f>
        <v>0.190476190476191</v>
      </c>
      <c r="E77" s="44" t="n">
        <f aca="false">ROUND(C77-D77,6)</f>
        <v>-0</v>
      </c>
      <c r="F77" s="41" t="str">
        <f aca="false">IF(ABS(E77)&lt;=0.000005,"PASS","FAIL")</f>
        <v>PASS</v>
      </c>
      <c r="G77" s="47" t="s">
        <v>632</v>
      </c>
    </row>
    <row r="78" customFormat="false" ht="15" hidden="false" customHeight="false" outlineLevel="0" collapsed="false">
      <c r="B78" s="14" t="s">
        <v>695</v>
      </c>
      <c r="C78" s="34" t="n">
        <v>0.25</v>
      </c>
      <c r="D78" s="48" t="n">
        <f aca="false">'Break-Even'!$G$32</f>
        <v>0.25</v>
      </c>
      <c r="E78" s="44" t="n">
        <f aca="false">ROUND(C78-D78,6)</f>
        <v>0</v>
      </c>
      <c r="F78" s="41" t="str">
        <f aca="false">IF(ABS(E78)&lt;=0.000005,"PASS","FAIL")</f>
        <v>PASS</v>
      </c>
      <c r="G78" s="47" t="s">
        <v>632</v>
      </c>
    </row>
    <row r="79" customFormat="false" ht="15" hidden="false" customHeight="false" outlineLevel="0" collapsed="false">
      <c r="B79" s="14" t="s">
        <v>696</v>
      </c>
      <c r="C79" s="34" t="n">
        <v>0.428571</v>
      </c>
      <c r="D79" s="48" t="n">
        <f aca="false">'Break-Even'!$H$32</f>
        <v>0.428571428571429</v>
      </c>
      <c r="E79" s="44" t="n">
        <f aca="false">ROUND(C79-D79,6)</f>
        <v>-0</v>
      </c>
      <c r="F79" s="41" t="str">
        <f aca="false">IF(ABS(E79)&lt;=0.000005,"PASS","FAIL")</f>
        <v>PASS</v>
      </c>
      <c r="G79" s="47" t="s">
        <v>632</v>
      </c>
    </row>
    <row r="80" customFormat="false" ht="15" hidden="false" customHeight="false" outlineLevel="0" collapsed="false">
      <c r="B80" s="14" t="s">
        <v>697</v>
      </c>
      <c r="C80" s="34" t="n">
        <v>0.078227</v>
      </c>
      <c r="D80" s="48" t="n">
        <f aca="false">'Break-Even'!$D$52</f>
        <v>0.0782272759080858</v>
      </c>
      <c r="E80" s="44" t="n">
        <f aca="false">ROUND(C80-D80,6)</f>
        <v>-0</v>
      </c>
      <c r="F80" s="41" t="str">
        <f aca="false">IF(ABS(E80)&lt;=0.000005,"PASS","FAIL")</f>
        <v>PASS</v>
      </c>
      <c r="G80" s="47" t="s">
        <v>632</v>
      </c>
    </row>
    <row r="81" customFormat="false" ht="15" hidden="false" customHeight="false" outlineLevel="0" collapsed="false">
      <c r="B81" s="14" t="s">
        <v>698</v>
      </c>
      <c r="C81" s="34" t="n">
        <v>0.122117</v>
      </c>
      <c r="D81" s="48" t="n">
        <f aca="false">'Break-Even'!$D$53</f>
        <v>0.12211736839753</v>
      </c>
      <c r="E81" s="44" t="n">
        <f aca="false">ROUND(C81-D81,6)</f>
        <v>-0</v>
      </c>
      <c r="F81" s="41" t="str">
        <f aca="false">IF(ABS(E81)&lt;=0.000005,"PASS","FAIL")</f>
        <v>PASS</v>
      </c>
      <c r="G81" s="47" t="s">
        <v>632</v>
      </c>
    </row>
    <row r="82" customFormat="false" ht="15" hidden="false" customHeight="false" outlineLevel="0" collapsed="false">
      <c r="B82" s="14" t="s">
        <v>699</v>
      </c>
      <c r="C82" s="34" t="n">
        <v>0.221567</v>
      </c>
      <c r="D82" s="48" t="n">
        <f aca="false">'Break-Even'!$D$54</f>
        <v>0.221567072544322</v>
      </c>
      <c r="E82" s="44" t="n">
        <f aca="false">ROUND(C82-D82,6)</f>
        <v>-0</v>
      </c>
      <c r="F82" s="41" t="str">
        <f aca="false">IF(ABS(E82)&lt;=0.000005,"PASS","FAIL")</f>
        <v>PASS</v>
      </c>
      <c r="G82" s="47" t="s">
        <v>632</v>
      </c>
    </row>
    <row r="83" customFormat="false" ht="15" hidden="false" customHeight="false" outlineLevel="0" collapsed="false">
      <c r="B83" s="14" t="s">
        <v>700</v>
      </c>
      <c r="C83" s="34" t="n">
        <v>0.408861</v>
      </c>
      <c r="D83" s="48" t="n">
        <f aca="false">'Break-Even'!$D$55</f>
        <v>0.408861457845539</v>
      </c>
      <c r="E83" s="44" t="n">
        <f aca="false">ROUND(C83-D83,6)</f>
        <v>-0</v>
      </c>
      <c r="F83" s="41" t="str">
        <f aca="false">IF(ABS(E83)&lt;=0.000005,"PASS","FAIL")</f>
        <v>PASS</v>
      </c>
      <c r="G83" s="47" t="s">
        <v>632</v>
      </c>
    </row>
    <row r="84" customFormat="false" ht="15" hidden="false" customHeight="false" outlineLevel="0" collapsed="false">
      <c r="B84" s="14" t="s">
        <v>701</v>
      </c>
      <c r="C84" s="34" t="n">
        <v>0.569264</v>
      </c>
      <c r="D84" s="48" t="n">
        <f aca="false">'Break-Even'!$D$56</f>
        <v>0.569264389337994</v>
      </c>
      <c r="E84" s="44" t="n">
        <f aca="false">ROUND(C84-D84,6)</f>
        <v>-0</v>
      </c>
      <c r="F84" s="41" t="str">
        <f aca="false">IF(ABS(E84)&lt;=0.000005,"PASS","FAIL")</f>
        <v>PASS</v>
      </c>
      <c r="G84" s="47" t="s">
        <v>632</v>
      </c>
    </row>
    <row r="85" customFormat="false" ht="15" hidden="false" customHeight="false" outlineLevel="0" collapsed="false">
      <c r="B85" s="14" t="s">
        <v>702</v>
      </c>
      <c r="C85" s="34" t="n">
        <v>1.193647</v>
      </c>
      <c r="D85" s="48" t="n">
        <f aca="false">'Break-Even'!$D$57</f>
        <v>1.19364692909529</v>
      </c>
      <c r="E85" s="44" t="n">
        <f aca="false">ROUND(C85-D85,6)</f>
        <v>0</v>
      </c>
      <c r="F85" s="41" t="str">
        <f aca="false">IF(ABS(E85)&lt;=0.000005,"PASS","FAIL")</f>
        <v>PASS</v>
      </c>
      <c r="G85" s="47" t="s">
        <v>632</v>
      </c>
    </row>
    <row r="86" customFormat="false" ht="15" hidden="false" customHeight="false" outlineLevel="0" collapsed="false">
      <c r="B86" s="14" t="s">
        <v>703</v>
      </c>
      <c r="C86" s="30" t="n">
        <v>19494432.21</v>
      </c>
      <c r="D86" s="17" t="n">
        <f aca="false">'Break-Even'!$C$37</f>
        <v>19494432.21</v>
      </c>
      <c r="E86" s="44" t="n">
        <f aca="false">ROUND(C86-D86,6)</f>
        <v>0</v>
      </c>
      <c r="F86" s="41" t="str">
        <f aca="false">IF(ABS(E86)&lt;=0.005,"PASS","FAIL")</f>
        <v>PASS</v>
      </c>
      <c r="G86" s="47" t="s">
        <v>632</v>
      </c>
    </row>
    <row r="87" customFormat="false" ht="15" hidden="false" customHeight="false" outlineLevel="0" collapsed="false">
      <c r="B87" s="14" t="s">
        <v>704</v>
      </c>
      <c r="C87" s="30" t="n">
        <v>6596793.51</v>
      </c>
      <c r="D87" s="17" t="n">
        <f aca="false">'Break-Even'!$D$37</f>
        <v>6596793.51</v>
      </c>
      <c r="E87" s="44" t="n">
        <f aca="false">ROUND(C87-D87,6)</f>
        <v>0</v>
      </c>
      <c r="F87" s="41" t="str">
        <f aca="false">IF(ABS(E87)&lt;=0.005,"PASS","FAIL")</f>
        <v>PASS</v>
      </c>
      <c r="G87" s="47" t="s">
        <v>632</v>
      </c>
    </row>
    <row r="88" customFormat="false" ht="15" hidden="false" customHeight="false" outlineLevel="0" collapsed="false">
      <c r="B88" s="14" t="s">
        <v>705</v>
      </c>
      <c r="C88" s="34" t="n">
        <v>0.338394</v>
      </c>
      <c r="D88" s="48" t="n">
        <f aca="false">'Break-Even'!$E$37</f>
        <v>0.338393723855987</v>
      </c>
      <c r="E88" s="44" t="n">
        <f aca="false">ROUND(C88-D88,6)</f>
        <v>0</v>
      </c>
      <c r="F88" s="41" t="str">
        <f aca="false">IF(ABS(E88)&lt;=0.0000005,"PASS","FAIL")</f>
        <v>PASS</v>
      </c>
      <c r="G88" s="47" t="s">
        <v>632</v>
      </c>
    </row>
    <row r="89" customFormat="false" ht="15" hidden="false" customHeight="false" outlineLevel="0" collapsed="false">
      <c r="B89" s="14" t="s">
        <v>706</v>
      </c>
      <c r="C89" s="34" t="n">
        <v>0.173374</v>
      </c>
      <c r="D89" s="48" t="n">
        <f aca="false">'Break-Even'!$F$37</f>
        <v>0.173374091958285</v>
      </c>
      <c r="E89" s="44" t="n">
        <f aca="false">ROUND(C89-D89,6)</f>
        <v>-0</v>
      </c>
      <c r="F89" s="41" t="str">
        <f aca="false">IF(ABS(E89)&lt;=0.0000005,"PASS","FAIL")</f>
        <v>PASS</v>
      </c>
      <c r="G89" s="47" t="s">
        <v>632</v>
      </c>
    </row>
    <row r="90" customFormat="false" ht="15" hidden="false" customHeight="false" outlineLevel="0" collapsed="false">
      <c r="B90" s="14" t="s">
        <v>707</v>
      </c>
      <c r="C90" s="34" t="n">
        <v>0.419474</v>
      </c>
      <c r="D90" s="48" t="n">
        <f aca="false">'Break-Even'!$G$37</f>
        <v>0.419474130369345</v>
      </c>
      <c r="E90" s="44" t="n">
        <f aca="false">ROUND(C90-D90,6)</f>
        <v>-0</v>
      </c>
      <c r="F90" s="41" t="str">
        <f aca="false">IF(ABS(E90)&lt;=0.0000005,"PASS","FAIL")</f>
        <v>PASS</v>
      </c>
      <c r="G90" s="47" t="s">
        <v>632</v>
      </c>
    </row>
    <row r="91" customFormat="false" ht="15" hidden="false" customHeight="false" outlineLevel="0" collapsed="false">
      <c r="B91" s="14" t="s">
        <v>708</v>
      </c>
      <c r="C91" s="34" t="n">
        <v>0.128735</v>
      </c>
      <c r="D91" s="48" t="n">
        <f aca="false">'Break-Even'!$H$37</f>
        <v>0.12873534490619</v>
      </c>
      <c r="E91" s="44" t="n">
        <f aca="false">ROUND(C91-D91,6)</f>
        <v>-0</v>
      </c>
      <c r="F91" s="41" t="str">
        <f aca="false">IF(ABS(E91)&lt;=0.0000005,"PASS","FAIL")</f>
        <v>PASS</v>
      </c>
      <c r="G91" s="47" t="s">
        <v>632</v>
      </c>
    </row>
    <row r="92" customFormat="false" ht="15" hidden="false" customHeight="false" outlineLevel="0" collapsed="false">
      <c r="B92" s="14" t="s">
        <v>709</v>
      </c>
      <c r="C92" s="30" t="n">
        <v>20421807.27</v>
      </c>
      <c r="D92" s="17" t="n">
        <f aca="false">'Break-Even'!$C$38</f>
        <v>20421807.27</v>
      </c>
      <c r="E92" s="44" t="n">
        <f aca="false">ROUND(C92-D92,6)</f>
        <v>0</v>
      </c>
      <c r="F92" s="41" t="str">
        <f aca="false">IF(ABS(E92)&lt;=0.005,"PASS","FAIL")</f>
        <v>PASS</v>
      </c>
      <c r="G92" s="47" t="s">
        <v>632</v>
      </c>
    </row>
    <row r="93" customFormat="false" ht="15" hidden="false" customHeight="false" outlineLevel="0" collapsed="false">
      <c r="B93" s="14" t="s">
        <v>710</v>
      </c>
      <c r="C93" s="30" t="n">
        <v>4861661.76</v>
      </c>
      <c r="D93" s="17" t="n">
        <f aca="false">'Break-Even'!$D$38</f>
        <v>4861661.76</v>
      </c>
      <c r="E93" s="44" t="n">
        <f aca="false">ROUND(C93-D93,6)</f>
        <v>0</v>
      </c>
      <c r="F93" s="41" t="str">
        <f aca="false">IF(ABS(E93)&lt;=0.005,"PASS","FAIL")</f>
        <v>PASS</v>
      </c>
      <c r="G93" s="47" t="s">
        <v>632</v>
      </c>
    </row>
    <row r="94" customFormat="false" ht="15" hidden="false" customHeight="false" outlineLevel="0" collapsed="false">
      <c r="B94" s="14" t="s">
        <v>711</v>
      </c>
      <c r="C94" s="34" t="n">
        <v>0.238062</v>
      </c>
      <c r="D94" s="48" t="n">
        <f aca="false">'Break-Even'!$E$38</f>
        <v>0.238062268227449</v>
      </c>
      <c r="E94" s="44" t="n">
        <f aca="false">ROUND(C94-D94,6)</f>
        <v>-0</v>
      </c>
      <c r="F94" s="41" t="str">
        <f aca="false">IF(ABS(E94)&lt;=0.0000005,"PASS","FAIL")</f>
        <v>PASS</v>
      </c>
      <c r="G94" s="47" t="s">
        <v>632</v>
      </c>
    </row>
    <row r="95" customFormat="false" ht="15" hidden="false" customHeight="false" outlineLevel="0" collapsed="false">
      <c r="B95" s="14" t="s">
        <v>712</v>
      </c>
      <c r="C95" s="34" t="n">
        <v>0.265869</v>
      </c>
      <c r="D95" s="48" t="n">
        <f aca="false">'Break-Even'!$F$38</f>
        <v>0.265869387151751</v>
      </c>
      <c r="E95" s="44" t="n">
        <f aca="false">ROUND(C95-D95,6)</f>
        <v>-0</v>
      </c>
      <c r="F95" s="41" t="str">
        <f aca="false">IF(ABS(E95)&lt;=0.0000005,"PASS","FAIL")</f>
        <v>PASS</v>
      </c>
      <c r="G95" s="47" t="s">
        <v>632</v>
      </c>
    </row>
    <row r="96" customFormat="false" ht="15" hidden="false" customHeight="false" outlineLevel="0" collapsed="false">
      <c r="B96" s="14" t="s">
        <v>713</v>
      </c>
      <c r="C96" s="34" t="n">
        <v>0.724311</v>
      </c>
      <c r="D96" s="48" t="n">
        <f aca="false">'Break-Even'!$G$38</f>
        <v>0.724310858309647</v>
      </c>
      <c r="E96" s="44" t="n">
        <f aca="false">ROUND(C96-D96,6)</f>
        <v>0</v>
      </c>
      <c r="F96" s="41" t="str">
        <f aca="false">IF(ABS(E96)&lt;=0.0000005,"PASS","FAIL")</f>
        <v>PASS</v>
      </c>
      <c r="G96" s="47" t="s">
        <v>632</v>
      </c>
    </row>
    <row r="97" customFormat="false" ht="15" hidden="false" customHeight="false" outlineLevel="0" collapsed="false">
      <c r="B97" s="14" t="s">
        <v>714</v>
      </c>
      <c r="C97" s="34" t="n">
        <v>0.173574</v>
      </c>
      <c r="D97" s="48" t="n">
        <f aca="false">'Break-Even'!$H$38</f>
        <v>0.173573582918957</v>
      </c>
      <c r="E97" s="44" t="n">
        <f aca="false">ROUND(C97-D97,6)</f>
        <v>0</v>
      </c>
      <c r="F97" s="41" t="str">
        <f aca="false">IF(ABS(E97)&lt;=0.0000005,"PASS","FAIL")</f>
        <v>PASS</v>
      </c>
      <c r="G97" s="47" t="s">
        <v>632</v>
      </c>
    </row>
    <row r="98" customFormat="false" ht="15" hidden="false" customHeight="false" outlineLevel="0" collapsed="false">
      <c r="B98" s="14" t="s">
        <v>715</v>
      </c>
      <c r="C98" s="30" t="n">
        <v>16208193.65</v>
      </c>
      <c r="D98" s="17" t="n">
        <f aca="false">'Break-Even'!$C$39</f>
        <v>16208193.65</v>
      </c>
      <c r="E98" s="44" t="n">
        <f aca="false">ROUND(C98-D98,6)</f>
        <v>0</v>
      </c>
      <c r="F98" s="41" t="str">
        <f aca="false">IF(ABS(E98)&lt;=0.005,"PASS","FAIL")</f>
        <v>PASS</v>
      </c>
      <c r="G98" s="47" t="s">
        <v>632</v>
      </c>
    </row>
    <row r="99" customFormat="false" ht="15" hidden="false" customHeight="false" outlineLevel="0" collapsed="false">
      <c r="B99" s="14" t="s">
        <v>716</v>
      </c>
      <c r="C99" s="30" t="n">
        <v>3680907.32</v>
      </c>
      <c r="D99" s="17" t="n">
        <f aca="false">'Break-Even'!$D$39</f>
        <v>3680907.32</v>
      </c>
      <c r="E99" s="44" t="n">
        <f aca="false">ROUND(C99-D99,6)</f>
        <v>0</v>
      </c>
      <c r="F99" s="41" t="str">
        <f aca="false">IF(ABS(E99)&lt;=0.005,"PASS","FAIL")</f>
        <v>PASS</v>
      </c>
      <c r="G99" s="47" t="s">
        <v>632</v>
      </c>
    </row>
    <row r="100" customFormat="false" ht="15" hidden="false" customHeight="false" outlineLevel="0" collapsed="false">
      <c r="B100" s="14" t="s">
        <v>717</v>
      </c>
      <c r="C100" s="34" t="n">
        <v>0.227102</v>
      </c>
      <c r="D100" s="48" t="n">
        <f aca="false">'Break-Even'!$E$39</f>
        <v>0.227101637572056</v>
      </c>
      <c r="E100" s="44" t="n">
        <f aca="false">ROUND(C100-D100,6)</f>
        <v>0</v>
      </c>
      <c r="F100" s="41" t="str">
        <f aca="false">IF(ABS(E100)&lt;=0.0000005,"PASS","FAIL")</f>
        <v>PASS</v>
      </c>
      <c r="G100" s="47" t="s">
        <v>632</v>
      </c>
    </row>
    <row r="101" customFormat="false" ht="15" hidden="false" customHeight="false" outlineLevel="0" collapsed="false">
      <c r="B101" s="14" t="s">
        <v>718</v>
      </c>
      <c r="C101" s="34" t="n">
        <v>0.282324</v>
      </c>
      <c r="D101" s="48" t="n">
        <f aca="false">'Break-Even'!$F$39</f>
        <v>0.282323758749305</v>
      </c>
      <c r="E101" s="44" t="n">
        <f aca="false">ROUND(C101-D101,6)</f>
        <v>0</v>
      </c>
      <c r="F101" s="41" t="str">
        <f aca="false">IF(ABS(E101)&lt;=0.0000005,"PASS","FAIL")</f>
        <v>PASS</v>
      </c>
      <c r="G101" s="47" t="s">
        <v>632</v>
      </c>
    </row>
    <row r="102" customFormat="false" ht="15" hidden="false" customHeight="false" outlineLevel="0" collapsed="false">
      <c r="B102" s="14" t="s">
        <v>719</v>
      </c>
      <c r="C102" s="34" t="n">
        <v>0.786772</v>
      </c>
      <c r="D102" s="48" t="n">
        <f aca="false">'Break-Even'!$G$39</f>
        <v>0.786771924502612</v>
      </c>
      <c r="E102" s="44" t="n">
        <f aca="false">ROUND(C102-D102,6)</f>
        <v>0</v>
      </c>
      <c r="F102" s="41" t="str">
        <f aca="false">IF(ABS(E102)&lt;=0.0000005,"PASS","FAIL")</f>
        <v>PASS</v>
      </c>
      <c r="G102" s="47" t="s">
        <v>632</v>
      </c>
    </row>
    <row r="103" customFormat="false" ht="15" hidden="false" customHeight="false" outlineLevel="0" collapsed="false">
      <c r="B103" s="14" t="s">
        <v>720</v>
      </c>
      <c r="C103" s="34" t="n">
        <v>0.180439</v>
      </c>
      <c r="D103" s="48" t="n">
        <f aca="false">'Break-Even'!$H$39</f>
        <v>0.180439207931416</v>
      </c>
      <c r="E103" s="44" t="n">
        <f aca="false">ROUND(C103-D103,6)</f>
        <v>-0</v>
      </c>
      <c r="F103" s="41" t="str">
        <f aca="false">IF(ABS(E103)&lt;=0.0000005,"PASS","FAIL")</f>
        <v>PASS</v>
      </c>
      <c r="G103" s="47" t="s">
        <v>632</v>
      </c>
    </row>
    <row r="104" customFormat="false" ht="15" hidden="false" customHeight="false" outlineLevel="0" collapsed="false">
      <c r="B104" s="14" t="s">
        <v>721</v>
      </c>
      <c r="C104" s="34" t="n">
        <v>0.227535</v>
      </c>
      <c r="D104" s="48" t="n">
        <f aca="false">'Break-Even'!$C$64</f>
        <v>0.227535035205637</v>
      </c>
      <c r="E104" s="44" t="n">
        <f aca="false">ROUND(C104-D104,6)</f>
        <v>-0</v>
      </c>
      <c r="F104" s="41" t="str">
        <f aca="false">IF(ABS(E104)&lt;=0.000005,"PASS","FAIL")</f>
        <v>PASS</v>
      </c>
      <c r="G104" s="47" t="s">
        <v>632</v>
      </c>
    </row>
    <row r="105" customFormat="false" ht="15" hidden="false" customHeight="false" outlineLevel="0" collapsed="false">
      <c r="B105" s="14" t="s">
        <v>722</v>
      </c>
      <c r="C105" s="34" t="n">
        <v>0.156374</v>
      </c>
      <c r="D105" s="48" t="n">
        <f aca="false">'Break-Even'!$C$65</f>
        <v>0.156373936783212</v>
      </c>
      <c r="E105" s="44" t="n">
        <f aca="false">ROUND(C105-D105,6)</f>
        <v>0</v>
      </c>
      <c r="F105" s="41" t="str">
        <f aca="false">IF(ABS(E105)&lt;=0.000005,"PASS","FAIL")</f>
        <v>PASS</v>
      </c>
      <c r="G105" s="47" t="s">
        <v>632</v>
      </c>
    </row>
    <row r="106" customFormat="false" ht="15" hidden="false" customHeight="false" outlineLevel="0" collapsed="false">
      <c r="B106" s="14" t="s">
        <v>723</v>
      </c>
      <c r="C106" s="37" t="n">
        <v>9360</v>
      </c>
      <c r="D106" s="26" t="n">
        <f aca="false">'Rebate Cliff'!$C$18</f>
        <v>9360</v>
      </c>
      <c r="E106" s="44" t="n">
        <f aca="false">ROUND(C106-D106,6)</f>
        <v>0</v>
      </c>
      <c r="F106" s="41" t="str">
        <f aca="false">IF(ABS(E106)&lt;=0.5,"PASS","FAIL")</f>
        <v>PASS</v>
      </c>
      <c r="G106" s="47" t="s">
        <v>724</v>
      </c>
    </row>
    <row r="107" customFormat="false" ht="15" hidden="false" customHeight="false" outlineLevel="0" collapsed="false">
      <c r="B107" s="14" t="s">
        <v>725</v>
      </c>
      <c r="C107" s="37" t="n">
        <v>640</v>
      </c>
      <c r="D107" s="26" t="n">
        <f aca="false">'Rebate Cliff'!$C$22</f>
        <v>640</v>
      </c>
      <c r="E107" s="44" t="n">
        <f aca="false">ROUND(C107-D107,6)</f>
        <v>0</v>
      </c>
      <c r="F107" s="41" t="str">
        <f aca="false">IF(ABS(E107)&lt;=0.5,"PASS","FAIL")</f>
        <v>PASS</v>
      </c>
      <c r="G107" s="47" t="s">
        <v>724</v>
      </c>
    </row>
    <row r="108" customFormat="false" ht="15" hidden="false" customHeight="false" outlineLevel="0" collapsed="false">
      <c r="B108" s="14" t="s">
        <v>726</v>
      </c>
      <c r="C108" s="30" t="n">
        <v>780270.35</v>
      </c>
      <c r="D108" s="17" t="n">
        <f aca="false">'Rebate Cliff'!$C$19</f>
        <v>780270.35</v>
      </c>
      <c r="E108" s="44" t="n">
        <f aca="false">ROUND(C108-D108,6)</f>
        <v>0</v>
      </c>
      <c r="F108" s="41" t="str">
        <f aca="false">IF(ABS(E108)&lt;=0.02,"PASS","FAIL")</f>
        <v>PASS</v>
      </c>
      <c r="G108" s="47" t="s">
        <v>724</v>
      </c>
    </row>
    <row r="109" customFormat="false" ht="15" hidden="false" customHeight="false" outlineLevel="0" collapsed="false">
      <c r="B109" s="14" t="s">
        <v>727</v>
      </c>
      <c r="C109" s="50" t="n">
        <v>83.3622</v>
      </c>
      <c r="D109" s="29" t="n">
        <f aca="false">'Rebate Cliff'!$C$23</f>
        <v>83.3622168803419</v>
      </c>
      <c r="E109" s="44" t="n">
        <f aca="false">ROUND(C109-D109,6)</f>
        <v>-1.7E-005</v>
      </c>
      <c r="F109" s="41" t="str">
        <f aca="false">IF(ABS(E109)&lt;=0.00005,"PASS","FAIL")</f>
        <v>PASS</v>
      </c>
      <c r="G109" s="47" t="s">
        <v>724</v>
      </c>
    </row>
    <row r="110" customFormat="false" ht="15" hidden="false" customHeight="false" outlineLevel="0" collapsed="false">
      <c r="B110" s="14" t="s">
        <v>728</v>
      </c>
      <c r="C110" s="50" t="n">
        <v>50.9774</v>
      </c>
      <c r="D110" s="29" t="n">
        <f aca="false">'Rebate Cliff'!$C$24</f>
        <v>50.9773504273504</v>
      </c>
      <c r="E110" s="44" t="n">
        <f aca="false">ROUND(C110-D110,6)</f>
        <v>5E-005</v>
      </c>
      <c r="F110" s="41" t="str">
        <f aca="false">IF(ABS(E110)&lt;=0.00005,"PASS","FAIL")</f>
        <v>PASS</v>
      </c>
      <c r="G110" s="47" t="s">
        <v>724</v>
      </c>
    </row>
    <row r="111" customFormat="false" ht="15" hidden="false" customHeight="false" outlineLevel="0" collapsed="false">
      <c r="B111" s="14" t="s">
        <v>729</v>
      </c>
      <c r="C111" s="39" t="n">
        <v>0.02</v>
      </c>
      <c r="D111" s="28" t="n">
        <f aca="false">'Rebate Cliff'!$C$25</f>
        <v>0.02</v>
      </c>
      <c r="E111" s="44" t="n">
        <f aca="false">ROUND(C111-D111,6)</f>
        <v>0</v>
      </c>
      <c r="F111" s="41" t="str">
        <f aca="false">IF(ABS(E111)&lt;=0.0000005,"PASS","FAIL")</f>
        <v>PASS</v>
      </c>
      <c r="G111" s="47" t="s">
        <v>724</v>
      </c>
    </row>
    <row r="112" customFormat="false" ht="15" hidden="false" customHeight="false" outlineLevel="0" collapsed="false">
      <c r="B112" s="14" t="s">
        <v>730</v>
      </c>
      <c r="C112" s="39" t="n">
        <v>0.035</v>
      </c>
      <c r="D112" s="28" t="n">
        <f aca="false">'Rebate Cliff'!$C$26</f>
        <v>0.035</v>
      </c>
      <c r="E112" s="44" t="n">
        <f aca="false">ROUND(C112-D112,6)</f>
        <v>0</v>
      </c>
      <c r="F112" s="41" t="str">
        <f aca="false">IF(ABS(E112)&lt;=0.0000005,"PASS","FAIL")</f>
        <v>PASS</v>
      </c>
      <c r="G112" s="47" t="s">
        <v>724</v>
      </c>
    </row>
    <row r="113" customFormat="false" ht="15" hidden="false" customHeight="false" outlineLevel="0" collapsed="false">
      <c r="B113" s="14" t="s">
        <v>731</v>
      </c>
      <c r="C113" s="30" t="n">
        <v>15605.41</v>
      </c>
      <c r="D113" s="17" t="n">
        <f aca="false">'Rebate Cliff'!$C$30</f>
        <v>15605.41</v>
      </c>
      <c r="E113" s="44" t="n">
        <f aca="false">ROUND(C113-D113,6)</f>
        <v>0</v>
      </c>
      <c r="F113" s="41" t="str">
        <f aca="false">IF(ABS(E113)&lt;=0.02,"PASS","FAIL")</f>
        <v>PASS</v>
      </c>
      <c r="G113" s="47" t="s">
        <v>724</v>
      </c>
    </row>
    <row r="114" customFormat="false" ht="15" hidden="false" customHeight="false" outlineLevel="0" collapsed="false">
      <c r="B114" s="14" t="s">
        <v>732</v>
      </c>
      <c r="C114" s="30" t="n">
        <v>833622.17</v>
      </c>
      <c r="D114" s="17" t="n">
        <f aca="false">'Rebate Cliff'!$C$31</f>
        <v>833622.17</v>
      </c>
      <c r="E114" s="44" t="n">
        <f aca="false">ROUND(C114-D114,6)</f>
        <v>0</v>
      </c>
      <c r="F114" s="41" t="str">
        <f aca="false">IF(ABS(E114)&lt;=0.02,"PASS","FAIL")</f>
        <v>PASS</v>
      </c>
      <c r="G114" s="47" t="s">
        <v>724</v>
      </c>
    </row>
    <row r="115" customFormat="false" ht="15" hidden="false" customHeight="false" outlineLevel="0" collapsed="false">
      <c r="B115" s="14" t="s">
        <v>733</v>
      </c>
      <c r="C115" s="30" t="n">
        <v>29176.78</v>
      </c>
      <c r="D115" s="17" t="n">
        <f aca="false">'Rebate Cliff'!$C$32</f>
        <v>29176.78</v>
      </c>
      <c r="E115" s="44" t="n">
        <f aca="false">ROUND(C115-D115,6)</f>
        <v>0</v>
      </c>
      <c r="F115" s="41" t="str">
        <f aca="false">IF(ABS(E115)&lt;=0.02,"PASS","FAIL")</f>
        <v>PASS</v>
      </c>
      <c r="G115" s="47" t="s">
        <v>724</v>
      </c>
    </row>
    <row r="116" customFormat="false" ht="15" hidden="false" customHeight="false" outlineLevel="0" collapsed="false">
      <c r="B116" s="14" t="s">
        <v>734</v>
      </c>
      <c r="C116" s="30" t="n">
        <v>53351.82</v>
      </c>
      <c r="D116" s="17" t="n">
        <f aca="false">'Rebate Cliff'!$C$33</f>
        <v>53351.82</v>
      </c>
      <c r="E116" s="44" t="n">
        <f aca="false">ROUND(C116-D116,6)</f>
        <v>0</v>
      </c>
      <c r="F116" s="41" t="str">
        <f aca="false">IF(ABS(E116)&lt;=0.02,"PASS","FAIL")</f>
        <v>PASS</v>
      </c>
      <c r="G116" s="47" t="s">
        <v>724</v>
      </c>
    </row>
    <row r="117" customFormat="false" ht="15" hidden="false" customHeight="false" outlineLevel="0" collapsed="false">
      <c r="B117" s="14" t="s">
        <v>735</v>
      </c>
      <c r="C117" s="30" t="n">
        <v>13571.37</v>
      </c>
      <c r="D117" s="17" t="n">
        <f aca="false">'Rebate Cliff'!$C$34</f>
        <v>13571.37</v>
      </c>
      <c r="E117" s="44" t="n">
        <f aca="false">ROUND(C117-D117,6)</f>
        <v>0</v>
      </c>
      <c r="F117" s="41" t="str">
        <f aca="false">IF(ABS(E117)&lt;=0.02,"PASS","FAIL")</f>
        <v>PASS</v>
      </c>
      <c r="G117" s="47" t="s">
        <v>724</v>
      </c>
    </row>
    <row r="118" customFormat="false" ht="15" hidden="false" customHeight="false" outlineLevel="0" collapsed="false">
      <c r="B118" s="14" t="s">
        <v>736</v>
      </c>
      <c r="C118" s="50" t="n">
        <v>62.157</v>
      </c>
      <c r="D118" s="29" t="n">
        <f aca="false">'Rebate Cliff'!$C$35</f>
        <v>62.156953125</v>
      </c>
      <c r="E118" s="44" t="n">
        <f aca="false">ROUND(C118-D118,6)</f>
        <v>4.7E-005</v>
      </c>
      <c r="F118" s="41" t="str">
        <f aca="false">IF(ABS(E118)&lt;=0.0005,"PASS","FAIL")</f>
        <v>PASS</v>
      </c>
      <c r="G118" s="47" t="s">
        <v>724</v>
      </c>
    </row>
    <row r="119" customFormat="false" ht="15" hidden="false" customHeight="false" outlineLevel="0" collapsed="false">
      <c r="B119" s="14" t="s">
        <v>737</v>
      </c>
      <c r="C119" s="30" t="n">
        <v>32625.5</v>
      </c>
      <c r="D119" s="17" t="n">
        <f aca="false">'Rebate Cliff'!$C$36</f>
        <v>32625.5</v>
      </c>
      <c r="E119" s="44" t="n">
        <f aca="false">ROUND(C119-D119,6)</f>
        <v>0</v>
      </c>
      <c r="F119" s="41" t="str">
        <f aca="false">IF(ABS(E119)&lt;=0.02,"PASS","FAIL")</f>
        <v>PASS</v>
      </c>
      <c r="G119" s="47" t="s">
        <v>724</v>
      </c>
    </row>
    <row r="120" customFormat="false" ht="15" hidden="false" customHeight="false" outlineLevel="0" collapsed="false">
      <c r="B120" s="14" t="s">
        <v>738</v>
      </c>
      <c r="C120" s="30" t="n">
        <v>4967.53</v>
      </c>
      <c r="D120" s="17" t="n">
        <f aca="false">'Rebate Cliff'!$C$37</f>
        <v>4967.53</v>
      </c>
      <c r="E120" s="44" t="n">
        <f aca="false">ROUND(C120-D120,6)</f>
        <v>0</v>
      </c>
      <c r="F120" s="41" t="str">
        <f aca="false">IF(ABS(E120)&lt;=0.02,"PASS","FAIL")</f>
        <v>PASS</v>
      </c>
      <c r="G120" s="47" t="s">
        <v>739</v>
      </c>
    </row>
    <row r="121" customFormat="false" ht="15" hidden="false" customHeight="false" outlineLevel="0" collapsed="false">
      <c r="B121" s="14" t="s">
        <v>740</v>
      </c>
      <c r="C121" s="30" t="n">
        <v>54185.44</v>
      </c>
      <c r="D121" s="17" t="n">
        <f aca="false">'Rebate Cliff'!$C$42</f>
        <v>54185.44</v>
      </c>
      <c r="E121" s="44" t="n">
        <f aca="false">ROUND(C121-D121,6)</f>
        <v>0</v>
      </c>
      <c r="F121" s="41" t="str">
        <f aca="false">IF(ABS(E121)&lt;=0.005,"PASS","FAIL")</f>
        <v>PASS</v>
      </c>
      <c r="G121" s="47" t="s">
        <v>724</v>
      </c>
    </row>
    <row r="122" customFormat="false" ht="15" hidden="false" customHeight="false" outlineLevel="0" collapsed="false">
      <c r="B122" s="14" t="s">
        <v>741</v>
      </c>
      <c r="C122" s="30" t="n">
        <v>13588.04</v>
      </c>
      <c r="D122" s="17" t="n">
        <f aca="false">'Rebate Cliff'!$D$42</f>
        <v>13588.04</v>
      </c>
      <c r="E122" s="44" t="n">
        <f aca="false">ROUND(C122-D122,6)</f>
        <v>0</v>
      </c>
      <c r="F122" s="41" t="str">
        <f aca="false">IF(ABS(E122)&lt;=0.005,"PASS","FAIL")</f>
        <v>PASS</v>
      </c>
      <c r="G122" s="47" t="s">
        <v>724</v>
      </c>
    </row>
    <row r="123" customFormat="false" ht="15" hidden="false" customHeight="false" outlineLevel="0" collapsed="false">
      <c r="B123" s="14" t="s">
        <v>742</v>
      </c>
      <c r="C123" s="30" t="n">
        <v>62.46</v>
      </c>
      <c r="D123" s="17" t="n">
        <f aca="false">'Rebate Cliff'!$E$42</f>
        <v>62.4575378780407</v>
      </c>
      <c r="E123" s="44" t="n">
        <f aca="false">ROUND(C123-D123,6)</f>
        <v>0.002462</v>
      </c>
      <c r="F123" s="41" t="str">
        <f aca="false">IF(ABS(E123)&lt;=0.005,"PASS","FAIL")</f>
        <v>PASS</v>
      </c>
      <c r="G123" s="47" t="s">
        <v>724</v>
      </c>
    </row>
    <row r="124" customFormat="false" ht="15" hidden="false" customHeight="false" outlineLevel="0" collapsed="false">
      <c r="B124" s="14" t="s">
        <v>743</v>
      </c>
      <c r="C124" s="30" t="n">
        <v>5240.52</v>
      </c>
      <c r="D124" s="17" t="n">
        <f aca="false">'Rebate Cliff'!$F$42</f>
        <v>5240.52</v>
      </c>
      <c r="E124" s="44" t="n">
        <f aca="false">ROUND(C124-D124,6)</f>
        <v>0</v>
      </c>
      <c r="F124" s="41" t="str">
        <f aca="false">IF(ABS(E124)&lt;=0.005,"PASS","FAIL")</f>
        <v>PASS</v>
      </c>
      <c r="G124" s="47" t="s">
        <v>744</v>
      </c>
    </row>
    <row r="125" customFormat="false" ht="15" hidden="false" customHeight="false" outlineLevel="0" collapsed="false">
      <c r="B125" s="14" t="s">
        <v>745</v>
      </c>
      <c r="C125" s="30" t="n">
        <v>33344.89</v>
      </c>
      <c r="D125" s="17" t="n">
        <f aca="false">'Rebate Cliff'!$C$43</f>
        <v>33344.89</v>
      </c>
      <c r="E125" s="44" t="n">
        <f aca="false">ROUND(C125-D125,6)</f>
        <v>0</v>
      </c>
      <c r="F125" s="41" t="str">
        <f aca="false">IF(ABS(E125)&lt;=0.005,"PASS","FAIL")</f>
        <v>PASS</v>
      </c>
      <c r="G125" s="47" t="s">
        <v>724</v>
      </c>
    </row>
    <row r="126" customFormat="false" ht="15" hidden="false" customHeight="false" outlineLevel="0" collapsed="false">
      <c r="B126" s="14" t="s">
        <v>746</v>
      </c>
      <c r="C126" s="30" t="n">
        <v>13171.23</v>
      </c>
      <c r="D126" s="17" t="n">
        <f aca="false">'Rebate Cliff'!$D$43</f>
        <v>13171.23</v>
      </c>
      <c r="E126" s="44" t="n">
        <f aca="false">ROUND(C126-D126,6)</f>
        <v>0</v>
      </c>
      <c r="F126" s="41" t="str">
        <f aca="false">IF(ABS(E126)&lt;=0.005,"PASS","FAIL")</f>
        <v>PASS</v>
      </c>
      <c r="G126" s="47" t="s">
        <v>724</v>
      </c>
    </row>
    <row r="127" customFormat="false" ht="15" hidden="false" customHeight="false" outlineLevel="0" collapsed="false">
      <c r="B127" s="14" t="s">
        <v>747</v>
      </c>
      <c r="C127" s="30" t="n">
        <v>50.43</v>
      </c>
      <c r="D127" s="17" t="n">
        <f aca="false">'Rebate Cliff'!$E$43</f>
        <v>50.4341412126068</v>
      </c>
      <c r="E127" s="44" t="n">
        <f aca="false">ROUND(C127-D127,6)</f>
        <v>-0.004141</v>
      </c>
      <c r="F127" s="41" t="str">
        <f aca="false">IF(ABS(E127)&lt;=0.005,"PASS","FAIL")</f>
        <v>PASS</v>
      </c>
      <c r="G127" s="47" t="s">
        <v>724</v>
      </c>
    </row>
    <row r="128" customFormat="false" ht="15" hidden="false" customHeight="false" outlineLevel="0" collapsed="false">
      <c r="B128" s="14" t="s">
        <v>748</v>
      </c>
      <c r="C128" s="30" t="n">
        <v>-1584.42</v>
      </c>
      <c r="D128" s="17" t="n">
        <f aca="false">'Rebate Cliff'!$F$43</f>
        <v>-1584.42</v>
      </c>
      <c r="E128" s="44" t="n">
        <f aca="false">ROUND(C128-D128,6)</f>
        <v>0</v>
      </c>
      <c r="F128" s="41" t="str">
        <f aca="false">IF(ABS(E128)&lt;=0.005,"PASS","FAIL")</f>
        <v>PASS</v>
      </c>
      <c r="G128" s="47" t="s">
        <v>749</v>
      </c>
    </row>
    <row r="129" customFormat="false" ht="15" hidden="false" customHeight="false" outlineLevel="0" collapsed="false">
      <c r="B129" s="14" t="s">
        <v>750</v>
      </c>
      <c r="C129" s="30" t="n">
        <v>16672.44</v>
      </c>
      <c r="D129" s="17" t="n">
        <f aca="false">'Rebate Cliff'!$C$44</f>
        <v>16672.44</v>
      </c>
      <c r="E129" s="44" t="n">
        <f aca="false">ROUND(C129-D129,6)</f>
        <v>0</v>
      </c>
      <c r="F129" s="41" t="str">
        <f aca="false">IF(ABS(E129)&lt;=0.005,"PASS","FAIL")</f>
        <v>PASS</v>
      </c>
      <c r="G129" s="47" t="s">
        <v>724</v>
      </c>
    </row>
    <row r="130" customFormat="false" ht="15" hidden="false" customHeight="false" outlineLevel="0" collapsed="false">
      <c r="B130" s="14" t="s">
        <v>751</v>
      </c>
      <c r="C130" s="30" t="n">
        <v>12837.78</v>
      </c>
      <c r="D130" s="17" t="n">
        <f aca="false">'Rebate Cliff'!$D$44</f>
        <v>12837.78</v>
      </c>
      <c r="E130" s="44" t="n">
        <f aca="false">ROUND(C130-D130,6)</f>
        <v>0</v>
      </c>
      <c r="F130" s="41" t="str">
        <f aca="false">IF(ABS(E130)&lt;=0.005,"PASS","FAIL")</f>
        <v>PASS</v>
      </c>
      <c r="G130" s="47" t="s">
        <v>724</v>
      </c>
    </row>
    <row r="131" customFormat="false" ht="15" hidden="false" customHeight="false" outlineLevel="0" collapsed="false">
      <c r="B131" s="14" t="s">
        <v>752</v>
      </c>
      <c r="C131" s="30" t="n">
        <v>19.17</v>
      </c>
      <c r="D131" s="17" t="n">
        <f aca="false">'Rebate Cliff'!$E$44</f>
        <v>19.1733098824786</v>
      </c>
      <c r="E131" s="44" t="n">
        <f aca="false">ROUND(C131-D131,6)</f>
        <v>-0.00331</v>
      </c>
      <c r="F131" s="41" t="str">
        <f aca="false">IF(ABS(E131)&lt;=0.005,"PASS","FAIL")</f>
        <v>PASS</v>
      </c>
      <c r="G131" s="47" t="s">
        <v>724</v>
      </c>
    </row>
    <row r="132" customFormat="false" ht="15" hidden="false" customHeight="false" outlineLevel="0" collapsed="false">
      <c r="B132" s="14" t="s">
        <v>753</v>
      </c>
      <c r="C132" s="30" t="n">
        <v>-7044.38</v>
      </c>
      <c r="D132" s="17" t="n">
        <f aca="false">'Rebate Cliff'!$F$44</f>
        <v>-7044.38</v>
      </c>
      <c r="E132" s="44" t="n">
        <f aca="false">ROUND(C132-D132,6)</f>
        <v>0</v>
      </c>
      <c r="F132" s="41" t="str">
        <f aca="false">IF(ABS(E132)&lt;=0.005,"PASS","FAIL")</f>
        <v>PASS</v>
      </c>
      <c r="G132" s="47" t="s">
        <v>754</v>
      </c>
    </row>
    <row r="133" customFormat="false" ht="15" hidden="false" customHeight="false" outlineLevel="0" collapsed="false">
      <c r="B133" s="14" t="s">
        <v>755</v>
      </c>
      <c r="C133" s="30" t="n">
        <v>12087.52</v>
      </c>
      <c r="D133" s="17" t="n">
        <f aca="false">'Rebate Cliff'!$C$45</f>
        <v>12087.52</v>
      </c>
      <c r="E133" s="44" t="n">
        <f aca="false">ROUND(C133-D133,6)</f>
        <v>0</v>
      </c>
      <c r="F133" s="41" t="str">
        <f aca="false">IF(ABS(E133)&lt;=0.005,"PASS","FAIL")</f>
        <v>PASS</v>
      </c>
      <c r="G133" s="47" t="s">
        <v>724</v>
      </c>
    </row>
    <row r="134" customFormat="false" ht="15" hidden="false" customHeight="false" outlineLevel="0" collapsed="false">
      <c r="B134" s="14" t="s">
        <v>756</v>
      </c>
      <c r="C134" s="30" t="n">
        <v>12746.08</v>
      </c>
      <c r="D134" s="17" t="n">
        <f aca="false">'Rebate Cliff'!$D$45</f>
        <v>12746.08</v>
      </c>
      <c r="E134" s="44" t="n">
        <f aca="false">ROUND(C134-D134,6)</f>
        <v>0</v>
      </c>
      <c r="F134" s="41" t="str">
        <f aca="false">IF(ABS(E134)&lt;=0.005,"PASS","FAIL")</f>
        <v>PASS</v>
      </c>
      <c r="G134" s="47" t="s">
        <v>724</v>
      </c>
    </row>
    <row r="135" customFormat="false" ht="15" hidden="false" customHeight="false" outlineLevel="0" collapsed="false">
      <c r="B135" s="14" t="s">
        <v>757</v>
      </c>
      <c r="C135" s="30" t="n">
        <v>-4.54</v>
      </c>
      <c r="D135" s="17" t="n">
        <f aca="false">'Rebate Cliff'!$E$45</f>
        <v>-4.54180354037729</v>
      </c>
      <c r="E135" s="44" t="n">
        <f aca="false">ROUND(C135-D135,6)</f>
        <v>0.001804</v>
      </c>
      <c r="F135" s="41" t="str">
        <f aca="false">IF(ABS(E135)&lt;=0.005,"PASS","FAIL")</f>
        <v>PASS</v>
      </c>
      <c r="G135" s="47" t="s">
        <v>724</v>
      </c>
    </row>
    <row r="136" customFormat="false" ht="15" hidden="false" customHeight="false" outlineLevel="0" collapsed="false">
      <c r="B136" s="14" t="s">
        <v>758</v>
      </c>
      <c r="C136" s="30" t="n">
        <v>-8545.87</v>
      </c>
      <c r="D136" s="17" t="n">
        <f aca="false">'Rebate Cliff'!$F$45</f>
        <v>-8545.87</v>
      </c>
      <c r="E136" s="44" t="n">
        <f aca="false">ROUND(C136-D136,6)</f>
        <v>0</v>
      </c>
      <c r="F136" s="41" t="str">
        <f aca="false">IF(ABS(E136)&lt;=0.005,"PASS","FAIL")</f>
        <v>PASS</v>
      </c>
      <c r="G136" s="47" t="s">
        <v>759</v>
      </c>
    </row>
    <row r="137" customFormat="false" ht="15" hidden="false" customHeight="false" outlineLevel="0" collapsed="false">
      <c r="B137" s="14" t="s">
        <v>760</v>
      </c>
      <c r="C137" s="30" t="n">
        <v>8336.22</v>
      </c>
      <c r="D137" s="17" t="n">
        <f aca="false">'Rebate Cliff'!$C$46</f>
        <v>8336.22</v>
      </c>
      <c r="E137" s="44" t="n">
        <f aca="false">ROUND(C137-D137,6)</f>
        <v>0</v>
      </c>
      <c r="F137" s="41" t="str">
        <f aca="false">IF(ABS(E137)&lt;=0.005,"PASS","FAIL")</f>
        <v>PASS</v>
      </c>
      <c r="G137" s="47" t="s">
        <v>724</v>
      </c>
    </row>
    <row r="138" customFormat="false" ht="15" hidden="false" customHeight="false" outlineLevel="0" collapsed="false">
      <c r="B138" s="14" t="s">
        <v>761</v>
      </c>
      <c r="C138" s="30" t="n">
        <v>12671.06</v>
      </c>
      <c r="D138" s="17" t="n">
        <f aca="false">'Rebate Cliff'!$D$46</f>
        <v>12671.06</v>
      </c>
      <c r="E138" s="44" t="n">
        <f aca="false">ROUND(C138-D138,6)</f>
        <v>0</v>
      </c>
      <c r="F138" s="41" t="str">
        <f aca="false">IF(ABS(E138)&lt;=0.005,"PASS","FAIL")</f>
        <v>PASS</v>
      </c>
      <c r="G138" s="47" t="s">
        <v>724</v>
      </c>
    </row>
    <row r="139" customFormat="false" ht="15" hidden="false" customHeight="false" outlineLevel="0" collapsed="false">
      <c r="B139" s="14" t="s">
        <v>762</v>
      </c>
      <c r="C139" s="30" t="n">
        <v>-43.35</v>
      </c>
      <c r="D139" s="17" t="n">
        <f aca="false">'Rebate Cliff'!$E$46</f>
        <v>-43.3483527777778</v>
      </c>
      <c r="E139" s="44" t="n">
        <f aca="false">ROUND(C139-D139,6)</f>
        <v>-0.001647</v>
      </c>
      <c r="F139" s="41" t="str">
        <f aca="false">IF(ABS(E139)&lt;=0.005,"PASS","FAIL")</f>
        <v>PASS</v>
      </c>
      <c r="G139" s="47" t="s">
        <v>724</v>
      </c>
    </row>
    <row r="140" customFormat="false" ht="15" hidden="false" customHeight="false" outlineLevel="0" collapsed="false">
      <c r="B140" s="14" t="s">
        <v>763</v>
      </c>
      <c r="C140" s="30" t="n">
        <v>-9774.36</v>
      </c>
      <c r="D140" s="17" t="n">
        <f aca="false">'Rebate Cliff'!$F$46</f>
        <v>-9774.36</v>
      </c>
      <c r="E140" s="44" t="n">
        <f aca="false">ROUND(C140-D140,6)</f>
        <v>0</v>
      </c>
      <c r="F140" s="41" t="str">
        <f aca="false">IF(ABS(E140)&lt;=0.005,"PASS","FAIL")</f>
        <v>PASS</v>
      </c>
      <c r="G140" s="47" t="s">
        <v>764</v>
      </c>
    </row>
    <row r="141" customFormat="false" ht="15" hidden="false" customHeight="false" outlineLevel="0" collapsed="false">
      <c r="B141" s="14" t="s">
        <v>765</v>
      </c>
      <c r="C141" s="30" t="n">
        <v>4168.11</v>
      </c>
      <c r="D141" s="17" t="n">
        <f aca="false">'Rebate Cliff'!$C$47</f>
        <v>4168.11</v>
      </c>
      <c r="E141" s="44" t="n">
        <f aca="false">ROUND(C141-D141,6)</f>
        <v>0</v>
      </c>
      <c r="F141" s="41" t="str">
        <f aca="false">IF(ABS(E141)&lt;=0.005,"PASS","FAIL")</f>
        <v>PASS</v>
      </c>
      <c r="G141" s="47" t="s">
        <v>724</v>
      </c>
    </row>
    <row r="142" customFormat="false" ht="15" hidden="false" customHeight="false" outlineLevel="0" collapsed="false">
      <c r="B142" s="14" t="s">
        <v>766</v>
      </c>
      <c r="C142" s="30" t="n">
        <v>12587.69</v>
      </c>
      <c r="D142" s="17" t="n">
        <f aca="false">'Rebate Cliff'!$D$47</f>
        <v>12587.69</v>
      </c>
      <c r="E142" s="44" t="n">
        <f aca="false">ROUND(C142-D142,6)</f>
        <v>0</v>
      </c>
      <c r="F142" s="41" t="str">
        <f aca="false">IF(ABS(E142)&lt;=0.005,"PASS","FAIL")</f>
        <v>PASS</v>
      </c>
      <c r="G142" s="47" t="s">
        <v>724</v>
      </c>
    </row>
    <row r="143" customFormat="false" ht="15" hidden="false" customHeight="false" outlineLevel="0" collapsed="false">
      <c r="B143" s="14" t="s">
        <v>767</v>
      </c>
      <c r="C143" s="30" t="n">
        <v>-168.39</v>
      </c>
      <c r="D143" s="17" t="n">
        <f aca="false">'Rebate Cliff'!$E$47</f>
        <v>-168.391678098291</v>
      </c>
      <c r="E143" s="44" t="n">
        <f aca="false">ROUND(C143-D143,6)</f>
        <v>0.001678</v>
      </c>
      <c r="F143" s="41" t="str">
        <f aca="false">IF(ABS(E143)&lt;=0.005,"PASS","FAIL")</f>
        <v>PASS</v>
      </c>
      <c r="G143" s="47" t="s">
        <v>724</v>
      </c>
    </row>
    <row r="144" customFormat="false" ht="15" hidden="false" customHeight="false" outlineLevel="0" collapsed="false">
      <c r="B144" s="14" t="s">
        <v>768</v>
      </c>
      <c r="C144" s="30" t="n">
        <v>-11139.34</v>
      </c>
      <c r="D144" s="17" t="n">
        <f aca="false">'Rebate Cliff'!$F$47</f>
        <v>-11139.34</v>
      </c>
      <c r="E144" s="44" t="n">
        <f aca="false">ROUND(C144-D144,6)</f>
        <v>0</v>
      </c>
      <c r="F144" s="41" t="str">
        <f aca="false">IF(ABS(E144)&lt;=0.005,"PASS","FAIL")</f>
        <v>PASS</v>
      </c>
      <c r="G144" s="47" t="s">
        <v>769</v>
      </c>
    </row>
    <row r="145" customFormat="false" ht="15" hidden="false" customHeight="false" outlineLevel="0" collapsed="false">
      <c r="B145" s="14" t="s">
        <v>770</v>
      </c>
      <c r="C145" s="50" t="n">
        <v>153.0612</v>
      </c>
      <c r="D145" s="29" t="n">
        <f aca="false">'Rebate Cliff'!$C$53</f>
        <v>153.061224489796</v>
      </c>
      <c r="E145" s="44" t="n">
        <f aca="false">ROUND(C145-D145,6)</f>
        <v>-2.4E-005</v>
      </c>
      <c r="F145" s="41" t="str">
        <f aca="false">IF(ABS(E145)&lt;=0.00005,"PASS","FAIL")</f>
        <v>PASS</v>
      </c>
      <c r="G145" s="47" t="s">
        <v>724</v>
      </c>
    </row>
    <row r="146" customFormat="false" ht="15" hidden="false" customHeight="false" outlineLevel="0" collapsed="false">
      <c r="B146" s="14" t="s">
        <v>771</v>
      </c>
      <c r="C146" s="50" t="n">
        <v>153.0612</v>
      </c>
      <c r="D146" s="29" t="n">
        <f aca="false">Solve!$C$20</f>
        <v>153.061151504517</v>
      </c>
      <c r="E146" s="44" t="n">
        <f aca="false">ROUND(C146-D146,6)</f>
        <v>4.8E-005</v>
      </c>
      <c r="F146" s="41" t="str">
        <f aca="false">IF(ABS(E146)&lt;=0.005,"PASS","FAIL")</f>
        <v>PASS</v>
      </c>
      <c r="G146" s="47" t="s">
        <v>724</v>
      </c>
    </row>
    <row r="147" customFormat="false" ht="15" hidden="false" customHeight="false" outlineLevel="0" collapsed="false">
      <c r="B147" s="14" t="s">
        <v>772</v>
      </c>
      <c r="C147" s="50" t="n">
        <v>458.038</v>
      </c>
      <c r="D147" s="29" t="n">
        <f aca="false">'Rebate Cliff'!$C$54</f>
        <v>458.037997087071</v>
      </c>
      <c r="E147" s="44" t="n">
        <f aca="false">ROUND(C147-D147,6)</f>
        <v>3E-006</v>
      </c>
      <c r="F147" s="41" t="str">
        <f aca="false">IF(ABS(E147)&lt;=0.00005,"PASS","FAIL")</f>
        <v>PASS</v>
      </c>
      <c r="G147" s="47" t="s">
        <v>773</v>
      </c>
    </row>
    <row r="148" customFormat="false" ht="15" hidden="false" customHeight="false" outlineLevel="0" collapsed="false">
      <c r="B148" s="14" t="s">
        <v>774</v>
      </c>
      <c r="C148" s="50" t="n">
        <v>458.038</v>
      </c>
      <c r="D148" s="29" t="n">
        <f aca="false">Solve!$C$33</f>
        <v>458.038091659546</v>
      </c>
      <c r="E148" s="44" t="n">
        <f aca="false">ROUND(C148-D148,6)</f>
        <v>-9.2E-005</v>
      </c>
      <c r="F148" s="41" t="str">
        <f aca="false">IF(ABS(E148)&lt;=0.005,"PASS","FAIL")</f>
        <v>PASS</v>
      </c>
      <c r="G148" s="47" t="s">
        <v>773</v>
      </c>
    </row>
    <row r="149" customFormat="false" ht="15" hidden="false" customHeight="false" outlineLevel="0" collapsed="false">
      <c r="B149" s="14" t="s">
        <v>775</v>
      </c>
      <c r="C149" s="36" t="s">
        <v>776</v>
      </c>
      <c r="D149" s="14" t="str">
        <f aca="false">Solve!$C$41</f>
        <v>CONVERGED, AND THEY AGREE</v>
      </c>
      <c r="E149" s="14"/>
      <c r="F149" s="41" t="str">
        <f aca="false">IF(EXACT(C149,D149),"PASS","FAIL")</f>
        <v>PASS</v>
      </c>
      <c r="G149" s="47" t="s">
        <v>724</v>
      </c>
    </row>
    <row r="150" customFormat="false" ht="15" hidden="false" customHeight="false" outlineLevel="0" collapsed="false">
      <c r="B150" s="14" t="s">
        <v>478</v>
      </c>
      <c r="C150" s="37" t="n">
        <v>17</v>
      </c>
      <c r="D150" s="26" t="n">
        <f aca="false">'Rebate Cliff'!$C$60</f>
        <v>17</v>
      </c>
      <c r="E150" s="44" t="n">
        <f aca="false">ROUND(C150-D150,6)</f>
        <v>0</v>
      </c>
      <c r="F150" s="41" t="str">
        <f aca="false">IF(ABS(E150)&lt;=0.5,"PASS","FAIL")</f>
        <v>PASS</v>
      </c>
      <c r="G150" s="47" t="s">
        <v>724</v>
      </c>
    </row>
    <row r="151" customFormat="false" ht="15" hidden="false" customHeight="false" outlineLevel="0" collapsed="false">
      <c r="B151" s="14" t="s">
        <v>479</v>
      </c>
      <c r="C151" s="37" t="n">
        <v>9961</v>
      </c>
      <c r="D151" s="26" t="n">
        <f aca="false">'Rebate Cliff'!$C$61</f>
        <v>9961</v>
      </c>
      <c r="E151" s="44" t="n">
        <f aca="false">ROUND(C151-D151,6)</f>
        <v>0</v>
      </c>
      <c r="F151" s="41" t="str">
        <f aca="false">IF(ABS(E151)&lt;=0.5,"PASS","FAIL")</f>
        <v>PASS</v>
      </c>
      <c r="G151" s="47" t="s">
        <v>724</v>
      </c>
    </row>
    <row r="152" customFormat="false" ht="15" hidden="false" customHeight="false" outlineLevel="0" collapsed="false">
      <c r="B152" s="14" t="s">
        <v>777</v>
      </c>
      <c r="C152" s="30" t="n">
        <v>187091.56</v>
      </c>
      <c r="D152" s="17" t="n">
        <f aca="false">'Rebate Cliff'!$C$62</f>
        <v>187091.56</v>
      </c>
      <c r="E152" s="44" t="n">
        <f aca="false">ROUND(C152-D152,6)</f>
        <v>0</v>
      </c>
      <c r="F152" s="41" t="str">
        <f aca="false">IF(ABS(E152)&lt;=0.011,"PASS","FAIL")</f>
        <v>PASS</v>
      </c>
      <c r="G152" s="47" t="s">
        <v>724</v>
      </c>
    </row>
    <row r="153" customFormat="false" ht="15" hidden="false" customHeight="false" outlineLevel="0" collapsed="false">
      <c r="B153" s="14" t="s">
        <v>482</v>
      </c>
      <c r="C153" s="30" t="n">
        <v>1604149.89</v>
      </c>
      <c r="D153" s="17" t="n">
        <f aca="false">'Rebate Cliff'!$C$63</f>
        <v>1604149.89</v>
      </c>
      <c r="E153" s="44" t="n">
        <f aca="false">ROUND(C153-D153,6)</f>
        <v>0</v>
      </c>
      <c r="F153" s="41" t="str">
        <f aca="false">IF(ABS(E153)&lt;=0.005,"PASS","FAIL")</f>
        <v>PASS</v>
      </c>
      <c r="G153" s="47" t="s">
        <v>724</v>
      </c>
    </row>
    <row r="154" customFormat="false" ht="15" hidden="false" customHeight="false" outlineLevel="0" collapsed="false">
      <c r="B154" s="14" t="s">
        <v>778</v>
      </c>
      <c r="C154" s="30" t="n">
        <v>1604149.89</v>
      </c>
      <c r="D154" s="17" t="n">
        <f aca="false">'Rebate Cliff'!$C$72</f>
        <v>1604149.89</v>
      </c>
      <c r="E154" s="44" t="n">
        <f aca="false">ROUND(C154-D154,6)</f>
        <v>0</v>
      </c>
      <c r="F154" s="41" t="str">
        <f aca="false">IF(ABS(E154)&lt;=0.02,"PASS","FAIL")</f>
        <v>PASS</v>
      </c>
      <c r="G154" s="47" t="s">
        <v>724</v>
      </c>
    </row>
    <row r="155" customFormat="false" ht="15" hidden="false" customHeight="false" outlineLevel="0" collapsed="false">
      <c r="B155" s="14" t="s">
        <v>779</v>
      </c>
      <c r="C155" s="30" t="n">
        <v>951505.97</v>
      </c>
      <c r="D155" s="17" t="n">
        <f aca="false">'Rebate Cliff'!$C$73</f>
        <v>951505.97</v>
      </c>
      <c r="E155" s="44" t="n">
        <f aca="false">ROUND(C155-D155,6)</f>
        <v>0</v>
      </c>
      <c r="F155" s="41" t="str">
        <f aca="false">IF(ABS(E155)&lt;=0.02,"PASS","FAIL")</f>
        <v>PASS</v>
      </c>
      <c r="G155" s="47" t="s">
        <v>724</v>
      </c>
    </row>
    <row r="156" customFormat="false" ht="15" hidden="false" customHeight="false" outlineLevel="0" collapsed="false">
      <c r="B156" s="14" t="s">
        <v>780</v>
      </c>
      <c r="C156" s="30" t="n">
        <v>652643.92</v>
      </c>
      <c r="D156" s="17" t="n">
        <f aca="false">'Rebate Cliff'!$C$74</f>
        <v>652643.92</v>
      </c>
      <c r="E156" s="44" t="n">
        <f aca="false">ROUND(C156-D156,6)</f>
        <v>0</v>
      </c>
      <c r="F156" s="41" t="str">
        <f aca="false">IF(ABS(E156)&lt;=0.02,"PASS","FAIL")</f>
        <v>PASS</v>
      </c>
      <c r="G156" s="47" t="s">
        <v>724</v>
      </c>
    </row>
    <row r="157" customFormat="false" ht="15" hidden="false" customHeight="false" outlineLevel="0" collapsed="false">
      <c r="B157" s="14" t="s">
        <v>781</v>
      </c>
      <c r="C157" s="34" t="n">
        <v>0.113714</v>
      </c>
      <c r="D157" s="48" t="n">
        <f aca="false">'Rebate Cliff'!$C$75</f>
        <v>0.113713658923926</v>
      </c>
      <c r="E157" s="44" t="n">
        <f aca="false">ROUND(C157-D157,6)</f>
        <v>0</v>
      </c>
      <c r="F157" s="41" t="str">
        <f aca="false">IF(ABS(E157)&lt;=0.000005,"PASS","FAIL")</f>
        <v>PASS</v>
      </c>
      <c r="G157" s="47" t="s">
        <v>724</v>
      </c>
    </row>
    <row r="158" customFormat="false" ht="15" hidden="false" customHeight="false" outlineLevel="0" collapsed="false">
      <c r="B158" s="14" t="s">
        <v>782</v>
      </c>
      <c r="C158" s="34" t="n">
        <v>0.011629</v>
      </c>
      <c r="D158" s="48" t="n">
        <f aca="false">'Rebate Cliff'!$C$76</f>
        <v>0.0116285169150536</v>
      </c>
      <c r="E158" s="44" t="n">
        <f aca="false">ROUND(C158-D158,6)</f>
        <v>0</v>
      </c>
      <c r="F158" s="41" t="str">
        <f aca="false">IF(ABS(E158)&lt;=0.000005,"PASS","FAIL")</f>
        <v>PASS</v>
      </c>
      <c r="G158" s="47" t="s">
        <v>724</v>
      </c>
    </row>
    <row r="159" customFormat="false" ht="15" hidden="false" customHeight="false" outlineLevel="0" collapsed="false">
      <c r="B159" s="14" t="s">
        <v>783</v>
      </c>
      <c r="C159" s="37" t="n">
        <v>64</v>
      </c>
      <c r="D159" s="26" t="n">
        <f aca="false">'Rebate Cliff'!$C$77</f>
        <v>64</v>
      </c>
      <c r="E159" s="44" t="n">
        <f aca="false">ROUND(C159-D159,6)</f>
        <v>0</v>
      </c>
      <c r="F159" s="41" t="str">
        <f aca="false">IF(ABS(E159)&lt;=0.5,"PASS","FAIL")</f>
        <v>PASS</v>
      </c>
      <c r="G159" s="47" t="s">
        <v>724</v>
      </c>
    </row>
    <row r="160" customFormat="false" ht="15" hidden="false" customHeight="false" outlineLevel="0" collapsed="false">
      <c r="B160" s="14" t="s">
        <v>495</v>
      </c>
      <c r="C160" s="37" t="n">
        <v>24</v>
      </c>
      <c r="D160" s="26" t="n">
        <f aca="false">'Rebate Cliff'!$C$78</f>
        <v>24</v>
      </c>
      <c r="E160" s="44" t="n">
        <f aca="false">ROUND(C160-D160,6)</f>
        <v>0</v>
      </c>
      <c r="F160" s="41" t="str">
        <f aca="false">IF(ABS(E160)&lt;=0.5,"PASS","FAIL")</f>
        <v>PASS</v>
      </c>
      <c r="G160" s="47" t="s">
        <v>724</v>
      </c>
    </row>
    <row r="161" customFormat="false" ht="15" hidden="false" customHeight="false" outlineLevel="0" collapsed="false">
      <c r="B161" s="14" t="s">
        <v>784</v>
      </c>
      <c r="C161" s="34" t="n">
        <v>0.372449</v>
      </c>
      <c r="D161" s="48" t="n">
        <f aca="false">'Payment Terms'!$C$12</f>
        <v>0.372448979591837</v>
      </c>
      <c r="E161" s="44" t="n">
        <f aca="false">ROUND(C161-D161,6)</f>
        <v>0</v>
      </c>
      <c r="F161" s="41" t="str">
        <f aca="false">IF(ABS(E161)&lt;=0.000005,"PASS","FAIL")</f>
        <v>PASS</v>
      </c>
      <c r="G161" s="47" t="s">
        <v>785</v>
      </c>
    </row>
    <row r="162" customFormat="false" ht="15" hidden="false" customHeight="false" outlineLevel="0" collapsed="false">
      <c r="B162" s="14" t="s">
        <v>786</v>
      </c>
      <c r="C162" s="34" t="n">
        <v>0.003759</v>
      </c>
      <c r="D162" s="48" t="n">
        <f aca="false">'Payment Terms'!$C$14</f>
        <v>0.00375890410958904</v>
      </c>
      <c r="E162" s="44" t="n">
        <f aca="false">ROUND(C162-D162,6)</f>
        <v>0</v>
      </c>
      <c r="F162" s="41" t="str">
        <f aca="false">IF(ABS(E162)&lt;=0.000005,"PASS","FAIL")</f>
        <v>PASS</v>
      </c>
      <c r="G162" s="47" t="s">
        <v>785</v>
      </c>
    </row>
    <row r="163" customFormat="false" ht="15" hidden="false" customHeight="false" outlineLevel="0" collapsed="false">
      <c r="B163" s="14" t="s">
        <v>787</v>
      </c>
      <c r="C163" s="37" t="n">
        <v>52</v>
      </c>
      <c r="D163" s="26" t="n">
        <f aca="false">'Payment Terms'!$C$24</f>
        <v>52</v>
      </c>
      <c r="E163" s="44" t="n">
        <f aca="false">ROUND(C163-D163,6)</f>
        <v>0</v>
      </c>
      <c r="F163" s="41" t="str">
        <f aca="false">IF(ABS(E163)&lt;=0.5,"PASS","FAIL")</f>
        <v>PASS</v>
      </c>
      <c r="G163" s="47" t="s">
        <v>785</v>
      </c>
    </row>
    <row r="164" customFormat="false" ht="15" hidden="false" customHeight="false" outlineLevel="0" collapsed="false">
      <c r="B164" s="14" t="s">
        <v>788</v>
      </c>
      <c r="C164" s="30" t="n">
        <v>20303992.74</v>
      </c>
      <c r="D164" s="17" t="n">
        <f aca="false">'Payment Terms'!$C$25</f>
        <v>20303992.74</v>
      </c>
      <c r="E164" s="44" t="n">
        <f aca="false">ROUND(C164-D164,6)</f>
        <v>0</v>
      </c>
      <c r="F164" s="41" t="str">
        <f aca="false">IF(ABS(E164)&lt;=0.02,"PASS","FAIL")</f>
        <v>PASS</v>
      </c>
      <c r="G164" s="47" t="s">
        <v>785</v>
      </c>
    </row>
    <row r="165" customFormat="false" ht="15" hidden="false" customHeight="false" outlineLevel="0" collapsed="false">
      <c r="B165" s="14" t="s">
        <v>789</v>
      </c>
      <c r="C165" s="30" t="n">
        <v>406079.9</v>
      </c>
      <c r="D165" s="17" t="n">
        <f aca="false">'Payment Terms'!$C$26</f>
        <v>406079.9</v>
      </c>
      <c r="E165" s="44" t="n">
        <f aca="false">ROUND(C165-D165,6)</f>
        <v>0</v>
      </c>
      <c r="F165" s="41" t="str">
        <f aca="false">IF(ABS(E165)&lt;=0.005,"PASS","FAIL")</f>
        <v>PASS</v>
      </c>
      <c r="G165" s="47" t="s">
        <v>785</v>
      </c>
    </row>
    <row r="166" customFormat="false" ht="15" hidden="false" customHeight="false" outlineLevel="0" collapsed="false">
      <c r="B166" s="14" t="s">
        <v>790</v>
      </c>
      <c r="C166" s="30" t="n">
        <v>76320.76</v>
      </c>
      <c r="D166" s="17" t="n">
        <f aca="false">'Payment Terms'!$C$28</f>
        <v>76320.76</v>
      </c>
      <c r="E166" s="44" t="n">
        <f aca="false">ROUND(C166-D166,6)</f>
        <v>0</v>
      </c>
      <c r="F166" s="41" t="str">
        <f aca="false">IF(ABS(E166)&lt;=0.02,"PASS","FAIL")</f>
        <v>PASS</v>
      </c>
      <c r="G166" s="47" t="s">
        <v>785</v>
      </c>
    </row>
    <row r="167" customFormat="false" ht="15" hidden="false" customHeight="false" outlineLevel="0" collapsed="false">
      <c r="B167" s="14" t="s">
        <v>791</v>
      </c>
      <c r="C167" s="30" t="n">
        <v>329759.14</v>
      </c>
      <c r="D167" s="17" t="n">
        <f aca="false">'Payment Terms'!$C$29</f>
        <v>329759.14</v>
      </c>
      <c r="E167" s="44" t="n">
        <f aca="false">ROUND(C167-D167,6)</f>
        <v>0</v>
      </c>
      <c r="F167" s="41" t="str">
        <f aca="false">IF(ABS(E167)&lt;=0.02,"PASS","FAIL")</f>
        <v>PASS</v>
      </c>
      <c r="G167" s="47" t="s">
        <v>785</v>
      </c>
    </row>
    <row r="168" customFormat="false" ht="15" hidden="false" customHeight="false" outlineLevel="0" collapsed="false">
      <c r="B168" s="14" t="s">
        <v>792</v>
      </c>
      <c r="C168" s="37" t="n">
        <v>18</v>
      </c>
      <c r="D168" s="26" t="n">
        <f aca="false">'Payment Terms'!$D$24</f>
        <v>18</v>
      </c>
      <c r="E168" s="44" t="n">
        <f aca="false">ROUND(C168-D168,6)</f>
        <v>0</v>
      </c>
      <c r="F168" s="41" t="str">
        <f aca="false">IF(ABS(E168)&lt;=0.5,"PASS","FAIL")</f>
        <v>PASS</v>
      </c>
      <c r="G168" s="47" t="s">
        <v>785</v>
      </c>
    </row>
    <row r="169" customFormat="false" ht="15" hidden="false" customHeight="false" outlineLevel="0" collapsed="false">
      <c r="B169" s="14" t="s">
        <v>788</v>
      </c>
      <c r="C169" s="30" t="n">
        <v>6521105.3</v>
      </c>
      <c r="D169" s="17" t="n">
        <f aca="false">'Payment Terms'!$D$25</f>
        <v>6521105.3</v>
      </c>
      <c r="E169" s="44" t="n">
        <f aca="false">ROUND(C169-D169,6)</f>
        <v>0</v>
      </c>
      <c r="F169" s="41" t="str">
        <f aca="false">IF(ABS(E169)&lt;=0.02,"PASS","FAIL")</f>
        <v>PASS</v>
      </c>
      <c r="G169" s="47" t="s">
        <v>785</v>
      </c>
    </row>
    <row r="170" customFormat="false" ht="15" hidden="false" customHeight="false" outlineLevel="0" collapsed="false">
      <c r="B170" s="14" t="s">
        <v>793</v>
      </c>
      <c r="C170" s="30" t="n">
        <v>130422.13</v>
      </c>
      <c r="D170" s="17" t="n">
        <f aca="false">'Payment Terms'!$D$26</f>
        <v>130422.13</v>
      </c>
      <c r="E170" s="44" t="n">
        <f aca="false">ROUND(C170-D170,6)</f>
        <v>0</v>
      </c>
      <c r="F170" s="41" t="str">
        <f aca="false">IF(ABS(E170)&lt;=0.005,"PASS","FAIL")</f>
        <v>PASS</v>
      </c>
      <c r="G170" s="47" t="s">
        <v>785</v>
      </c>
    </row>
    <row r="171" customFormat="false" ht="15" hidden="false" customHeight="false" outlineLevel="0" collapsed="false">
      <c r="B171" s="14" t="s">
        <v>794</v>
      </c>
      <c r="C171" s="30" t="n">
        <v>6128.05</v>
      </c>
      <c r="D171" s="17" t="n">
        <f aca="false">'Payment Terms'!$D$28</f>
        <v>6128.05</v>
      </c>
      <c r="E171" s="44" t="n">
        <f aca="false">ROUND(C171-D171,6)</f>
        <v>0</v>
      </c>
      <c r="F171" s="41" t="str">
        <f aca="false">IF(ABS(E171)&lt;=0.02,"PASS","FAIL")</f>
        <v>PASS</v>
      </c>
      <c r="G171" s="47" t="s">
        <v>785</v>
      </c>
    </row>
    <row r="172" customFormat="false" ht="15" hidden="false" customHeight="false" outlineLevel="0" collapsed="false">
      <c r="B172" s="14" t="s">
        <v>795</v>
      </c>
      <c r="C172" s="30" t="n">
        <v>124294.08</v>
      </c>
      <c r="D172" s="17" t="n">
        <f aca="false">'Payment Terms'!$D$29</f>
        <v>124294.08</v>
      </c>
      <c r="E172" s="44" t="n">
        <f aca="false">ROUND(C172-D172,6)</f>
        <v>0</v>
      </c>
      <c r="F172" s="41" t="str">
        <f aca="false">IF(ABS(E172)&lt;=0.02,"PASS","FAIL")</f>
        <v>PASS</v>
      </c>
      <c r="G172" s="47" t="s">
        <v>785</v>
      </c>
    </row>
    <row r="173" customFormat="false" ht="15" hidden="false" customHeight="false" outlineLevel="0" collapsed="false">
      <c r="B173" s="14" t="s">
        <v>796</v>
      </c>
      <c r="C173" s="30" t="n">
        <v>406079.9</v>
      </c>
      <c r="D173" s="17" t="n">
        <f aca="false">'Payment Terms'!$C$31</f>
        <v>406079.9</v>
      </c>
      <c r="E173" s="44" t="n">
        <f aca="false">ROUND(C173-D173,6)</f>
        <v>0</v>
      </c>
      <c r="F173" s="41" t="str">
        <f aca="false">IF(ABS(E173)&lt;=0.005,"PASS","FAIL")</f>
        <v>PASS</v>
      </c>
      <c r="G173" s="47" t="s">
        <v>797</v>
      </c>
    </row>
    <row r="174" customFormat="false" ht="15" hidden="false" customHeight="false" outlineLevel="0" collapsed="false">
      <c r="B174" s="14" t="s">
        <v>798</v>
      </c>
      <c r="C174" s="36" t="s">
        <v>799</v>
      </c>
      <c r="D174" s="14" t="str">
        <f aca="false">'Payment Terms'!$C$32</f>
        <v>ONE FIGURE, AND IT TIES</v>
      </c>
      <c r="E174" s="14"/>
      <c r="F174" s="41" t="str">
        <f aca="false">IF(EXACT(C174,D174),"PASS","FAIL")</f>
        <v>PASS</v>
      </c>
      <c r="G174" s="47" t="s">
        <v>785</v>
      </c>
    </row>
    <row r="175" customFormat="false" ht="15" hidden="false" customHeight="false" outlineLevel="0" collapsed="false">
      <c r="B175" s="14" t="s">
        <v>800</v>
      </c>
      <c r="C175" s="37" t="n">
        <v>20</v>
      </c>
      <c r="D175" s="26" t="n">
        <f aca="false">'Payment Terms'!$C$41</f>
        <v>20</v>
      </c>
      <c r="E175" s="44" t="n">
        <f aca="false">ROUND(C175-D175,6)</f>
        <v>0</v>
      </c>
      <c r="F175" s="41" t="str">
        <f aca="false">IF(ABS(E175)&lt;=0.5,"PASS","FAIL")</f>
        <v>PASS</v>
      </c>
      <c r="G175" s="47" t="s">
        <v>785</v>
      </c>
    </row>
    <row r="176" customFormat="false" ht="15" hidden="false" customHeight="false" outlineLevel="0" collapsed="false">
      <c r="B176" s="14" t="s">
        <v>801</v>
      </c>
      <c r="C176" s="30" t="n">
        <v>76320.76</v>
      </c>
      <c r="D176" s="17" t="n">
        <f aca="false">'Payment Terms'!$D$41</f>
        <v>76320.76</v>
      </c>
      <c r="E176" s="44" t="n">
        <f aca="false">ROUND(C176-D176,6)</f>
        <v>0</v>
      </c>
      <c r="F176" s="41" t="str">
        <f aca="false">IF(ABS(E176)&lt;=0.02,"PASS","FAIL")</f>
        <v>PASS</v>
      </c>
      <c r="G176" s="47" t="s">
        <v>785</v>
      </c>
    </row>
    <row r="177" customFormat="false" ht="15" hidden="false" customHeight="false" outlineLevel="0" collapsed="false">
      <c r="B177" s="14" t="s">
        <v>802</v>
      </c>
      <c r="C177" s="30" t="n">
        <v>329759.14</v>
      </c>
      <c r="D177" s="17" t="n">
        <f aca="false">'Payment Terms'!$E$41</f>
        <v>329759.14</v>
      </c>
      <c r="E177" s="44" t="n">
        <f aca="false">ROUND(C177-D177,6)</f>
        <v>0</v>
      </c>
      <c r="F177" s="41" t="str">
        <f aca="false">IF(ABS(E177)&lt;=0.02,"PASS","FAIL")</f>
        <v>PASS</v>
      </c>
      <c r="G177" s="47" t="s">
        <v>785</v>
      </c>
    </row>
    <row r="178" customFormat="false" ht="15" hidden="false" customHeight="false" outlineLevel="0" collapsed="false">
      <c r="B178" s="14" t="s">
        <v>803</v>
      </c>
      <c r="C178" s="37" t="n">
        <v>30</v>
      </c>
      <c r="D178" s="26" t="n">
        <f aca="false">'Payment Terms'!$C$42</f>
        <v>30</v>
      </c>
      <c r="E178" s="44" t="n">
        <f aca="false">ROUND(C178-D178,6)</f>
        <v>0</v>
      </c>
      <c r="F178" s="41" t="str">
        <f aca="false">IF(ABS(E178)&lt;=0.5,"PASS","FAIL")</f>
        <v>PASS</v>
      </c>
      <c r="G178" s="47" t="s">
        <v>785</v>
      </c>
    </row>
    <row r="179" customFormat="false" ht="15" hidden="false" customHeight="false" outlineLevel="0" collapsed="false">
      <c r="B179" s="14" t="s">
        <v>804</v>
      </c>
      <c r="C179" s="30" t="n">
        <v>114481.14</v>
      </c>
      <c r="D179" s="17" t="n">
        <f aca="false">'Payment Terms'!$D$42</f>
        <v>114481.14</v>
      </c>
      <c r="E179" s="44" t="n">
        <f aca="false">ROUND(C179-D179,6)</f>
        <v>0</v>
      </c>
      <c r="F179" s="41" t="str">
        <f aca="false">IF(ABS(E179)&lt;=0.02,"PASS","FAIL")</f>
        <v>PASS</v>
      </c>
      <c r="G179" s="47" t="s">
        <v>785</v>
      </c>
    </row>
    <row r="180" customFormat="false" ht="15" hidden="false" customHeight="false" outlineLevel="0" collapsed="false">
      <c r="B180" s="14" t="s">
        <v>805</v>
      </c>
      <c r="C180" s="30" t="n">
        <v>291598.76</v>
      </c>
      <c r="D180" s="17" t="n">
        <f aca="false">'Payment Terms'!$E$42</f>
        <v>291598.76</v>
      </c>
      <c r="E180" s="44" t="n">
        <f aca="false">ROUND(C180-D180,6)</f>
        <v>0</v>
      </c>
      <c r="F180" s="41" t="str">
        <f aca="false">IF(ABS(E180)&lt;=0.02,"PASS","FAIL")</f>
        <v>PASS</v>
      </c>
      <c r="G180" s="47" t="s">
        <v>785</v>
      </c>
    </row>
    <row r="181" customFormat="false" ht="15" hidden="false" customHeight="false" outlineLevel="0" collapsed="false">
      <c r="B181" s="14" t="s">
        <v>806</v>
      </c>
      <c r="C181" s="37" t="n">
        <v>40</v>
      </c>
      <c r="D181" s="26" t="n">
        <f aca="false">'Payment Terms'!$C$43</f>
        <v>40</v>
      </c>
      <c r="E181" s="44" t="n">
        <f aca="false">ROUND(C181-D181,6)</f>
        <v>0</v>
      </c>
      <c r="F181" s="41" t="str">
        <f aca="false">IF(ABS(E181)&lt;=0.5,"PASS","FAIL")</f>
        <v>PASS</v>
      </c>
      <c r="G181" s="47" t="s">
        <v>785</v>
      </c>
    </row>
    <row r="182" customFormat="false" ht="15" hidden="false" customHeight="false" outlineLevel="0" collapsed="false">
      <c r="B182" s="14" t="s">
        <v>807</v>
      </c>
      <c r="C182" s="30" t="n">
        <v>152641.52</v>
      </c>
      <c r="D182" s="17" t="n">
        <f aca="false">'Payment Terms'!$D$43</f>
        <v>152641.52</v>
      </c>
      <c r="E182" s="44" t="n">
        <f aca="false">ROUND(C182-D182,6)</f>
        <v>0</v>
      </c>
      <c r="F182" s="41" t="str">
        <f aca="false">IF(ABS(E182)&lt;=0.02,"PASS","FAIL")</f>
        <v>PASS</v>
      </c>
      <c r="G182" s="47" t="s">
        <v>785</v>
      </c>
    </row>
    <row r="183" customFormat="false" ht="15" hidden="false" customHeight="false" outlineLevel="0" collapsed="false">
      <c r="B183" s="14" t="s">
        <v>808</v>
      </c>
      <c r="C183" s="30" t="n">
        <v>253438.38</v>
      </c>
      <c r="D183" s="17" t="n">
        <f aca="false">'Payment Terms'!$E$43</f>
        <v>253438.38</v>
      </c>
      <c r="E183" s="44" t="n">
        <f aca="false">ROUND(C183-D183,6)</f>
        <v>0</v>
      </c>
      <c r="F183" s="41" t="str">
        <f aca="false">IF(ABS(E183)&lt;=0.02,"PASS","FAIL")</f>
        <v>PASS</v>
      </c>
      <c r="G183" s="47" t="s">
        <v>785</v>
      </c>
    </row>
    <row r="184" customFormat="false" ht="15" hidden="false" customHeight="false" outlineLevel="0" collapsed="false">
      <c r="B184" s="14" t="s">
        <v>809</v>
      </c>
      <c r="C184" s="36" t="s">
        <v>810</v>
      </c>
      <c r="D184" s="14" t="str">
        <f aca="false">'Payment Terms'!$C$47</f>
        <v>THE COMPANY OVERPAYS AT EVERY DAY TESTED</v>
      </c>
      <c r="E184" s="14"/>
      <c r="F184" s="41" t="str">
        <f aca="false">IF(EXACT(C184,D184),"PASS","FAIL")</f>
        <v>PASS</v>
      </c>
      <c r="G184" s="47" t="s">
        <v>785</v>
      </c>
    </row>
    <row r="185" customFormat="false" ht="15" hidden="false" customHeight="false" outlineLevel="0" collapsed="false">
      <c r="B185" s="14" t="s">
        <v>560</v>
      </c>
      <c r="C185" s="30" t="n">
        <v>22240101.84</v>
      </c>
      <c r="D185" s="17" t="n">
        <f aca="false">'Payment Terms'!$C$52</f>
        <v>22240101.84</v>
      </c>
      <c r="E185" s="44" t="n">
        <f aca="false">ROUND(C185-D185,6)</f>
        <v>0</v>
      </c>
      <c r="F185" s="41" t="str">
        <f aca="false">IF(ABS(E185)&lt;=0.02,"PASS","FAIL")</f>
        <v>PASS</v>
      </c>
      <c r="G185" s="47" t="s">
        <v>785</v>
      </c>
    </row>
    <row r="186" customFormat="false" ht="15" hidden="false" customHeight="false" outlineLevel="0" collapsed="false">
      <c r="B186" s="14" t="s">
        <v>811</v>
      </c>
      <c r="C186" s="30" t="n">
        <v>127956.75</v>
      </c>
      <c r="D186" s="17" t="n">
        <f aca="false">'Payment Terms'!$C$54</f>
        <v>127956.75</v>
      </c>
      <c r="E186" s="44" t="n">
        <f aca="false">ROUND(C186-D186,6)</f>
        <v>0</v>
      </c>
      <c r="F186" s="41" t="str">
        <f aca="false">IF(ABS(E186)&lt;=0.02,"PASS","FAIL")</f>
        <v>PASS</v>
      </c>
      <c r="G186" s="47" t="s">
        <v>785</v>
      </c>
    </row>
    <row r="187" customFormat="false" ht="15" hidden="false" customHeight="false" outlineLevel="0" collapsed="false">
      <c r="B187" s="14" t="s">
        <v>812</v>
      </c>
      <c r="C187" s="34" t="n">
        <v>0.034793</v>
      </c>
      <c r="D187" s="48" t="n">
        <f aca="false">Authority!$C$16</f>
        <v>0.0347929851811244</v>
      </c>
      <c r="E187" s="44" t="n">
        <f aca="false">ROUND(C187-D187,6)</f>
        <v>0</v>
      </c>
      <c r="F187" s="41" t="str">
        <f aca="false">IF(ABS(E187)&lt;=0.000005,"PASS","FAIL")</f>
        <v>PASS</v>
      </c>
      <c r="G187" s="47" t="s">
        <v>813</v>
      </c>
    </row>
    <row r="188" customFormat="false" ht="15" hidden="false" customHeight="false" outlineLevel="0" collapsed="false">
      <c r="B188" s="14" t="s">
        <v>814</v>
      </c>
      <c r="C188" s="34" t="n">
        <v>0.125132</v>
      </c>
      <c r="D188" s="48" t="n">
        <f aca="false">Authority!$D$16</f>
        <v>0.125132234197946</v>
      </c>
      <c r="E188" s="44" t="n">
        <f aca="false">ROUND(C188-D188,6)</f>
        <v>-0</v>
      </c>
      <c r="F188" s="41" t="str">
        <f aca="false">IF(ABS(E188)&lt;=0.000005,"PASS","FAIL")</f>
        <v>PASS</v>
      </c>
      <c r="G188" s="47" t="s">
        <v>813</v>
      </c>
    </row>
    <row r="189" customFormat="false" ht="15" hidden="false" customHeight="false" outlineLevel="0" collapsed="false">
      <c r="B189" s="14" t="s">
        <v>815</v>
      </c>
      <c r="C189" s="34" t="n">
        <v>0.148085</v>
      </c>
      <c r="D189" s="48" t="n">
        <f aca="false">Authority!$E$16</f>
        <v>0.148084625078296</v>
      </c>
      <c r="E189" s="44" t="n">
        <f aca="false">ROUND(C189-D189,6)</f>
        <v>0</v>
      </c>
      <c r="F189" s="41" t="str">
        <f aca="false">IF(ABS(E189)&lt;=0.000005,"PASS","FAIL")</f>
        <v>PASS</v>
      </c>
      <c r="G189" s="47" t="s">
        <v>813</v>
      </c>
    </row>
    <row r="190" customFormat="false" ht="15" hidden="false" customHeight="false" outlineLevel="0" collapsed="false">
      <c r="B190" s="14" t="s">
        <v>816</v>
      </c>
      <c r="C190" s="34" t="n">
        <v>0.069586</v>
      </c>
      <c r="D190" s="48" t="n">
        <f aca="false">Authority!$C$17</f>
        <v>0.0695859703622488</v>
      </c>
      <c r="E190" s="44" t="n">
        <f aca="false">ROUND(C190-D190,6)</f>
        <v>0</v>
      </c>
      <c r="F190" s="41" t="str">
        <f aca="false">IF(ABS(E190)&lt;=0.000005,"PASS","FAIL")</f>
        <v>PASS</v>
      </c>
      <c r="G190" s="47" t="s">
        <v>813</v>
      </c>
    </row>
    <row r="191" customFormat="false" ht="15" hidden="false" customHeight="false" outlineLevel="0" collapsed="false">
      <c r="B191" s="14" t="s">
        <v>817</v>
      </c>
      <c r="C191" s="34" t="n">
        <v>0.28606</v>
      </c>
      <c r="D191" s="48" t="n">
        <f aca="false">Authority!$D$17</f>
        <v>0.28605976603385</v>
      </c>
      <c r="E191" s="44" t="n">
        <f aca="false">ROUND(C191-D191,6)</f>
        <v>0</v>
      </c>
      <c r="F191" s="41" t="str">
        <f aca="false">IF(ABS(E191)&lt;=0.000005,"PASS","FAIL")</f>
        <v>PASS</v>
      </c>
      <c r="G191" s="47" t="s">
        <v>813</v>
      </c>
    </row>
    <row r="192" customFormat="false" ht="15" hidden="false" customHeight="false" outlineLevel="0" collapsed="false">
      <c r="B192" s="14" t="s">
        <v>818</v>
      </c>
      <c r="C192" s="34" t="n">
        <v>0.347651</v>
      </c>
      <c r="D192" s="48" t="n">
        <f aca="false">Authority!$E$17</f>
        <v>0.347651021304564</v>
      </c>
      <c r="E192" s="44" t="n">
        <f aca="false">ROUND(C192-D192,6)</f>
        <v>-0</v>
      </c>
      <c r="F192" s="41" t="str">
        <f aca="false">IF(ABS(E192)&lt;=0.000005,"PASS","FAIL")</f>
        <v>PASS</v>
      </c>
      <c r="G192" s="47" t="s">
        <v>813</v>
      </c>
    </row>
    <row r="193" customFormat="false" ht="15" hidden="false" customHeight="false" outlineLevel="0" collapsed="false">
      <c r="B193" s="14" t="s">
        <v>819</v>
      </c>
      <c r="C193" s="34" t="n">
        <v>0.115977</v>
      </c>
      <c r="D193" s="48" t="n">
        <f aca="false">Authority!$C$18</f>
        <v>0.115976617270415</v>
      </c>
      <c r="E193" s="44" t="n">
        <f aca="false">ROUND(C193-D193,6)</f>
        <v>0</v>
      </c>
      <c r="F193" s="41" t="str">
        <f aca="false">IF(ABS(E193)&lt;=0.000005,"PASS","FAIL")</f>
        <v>PASS</v>
      </c>
      <c r="G193" s="47" t="s">
        <v>813</v>
      </c>
    </row>
    <row r="194" customFormat="false" ht="15" hidden="false" customHeight="false" outlineLevel="0" collapsed="false">
      <c r="B194" s="14" t="s">
        <v>820</v>
      </c>
      <c r="C194" s="34" t="n">
        <v>0.589114</v>
      </c>
      <c r="D194" s="48" t="n">
        <f aca="false">Authority!$D$18</f>
        <v>0.589114187893838</v>
      </c>
      <c r="E194" s="44" t="n">
        <f aca="false">ROUND(C194-D194,6)</f>
        <v>-0</v>
      </c>
      <c r="F194" s="41" t="str">
        <f aca="false">IF(ABS(E194)&lt;=0.000005,"PASS","FAIL")</f>
        <v>PASS</v>
      </c>
      <c r="G194" s="47" t="s">
        <v>813</v>
      </c>
    </row>
    <row r="195" customFormat="false" ht="15" hidden="false" customHeight="false" outlineLevel="0" collapsed="false">
      <c r="B195" s="14" t="s">
        <v>821</v>
      </c>
      <c r="C195" s="34" t="n">
        <v>0.754223</v>
      </c>
      <c r="D195" s="48" t="n">
        <f aca="false">Authority!$E$18</f>
        <v>0.754222522282566</v>
      </c>
      <c r="E195" s="44" t="n">
        <f aca="false">ROUND(C195-D195,6)</f>
        <v>0</v>
      </c>
      <c r="F195" s="41" t="str">
        <f aca="false">IF(ABS(E195)&lt;=0.000005,"PASS","FAIL")</f>
        <v>PASS</v>
      </c>
      <c r="G195" s="47" t="s">
        <v>813</v>
      </c>
    </row>
    <row r="196" customFormat="false" ht="15" hidden="false" customHeight="false" outlineLevel="0" collapsed="false">
      <c r="B196" s="14" t="s">
        <v>822</v>
      </c>
      <c r="C196" s="34" t="n">
        <v>0.862243</v>
      </c>
      <c r="D196" s="48" t="n">
        <f aca="false">Authority!$C$6</f>
        <v>0.862242772323984</v>
      </c>
      <c r="E196" s="44" t="n">
        <f aca="false">ROUND(C196-D196,6)</f>
        <v>0</v>
      </c>
      <c r="F196" s="41" t="str">
        <f aca="false">IF(ABS(E196)&lt;=0.000005,"PASS","FAIL")</f>
        <v>PASS</v>
      </c>
      <c r="G196" s="47" t="s">
        <v>813</v>
      </c>
    </row>
    <row r="197" customFormat="false" ht="15" hidden="false" customHeight="false" outlineLevel="0" collapsed="false">
      <c r="B197" s="14" t="s">
        <v>823</v>
      </c>
      <c r="C197" s="34" t="n">
        <v>0.803154</v>
      </c>
      <c r="D197" s="48" t="n">
        <f aca="false">Authority!$C$7</f>
        <v>0.80315445234688</v>
      </c>
      <c r="E197" s="44" t="n">
        <f aca="false">ROUND(C197-D197,6)</f>
        <v>-0</v>
      </c>
      <c r="F197" s="41" t="str">
        <f aca="false">IF(ABS(E197)&lt;=0.000005,"PASS","FAIL")</f>
        <v>PASS</v>
      </c>
      <c r="G197" s="47" t="s">
        <v>813</v>
      </c>
    </row>
    <row r="198" customFormat="false" ht="15" hidden="false" customHeight="false" outlineLevel="0" collapsed="false">
      <c r="B198" s="14" t="s">
        <v>824</v>
      </c>
      <c r="C198" s="34" t="n">
        <v>0.034632</v>
      </c>
      <c r="D198" s="48" t="n">
        <f aca="false">Authority!$C$60</f>
        <v>0.0346317424312134</v>
      </c>
      <c r="E198" s="44" t="n">
        <f aca="false">ROUND(C198-D198,6)</f>
        <v>0</v>
      </c>
      <c r="F198" s="41" t="str">
        <f aca="false">IF(ABS(E198)&lt;=0.000005,"PASS","FAIL")</f>
        <v>PASS</v>
      </c>
      <c r="G198" s="47" t="s">
        <v>813</v>
      </c>
    </row>
    <row r="199" customFormat="false" ht="15" hidden="false" customHeight="false" outlineLevel="0" collapsed="false">
      <c r="B199" s="14" t="s">
        <v>825</v>
      </c>
      <c r="C199" s="37" t="n">
        <v>4</v>
      </c>
      <c r="D199" s="26" t="n">
        <f aca="false">Authority!$C$61</f>
        <v>4</v>
      </c>
      <c r="E199" s="44" t="n">
        <f aca="false">ROUND(C199-D199,6)</f>
        <v>0</v>
      </c>
      <c r="F199" s="41" t="str">
        <f aca="false">IF(ABS(E199)&lt;=0.5,"PASS","FAIL")</f>
        <v>PASS</v>
      </c>
      <c r="G199" s="47" t="s">
        <v>813</v>
      </c>
    </row>
    <row r="200" customFormat="false" ht="15" hidden="false" customHeight="false" outlineLevel="0" collapsed="false">
      <c r="B200" s="14" t="s">
        <v>826</v>
      </c>
      <c r="C200" s="34" t="n">
        <v>0.068579</v>
      </c>
      <c r="D200" s="48" t="n">
        <f aca="false">Authority!$C$62</f>
        <v>0.0685785391246548</v>
      </c>
      <c r="E200" s="44" t="n">
        <f aca="false">ROUND(C200-D200,6)</f>
        <v>0</v>
      </c>
      <c r="F200" s="41" t="str">
        <f aca="false">IF(ABS(E200)&lt;=0.000005,"PASS","FAIL")</f>
        <v>PASS</v>
      </c>
      <c r="G200" s="47" t="s">
        <v>813</v>
      </c>
    </row>
    <row r="201" customFormat="false" ht="15" hidden="false" customHeight="false" outlineLevel="0" collapsed="false">
      <c r="B201" s="14" t="s">
        <v>827</v>
      </c>
      <c r="C201" s="37" t="n">
        <v>16</v>
      </c>
      <c r="D201" s="26" t="n">
        <f aca="false">Authority!$C$63</f>
        <v>16</v>
      </c>
      <c r="E201" s="44" t="n">
        <f aca="false">ROUND(C201-D201,6)</f>
        <v>0</v>
      </c>
      <c r="F201" s="41" t="str">
        <f aca="false">IF(ABS(E201)&lt;=0.5,"PASS","FAIL")</f>
        <v>PASS</v>
      </c>
      <c r="G201" s="47" t="s">
        <v>813</v>
      </c>
    </row>
    <row r="202" customFormat="false" ht="15" hidden="false" customHeight="false" outlineLevel="0" collapsed="false">
      <c r="B202" s="14" t="s">
        <v>828</v>
      </c>
      <c r="C202" s="34" t="n">
        <v>0.112769</v>
      </c>
      <c r="D202" s="48" t="n">
        <f aca="false">Authority!$C$64</f>
        <v>0.112768809321424</v>
      </c>
      <c r="E202" s="44" t="n">
        <f aca="false">ROUND(C202-D202,6)</f>
        <v>0</v>
      </c>
      <c r="F202" s="41" t="str">
        <f aca="false">IF(ABS(E202)&lt;=0.000005,"PASS","FAIL")</f>
        <v>PASS</v>
      </c>
      <c r="G202" s="47" t="s">
        <v>813</v>
      </c>
    </row>
    <row r="203" customFormat="false" ht="15" hidden="false" customHeight="false" outlineLevel="0" collapsed="false">
      <c r="B203" s="14" t="s">
        <v>829</v>
      </c>
      <c r="C203" s="37" t="n">
        <v>38</v>
      </c>
      <c r="D203" s="26" t="n">
        <f aca="false">Authority!$C$65</f>
        <v>38</v>
      </c>
      <c r="E203" s="44" t="n">
        <f aca="false">ROUND(C203-D203,6)</f>
        <v>0</v>
      </c>
      <c r="F203" s="41" t="str">
        <f aca="false">IF(ABS(E203)&lt;=0.5,"PASS","FAIL")</f>
        <v>PASS</v>
      </c>
      <c r="G203" s="47" t="s">
        <v>813</v>
      </c>
    </row>
    <row r="204" customFormat="false" ht="15" hidden="false" customHeight="false" outlineLevel="0" collapsed="false">
      <c r="B204" s="14" t="s">
        <v>830</v>
      </c>
      <c r="C204" s="34" t="n">
        <v>0.9</v>
      </c>
      <c r="D204" s="48" t="n">
        <f aca="false">Authority!$C$32</f>
        <v>0.9</v>
      </c>
      <c r="E204" s="44" t="n">
        <f aca="false">ROUND(C204-D204,6)</f>
        <v>0</v>
      </c>
      <c r="F204" s="41" t="str">
        <f aca="false">IF(ABS(E204)&lt;=0.000005,"PASS","FAIL")</f>
        <v>PASS</v>
      </c>
      <c r="G204" s="47" t="s">
        <v>813</v>
      </c>
    </row>
    <row r="205" customFormat="false" ht="15" hidden="false" customHeight="false" outlineLevel="0" collapsed="false">
      <c r="B205" s="14" t="s">
        <v>831</v>
      </c>
      <c r="C205" s="34" t="n">
        <v>0.355802</v>
      </c>
      <c r="D205" s="48" t="n">
        <f aca="false">Authority!$C$35</f>
        <v>0.355802252216277</v>
      </c>
      <c r="E205" s="44" t="n">
        <f aca="false">ROUND(C205-D205,6)</f>
        <v>-0</v>
      </c>
      <c r="F205" s="41" t="str">
        <f aca="false">IF(ABS(E205)&lt;=0.000005,"PASS","FAIL")</f>
        <v>PASS</v>
      </c>
      <c r="G205" s="47" t="s">
        <v>813</v>
      </c>
    </row>
    <row r="206" customFormat="false" ht="15" hidden="false" customHeight="false" outlineLevel="0" collapsed="false">
      <c r="B206" s="14" t="s">
        <v>832</v>
      </c>
      <c r="C206" s="34" t="n">
        <v>0.055556</v>
      </c>
      <c r="D206" s="48" t="n">
        <f aca="false">Authority!$C$39</f>
        <v>0.0555555555555556</v>
      </c>
      <c r="E206" s="44" t="n">
        <f aca="false">ROUND(C206-D206,6)</f>
        <v>0</v>
      </c>
      <c r="F206" s="41" t="str">
        <f aca="false">IF(ABS(E206)&lt;=0.000005,"PASS","FAIL")</f>
        <v>PASS</v>
      </c>
      <c r="G206" s="47" t="s">
        <v>813</v>
      </c>
    </row>
    <row r="207" customFormat="false" ht="15" hidden="false" customHeight="false" outlineLevel="0" collapsed="false">
      <c r="B207" s="14" t="s">
        <v>833</v>
      </c>
      <c r="C207" s="34" t="n">
        <v>0.185033</v>
      </c>
      <c r="D207" s="48" t="n">
        <f aca="false">Authority!$C$41</f>
        <v>0.185033028417739</v>
      </c>
      <c r="E207" s="44" t="n">
        <f aca="false">ROUND(C207-D207,6)</f>
        <v>-0</v>
      </c>
      <c r="F207" s="41" t="str">
        <f aca="false">IF(ABS(E207)&lt;=0.000005,"PASS","FAIL")</f>
        <v>PASS</v>
      </c>
      <c r="G207" s="47" t="s">
        <v>813</v>
      </c>
    </row>
    <row r="208" customFormat="false" ht="15" hidden="false" customHeight="false" outlineLevel="0" collapsed="false">
      <c r="B208" s="14" t="s">
        <v>834</v>
      </c>
      <c r="C208" s="34" t="n">
        <v>0.273842</v>
      </c>
      <c r="D208" s="48" t="n">
        <f aca="false">Authority!$C$42</f>
        <v>0.273842260812501</v>
      </c>
      <c r="E208" s="44" t="n">
        <f aca="false">ROUND(C208-D208,6)</f>
        <v>-0</v>
      </c>
      <c r="F208" s="41" t="str">
        <f aca="false">IF(ABS(E208)&lt;=0.000005,"PASS","FAIL")</f>
        <v>PASS</v>
      </c>
      <c r="G208" s="47" t="s">
        <v>813</v>
      </c>
    </row>
    <row r="209" customFormat="false" ht="15" hidden="false" customHeight="false" outlineLevel="0" collapsed="false">
      <c r="B209" s="14" t="s">
        <v>835</v>
      </c>
      <c r="C209" s="34" t="n">
        <v>0.227535</v>
      </c>
      <c r="D209" s="48" t="n">
        <f aca="false">Authority!$C$43</f>
        <v>0.227535035205637</v>
      </c>
      <c r="E209" s="44" t="n">
        <f aca="false">ROUND(C209-D209,6)</f>
        <v>-0</v>
      </c>
      <c r="F209" s="41" t="str">
        <f aca="false">IF(ABS(E209)&lt;=0.000005,"PASS","FAIL")</f>
        <v>PASS</v>
      </c>
      <c r="G209" s="47" t="s">
        <v>813</v>
      </c>
    </row>
    <row r="210" customFormat="false" ht="15" hidden="false" customHeight="false" outlineLevel="0" collapsed="false">
      <c r="B210" s="14" t="s">
        <v>836</v>
      </c>
      <c r="C210" s="34" t="n">
        <v>0.021</v>
      </c>
      <c r="D210" s="48" t="n">
        <f aca="false">'Rebate Cliff'!$C$27</f>
        <v>0.021</v>
      </c>
      <c r="E210" s="44" t="n">
        <f aca="false">ROUND(C210-D210,6)</f>
        <v>0</v>
      </c>
      <c r="F210" s="41" t="str">
        <f aca="false">IF(ABS(E210)&lt;=0.0000005,"PASS","FAIL")</f>
        <v>PASS</v>
      </c>
      <c r="G210" s="47" t="s">
        <v>837</v>
      </c>
    </row>
    <row r="211" customFormat="false" ht="15" hidden="false" customHeight="false" outlineLevel="0" collapsed="false">
      <c r="B211" s="14" t="s">
        <v>838</v>
      </c>
      <c r="C211" s="34" t="n">
        <v>6087.91</v>
      </c>
      <c r="D211" s="48" t="n">
        <f aca="false">'Rebate Cliff'!$C$38</f>
        <v>6087.91</v>
      </c>
      <c r="E211" s="44" t="n">
        <f aca="false">ROUND(C211-D211,6)</f>
        <v>0</v>
      </c>
      <c r="F211" s="41" t="str">
        <f aca="false">IF(ABS(E211)&lt;=0.02,"PASS","FAIL")</f>
        <v>PASS</v>
      </c>
      <c r="G211" s="47" t="s">
        <v>837</v>
      </c>
    </row>
    <row r="212" customFormat="false" ht="15" hidden="false" customHeight="false" outlineLevel="0" collapsed="false">
      <c r="B212" s="14" t="s">
        <v>839</v>
      </c>
      <c r="C212" s="34" t="n">
        <v>0</v>
      </c>
      <c r="D212" s="48" t="n">
        <f aca="false">Solve!$C$40</f>
        <v>9.45724747793975E-005</v>
      </c>
      <c r="E212" s="44" t="n">
        <f aca="false">ROUND(C212-D212,6)</f>
        <v>-9.5E-005</v>
      </c>
      <c r="F212" s="41" t="str">
        <f aca="false">IF(ABS(E212)&lt;=0.01,"PASS","FAIL")</f>
        <v>PASS</v>
      </c>
      <c r="G212" s="47" t="s">
        <v>837</v>
      </c>
    </row>
    <row r="213" customFormat="false" ht="15" hidden="false" customHeight="false" outlineLevel="0" collapsed="false">
      <c r="B213" s="4"/>
      <c r="C213" s="38"/>
    </row>
    <row r="214" customFormat="false" ht="15" hidden="false" customHeight="false" outlineLevel="0" collapsed="false">
      <c r="B214" s="14" t="s">
        <v>840</v>
      </c>
      <c r="C214" s="34" t="n">
        <v>207</v>
      </c>
      <c r="D214" s="48"/>
      <c r="E214" s="44"/>
      <c r="F214" s="41"/>
      <c r="G214" s="47"/>
    </row>
    <row r="215" customFormat="false" ht="15" hidden="false" customHeight="false" outlineLevel="0" collapsed="false">
      <c r="B215" s="14" t="s">
        <v>841</v>
      </c>
      <c r="C215" s="34" t="n">
        <f aca="false">COUNTIF(F6:F212,"PASS")</f>
        <v>207</v>
      </c>
      <c r="D215" s="48"/>
      <c r="E215" s="44"/>
      <c r="F215" s="41"/>
      <c r="G215" s="47"/>
    </row>
    <row r="216" customFormat="false" ht="15" hidden="false" customHeight="false" outlineLevel="0" collapsed="false">
      <c r="B216" s="4" t="s">
        <v>842</v>
      </c>
      <c r="C216" s="38" t="n">
        <f aca="false">COUNTIF(F6:F212,"FAIL")</f>
        <v>0</v>
      </c>
    </row>
    <row r="217" customFormat="false" ht="15" hidden="false" customHeight="false" outlineLevel="0" collapsed="false">
      <c r="B217" s="14" t="s">
        <v>843</v>
      </c>
      <c r="C217" s="34" t="str">
        <f aca="false">IF(COUNTIF(F6:F212,"FAIL")=0,"ALL CHECKS PASS","SOME CHECKS FAIL")</f>
        <v>ALL CHECKS PASS</v>
      </c>
      <c r="D217" s="48"/>
      <c r="E217" s="44"/>
      <c r="F217" s="41"/>
      <c r="G217" s="4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2026-09-17T18:04:49Z</dcterms:created>
  <dc:creator>openpyxl</dc:creator>
  <dc:description/>
  <dc:language>en-US</dc:language>
  <cp:lastModifiedBy/>
  <dcterms:modified xsi:type="dcterms:W3CDTF">2026-09-24T02:16:46Z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