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Your Inputs" sheetId="2" state="visible" r:id="rId4"/>
    <sheet name="Your Lines" sheetId="3" state="visible" r:id="rId5"/>
    <sheet name="Your Accounts" sheetId="4" state="visible" r:id="rId6"/>
    <sheet name="Your Margin" sheetId="5" state="visible" r:id="rId7"/>
    <sheet name="One Point of Price" sheetId="6" state="visible" r:id="rId8"/>
    <sheet name="Your Floors" sheetId="7" state="visible" r:id="rId9"/>
    <sheet name="Sensitivity" sheetId="8" state="visible" r:id="rId10"/>
    <sheet name="Checks" sheetId="9" state="visible" r:id="rId11"/>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<sst xmlns="http://schemas.openxmlformats.org/spreadsheetml/2006/main" count="2712" uniqueCount="769">
  <si>
    <t xml:space="preserve">Price Your Own Book</t>
  </si>
  <si>
    <t xml:space="preserve">Pricing Strategy, Julian R. Sterling. Companion workbook: Ravensworth Adhesives</t>
  </si>
  <si>
    <t xml:space="preserve">Everything in blue is yours to overwrite. The workbook opens with the Ravensworth year</t>
  </si>
  <si>
    <t xml:space="preserve">already in it, so that you can see what every cell is supposed to contain before you</t>
  </si>
  <si>
    <t xml:space="preserve">replace it. Put your own products on Your Inputs, your own leakage rates beside them,</t>
  </si>
  <si>
    <t xml:space="preserve">and your own account lines on Your Lines. Nothing else needs touching.</t>
  </si>
  <si>
    <t xml:space="preserve">The floor is charged with the commission the lift itself creates, and its risk is reported</t>
  </si>
  <si>
    <t xml:space="preserve">account by account, because an account that refuses takes every line it has with it.</t>
  </si>
  <si>
    <t xml:space="preserve">Chapters served</t>
  </si>
  <si>
    <t xml:space="preserve">9 (pocket margin by account and cost to serve), 15 (the floor), 16 (which input moves the answer)</t>
  </si>
  <si>
    <t xml:space="preserve">Change this first</t>
  </si>
  <si>
    <t xml:space="preserve">Your Inputs: the three product rows, then the nine leakage rates below them.</t>
  </si>
  <si>
    <t xml:space="preserve">The sheets</t>
  </si>
  <si>
    <t xml:space="preserve">Your Inputs</t>
  </si>
  <si>
    <t xml:space="preserve">your products, your nine leakage rates, your commission, your fixed costs, your cost to serve.</t>
  </si>
  <si>
    <t xml:space="preserve">Your Lines</t>
  </si>
  <si>
    <t xml:space="preserve">one row per account and product: units, what you billed, what you kept. Overwrite these.</t>
  </si>
  <si>
    <t xml:space="preserve">Your Accounts</t>
  </si>
  <si>
    <t xml:space="preserve">one row per account: orders a year, cost to serve, account profit, the whale curve, and the cost-to-serve stress at six multiples.</t>
  </si>
  <si>
    <t xml:space="preserve">Your Margin</t>
  </si>
  <si>
    <t xml:space="preserve">your waterfall, two ways: from your rates top down, and from your account list bottom up.</t>
  </si>
  <si>
    <t xml:space="preserve">One Point of Price</t>
  </si>
  <si>
    <t xml:space="preserve">what a point of price is worth to you in points of volume, and the break-even volume.</t>
  </si>
  <si>
    <t xml:space="preserve">Your Floors</t>
  </si>
  <si>
    <t xml:space="preserve">the band and the floor under each segment and product, the gain net of commission, the volume it buys, and which accounts carry the risk. Read the caution at the head of that sheet before you turn its output into a price.</t>
  </si>
  <si>
    <t xml:space="preserve">Sensitivity</t>
  </si>
  <si>
    <t xml:space="preserve">which input actually moves the answer: the cost to serve from half the declared rates to three times them, and the multiple at which the segment ranking inverts.</t>
  </si>
  <si>
    <t xml:space="preserve">Checks</t>
  </si>
  <si>
    <t xml:space="preserve">the worked example against the figures the book prints, with the variance and PASS or FAIL.</t>
  </si>
  <si>
    <t xml:space="preserve">Colors</t>
  </si>
  <si>
    <t xml:space="preserve">Blue</t>
  </si>
  <si>
    <t xml:space="preserve">an input you may change.</t>
  </si>
  <si>
    <t xml:space="preserve">Black</t>
  </si>
  <si>
    <t xml:space="preserve">a formula. Change an input and it moves.</t>
  </si>
  <si>
    <t xml:space="preserve">Green</t>
  </si>
  <si>
    <t xml:space="preserve">a link to another sheet.</t>
  </si>
  <si>
    <t xml:space="preserve">Yellow fill</t>
  </si>
  <si>
    <t xml:space="preserve">the assumptions that carry the answer.</t>
  </si>
  <si>
    <t xml:space="preserve">Outside the Checks sheet, the only typed values are the inputs: the assumption cells, and the account and line data the model starts from. Every derived figure is a live formula. On the Checks sheet, column C is the figure as printed in the book and is typed on purpose: that is the point of a check.</t>
  </si>
  <si>
    <t xml:space="preserve">There are no circular references and iterative calculation is OFF. Where a quantity would depend on</t>
  </si>
  <si>
    <t xml:space="preserve">itself the loop is unrolled one pass per column on a Solve sheet, and a cell reports CONVERGED.</t>
  </si>
  <si>
    <t xml:space="preserve">Money is rounded to the cent at each deduction, with ROUND(), at the same places the book rounds.</t>
  </si>
  <si>
    <t xml:space="preserve">Nothing is locked, hidden, protected or driven by a macro.</t>
  </si>
  <si>
    <t xml:space="preserve">Your inputs</t>
  </si>
  <si>
    <t xml:space="preserve">Blue is yours. Yellow carries the answer. The worked example is Ravensworth's year.</t>
  </si>
  <si>
    <t xml:space="preserve">Your products</t>
  </si>
  <si>
    <t xml:space="preserve">Product</t>
  </si>
  <si>
    <t xml:space="preserve">List price</t>
  </si>
  <si>
    <t xml:space="preserve">Variable cost per unit</t>
  </si>
  <si>
    <t xml:space="preserve">Unit contribution at list</t>
  </si>
  <si>
    <t xml:space="preserve">Margin at list</t>
  </si>
  <si>
    <t xml:space="preserve">Legend</t>
  </si>
  <si>
    <t xml:space="preserve">Structural adhesives</t>
  </si>
  <si>
    <t xml:space="preserve">what you publish, before any discount</t>
  </si>
  <si>
    <t xml:space="preserve">Sealants</t>
  </si>
  <si>
    <t xml:space="preserve">materials, direct labor, variable overhead; not overhead you would pay anyway</t>
  </si>
  <si>
    <t xml:space="preserve">Protective coatings</t>
  </si>
  <si>
    <t xml:space="preserve">the third and last product row: add more rows above this one if you sell more</t>
  </si>
  <si>
    <t xml:space="preserve">Your nine leakage rates, for the top-down waterfall on Your Margin</t>
  </si>
  <si>
    <t xml:space="preserve">Leakage</t>
  </si>
  <si>
    <t xml:space="preserve">Rate</t>
  </si>
  <si>
    <t xml:space="preserve">A share of</t>
  </si>
  <si>
    <t xml:space="preserve">Order-size discount</t>
  </si>
  <si>
    <t xml:space="preserve">your revenue at list</t>
  </si>
  <si>
    <t xml:space="preserve">a rate you know, or the money divided by the base</t>
  </si>
  <si>
    <t xml:space="preserve">Negotiated discount</t>
  </si>
  <si>
    <t xml:space="preserve">Annual volume rebate</t>
  </si>
  <si>
    <t xml:space="preserve">your revenue at invoice</t>
  </si>
  <si>
    <t xml:space="preserve">Cash discount taken</t>
  </si>
  <si>
    <t xml:space="preserve">Freight allowance</t>
  </si>
  <si>
    <t xml:space="preserve">Co-operative marketing</t>
  </si>
  <si>
    <t xml:space="preserve">Growth bonus</t>
  </si>
  <si>
    <t xml:space="preserve">Returns and credits</t>
  </si>
  <si>
    <t xml:space="preserve">Promotional allowance</t>
  </si>
  <si>
    <t xml:space="preserve">The rates are shown to six decimals because the worked example carries them to that</t>
  </si>
  <si>
    <t xml:space="preserve">precision: they are the Ravensworth money divided by its base. Round them for your own book.</t>
  </si>
  <si>
    <t xml:space="preserve">The money each leakage costs is NOT typed here. It is computed on Your Margin from these</t>
  </si>
  <si>
    <t xml:space="preserve">rates and your own revenue, so that overwriting Your Lines moves every figure in the file.</t>
  </si>
  <si>
    <t xml:space="preserve">Your costs and your plan</t>
  </si>
  <si>
    <t xml:space="preserve">Sales commission, share of invoiced revenue</t>
  </si>
  <si>
    <t xml:space="preserve">Fixed manufacturing overhead</t>
  </si>
  <si>
    <t xml:space="preserve">Warehouse and distribution (fixed)</t>
  </si>
  <si>
    <t xml:space="preserve">Sales and marketing (fixed)</t>
  </si>
  <si>
    <t xml:space="preserve">General and administrative</t>
  </si>
  <si>
    <t xml:space="preserve">Your fixed costs, total</t>
  </si>
  <si>
    <t xml:space="preserve">Your cost to serve, the declared assumption of Chapter 9</t>
  </si>
  <si>
    <t xml:space="preserve">Cost per order: handling, picking, invoicing, credit</t>
  </si>
  <si>
    <t xml:space="preserve">Cost per account per year: visits, technical support, account management</t>
  </si>
  <si>
    <t xml:space="preserve">Carve these out of your fixed cost lines. Do not add them on top: Chapter 9 says so.</t>
  </si>
  <si>
    <t xml:space="preserve">The floor you want to test, from Chapter 15</t>
  </si>
  <si>
    <t xml:space="preserve">The percentile of its own segment and product that becomes the floor</t>
  </si>
  <si>
    <t xml:space="preserve">The price change you want the break-even volume for</t>
  </si>
  <si>
    <t xml:space="preserve">Which waterfall drives the rest of the workbook</t>
  </si>
  <si>
    <t xml:space="preserve">1 = your account list, bottom up.  2 = your nine rates, top down.</t>
  </si>
  <si>
    <t xml:space="preserve">Your lines: one row per account and product</t>
  </si>
  <si>
    <t xml:space="preserve">Overwrite the blue columns with your own. Everything to the right is a formula.</t>
  </si>
  <si>
    <t xml:space="preserve">Account</t>
  </si>
  <si>
    <t xml:space="preserve">Segment</t>
  </si>
  <si>
    <t xml:space="preserve">Units</t>
  </si>
  <si>
    <t xml:space="preserve">Invoiced revenue</t>
  </si>
  <si>
    <t xml:space="preserve">Pocket revenue</t>
  </si>
  <si>
    <t xml:space="preserve">Revenue at list</t>
  </si>
  <si>
    <t xml:space="preserve">Variable cost</t>
  </si>
  <si>
    <t xml:space="preserve">Commission</t>
  </si>
  <si>
    <t xml:space="preserve">Contribution</t>
  </si>
  <si>
    <t xml:space="preserve">Pocket price per unit</t>
  </si>
  <si>
    <t xml:space="preserve">Pocket % of list</t>
  </si>
  <si>
    <t xml:space="preserve">Segment and product</t>
  </si>
  <si>
    <t xml:space="preserve">Your floor for this group</t>
  </si>
  <si>
    <t xml:space="preserve">Below the floor?</t>
  </si>
  <si>
    <t xml:space="preserve">Pocket revenue at the floor</t>
  </si>
  <si>
    <t xml:space="preserve">Commission after the lift</t>
  </si>
  <si>
    <t xml:space="preserve">Gain from lifting it</t>
  </si>
  <si>
    <t xml:space="preserve">Contribution after the lift</t>
  </si>
  <si>
    <t xml:space="preserve">OEM-001</t>
  </si>
  <si>
    <t xml:space="preserve">OEM key accounts</t>
  </si>
  <si>
    <t xml:space="preserve">OEM-002</t>
  </si>
  <si>
    <t xml:space="preserve">OEM-003</t>
  </si>
  <si>
    <t xml:space="preserve">OEM-004</t>
  </si>
  <si>
    <t xml:space="preserve">OEM-005</t>
  </si>
  <si>
    <t xml:space="preserve">OEM-006</t>
  </si>
  <si>
    <t xml:space="preserve">OEM-007</t>
  </si>
  <si>
    <t xml:space="preserve">OEM-008</t>
  </si>
  <si>
    <t xml:space="preserve">OEM-009</t>
  </si>
  <si>
    <t xml:space="preserve">OEM-010</t>
  </si>
  <si>
    <t xml:space="preserve">OEM-011</t>
  </si>
  <si>
    <t xml:space="preserve">OEM-012</t>
  </si>
  <si>
    <t xml:space="preserve">DIS-013</t>
  </si>
  <si>
    <t xml:space="preserve">Distributors</t>
  </si>
  <si>
    <t xml:space="preserve">DIS-014</t>
  </si>
  <si>
    <t xml:space="preserve">DIS-015</t>
  </si>
  <si>
    <t xml:space="preserve">DIS-016</t>
  </si>
  <si>
    <t xml:space="preserve">DIS-017</t>
  </si>
  <si>
    <t xml:space="preserve">DIS-018</t>
  </si>
  <si>
    <t xml:space="preserve">DIS-019</t>
  </si>
  <si>
    <t xml:space="preserve">DIS-020</t>
  </si>
  <si>
    <t xml:space="preserve">DIS-021</t>
  </si>
  <si>
    <t xml:space="preserve">DIS-022</t>
  </si>
  <si>
    <t xml:space="preserve">DIS-023</t>
  </si>
  <si>
    <t xml:space="preserve">DIS-024</t>
  </si>
  <si>
    <t xml:space="preserve">DIS-025</t>
  </si>
  <si>
    <t xml:space="preserve">DIS-026</t>
  </si>
  <si>
    <t xml:space="preserve">DIS-027</t>
  </si>
  <si>
    <t xml:space="preserve">DIS-028</t>
  </si>
  <si>
    <t xml:space="preserve">DIS-029</t>
  </si>
  <si>
    <t xml:space="preserve">DIS-030</t>
  </si>
  <si>
    <t xml:space="preserve">DIS-031</t>
  </si>
  <si>
    <t xml:space="preserve">DIS-032</t>
  </si>
  <si>
    <t xml:space="preserve">DIS-033</t>
  </si>
  <si>
    <t xml:space="preserve">DIS-034</t>
  </si>
  <si>
    <t xml:space="preserve">DIS-035</t>
  </si>
  <si>
    <t xml:space="preserve">DIS-036</t>
  </si>
  <si>
    <t xml:space="preserve">DIS-037</t>
  </si>
  <si>
    <t xml:space="preserve">DIS-038</t>
  </si>
  <si>
    <t xml:space="preserve">DIS-039</t>
  </si>
  <si>
    <t xml:space="preserve">DIS-040</t>
  </si>
  <si>
    <t xml:space="preserve">DIR-041</t>
  </si>
  <si>
    <t xml:space="preserve">Direct industrial</t>
  </si>
  <si>
    <t xml:space="preserve">DIR-042</t>
  </si>
  <si>
    <t xml:space="preserve">DIR-043</t>
  </si>
  <si>
    <t xml:space="preserve">DIR-044</t>
  </si>
  <si>
    <t xml:space="preserve">DIR-045</t>
  </si>
  <si>
    <t xml:space="preserve">DIR-046</t>
  </si>
  <si>
    <t xml:space="preserve">DIR-047</t>
  </si>
  <si>
    <t xml:space="preserve">DIR-048</t>
  </si>
  <si>
    <t xml:space="preserve">DIR-049</t>
  </si>
  <si>
    <t xml:space="preserve">DIR-050</t>
  </si>
  <si>
    <t xml:space="preserve">DIR-051</t>
  </si>
  <si>
    <t xml:space="preserve">DIR-052</t>
  </si>
  <si>
    <t xml:space="preserve">DIR-053</t>
  </si>
  <si>
    <t xml:space="preserve">DIR-054</t>
  </si>
  <si>
    <t xml:space="preserve">DIR-055</t>
  </si>
  <si>
    <t xml:space="preserve">DIR-056</t>
  </si>
  <si>
    <t xml:space="preserve">DIR-057</t>
  </si>
  <si>
    <t xml:space="preserve">DIR-058</t>
  </si>
  <si>
    <t xml:space="preserve">DIR-059</t>
  </si>
  <si>
    <t xml:space="preserve">DIR-060</t>
  </si>
  <si>
    <t xml:space="preserve">DIR-061</t>
  </si>
  <si>
    <t xml:space="preserve">DIR-062</t>
  </si>
  <si>
    <t xml:space="preserve">DIR-063</t>
  </si>
  <si>
    <t xml:space="preserve">DIR-064</t>
  </si>
  <si>
    <t xml:space="preserve">DIR-065</t>
  </si>
  <si>
    <t xml:space="preserve">DIR-066</t>
  </si>
  <si>
    <t xml:space="preserve">DIR-067</t>
  </si>
  <si>
    <t xml:space="preserve">DIR-068</t>
  </si>
  <si>
    <t xml:space="preserve">DIR-069</t>
  </si>
  <si>
    <t xml:space="preserve">DIR-070</t>
  </si>
  <si>
    <t xml:space="preserve">DIR-071</t>
  </si>
  <si>
    <t xml:space="preserve">DIR-072</t>
  </si>
  <si>
    <t xml:space="preserve">DIR-073</t>
  </si>
  <si>
    <t xml:space="preserve">DIR-074</t>
  </si>
  <si>
    <t xml:space="preserve">DIR-075</t>
  </si>
  <si>
    <t xml:space="preserve">DIR-076</t>
  </si>
  <si>
    <t xml:space="preserve">DIR-077</t>
  </si>
  <si>
    <t xml:space="preserve">DIR-078</t>
  </si>
  <si>
    <t xml:space="preserve">DIR-079</t>
  </si>
  <si>
    <t xml:space="preserve">DIR-080</t>
  </si>
  <si>
    <t xml:space="preserve">DIR-081</t>
  </si>
  <si>
    <t xml:space="preserve">DIR-082</t>
  </si>
  <si>
    <t xml:space="preserve">DIR-083</t>
  </si>
  <si>
    <t xml:space="preserve">DIR-084</t>
  </si>
  <si>
    <t xml:space="preserve">DIR-085</t>
  </si>
  <si>
    <t xml:space="preserve">DIR-086</t>
  </si>
  <si>
    <t xml:space="preserve">DIR-087</t>
  </si>
  <si>
    <t xml:space="preserve">DIR-088</t>
  </si>
  <si>
    <t xml:space="preserve">DIR-089</t>
  </si>
  <si>
    <t xml:space="preserve">DIR-090</t>
  </si>
  <si>
    <t xml:space="preserve">DIR-091</t>
  </si>
  <si>
    <t xml:space="preserve">DIR-092</t>
  </si>
  <si>
    <t xml:space="preserve">DIR-093</t>
  </si>
  <si>
    <t xml:space="preserve">DIR-094</t>
  </si>
  <si>
    <t xml:space="preserve">DIR-095</t>
  </si>
  <si>
    <t xml:space="preserve">DIR-096</t>
  </si>
  <si>
    <t xml:space="preserve">DIR-097</t>
  </si>
  <si>
    <t xml:space="preserve">DIR-098</t>
  </si>
  <si>
    <t xml:space="preserve">DIR-099</t>
  </si>
  <si>
    <t xml:space="preserve">DIR-100</t>
  </si>
  <si>
    <t xml:space="preserve">SMA-101</t>
  </si>
  <si>
    <t xml:space="preserve">Small direct</t>
  </si>
  <si>
    <t xml:space="preserve">SMA-102</t>
  </si>
  <si>
    <t xml:space="preserve">SMA-103</t>
  </si>
  <si>
    <t xml:space="preserve">SMA-104</t>
  </si>
  <si>
    <t xml:space="preserve">SMA-105</t>
  </si>
  <si>
    <t xml:space="preserve">SMA-106</t>
  </si>
  <si>
    <t xml:space="preserve">SMA-107</t>
  </si>
  <si>
    <t xml:space="preserve">SMA-108</t>
  </si>
  <si>
    <t xml:space="preserve">SMA-109</t>
  </si>
  <si>
    <t xml:space="preserve">SMA-110</t>
  </si>
  <si>
    <t xml:space="preserve">SMA-111</t>
  </si>
  <si>
    <t xml:space="preserve">SMA-112</t>
  </si>
  <si>
    <t xml:space="preserve">SMA-113</t>
  </si>
  <si>
    <t xml:space="preserve">SMA-114</t>
  </si>
  <si>
    <t xml:space="preserve">SMA-115</t>
  </si>
  <si>
    <t xml:space="preserve">SMA-116</t>
  </si>
  <si>
    <t xml:space="preserve">SMA-117</t>
  </si>
  <si>
    <t xml:space="preserve">SMA-118</t>
  </si>
  <si>
    <t xml:space="preserve">SMA-119</t>
  </si>
  <si>
    <t xml:space="preserve">SMA-120</t>
  </si>
  <si>
    <t xml:space="preserve">SMA-121</t>
  </si>
  <si>
    <t xml:space="preserve">SMA-122</t>
  </si>
  <si>
    <t xml:space="preserve">SMA-123</t>
  </si>
  <si>
    <t xml:space="preserve">SMA-124</t>
  </si>
  <si>
    <t xml:space="preserve">SMA-125</t>
  </si>
  <si>
    <t xml:space="preserve">SMA-126</t>
  </si>
  <si>
    <t xml:space="preserve">SMA-127</t>
  </si>
  <si>
    <t xml:space="preserve">SMA-128</t>
  </si>
  <si>
    <t xml:space="preserve">SMA-129</t>
  </si>
  <si>
    <t xml:space="preserve">SMA-130</t>
  </si>
  <si>
    <t xml:space="preserve">SMA-131</t>
  </si>
  <si>
    <t xml:space="preserve">SMA-132</t>
  </si>
  <si>
    <t xml:space="preserve">SMA-133</t>
  </si>
  <si>
    <t xml:space="preserve">SMA-134</t>
  </si>
  <si>
    <t xml:space="preserve">SMA-135</t>
  </si>
  <si>
    <t xml:space="preserve">SMA-136</t>
  </si>
  <si>
    <t xml:space="preserve">SMA-137</t>
  </si>
  <si>
    <t xml:space="preserve">SMA-138</t>
  </si>
  <si>
    <t xml:space="preserve">SMA-139</t>
  </si>
  <si>
    <t xml:space="preserve">SMA-140</t>
  </si>
  <si>
    <t xml:space="preserve">SMA-141</t>
  </si>
  <si>
    <t xml:space="preserve">SMA-142</t>
  </si>
  <si>
    <t xml:space="preserve">SMA-143</t>
  </si>
  <si>
    <t xml:space="preserve">SMA-144</t>
  </si>
  <si>
    <t xml:space="preserve">SMA-145</t>
  </si>
  <si>
    <t xml:space="preserve">SMA-146</t>
  </si>
  <si>
    <t xml:space="preserve">SMA-147</t>
  </si>
  <si>
    <t xml:space="preserve">SMA-148</t>
  </si>
  <si>
    <t xml:space="preserve">SMA-149</t>
  </si>
  <si>
    <t xml:space="preserve">SMA-150</t>
  </si>
  <si>
    <t xml:space="preserve">SMA-151</t>
  </si>
  <si>
    <t xml:space="preserve">SMA-152</t>
  </si>
  <si>
    <t xml:space="preserve">SMA-153</t>
  </si>
  <si>
    <t xml:space="preserve">SMA-154</t>
  </si>
  <si>
    <t xml:space="preserve">SMA-155</t>
  </si>
  <si>
    <t xml:space="preserve">SMA-156</t>
  </si>
  <si>
    <t xml:space="preserve">SMA-157</t>
  </si>
  <si>
    <t xml:space="preserve">SMA-158</t>
  </si>
  <si>
    <t xml:space="preserve">SMA-159</t>
  </si>
  <si>
    <t xml:space="preserve">SMA-160</t>
  </si>
  <si>
    <t xml:space="preserve">SMA-161</t>
  </si>
  <si>
    <t xml:space="preserve">SMA-162</t>
  </si>
  <si>
    <t xml:space="preserve">SMA-163</t>
  </si>
  <si>
    <t xml:space="preserve">SMA-164</t>
  </si>
  <si>
    <t xml:space="preserve">SMA-165</t>
  </si>
  <si>
    <t xml:space="preserve">SMA-166</t>
  </si>
  <si>
    <t xml:space="preserve">SMA-167</t>
  </si>
  <si>
    <t xml:space="preserve">SMA-168</t>
  </si>
  <si>
    <t xml:space="preserve">SMA-169</t>
  </si>
  <si>
    <t xml:space="preserve">SMA-170</t>
  </si>
  <si>
    <t xml:space="preserve">SMA-171</t>
  </si>
  <si>
    <t xml:space="preserve">SMA-172</t>
  </si>
  <si>
    <t xml:space="preserve">SMA-173</t>
  </si>
  <si>
    <t xml:space="preserve">SMA-174</t>
  </si>
  <si>
    <t xml:space="preserve">SMA-175</t>
  </si>
  <si>
    <t xml:space="preserve">SMA-176</t>
  </si>
  <si>
    <t xml:space="preserve">SMA-177</t>
  </si>
  <si>
    <t xml:space="preserve">SMA-178</t>
  </si>
  <si>
    <t xml:space="preserve">SMA-179</t>
  </si>
  <si>
    <t xml:space="preserve">SMA-180</t>
  </si>
  <si>
    <t xml:space="preserve">Your accounts: cost to serve, and the whale curve</t>
  </si>
  <si>
    <t xml:space="preserve">Chapter 9. Orders a year is yours to change; everything else is a formula.</t>
  </si>
  <si>
    <t xml:space="preserve">Orders a year</t>
  </si>
  <si>
    <t xml:space="preserve">Cost to serve</t>
  </si>
  <si>
    <t xml:space="preserve">Account profit</t>
  </si>
  <si>
    <t xml:space="preserve">Profit % of pocket</t>
  </si>
  <si>
    <t xml:space="preserve">Rank by account profit</t>
  </si>
  <si>
    <t xml:space="preserve">Cumulative profit, in rank order</t>
  </si>
  <si>
    <t xml:space="preserve">Lines the floor would lift</t>
  </si>
  <si>
    <t xml:space="preserve">Its whole contribution if it refuses</t>
  </si>
  <si>
    <t xml:space="preserve">Exposed contribution, available accounts only</t>
  </si>
  <si>
    <t xml:space="preserve">Account profit at 0.5x</t>
  </si>
  <si>
    <t xml:space="preserve">Rank</t>
  </si>
  <si>
    <t xml:space="preserve">Cumulative</t>
  </si>
  <si>
    <t xml:space="preserve">Account profit at 1x</t>
  </si>
  <si>
    <t xml:space="preserve">Account profit at 1.25x</t>
  </si>
  <si>
    <t xml:space="preserve">Account profit at 1.5x</t>
  </si>
  <si>
    <t xml:space="preserve">Account profit at 2x</t>
  </si>
  <si>
    <t xml:space="preserve">Account profit at 2.5x</t>
  </si>
  <si>
    <t xml:space="preserve">Account profit at 3x</t>
  </si>
  <si>
    <t xml:space="preserve">Your margin, two ways</t>
  </si>
  <si>
    <t xml:space="preserve">Left: your nine rates applied top down. Right: your account list added up. They differ by the cents of per-line rounding, and the book prints both.</t>
  </si>
  <si>
    <t xml:space="preserve">Line</t>
  </si>
  <si>
    <t xml:space="preserve">Top down, from your nine rates</t>
  </si>
  <si>
    <t xml:space="preserve">Bottom up, from your lines</t>
  </si>
  <si>
    <t xml:space="preserve">Variance</t>
  </si>
  <si>
    <t xml:space="preserve">% of list</t>
  </si>
  <si>
    <t xml:space="preserve">top down: list less the two on-invoice deductions</t>
  </si>
  <si>
    <t xml:space="preserve">your invoiced revenue</t>
  </si>
  <si>
    <t xml:space="preserve">what actually reaches the bank</t>
  </si>
  <si>
    <t xml:space="preserve">Variable cost of goods</t>
  </si>
  <si>
    <t xml:space="preserve">Sales commission</t>
  </si>
  <si>
    <t xml:space="preserve">top down: on the total. Bottom up: the sum of the amounts you posted</t>
  </si>
  <si>
    <t xml:space="preserve">Your fixed costs</t>
  </si>
  <si>
    <t xml:space="preserve">OPERATING PROFIT</t>
  </si>
  <si>
    <t xml:space="preserve">The answer this workbook carries forward</t>
  </si>
  <si>
    <t xml:space="preserve">Your pocket revenue</t>
  </si>
  <si>
    <t xml:space="preserve">Your invoiced revenue</t>
  </si>
  <si>
    <t xml:space="preserve">Your revenue at list</t>
  </si>
  <si>
    <t xml:space="preserve">Your variable cost</t>
  </si>
  <si>
    <t xml:space="preserve">Your commission</t>
  </si>
  <si>
    <t xml:space="preserve">Your contribution</t>
  </si>
  <si>
    <t xml:space="preserve">Your operating profit</t>
  </si>
  <si>
    <t xml:space="preserve">YOUR POCKET CONTRIBUTION MARGIN</t>
  </si>
  <si>
    <t xml:space="preserve">Your pocket revenue as a share of list</t>
  </si>
  <si>
    <t xml:space="preserve">Points of list you give away</t>
  </si>
  <si>
    <t xml:space="preserve">What a point of price is worth to you</t>
  </si>
  <si>
    <t xml:space="preserve">Chapters 2, 3 and 16, applied to your own book.</t>
  </si>
  <si>
    <t xml:space="preserve">Your pocket margin</t>
  </si>
  <si>
    <t xml:space="preserve">One per cent of price, one per cent of volume</t>
  </si>
  <si>
    <t xml:space="preserve">The step tested</t>
  </si>
  <si>
    <t xml:space="preserve">A one per cent rise in every pocket price is worth</t>
  </si>
  <si>
    <t xml:space="preserve">A one per cent rise in volume is worth</t>
  </si>
  <si>
    <t xml:space="preserve">ONE POINT OF PRICE, IN POINTS OF VOLUME</t>
  </si>
  <si>
    <t xml:space="preserve">One over your pocket margin, for comparison</t>
  </si>
  <si>
    <t xml:space="preserve">The price lever, as a share of your operating profit</t>
  </si>
  <si>
    <t xml:space="preserve">The break-even volume of a price change</t>
  </si>
  <si>
    <t xml:space="preserve">The price change tested</t>
  </si>
  <si>
    <t xml:space="preserve">A CUT of that size needs volume up by</t>
  </si>
  <si>
    <t xml:space="preserve">A RISE of that size can lose volume of</t>
  </si>
  <si>
    <t xml:space="preserve">The same, by margin: the table of Chapter 16</t>
  </si>
  <si>
    <t xml:space="preserve">Pocket margin</t>
  </si>
  <si>
    <t xml:space="preserve">One point of price, in points of volume</t>
  </si>
  <si>
    <t xml:space="preserve">A 5 per cent cut needs</t>
  </si>
  <si>
    <t xml:space="preserve">A 5 per cent rise can lose</t>
  </si>
  <si>
    <t xml:space="preserve">The band, and the floor under each segment and product</t>
  </si>
  <si>
    <t xml:space="preserve">Chapter 15. Lift every line whose pocket price sits below the chosen percentile of its own segment and product, up to that percentile. Nothing above the floor moves.</t>
  </si>
  <si>
    <t xml:space="preserve">BEFORE YOU USE THIS SHEET</t>
  </si>
  <si>
    <t xml:space="preserve">A floor set by percentile charges some of your customers more than others on the basis of</t>
  </si>
  <si>
    <t xml:space="preserve">where they happen to sit in a distribution of your own prices. That is not a cost</t>
  </si>
  <si>
    <t xml:space="preserve">justification and it is not a meeting-competition defense. Where the customers being</t>
  </si>
  <si>
    <t xml:space="preserve">treated differently compete with one another, which for most sellers is the distributor</t>
  </si>
  <si>
    <t xml:space="preserve">or reseller channel, several jurisdictions look at it closely, and this workbook addresses</t>
  </si>
  <si>
    <t xml:space="preserve">none of that. What comes out of the sheet below is an analysis. It becomes a price list</t>
  </si>
  <si>
    <t xml:space="preserve">only after someone qualified has looked at it.</t>
  </si>
  <si>
    <t xml:space="preserve">The percentile you chose, on Your Inputs</t>
  </si>
  <si>
    <t xml:space="preserve">Your band, and your floor, group by group</t>
  </si>
  <si>
    <t xml:space="preserve">Lines</t>
  </si>
  <si>
    <t xml:space="preserve">Minimum</t>
  </si>
  <si>
    <t xml:space="preserve">25th</t>
  </si>
  <si>
    <t xml:space="preserve">Median</t>
  </si>
  <si>
    <t xml:space="preserve">75th</t>
  </si>
  <si>
    <t xml:space="preserve">Maximum</t>
  </si>
  <si>
    <t xml:space="preserve">Your floor</t>
  </si>
  <si>
    <t xml:space="preserve">Lines below it</t>
  </si>
  <si>
    <t xml:space="preserve">Units below it</t>
  </si>
  <si>
    <t xml:space="preserve">Pocket revenue below it</t>
  </si>
  <si>
    <t xml:space="preserve">Gain from lifting them</t>
  </si>
  <si>
    <t xml:space="preserve">Gain, unrounded</t>
  </si>
  <si>
    <t xml:space="preserve">Contribution after the lift, unrounded</t>
  </si>
  <si>
    <t xml:space="preserve">Gross lift, unrounded</t>
  </si>
  <si>
    <t xml:space="preserve">Lines below the 10th</t>
  </si>
  <si>
    <t xml:space="preserve">Gain at the 10th</t>
  </si>
  <si>
    <t xml:space="preserve">Contribution after, at the 10th</t>
  </si>
  <si>
    <t xml:space="preserve">Lines below the 25th</t>
  </si>
  <si>
    <t xml:space="preserve">Gain at the 25th</t>
  </si>
  <si>
    <t xml:space="preserve">Contribution after, at the 25th</t>
  </si>
  <si>
    <t xml:space="preserve">Lines below the 40th</t>
  </si>
  <si>
    <t xml:space="preserve">Gain at the 40th</t>
  </si>
  <si>
    <t xml:space="preserve">Contribution after, at the 40th</t>
  </si>
  <si>
    <t xml:space="preserve">Lines below the 50th</t>
  </si>
  <si>
    <t xml:space="preserve">Gain at the 50th</t>
  </si>
  <si>
    <t xml:space="preserve">Contribution after, at the 50th</t>
  </si>
  <si>
    <t xml:space="preserve">On contract?</t>
  </si>
  <si>
    <t xml:space="preserve">What the floor is worth, across the whole book</t>
  </si>
  <si>
    <t xml:space="preserve">Lines lifted</t>
  </si>
  <si>
    <t xml:space="preserve">Units on those lines</t>
  </si>
  <si>
    <t xml:space="preserve">Their pocket revenue today</t>
  </si>
  <si>
    <t xml:space="preserve">THE GAIN AT UNCHANGED VOLUME</t>
  </si>
  <si>
    <t xml:space="preserve">As a share of your operating profit</t>
  </si>
  <si>
    <t xml:space="preserve">Contribution of the lifted lines after the lift</t>
  </si>
  <si>
    <t xml:space="preserve">THE VOLUME THOSE LINES COULD LOSE BEFORE THE GAIN IS GONE</t>
  </si>
  <si>
    <t xml:space="preserve">The gross lift over all the lines, for comparison only</t>
  </si>
  <si>
    <t xml:space="preserve">DO NOT lead with that number. Chapter 15 is explicit: a tolerance is the answer everyone</t>
  </si>
  <si>
    <t xml:space="preserve">reaches for and it is the wrong answer, because volume does not leave in tenths. An account</t>
  </si>
  <si>
    <t xml:space="preserve">that refuses re-tenders every line it has, including the lines nobody touched. Read the</t>
  </si>
  <si>
    <t xml:space="preserve">lumpy-risk block below, and lead with the largest exposed account instead.</t>
  </si>
  <si>
    <t xml:space="preserve">Where the gain sits, and how much of it can be moved this year</t>
  </si>
  <si>
    <t xml:space="preserve">A line on a written contract at a fixed price cannot be renegotiated before the contract</t>
  </si>
  <si>
    <t xml:space="preserve">reopens. Mark those segments below and the sheet separates what is available from what is not.</t>
  </si>
  <si>
    <t xml:space="preserve">Gain</t>
  </si>
  <si>
    <t xml:space="preserve">Share of the gain</t>
  </si>
  <si>
    <t xml:space="preserve">yes</t>
  </si>
  <si>
    <t xml:space="preserve">no</t>
  </si>
  <si>
    <t xml:space="preserve">Locked by contract, not available this year</t>
  </si>
  <si>
    <t xml:space="preserve">AVAILABLE THIS YEAR</t>
  </si>
  <si>
    <t xml:space="preserve">The risk, on the lines that are actually available</t>
  </si>
  <si>
    <t xml:space="preserve">Every figure below excludes the contracted lines. A conversation that cannot be had this</t>
  </si>
  <si>
    <t xml:space="preserve">year cannot cost anything this year either, so counting those lines flatters the risk.</t>
  </si>
  <si>
    <t xml:space="preserve">Lines available</t>
  </si>
  <si>
    <t xml:space="preserve">Their contribution after the lift</t>
  </si>
  <si>
    <t xml:space="preserve">THE VOLUME THEY COULD LOSE BEFORE THE AVAILABLE GAIN IS GONE</t>
  </si>
  <si>
    <t xml:space="preserve">THE GROSS LIFT: what those customers are asked to pay, in money</t>
  </si>
  <si>
    <t xml:space="preserve">The gross lift, as a share of their pocket revenue</t>
  </si>
  <si>
    <t xml:space="preserve">the customer responds to this, not to what the seller keeps</t>
  </si>
  <si>
    <t xml:space="preserve">The net lift, after the commission the lift itself creates</t>
  </si>
  <si>
    <t xml:space="preserve">THE CROSSING ELASTICITY: the tolerance divided by the GROSS lift</t>
  </si>
  <si>
    <t xml:space="preserve">at an elasticity weaker than this the floor holds; stronger, it breaks</t>
  </si>
  <si>
    <t xml:space="preserve">The same computed on the NET lift, which would be a mistake</t>
  </si>
  <si>
    <t xml:space="preserve">it flatters the conclusion by the width of a commission rate</t>
  </si>
  <si>
    <t xml:space="preserve">And on ALL the lines, contracted ones included, which flatters it again</t>
  </si>
  <si>
    <t xml:space="preserve">The elasticity goes against the GROSS figure, because that is the price the customer is</t>
  </si>
  <si>
    <t xml:space="preserve">asked to pay, and against the AVAILABLE lines, because those are the only ones being asked.</t>
  </si>
  <si>
    <t xml:space="preserve">Why the risk is lumpy rather than continuous</t>
  </si>
  <si>
    <t xml:space="preserve">An account that refuses does not shed a tenth of its volume; it re-tenders and takes every</t>
  </si>
  <si>
    <t xml:space="preserve">line it has. These figures are live over YOUR account list, not just over Ravensworth's.</t>
  </si>
  <si>
    <t xml:space="preserve">Accounts the floor touches</t>
  </si>
  <si>
    <t xml:space="preserve">Of those, accounts that can be approached this year</t>
  </si>
  <si>
    <t xml:space="preserve">Their whole contribution, if every one of them refuses</t>
  </si>
  <si>
    <t xml:space="preserve">The largest of them</t>
  </si>
  <si>
    <t xml:space="preserve">Its contribution alone</t>
  </si>
  <si>
    <t xml:space="preserve">Which is this many times the AVAILABLE gain</t>
  </si>
  <si>
    <t xml:space="preserve">The three largest together</t>
  </si>
  <si>
    <t xml:space="preserve">The three largest as a share of the available gain</t>
  </si>
  <si>
    <t xml:space="preserve">Is the risk concentrated rather than continuous?</t>
  </si>
  <si>
    <t xml:space="preserve">one account carrying more than a quarter of the gain is not a tolerance problem</t>
  </si>
  <si>
    <t xml:space="preserve">The accounts below the percentile are not a random sample. They are selected for being the</t>
  </si>
  <si>
    <t xml:space="preserve">ones where a competitor is already priced in and the buyer is professional, which makes them</t>
  </si>
  <si>
    <t xml:space="preserve">the least likely to accept and not the most.</t>
  </si>
  <si>
    <t xml:space="preserve">They may also compete with one another. A list of named competing customers with a</t>
  </si>
  <si>
    <t xml:space="preserve">different price to demand from each, justified by a quartile of your own book, is the</t>
  </si>
  <si>
    <t xml:space="preserve">document that gets read back to you later. Take it to counsel before you send it.</t>
  </si>
  <si>
    <t xml:space="preserve">The lines the floor would move, the ten largest gains</t>
  </si>
  <si>
    <t xml:space="preserve">Pocket revenue today</t>
  </si>
  <si>
    <t xml:space="preserve">Which input actually moves the answer</t>
  </si>
  <si>
    <t xml:space="preserve">Chapter 16. Change an assumption and see how far the answer travels.</t>
  </si>
  <si>
    <t xml:space="preserve">The whale curve, as it stands</t>
  </si>
  <si>
    <t xml:space="preserve">Accounts</t>
  </si>
  <si>
    <t xml:space="preserve">Cost to serve, in total</t>
  </si>
  <si>
    <t xml:space="preserve">Account profit, in total</t>
  </si>
  <si>
    <t xml:space="preserve">The top fifth of accounts</t>
  </si>
  <si>
    <t xml:space="preserve">What they earn</t>
  </si>
  <si>
    <t xml:space="preserve">As a share of the total</t>
  </si>
  <si>
    <t xml:space="preserve">The peak of the curve</t>
  </si>
  <si>
    <t xml:space="preserve">Reached at account number</t>
  </si>
  <si>
    <t xml:space="preserve">The peak as a share of the total</t>
  </si>
  <si>
    <t xml:space="preserve">Accounts that lose money after cost to serve</t>
  </si>
  <si>
    <t xml:space="preserve">Together they lose</t>
  </si>
  <si>
    <t xml:space="preserve">On pocket revenue of</t>
  </si>
  <si>
    <t xml:space="preserve">The smallest accounts are not where the money is lost: they pay close to list.</t>
  </si>
  <si>
    <t xml:space="preserve">Account profit by segment</t>
  </si>
  <si>
    <t xml:space="preserve">Cost to serve, stressed from half the declared rates to three times them</t>
  </si>
  <si>
    <t xml:space="preserve">The two declared rates carve part of the fixed base out; the part that plausibly varies with</t>
  </si>
  <si>
    <t xml:space="preserve">accounts and orders rather than with the plant is warehouse and distribution plus selling.</t>
  </si>
  <si>
    <t xml:space="preserve">The range has to run PAST the point where the answer changes, or the table proves nothing.</t>
  </si>
  <si>
    <t xml:space="preserve">Multiple</t>
  </si>
  <si>
    <t xml:space="preserve">Per order</t>
  </si>
  <si>
    <t xml:space="preserve">Per account</t>
  </si>
  <si>
    <t xml:space="preserve">Cost to serve carved out</t>
  </si>
  <si>
    <t xml:space="preserve">Loss-making accounts</t>
  </si>
  <si>
    <t xml:space="preserve">Their loss</t>
  </si>
  <si>
    <t xml:space="preserve">Peak of the curve</t>
  </si>
  <si>
    <t xml:space="preserve">Peak, % of total</t>
  </si>
  <si>
    <t xml:space="preserve">Account profit, total</t>
  </si>
  <si>
    <t xml:space="preserve">Small direct, profit % of pocket</t>
  </si>
  <si>
    <t xml:space="preserve">OEM, profit % of pocket</t>
  </si>
  <si>
    <t xml:space="preserve">Distributors, profit % of pocket</t>
  </si>
  <si>
    <t xml:space="preserve">Direct industrial, profit % of pocket</t>
  </si>
  <si>
    <t xml:space="preserve">Small direct still ahead?</t>
  </si>
  <si>
    <t xml:space="preserve">THE FIRST MULTIPLE IN THIS TABLE AT WHICH THE RANKING INVERTS</t>
  </si>
  <si>
    <t xml:space="preserve">a row of a table is where the answer is first SEEN to change, never where it changed</t>
  </si>
  <si>
    <t xml:space="preserve">Below that multiple the small direct accounts return more on their pocket revenue</t>
  </si>
  <si>
    <t xml:space="preserve">The cumulative curve peaks between</t>
  </si>
  <si>
    <t xml:space="preserve">and</t>
  </si>
  <si>
    <t xml:space="preserve">so there is no whale at any multiple tested</t>
  </si>
  <si>
    <t xml:space="preserve">What the declared rates recover of the fixed base that could vary with accounts</t>
  </si>
  <si>
    <t xml:space="preserve">Warehouse and distribution plus selling, the attributable fixed base</t>
  </si>
  <si>
    <t xml:space="preserve">The declared rates recover this share of it</t>
  </si>
  <si>
    <t xml:space="preserve">That is a choice, and the table above runs past the point where the choice changes the answer.</t>
  </si>
  <si>
    <t xml:space="preserve">The no-whale finding survives the whole range. The cross-subsidy finding does not: it holds at</t>
  </si>
  <si>
    <t xml:space="preserve">the declared rates and reverses a little over one and one-sixth of them. The crossing itself is</t>
  </si>
  <si>
    <t xml:space="preserve">solved for below by bisection, because the first row of a table that shows a change is not the</t>
  </si>
  <si>
    <t xml:space="preserve">point at which the change happens, and quoting the row overstates how safe the finding is.</t>
  </si>
  <si>
    <t xml:space="preserve">Solve: the multiple at which the ranking actually inverts</t>
  </si>
  <si>
    <t xml:space="preserve">No circular reference and no iterative calculation. The loop is unrolled across the columns,</t>
  </si>
  <si>
    <t xml:space="preserve">one pass per column, the bracket carried forward. The function is the small direct segment's</t>
  </si>
  <si>
    <t xml:space="preserve">account profit as a share of its pocket revenue, less the same for the OEM segment, at a</t>
  </si>
  <si>
    <t xml:space="preserve">multiple applied to both declared rates at once.</t>
  </si>
  <si>
    <t xml:space="preserve">Low end of the bracket</t>
  </si>
  <si>
    <t xml:space="preserve">High end of the bracket</t>
  </si>
  <si>
    <t xml:space="preserve">Convergence tolerance, in multiples</t>
  </si>
  <si>
    <t xml:space="preserve">Pass</t>
  </si>
  <si>
    <t xml:space="preserve">Low</t>
  </si>
  <si>
    <t xml:space="preserve">High</t>
  </si>
  <si>
    <t xml:space="preserve">Midpoint multiple</t>
  </si>
  <si>
    <t xml:space="preserve">Small direct return less OEM return, at the midpoint</t>
  </si>
  <si>
    <t xml:space="preserve">THE CROSSING, BY BISECTION</t>
  </si>
  <si>
    <t xml:space="preserve">this, and not the first row of the table above, is where the ranking inverts</t>
  </si>
  <si>
    <t xml:space="preserve">Converged?</t>
  </si>
  <si>
    <t xml:space="preserve">Cost per order at the crossing</t>
  </si>
  <si>
    <t xml:space="preserve">Cost per account at the crossing</t>
  </si>
  <si>
    <t xml:space="preserve">What those rates carve out of the fixed base</t>
  </si>
  <si>
    <t xml:space="preserve">summed unrounded and rounded once, as the model does</t>
  </si>
  <si>
    <t xml:space="preserve">As a share of the attributable fixed base</t>
  </si>
  <si>
    <t xml:space="preserve">The conclusion of Chapter 9 survives an error of that size in two asserted numbers, and no more.</t>
  </si>
  <si>
    <t xml:space="preserve">The floor, at other percentiles</t>
  </si>
  <si>
    <t xml:space="preserve">Floor at percentile</t>
  </si>
  <si>
    <t xml:space="preserve">% of operating profit</t>
  </si>
  <si>
    <t xml:space="preserve">Volume the lifted lines could lose</t>
  </si>
  <si>
    <t xml:space="preserve">The worked example, against the figures the book prints. Overwrite the blue cells with your own book and these will move: they are here to prove the machine, not to constrain you.</t>
  </si>
  <si>
    <t xml:space="preserve">Figure</t>
  </si>
  <si>
    <t xml:space="preserve">As published in the book</t>
  </si>
  <si>
    <t xml:space="preserve">Live in this workbook</t>
  </si>
  <si>
    <t xml:space="preserve">Status</t>
  </si>
  <si>
    <t xml:space="preserve">Where the book prints it</t>
  </si>
  <si>
    <t xml:space="preserve">Chapter 1</t>
  </si>
  <si>
    <t xml:space="preserve">Operating profit</t>
  </si>
  <si>
    <t xml:space="preserve">Pocket contribution margin</t>
  </si>
  <si>
    <t xml:space="preserve">Pocket revenue, share of list</t>
  </si>
  <si>
    <t xml:space="preserve">Top-down waterfall: invoiced revenue</t>
  </si>
  <si>
    <t xml:space="preserve">Top-down waterfall: pocket revenue</t>
  </si>
  <si>
    <t xml:space="preserve">Chapter 2</t>
  </si>
  <si>
    <t xml:space="preserve">One over the pocket margin</t>
  </si>
  <si>
    <t xml:space="preserve">The price lever, one per cent</t>
  </si>
  <si>
    <t xml:space="preserve">The volume lever, one per cent</t>
  </si>
  <si>
    <t xml:space="preserve">A 5 per cent cut needs volume up</t>
  </si>
  <si>
    <t xml:space="preserve">Chapter 3</t>
  </si>
  <si>
    <t xml:space="preserve">A 5 per cent rise can lose volume</t>
  </si>
  <si>
    <t xml:space="preserve">At 20.0 per cent margin, a point of price is worth</t>
  </si>
  <si>
    <t xml:space="preserve">Chapter 16</t>
  </si>
  <si>
    <t xml:space="preserve">At 25.0 per cent margin, a point of price is worth</t>
  </si>
  <si>
    <t xml:space="preserve">At 30.0 per cent margin, a point of price is worth</t>
  </si>
  <si>
    <t xml:space="preserve">At 35.0 per cent margin, a point of price is worth</t>
  </si>
  <si>
    <t xml:space="preserve">At 40.0 per cent margin, a point of price is worth</t>
  </si>
  <si>
    <t xml:space="preserve">At 50.0 per cent margin, a point of price is worth</t>
  </si>
  <si>
    <t xml:space="preserve">Chapter 9</t>
  </si>
  <si>
    <t xml:space="preserve">What the top fifth earn</t>
  </si>
  <si>
    <t xml:space="preserve">The top fifth, as a share of the total</t>
  </si>
  <si>
    <t xml:space="preserve">The peak of the whale curve</t>
  </si>
  <si>
    <t xml:space="preserve">The account number at which it peaks</t>
  </si>
  <si>
    <t xml:space="preserve">The peak, as a share of the total</t>
  </si>
  <si>
    <t xml:space="preserve">OEM key accounts: accounts</t>
  </si>
  <si>
    <t xml:space="preserve">OEM key accounts: pocket revenue</t>
  </si>
  <si>
    <t xml:space="preserve">OEM key accounts: contribution</t>
  </si>
  <si>
    <t xml:space="preserve">OEM key accounts: cost to serve</t>
  </si>
  <si>
    <t xml:space="preserve">OEM key accounts: account profit</t>
  </si>
  <si>
    <t xml:space="preserve">OEM key accounts: profit % of pocket</t>
  </si>
  <si>
    <t xml:space="preserve">Distributors: accounts</t>
  </si>
  <si>
    <t xml:space="preserve">Distributors: pocket revenue</t>
  </si>
  <si>
    <t xml:space="preserve">Distributors: contribution</t>
  </si>
  <si>
    <t xml:space="preserve">Distributors: cost to serve</t>
  </si>
  <si>
    <t xml:space="preserve">Distributors: account profit</t>
  </si>
  <si>
    <t xml:space="preserve">Distributors: profit % of pocket</t>
  </si>
  <si>
    <t xml:space="preserve">Direct industrial: accounts</t>
  </si>
  <si>
    <t xml:space="preserve">Direct industrial: pocket revenue</t>
  </si>
  <si>
    <t xml:space="preserve">Direct industrial: contribution</t>
  </si>
  <si>
    <t xml:space="preserve">Direct industrial: cost to serve</t>
  </si>
  <si>
    <t xml:space="preserve">Direct industrial: account profit</t>
  </si>
  <si>
    <t xml:space="preserve">Direct industrial: profit % of pocket</t>
  </si>
  <si>
    <t xml:space="preserve">Small direct: accounts</t>
  </si>
  <si>
    <t xml:space="preserve">Small direct: pocket revenue</t>
  </si>
  <si>
    <t xml:space="preserve">Small direct: contribution</t>
  </si>
  <si>
    <t xml:space="preserve">Small direct: cost to serve</t>
  </si>
  <si>
    <t xml:space="preserve">Small direct: account profit</t>
  </si>
  <si>
    <t xml:space="preserve">Small direct: profit % of pocket</t>
  </si>
  <si>
    <t xml:space="preserve">OEM key accounts, STRUCT: the 25th-percentile floor</t>
  </si>
  <si>
    <t xml:space="preserve">Chapter 15</t>
  </si>
  <si>
    <t xml:space="preserve">OEM key accounts, STRUCT: lines in the group</t>
  </si>
  <si>
    <t xml:space="preserve">OEM key accounts, STRUCT: lines below the floor</t>
  </si>
  <si>
    <t xml:space="preserve">OEM key accounts, STRUCT: the gain</t>
  </si>
  <si>
    <t xml:space="preserve">OEM key accounts, SEAL: the 25th-percentile floor</t>
  </si>
  <si>
    <t xml:space="preserve">OEM key accounts, SEAL: lines in the group</t>
  </si>
  <si>
    <t xml:space="preserve">OEM key accounts, SEAL: lines below the floor</t>
  </si>
  <si>
    <t xml:space="preserve">OEM key accounts, SEAL: the gain</t>
  </si>
  <si>
    <t xml:space="preserve">OEM key accounts, COAT: the 25th-percentile floor</t>
  </si>
  <si>
    <t xml:space="preserve">OEM key accounts, COAT: lines in the group</t>
  </si>
  <si>
    <t xml:space="preserve">OEM key accounts, COAT: lines below the floor</t>
  </si>
  <si>
    <t xml:space="preserve">OEM key accounts, COAT: the gain</t>
  </si>
  <si>
    <t xml:space="preserve">Distributors, STRUCT: the 25th-percentile floor</t>
  </si>
  <si>
    <t xml:space="preserve">Distributors, STRUCT: lines in the group</t>
  </si>
  <si>
    <t xml:space="preserve">Distributors, STRUCT: lines below the floor</t>
  </si>
  <si>
    <t xml:space="preserve">Distributors, STRUCT: the gain</t>
  </si>
  <si>
    <t xml:space="preserve">Distributors, SEAL: the 25th-percentile floor</t>
  </si>
  <si>
    <t xml:space="preserve">Distributors, SEAL: lines in the group</t>
  </si>
  <si>
    <t xml:space="preserve">Distributors, SEAL: lines below the floor</t>
  </si>
  <si>
    <t xml:space="preserve">Distributors, SEAL: the gain</t>
  </si>
  <si>
    <t xml:space="preserve">Distributors, COAT: the 25th-percentile floor</t>
  </si>
  <si>
    <t xml:space="preserve">Distributors, COAT: lines in the group</t>
  </si>
  <si>
    <t xml:space="preserve">Distributors, COAT: lines below the floor</t>
  </si>
  <si>
    <t xml:space="preserve">Distributors, COAT: the gain</t>
  </si>
  <si>
    <t xml:space="preserve">Direct industrial, STRUCT: the 25th-percentile floor</t>
  </si>
  <si>
    <t xml:space="preserve">Direct industrial, STRUCT: lines in the group</t>
  </si>
  <si>
    <t xml:space="preserve">Direct industrial, STRUCT: lines below the floor</t>
  </si>
  <si>
    <t xml:space="preserve">Direct industrial, STRUCT: the gain</t>
  </si>
  <si>
    <t xml:space="preserve">Direct industrial, SEAL: the 25th-percentile floor</t>
  </si>
  <si>
    <t xml:space="preserve">Direct industrial, SEAL: lines in the group</t>
  </si>
  <si>
    <t xml:space="preserve">Direct industrial, SEAL: lines below the floor</t>
  </si>
  <si>
    <t xml:space="preserve">Direct industrial, SEAL: the gain</t>
  </si>
  <si>
    <t xml:space="preserve">Direct industrial, COAT: the 25th-percentile floor</t>
  </si>
  <si>
    <t xml:space="preserve">Direct industrial, COAT: lines in the group</t>
  </si>
  <si>
    <t xml:space="preserve">Direct industrial, COAT: lines below the floor</t>
  </si>
  <si>
    <t xml:space="preserve">Direct industrial, COAT: the gain</t>
  </si>
  <si>
    <t xml:space="preserve">Small direct, STRUCT: the 25th-percentile floor</t>
  </si>
  <si>
    <t xml:space="preserve">Small direct, STRUCT: lines in the group</t>
  </si>
  <si>
    <t xml:space="preserve">Small direct, STRUCT: lines below the floor</t>
  </si>
  <si>
    <t xml:space="preserve">Small direct, STRUCT: the gain</t>
  </si>
  <si>
    <t xml:space="preserve">Small direct, SEAL: the 25th-percentile floor</t>
  </si>
  <si>
    <t xml:space="preserve">Small direct, SEAL: lines in the group</t>
  </si>
  <si>
    <t xml:space="preserve">Small direct, SEAL: lines below the floor</t>
  </si>
  <si>
    <t xml:space="preserve">Small direct, SEAL: the gain</t>
  </si>
  <si>
    <t xml:space="preserve">Small direct, COAT: the 25th-percentile floor</t>
  </si>
  <si>
    <t xml:space="preserve">Small direct, COAT: lines in the group</t>
  </si>
  <si>
    <t xml:space="preserve">Small direct, COAT: lines below the floor</t>
  </si>
  <si>
    <t xml:space="preserve">Small direct, COAT: the gain</t>
  </si>
  <si>
    <t xml:space="preserve">Lines lifted by the floor</t>
  </si>
  <si>
    <t xml:space="preserve">THE GAIN AT UNCHANGED VOLUME, net of the commission the lift creates</t>
  </si>
  <si>
    <t xml:space="preserve">The gain, as a share of operating profit</t>
  </si>
  <si>
    <t xml:space="preserve">The volume those lines could lose</t>
  </si>
  <si>
    <t xml:space="preserve">The gross lift over all the lines, for comparison</t>
  </si>
  <si>
    <t xml:space="preserve">Floor gain locked by contract</t>
  </si>
  <si>
    <t xml:space="preserve">Floor gain available this year</t>
  </si>
  <si>
    <t xml:space="preserve">The gross lift on the available lines, in money</t>
  </si>
  <si>
    <t xml:space="preserve">Lines available this year</t>
  </si>
  <si>
    <t xml:space="preserve">Volume tolerance on the available lines</t>
  </si>
  <si>
    <t xml:space="preserve">Gross lift on the available lines</t>
  </si>
  <si>
    <t xml:space="preserve">The crossing elasticity, available lines, gross lift</t>
  </si>
  <si>
    <t xml:space="preserve">The same on the net lift, which the book calls a mistake</t>
  </si>
  <si>
    <t xml:space="preserve">And on all the lines, which flatters it again</t>
  </si>
  <si>
    <t xml:space="preserve">Of those, accounts approachable this year</t>
  </si>
  <si>
    <t xml:space="preserve">Their whole contribution if every one refuses</t>
  </si>
  <si>
    <t xml:space="preserve">Which is this many times the available gain</t>
  </si>
  <si>
    <t xml:space="preserve">The risk is concentrated rather than continuous</t>
  </si>
  <si>
    <t xml:space="preserve">YES: THE RISK IS CONCENTRATED</t>
  </si>
  <si>
    <t xml:space="preserve">Floor at the 10th: lines lifted</t>
  </si>
  <si>
    <t xml:space="preserve">Chapter 15, 16</t>
  </si>
  <si>
    <t xml:space="preserve">Floor at the 10th: the gain</t>
  </si>
  <si>
    <t xml:space="preserve">Floor at the 10th: share of operating profit</t>
  </si>
  <si>
    <t xml:space="preserve">Floor at the 10th: volume tolerance</t>
  </si>
  <si>
    <t xml:space="preserve">Floor at the 25th: lines lifted</t>
  </si>
  <si>
    <t xml:space="preserve">Floor at the 25th: the gain</t>
  </si>
  <si>
    <t xml:space="preserve">Floor at the 25th: share of operating profit</t>
  </si>
  <si>
    <t xml:space="preserve">Floor at the 25th: volume tolerance</t>
  </si>
  <si>
    <t xml:space="preserve">Floor at the 40th: lines lifted</t>
  </si>
  <si>
    <t xml:space="preserve">Floor at the 40th: the gain</t>
  </si>
  <si>
    <t xml:space="preserve">Floor at the 40th: share of operating profit</t>
  </si>
  <si>
    <t xml:space="preserve">Floor at the 40th: volume tolerance</t>
  </si>
  <si>
    <t xml:space="preserve">Floor at the 50th: lines lifted</t>
  </si>
  <si>
    <t xml:space="preserve">Floor at the 50th: the gain</t>
  </si>
  <si>
    <t xml:space="preserve">Floor at the 50th: share of operating profit</t>
  </si>
  <si>
    <t xml:space="preserve">Floor at the 50th: volume tolerance</t>
  </si>
  <si>
    <t xml:space="preserve">Cost to serve 0.5x: per order</t>
  </si>
  <si>
    <t xml:space="preserve">Cost to serve 0.5x: per account</t>
  </si>
  <si>
    <t xml:space="preserve">Cost to serve 0.5x: carved out</t>
  </si>
  <si>
    <t xml:space="preserve">Cost to serve 0.5x: loss-making accounts</t>
  </si>
  <si>
    <t xml:space="preserve">Cost to serve 0.5x: their loss</t>
  </si>
  <si>
    <t xml:space="preserve">Cost to serve 0.5x: peak of the curve, % of total</t>
  </si>
  <si>
    <t xml:space="preserve">Cost to serve 0.5x: Small direct, profit % of pocket</t>
  </si>
  <si>
    <t xml:space="preserve">Cost to serve 0.5x: OEM key accounts, profit % of pocket</t>
  </si>
  <si>
    <t xml:space="preserve">Cost to serve 0.5x: Distributors, profit % of pocket</t>
  </si>
  <si>
    <t xml:space="preserve">Cost to serve 0.5x: Direct industrial, profit % of pocket</t>
  </si>
  <si>
    <t xml:space="preserve">Cost to serve 0.5x: small direct still ahead?</t>
  </si>
  <si>
    <t xml:space="preserve">Cost to serve 1x: per order</t>
  </si>
  <si>
    <t xml:space="preserve">Cost to serve 1x: per account</t>
  </si>
  <si>
    <t xml:space="preserve">Cost to serve 1x: carved out</t>
  </si>
  <si>
    <t xml:space="preserve">Cost to serve 1x: loss-making accounts</t>
  </si>
  <si>
    <t xml:space="preserve">Cost to serve 1x: their loss</t>
  </si>
  <si>
    <t xml:space="preserve">Cost to serve 1x: peak of the curve, % of total</t>
  </si>
  <si>
    <t xml:space="preserve">Cost to serve 1x: Small direct, profit % of pocket</t>
  </si>
  <si>
    <t xml:space="preserve">Cost to serve 1x: OEM key accounts, profit % of pocket</t>
  </si>
  <si>
    <t xml:space="preserve">Cost to serve 1x: Distributors, profit % of pocket</t>
  </si>
  <si>
    <t xml:space="preserve">Cost to serve 1x: Direct industrial, profit % of pocket</t>
  </si>
  <si>
    <t xml:space="preserve">Cost to serve 1x: small direct still ahead?</t>
  </si>
  <si>
    <t xml:space="preserve">Cost to serve 1.25x: per order</t>
  </si>
  <si>
    <t xml:space="preserve">Cost to serve 1.25x: per account</t>
  </si>
  <si>
    <t xml:space="preserve">Cost to serve 1.25x: carved out</t>
  </si>
  <si>
    <t xml:space="preserve">Cost to serve 1.25x: loss-making accounts</t>
  </si>
  <si>
    <t xml:space="preserve">Cost to serve 1.25x: their loss</t>
  </si>
  <si>
    <t xml:space="preserve">Cost to serve 1.25x: peak of the curve, % of total</t>
  </si>
  <si>
    <t xml:space="preserve">Cost to serve 1.25x: Small direct, profit % of pocket</t>
  </si>
  <si>
    <t xml:space="preserve">Cost to serve 1.25x: OEM key accounts, profit % of pocket</t>
  </si>
  <si>
    <t xml:space="preserve">Cost to serve 1.25x: Distributors, profit % of pocket</t>
  </si>
  <si>
    <t xml:space="preserve">Cost to serve 1.25x: Direct industrial, profit % of pocket</t>
  </si>
  <si>
    <t xml:space="preserve">Cost to serve 1.25x: small direct still ahead?</t>
  </si>
  <si>
    <t xml:space="preserve">Cost to serve 1.5x: per order</t>
  </si>
  <si>
    <t xml:space="preserve">Cost to serve 1.5x: per account</t>
  </si>
  <si>
    <t xml:space="preserve">Cost to serve 1.5x: carved out</t>
  </si>
  <si>
    <t xml:space="preserve">Cost to serve 1.5x: loss-making accounts</t>
  </si>
  <si>
    <t xml:space="preserve">Cost to serve 1.5x: their loss</t>
  </si>
  <si>
    <t xml:space="preserve">Cost to serve 1.5x: peak of the curve, % of total</t>
  </si>
  <si>
    <t xml:space="preserve">Cost to serve 1.5x: Small direct, profit % of pocket</t>
  </si>
  <si>
    <t xml:space="preserve">Cost to serve 1.5x: OEM key accounts, profit % of pocket</t>
  </si>
  <si>
    <t xml:space="preserve">Cost to serve 1.5x: Distributors, profit % of pocket</t>
  </si>
  <si>
    <t xml:space="preserve">Cost to serve 1.5x: Direct industrial, profit % of pocket</t>
  </si>
  <si>
    <t xml:space="preserve">Cost to serve 1.5x: small direct still ahead?</t>
  </si>
  <si>
    <t xml:space="preserve">Cost to serve 2x: per order</t>
  </si>
  <si>
    <t xml:space="preserve">Cost to serve 2x: per account</t>
  </si>
  <si>
    <t xml:space="preserve">Cost to serve 2x: carved out</t>
  </si>
  <si>
    <t xml:space="preserve">Cost to serve 2x: loss-making accounts</t>
  </si>
  <si>
    <t xml:space="preserve">Cost to serve 2x: their loss</t>
  </si>
  <si>
    <t xml:space="preserve">Cost to serve 2x: peak of the curve, % of total</t>
  </si>
  <si>
    <t xml:space="preserve">Cost to serve 2x: Small direct, profit % of pocket</t>
  </si>
  <si>
    <t xml:space="preserve">Cost to serve 2x: OEM key accounts, profit % of pocket</t>
  </si>
  <si>
    <t xml:space="preserve">Cost to serve 2x: Distributors, profit % of pocket</t>
  </si>
  <si>
    <t xml:space="preserve">Cost to serve 2x: Direct industrial, profit % of pocket</t>
  </si>
  <si>
    <t xml:space="preserve">Cost to serve 2x: small direct still ahead?</t>
  </si>
  <si>
    <t xml:space="preserve">Cost to serve 2.5x: per order</t>
  </si>
  <si>
    <t xml:space="preserve">Cost to serve 2.5x: per account</t>
  </si>
  <si>
    <t xml:space="preserve">Cost to serve 2.5x: carved out</t>
  </si>
  <si>
    <t xml:space="preserve">Cost to serve 2.5x: loss-making accounts</t>
  </si>
  <si>
    <t xml:space="preserve">Cost to serve 2.5x: their loss</t>
  </si>
  <si>
    <t xml:space="preserve">Cost to serve 2.5x: peak of the curve, % of total</t>
  </si>
  <si>
    <t xml:space="preserve">Cost to serve 2.5x: Small direct, profit % of pocket</t>
  </si>
  <si>
    <t xml:space="preserve">Cost to serve 2.5x: OEM key accounts, profit % of pocket</t>
  </si>
  <si>
    <t xml:space="preserve">Cost to serve 2.5x: Distributors, profit % of pocket</t>
  </si>
  <si>
    <t xml:space="preserve">Cost to serve 2.5x: Direct industrial, profit % of pocket</t>
  </si>
  <si>
    <t xml:space="preserve">Cost to serve 2.5x: small direct still ahead?</t>
  </si>
  <si>
    <t xml:space="preserve">Cost to serve 3x: per order</t>
  </si>
  <si>
    <t xml:space="preserve">Cost to serve 3x: per account</t>
  </si>
  <si>
    <t xml:space="preserve">Cost to serve 3x: carved out</t>
  </si>
  <si>
    <t xml:space="preserve">Cost to serve 3x: loss-making accounts</t>
  </si>
  <si>
    <t xml:space="preserve">Cost to serve 3x: their loss</t>
  </si>
  <si>
    <t xml:space="preserve">Cost to serve 3x: peak of the curve, % of total</t>
  </si>
  <si>
    <t xml:space="preserve">Cost to serve 3x: Small direct, profit % of pocket</t>
  </si>
  <si>
    <t xml:space="preserve">Cost to serve 3x: OEM key accounts, profit % of pocket</t>
  </si>
  <si>
    <t xml:space="preserve">Cost to serve 3x: Distributors, profit % of pocket</t>
  </si>
  <si>
    <t xml:space="preserve">Cost to serve 3x: Direct industrial, profit % of pocket</t>
  </si>
  <si>
    <t xml:space="preserve">Cost to serve 3x: small direct still ahead?</t>
  </si>
  <si>
    <t xml:space="preserve">The first multiple in the table at which the ranking inverts</t>
  </si>
  <si>
    <t xml:space="preserve">1.25</t>
  </si>
  <si>
    <t xml:space="preserve">The crossing, by bisection</t>
  </si>
  <si>
    <t xml:space="preserve">Chapter 9, 16</t>
  </si>
  <si>
    <t xml:space="preserve">The bisection converged</t>
  </si>
  <si>
    <t xml:space="preserve">CONVERGED</t>
  </si>
  <si>
    <t xml:space="preserve">The crossing rates as a share of the attributable base</t>
  </si>
  <si>
    <t xml:space="preserve">There is no whale at any multiple tested</t>
  </si>
  <si>
    <t xml:space="preserve">NO WHALE AT ANY MULTIPLE TESTED</t>
  </si>
  <si>
    <t xml:space="preserve">The attributable fixed base</t>
  </si>
  <si>
    <t xml:space="preserve">Checks in this workbook</t>
  </si>
  <si>
    <t xml:space="preserve">Checks passing</t>
  </si>
  <si>
    <t xml:space="preserve">Checks failing</t>
  </si>
  <si>
    <t xml:space="preserve">Verdict</t>
  </si>
</sst>
</file>

<file path=xl/styles.xml><?xml version="1.0" encoding="utf-8"?>
<styleSheet xmlns="http://schemas.openxmlformats.org/spreadsheetml/2006/main">
  <numFmts count="9">
    <numFmt numFmtId="164" formatCode="General"/>
    <numFmt numFmtId="165" formatCode="#,##0.00"/>
    <numFmt numFmtId="166" formatCode="0.0%"/>
    <numFmt numFmtId="167" formatCode="0.000000%"/>
    <numFmt numFmtId="168" formatCode="0.00%"/>
    <numFmt numFmtId="169" formatCode="#,##0"/>
    <numFmt numFmtId="170" formatCode="0.0000%"/>
    <numFmt numFmtId="171" formatCode="#,##0.0000"/>
    <numFmt numFmtId="172" formatCode="#,##0.000000"/>
  </numFmts>
  <fonts count="13">
    <font>
      <sz val="10"/>
      <name val="Arial"/>
      <family val="0"/>
      <charset val="1"/>
    </font>
    <font>
      <sz val="10"/>
      <name val="Arial"/>
      <family val="0"/>
    </font>
    <font>
      <sz val="10"/>
      <name val="Arial"/>
      <family val="0"/>
    </font>
    <font>
      <sz val="10"/>
      <name val="Arial"/>
      <family val="0"/>
    </font>
    <font>
      <b val="true"/>
      <sz val="16"/>
      <color rgb="FF1F3864"/>
      <name val="Arial"/>
      <family val="0"/>
      <charset val="1"/>
    </font>
    <font>
      <sz val="10"/>
      <color rgb="FF595959"/>
      <name val="Arial"/>
      <family val="0"/>
      <charset val="1"/>
    </font>
    <font>
      <b val="true"/>
      <sz val="10"/>
      <name val="Arial"/>
      <family val="0"/>
      <charset val="1"/>
    </font>
    <font>
      <b val="true"/>
      <sz val="10"/>
      <color rgb="FF0000CC"/>
      <name val="Arial"/>
      <family val="0"/>
      <charset val="1"/>
    </font>
    <font>
      <sz val="11"/>
      <color theme="1"/>
      <name val="Calibri"/>
      <family val="2"/>
      <charset val="1"/>
    </font>
    <font>
      <sz val="10"/>
      <color rgb="FF0000CC"/>
      <name val="Arial"/>
      <family val="0"/>
      <charset val="1"/>
    </font>
    <font>
      <sz val="10"/>
      <color rgb="FF008000"/>
      <name val="Arial"/>
      <family val="0"/>
      <charset val="1"/>
    </font>
    <font>
      <b val="true"/>
      <sz val="13"/>
      <color rgb="FF1F3864"/>
      <name val="Arial"/>
      <family val="0"/>
      <charset val="1"/>
    </font>
    <font>
      <b val="true"/>
      <sz val="10"/>
      <color rgb="FFFFFFFF"/>
      <name val="Arial"/>
      <family val="0"/>
      <charset val="1"/>
    </font>
  </fonts>
  <fills count="5">
    <fill>
      <patternFill patternType="none"/>
    </fill>
    <fill>
      <patternFill patternType="gray125"/>
    </fill>
    <fill>
      <patternFill patternType="solid">
        <fgColor rgb="FFE8EDF5"/>
        <bgColor rgb="FFFFF2CC"/>
      </patternFill>
    </fill>
    <fill>
      <patternFill patternType="solid">
        <fgColor rgb="FFFFF2CC"/>
        <bgColor rgb="FFE8EDF5"/>
      </patternFill>
    </fill>
    <fill>
      <patternFill patternType="solid">
        <fgColor rgb="FF1F3864"/>
        <bgColor rgb="FF333333"/>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0" fillId="3"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4" borderId="1" xfId="0" applyFont="true" applyBorder="true" applyAlignment="true" applyProtection="false">
      <alignment horizontal="center" vertical="center" textRotation="0" wrapText="true" indent="0" shrinkToFit="false"/>
      <protection locked="true" hidden="false"/>
    </xf>
    <xf numFmtId="164" fontId="9" fillId="3" borderId="1" xfId="0" applyFont="true" applyBorder="true" applyAlignment="false" applyProtection="false">
      <alignment horizontal="general" vertical="bottom" textRotation="0" wrapText="false" indent="0" shrinkToFit="false"/>
      <protection locked="true" hidden="false"/>
    </xf>
    <xf numFmtId="165" fontId="9" fillId="3" borderId="1" xfId="0" applyFont="true" applyBorder="true" applyAlignment="false" applyProtection="false">
      <alignment horizontal="general" vertical="bottom" textRotation="0" wrapText="false" indent="0" shrinkToFit="false"/>
      <protection locked="true" hidden="false"/>
    </xf>
    <xf numFmtId="165" fontId="0" fillId="0" borderId="1" xfId="0" applyFont="true" applyBorder="true" applyAlignment="false" applyProtection="false">
      <alignment horizontal="general" vertical="bottom" textRotation="0" wrapText="false" indent="0" shrinkToFit="false"/>
      <protection locked="true" hidden="false"/>
    </xf>
    <xf numFmtId="166" fontId="0" fillId="0"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7" fontId="9" fillId="3" borderId="1" xfId="0" applyFont="true" applyBorder="true" applyAlignment="false" applyProtection="false">
      <alignment horizontal="general" vertical="bottom" textRotation="0" wrapText="false" indent="0" shrinkToFit="false"/>
      <protection locked="true" hidden="false"/>
    </xf>
    <xf numFmtId="168" fontId="9" fillId="3" borderId="1" xfId="0" applyFont="true" applyBorder="true" applyAlignment="false" applyProtection="false">
      <alignment horizontal="general" vertical="bottom" textRotation="0" wrapText="false" indent="0" shrinkToFit="false"/>
      <protection locked="true" hidden="false"/>
    </xf>
    <xf numFmtId="165" fontId="9" fillId="0" borderId="1" xfId="0" applyFont="true" applyBorder="true" applyAlignment="false" applyProtection="false">
      <alignment horizontal="general" vertical="bottom" textRotation="0" wrapText="false" indent="0" shrinkToFit="false"/>
      <protection locked="true" hidden="false"/>
    </xf>
    <xf numFmtId="165" fontId="6" fillId="2" borderId="1" xfId="0" applyFont="true" applyBorder="true" applyAlignment="false" applyProtection="false">
      <alignment horizontal="general" vertical="bottom" textRotation="0" wrapText="false" indent="0" shrinkToFit="false"/>
      <protection locked="true" hidden="false"/>
    </xf>
    <xf numFmtId="166" fontId="9" fillId="3" borderId="1" xfId="0" applyFont="true" applyBorder="true" applyAlignment="false" applyProtection="false">
      <alignment horizontal="general" vertical="bottom" textRotation="0" wrapText="false" indent="0" shrinkToFit="false"/>
      <protection locked="true" hidden="false"/>
    </xf>
    <xf numFmtId="169" fontId="9" fillId="3" borderId="1" xfId="0" applyFont="true" applyBorder="true" applyAlignment="false" applyProtection="false">
      <alignment horizontal="general" vertical="bottom" textRotation="0" wrapText="false" indent="0" shrinkToFit="false"/>
      <protection locked="true" hidden="false"/>
    </xf>
    <xf numFmtId="168" fontId="0" fillId="0" borderId="1" xfId="0" applyFont="true" applyBorder="true" applyAlignment="false" applyProtection="false">
      <alignment horizontal="general" vertical="bottom" textRotation="0" wrapText="false" indent="0" shrinkToFit="false"/>
      <protection locked="true" hidden="false"/>
    </xf>
    <xf numFmtId="169" fontId="0" fillId="0" borderId="1" xfId="0" applyFont="true" applyBorder="true" applyAlignment="false" applyProtection="false">
      <alignment horizontal="general" vertical="bottom" textRotation="0" wrapText="false" indent="0" shrinkToFit="false"/>
      <protection locked="true" hidden="false"/>
    </xf>
    <xf numFmtId="164" fontId="6" fillId="2" borderId="1" xfId="0" applyFont="true" applyBorder="true" applyAlignment="false" applyProtection="false">
      <alignment horizontal="general" vertical="bottom" textRotation="0" wrapText="false" indent="0" shrinkToFit="false"/>
      <protection locked="true" hidden="false"/>
    </xf>
    <xf numFmtId="165" fontId="0" fillId="2" borderId="1" xfId="0" applyFont="true" applyBorder="true" applyAlignment="false" applyProtection="false">
      <alignment horizontal="general" vertical="bottom" textRotation="0" wrapText="false" indent="0" shrinkToFit="false"/>
      <protection locked="true" hidden="false"/>
    </xf>
    <xf numFmtId="168" fontId="0" fillId="2" borderId="1" xfId="0" applyFont="true" applyBorder="true" applyAlignment="false" applyProtection="false">
      <alignment horizontal="general" vertical="bottom" textRotation="0" wrapText="false" indent="0" shrinkToFit="false"/>
      <protection locked="true" hidden="false"/>
    </xf>
    <xf numFmtId="170" fontId="6" fillId="2" borderId="1" xfId="0" applyFont="true" applyBorder="true" applyAlignment="false" applyProtection="false">
      <alignment horizontal="general" vertical="bottom" textRotation="0" wrapText="false" indent="0" shrinkToFit="false"/>
      <protection locked="true" hidden="false"/>
    </xf>
    <xf numFmtId="168" fontId="6" fillId="2" borderId="1" xfId="0" applyFont="true" applyBorder="true" applyAlignment="false" applyProtection="false">
      <alignment horizontal="general" vertical="bottom" textRotation="0" wrapText="false" indent="0" shrinkToFit="false"/>
      <protection locked="true" hidden="false"/>
    </xf>
    <xf numFmtId="170" fontId="10" fillId="0" borderId="1" xfId="0" applyFont="true" applyBorder="true" applyAlignment="false" applyProtection="false">
      <alignment horizontal="general" vertical="bottom" textRotation="0" wrapText="false" indent="0" shrinkToFit="false"/>
      <protection locked="true" hidden="false"/>
    </xf>
    <xf numFmtId="165" fontId="10" fillId="0" borderId="1" xfId="0" applyFont="true" applyBorder="true" applyAlignment="false" applyProtection="false">
      <alignment horizontal="general" vertical="bottom" textRotation="0" wrapText="false" indent="0" shrinkToFit="false"/>
      <protection locked="true" hidden="false"/>
    </xf>
    <xf numFmtId="171" fontId="6" fillId="2" borderId="1" xfId="0" applyFont="true" applyBorder="true" applyAlignment="false" applyProtection="false">
      <alignment horizontal="general" vertical="bottom" textRotation="0" wrapText="false" indent="0" shrinkToFit="false"/>
      <protection locked="true" hidden="false"/>
    </xf>
    <xf numFmtId="168" fontId="10" fillId="0" borderId="1" xfId="0" applyFont="true" applyBorder="true" applyAlignment="false" applyProtection="false">
      <alignment horizontal="general" vertical="bottom" textRotation="0" wrapText="false" indent="0" shrinkToFit="false"/>
      <protection locked="true" hidden="false"/>
    </xf>
    <xf numFmtId="171" fontId="0" fillId="0" borderId="1" xfId="0" applyFont="true" applyBorder="true" applyAlignment="false" applyProtection="false">
      <alignment horizontal="general" vertical="bottom" textRotation="0" wrapText="false" indent="0" shrinkToFit="false"/>
      <protection locked="true" hidden="false"/>
    </xf>
    <xf numFmtId="166" fontId="10" fillId="0" borderId="1" xfId="0" applyFont="true" applyBorder="true" applyAlignment="false" applyProtection="false">
      <alignment horizontal="general" vertical="bottom" textRotation="0" wrapText="false" indent="0" shrinkToFit="false"/>
      <protection locked="true" hidden="false"/>
    </xf>
    <xf numFmtId="168" fontId="7" fillId="3" borderId="1" xfId="0" applyFont="true" applyBorder="true" applyAlignment="false" applyProtection="false">
      <alignment horizontal="general" vertical="bottom" textRotation="0" wrapText="false" indent="0" shrinkToFit="false"/>
      <protection locked="true" hidden="false"/>
    </xf>
    <xf numFmtId="169" fontId="6" fillId="2" borderId="1" xfId="0" applyFont="true" applyBorder="true" applyAlignment="false" applyProtection="false">
      <alignment horizontal="general" vertical="bottom" textRotation="0" wrapText="false" indent="0" shrinkToFit="false"/>
      <protection locked="true" hidden="false"/>
    </xf>
    <xf numFmtId="171" fontId="9" fillId="3" borderId="1" xfId="0" applyFont="true" applyBorder="true" applyAlignment="false" applyProtection="false">
      <alignment horizontal="general" vertical="bottom" textRotation="0" wrapText="false" indent="0" shrinkToFit="false"/>
      <protection locked="true" hidden="false"/>
    </xf>
    <xf numFmtId="172" fontId="9" fillId="3" borderId="1" xfId="0" applyFont="true" applyBorder="tru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72" fontId="0" fillId="0" borderId="1" xfId="0" applyFont="true" applyBorder="true" applyAlignment="false" applyProtection="false">
      <alignment horizontal="general" vertical="bottom" textRotation="0" wrapText="false" indent="0" shrinkToFit="false"/>
      <protection locked="true" hidden="false"/>
    </xf>
    <xf numFmtId="170" fontId="0" fillId="0"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72" fontId="10" fillId="0" borderId="1" xfId="0" applyFont="true" applyBorder="true" applyAlignment="false" applyProtection="false">
      <alignment horizontal="general" vertical="bottom" textRotation="0" wrapText="false" indent="0" shrinkToFit="false"/>
      <protection locked="true" hidden="false"/>
    </xf>
    <xf numFmtId="169" fontId="10" fillId="0" borderId="1" xfId="0" applyFont="true" applyBorder="true" applyAlignment="false" applyProtection="false">
      <alignment horizontal="general" vertical="bottom" textRotation="0" wrapText="false" indent="0" shrinkToFit="false"/>
      <protection locked="true" hidden="false"/>
    </xf>
    <xf numFmtId="167" fontId="10" fillId="0" borderId="1" xfId="0" applyFont="true" applyBorder="true" applyAlignment="false" applyProtection="false">
      <alignment horizontal="general" vertical="bottom" textRotation="0" wrapText="false" indent="0" shrinkToFit="false"/>
      <protection locked="true" hidden="false"/>
    </xf>
    <xf numFmtId="167" fontId="0" fillId="0" borderId="1" xfId="0" applyFont="tru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71" fontId="10"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CC"/>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E8EDF5"/>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34"/>
    <col collapsed="false" customWidth="true" hidden="false" outlineLevel="0" max="3" min="3" style="0" width="104"/>
  </cols>
  <sheetData>
    <row r="2" customFormat="false" ht="19.7" hidden="false" customHeight="false" outlineLevel="0" collapsed="false">
      <c r="B2" s="1" t="s">
        <v>0</v>
      </c>
    </row>
    <row r="3" customFormat="false" ht="15" hidden="false" customHeight="false" outlineLevel="0" collapsed="false">
      <c r="B3" s="2" t="s">
        <v>1</v>
      </c>
    </row>
    <row r="5" customFormat="false" ht="15" hidden="false" customHeight="false" outlineLevel="0" collapsed="false">
      <c r="B5" s="3" t="s">
        <v>2</v>
      </c>
    </row>
    <row r="6" customFormat="false" ht="15" hidden="false" customHeight="false" outlineLevel="0" collapsed="false">
      <c r="B6" s="3" t="s">
        <v>3</v>
      </c>
    </row>
    <row r="7" customFormat="false" ht="15" hidden="false" customHeight="false" outlineLevel="0" collapsed="false">
      <c r="B7" s="3" t="s">
        <v>4</v>
      </c>
    </row>
    <row r="8" customFormat="false" ht="15" hidden="false" customHeight="false" outlineLevel="0" collapsed="false">
      <c r="B8" s="3" t="s">
        <v>5</v>
      </c>
    </row>
    <row r="9" customFormat="false" ht="15" hidden="false" customHeight="false" outlineLevel="0" collapsed="false">
      <c r="B9" s="3" t="s">
        <v>6</v>
      </c>
    </row>
    <row r="10" customFormat="false" ht="15" hidden="false" customHeight="false" outlineLevel="0" collapsed="false">
      <c r="B10" s="3" t="s">
        <v>7</v>
      </c>
    </row>
    <row r="12" customFormat="false" ht="15" hidden="false" customHeight="false" outlineLevel="0" collapsed="false">
      <c r="B12" s="4" t="s">
        <v>8</v>
      </c>
      <c r="C12" s="3" t="s">
        <v>9</v>
      </c>
    </row>
    <row r="13" customFormat="false" ht="15" hidden="false" customHeight="false" outlineLevel="0" collapsed="false">
      <c r="B13" s="4" t="s">
        <v>10</v>
      </c>
      <c r="C13" s="5" t="s">
        <v>11</v>
      </c>
    </row>
    <row r="15" customFormat="false" ht="15" hidden="false" customHeight="false" outlineLevel="0" collapsed="false">
      <c r="B15" s="6" t="s">
        <v>12</v>
      </c>
      <c r="C15" s="7"/>
    </row>
    <row r="16" customFormat="false" ht="15" hidden="false" customHeight="false" outlineLevel="0" collapsed="false">
      <c r="B16" s="4" t="s">
        <v>13</v>
      </c>
      <c r="C16" s="3" t="s">
        <v>14</v>
      </c>
    </row>
    <row r="17" customFormat="false" ht="15" hidden="false" customHeight="false" outlineLevel="0" collapsed="false">
      <c r="B17" s="4" t="s">
        <v>15</v>
      </c>
      <c r="C17" s="3" t="s">
        <v>16</v>
      </c>
    </row>
    <row r="18" customFormat="false" ht="15" hidden="false" customHeight="false" outlineLevel="0" collapsed="false">
      <c r="B18" s="4" t="s">
        <v>17</v>
      </c>
      <c r="C18" s="3" t="s">
        <v>18</v>
      </c>
    </row>
    <row r="19" customFormat="false" ht="15" hidden="false" customHeight="false" outlineLevel="0" collapsed="false">
      <c r="B19" s="4" t="s">
        <v>19</v>
      </c>
      <c r="C19" s="3" t="s">
        <v>20</v>
      </c>
    </row>
    <row r="20" customFormat="false" ht="15" hidden="false" customHeight="false" outlineLevel="0" collapsed="false">
      <c r="B20" s="4" t="s">
        <v>21</v>
      </c>
      <c r="C20" s="3" t="s">
        <v>22</v>
      </c>
    </row>
    <row r="21" customFormat="false" ht="15" hidden="false" customHeight="false" outlineLevel="0" collapsed="false">
      <c r="B21" s="4" t="s">
        <v>23</v>
      </c>
      <c r="C21" s="3" t="s">
        <v>24</v>
      </c>
    </row>
    <row r="22" customFormat="false" ht="15" hidden="false" customHeight="false" outlineLevel="0" collapsed="false">
      <c r="B22" s="4" t="s">
        <v>25</v>
      </c>
      <c r="C22" s="3" t="s">
        <v>26</v>
      </c>
    </row>
    <row r="23" customFormat="false" ht="15" hidden="false" customHeight="false" outlineLevel="0" collapsed="false">
      <c r="B23" s="4" t="s">
        <v>27</v>
      </c>
      <c r="C23" s="3" t="s">
        <v>28</v>
      </c>
    </row>
    <row r="25" customFormat="false" ht="15" hidden="false" customHeight="false" outlineLevel="0" collapsed="false">
      <c r="B25" s="6" t="s">
        <v>29</v>
      </c>
      <c r="C25" s="7"/>
    </row>
    <row r="26" customFormat="false" ht="15" hidden="false" customHeight="false" outlineLevel="0" collapsed="false">
      <c r="B26" s="8" t="s">
        <v>30</v>
      </c>
      <c r="C26" s="2" t="s">
        <v>31</v>
      </c>
    </row>
    <row r="27" customFormat="false" ht="15" hidden="false" customHeight="false" outlineLevel="0" collapsed="false">
      <c r="B27" s="3" t="s">
        <v>32</v>
      </c>
      <c r="C27" s="2" t="s">
        <v>33</v>
      </c>
    </row>
    <row r="28" customFormat="false" ht="15" hidden="false" customHeight="false" outlineLevel="0" collapsed="false">
      <c r="B28" s="9" t="s">
        <v>34</v>
      </c>
      <c r="C28" s="2" t="s">
        <v>35</v>
      </c>
    </row>
    <row r="29" customFormat="false" ht="15" hidden="false" customHeight="false" outlineLevel="0" collapsed="false">
      <c r="B29" s="10" t="s">
        <v>36</v>
      </c>
      <c r="C29" s="2" t="s">
        <v>37</v>
      </c>
    </row>
    <row r="31" customFormat="false" ht="15" hidden="false" customHeight="false" outlineLevel="0" collapsed="false">
      <c r="B31" s="2" t="s">
        <v>38</v>
      </c>
    </row>
    <row r="32" customFormat="false" ht="15" hidden="false" customHeight="false" outlineLevel="0" collapsed="false">
      <c r="B32" s="2" t="s">
        <v>39</v>
      </c>
    </row>
    <row r="33" customFormat="false" ht="15" hidden="false" customHeight="false" outlineLevel="0" collapsed="false">
      <c r="B33" s="2" t="s">
        <v>40</v>
      </c>
    </row>
    <row r="34" customFormat="false" ht="15" hidden="false" customHeight="false" outlineLevel="0" collapsed="false">
      <c r="B34" s="2" t="s">
        <v>41</v>
      </c>
    </row>
    <row r="35" customFormat="false" ht="15" hidden="false" customHeight="false" outlineLevel="0" collapsed="false">
      <c r="B35" s="2" t="s">
        <v>42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G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52"/>
    <col collapsed="false" customWidth="true" hidden="false" outlineLevel="0" max="4" min="3" style="0" width="18"/>
    <col collapsed="false" customWidth="true" hidden="false" outlineLevel="0" max="6" min="5" style="0" width="4"/>
    <col collapsed="false" customWidth="true" hidden="false" outlineLevel="0" max="7" min="7" style="0" width="60"/>
  </cols>
  <sheetData>
    <row r="2" customFormat="false" ht="16.15" hidden="false" customHeight="false" outlineLevel="0" collapsed="false">
      <c r="B2" s="11" t="s">
        <v>43</v>
      </c>
    </row>
    <row r="3" customFormat="false" ht="15" hidden="false" customHeight="false" outlineLevel="0" collapsed="false">
      <c r="B3" s="2" t="s">
        <v>44</v>
      </c>
    </row>
    <row r="6" customFormat="false" ht="15" hidden="false" customHeight="false" outlineLevel="0" collapsed="false">
      <c r="B6" s="6" t="s">
        <v>45</v>
      </c>
      <c r="C6" s="7"/>
      <c r="D6" s="7"/>
      <c r="E6" s="7"/>
      <c r="F6" s="7"/>
      <c r="G6" s="7"/>
    </row>
    <row r="7" customFormat="false" ht="30" hidden="false" customHeight="true" outlineLevel="0" collapsed="false">
      <c r="B7" s="12" t="s">
        <v>46</v>
      </c>
      <c r="C7" s="12" t="s">
        <v>47</v>
      </c>
      <c r="D7" s="12" t="s">
        <v>48</v>
      </c>
      <c r="E7" s="12" t="s">
        <v>49</v>
      </c>
      <c r="F7" s="12" t="s">
        <v>50</v>
      </c>
      <c r="G7" s="12" t="s">
        <v>51</v>
      </c>
    </row>
    <row r="8" customFormat="false" ht="15" hidden="false" customHeight="false" outlineLevel="0" collapsed="false">
      <c r="B8" s="13" t="s">
        <v>52</v>
      </c>
      <c r="C8" s="14" t="n">
        <v>148</v>
      </c>
      <c r="D8" s="14" t="n">
        <v>78</v>
      </c>
      <c r="E8" s="15" t="n">
        <f aca="false">C8-D8</f>
        <v>70</v>
      </c>
      <c r="F8" s="16" t="n">
        <f aca="false">(C8-D8)/C8</f>
        <v>0.472972972972973</v>
      </c>
      <c r="G8" s="17" t="s">
        <v>53</v>
      </c>
    </row>
    <row r="9" customFormat="false" ht="15" hidden="false" customHeight="false" outlineLevel="0" collapsed="false">
      <c r="B9" s="13" t="s">
        <v>54</v>
      </c>
      <c r="C9" s="14" t="n">
        <v>62</v>
      </c>
      <c r="D9" s="14" t="n">
        <v>36</v>
      </c>
      <c r="E9" s="15" t="n">
        <f aca="false">C9-D9</f>
        <v>26</v>
      </c>
      <c r="F9" s="16" t="n">
        <f aca="false">(C9-D9)/C9</f>
        <v>0.419354838709677</v>
      </c>
      <c r="G9" s="17" t="s">
        <v>55</v>
      </c>
    </row>
    <row r="10" customFormat="false" ht="15" hidden="false" customHeight="false" outlineLevel="0" collapsed="false">
      <c r="B10" s="13" t="s">
        <v>56</v>
      </c>
      <c r="C10" s="14" t="n">
        <v>96</v>
      </c>
      <c r="D10" s="14" t="n">
        <v>58</v>
      </c>
      <c r="E10" s="15" t="n">
        <f aca="false">C10-D10</f>
        <v>38</v>
      </c>
      <c r="F10" s="16" t="n">
        <f aca="false">(C10-D10)/C10</f>
        <v>0.395833333333333</v>
      </c>
      <c r="G10" s="17" t="s">
        <v>57</v>
      </c>
    </row>
    <row r="13" customFormat="false" ht="15" hidden="false" customHeight="false" outlineLevel="0" collapsed="false">
      <c r="B13" s="6" t="s">
        <v>58</v>
      </c>
      <c r="C13" s="7"/>
      <c r="D13" s="7"/>
      <c r="E13" s="7"/>
      <c r="F13" s="7"/>
      <c r="G13" s="7"/>
    </row>
    <row r="14" customFormat="false" ht="30" hidden="false" customHeight="true" outlineLevel="0" collapsed="false">
      <c r="B14" s="12" t="s">
        <v>59</v>
      </c>
      <c r="C14" s="12" t="s">
        <v>60</v>
      </c>
      <c r="D14" s="12" t="s">
        <v>61</v>
      </c>
      <c r="E14" s="12"/>
      <c r="F14" s="12"/>
      <c r="G14" s="12" t="s">
        <v>51</v>
      </c>
    </row>
    <row r="15" customFormat="false" ht="15" hidden="false" customHeight="false" outlineLevel="0" collapsed="false">
      <c r="B15" s="18" t="s">
        <v>62</v>
      </c>
      <c r="C15" s="19" t="n">
        <v>0.0451798849456211</v>
      </c>
      <c r="D15" s="17" t="s">
        <v>63</v>
      </c>
      <c r="E15" s="18"/>
      <c r="F15" s="18"/>
      <c r="G15" s="17" t="s">
        <v>64</v>
      </c>
    </row>
    <row r="16" customFormat="false" ht="15" hidden="false" customHeight="false" outlineLevel="0" collapsed="false">
      <c r="B16" s="18" t="s">
        <v>65</v>
      </c>
      <c r="C16" s="19" t="n">
        <v>0.092577342730395</v>
      </c>
      <c r="D16" s="17" t="s">
        <v>63</v>
      </c>
      <c r="E16" s="18"/>
      <c r="F16" s="18"/>
      <c r="G16" s="17" t="s">
        <v>64</v>
      </c>
    </row>
    <row r="17" customFormat="false" ht="15" hidden="false" customHeight="false" outlineLevel="0" collapsed="false">
      <c r="B17" s="18" t="s">
        <v>66</v>
      </c>
      <c r="C17" s="19" t="n">
        <v>0.0266233368398552</v>
      </c>
      <c r="D17" s="17" t="s">
        <v>67</v>
      </c>
      <c r="E17" s="18"/>
      <c r="F17" s="18"/>
      <c r="G17" s="17" t="s">
        <v>64</v>
      </c>
    </row>
    <row r="18" customFormat="false" ht="15" hidden="false" customHeight="false" outlineLevel="0" collapsed="false">
      <c r="B18" s="18" t="s">
        <v>68</v>
      </c>
      <c r="C18" s="19" t="n">
        <v>0.00673952105659821</v>
      </c>
      <c r="D18" s="17" t="s">
        <v>67</v>
      </c>
      <c r="E18" s="18"/>
      <c r="F18" s="18"/>
      <c r="G18" s="17" t="s">
        <v>64</v>
      </c>
    </row>
    <row r="19" customFormat="false" ht="15" hidden="false" customHeight="false" outlineLevel="0" collapsed="false">
      <c r="B19" s="18" t="s">
        <v>69</v>
      </c>
      <c r="C19" s="19" t="n">
        <v>0.0165298007238097</v>
      </c>
      <c r="D19" s="17" t="s">
        <v>67</v>
      </c>
      <c r="E19" s="18"/>
      <c r="F19" s="18"/>
      <c r="G19" s="17" t="s">
        <v>64</v>
      </c>
    </row>
    <row r="20" customFormat="false" ht="15" hidden="false" customHeight="false" outlineLevel="0" collapsed="false">
      <c r="B20" s="18" t="s">
        <v>70</v>
      </c>
      <c r="C20" s="19" t="n">
        <v>0.00658491748758175</v>
      </c>
      <c r="D20" s="17" t="s">
        <v>67</v>
      </c>
      <c r="E20" s="18"/>
      <c r="F20" s="18"/>
      <c r="G20" s="17" t="s">
        <v>64</v>
      </c>
    </row>
    <row r="21" customFormat="false" ht="15" hidden="false" customHeight="false" outlineLevel="0" collapsed="false">
      <c r="B21" s="18" t="s">
        <v>71</v>
      </c>
      <c r="C21" s="19" t="n">
        <v>0.00292482805287721</v>
      </c>
      <c r="D21" s="17" t="s">
        <v>67</v>
      </c>
      <c r="E21" s="18"/>
      <c r="F21" s="18"/>
      <c r="G21" s="17" t="s">
        <v>64</v>
      </c>
    </row>
    <row r="22" customFormat="false" ht="15" hidden="false" customHeight="false" outlineLevel="0" collapsed="false">
      <c r="B22" s="18" t="s">
        <v>72</v>
      </c>
      <c r="C22" s="19" t="n">
        <v>0.00661489664651226</v>
      </c>
      <c r="D22" s="17" t="s">
        <v>67</v>
      </c>
      <c r="E22" s="18"/>
      <c r="F22" s="18"/>
      <c r="G22" s="17" t="s">
        <v>64</v>
      </c>
    </row>
    <row r="23" customFormat="false" ht="15" hidden="false" customHeight="false" outlineLevel="0" collapsed="false">
      <c r="B23" s="18" t="s">
        <v>73</v>
      </c>
      <c r="C23" s="19" t="n">
        <v>0.00251133390412915</v>
      </c>
      <c r="D23" s="17" t="s">
        <v>67</v>
      </c>
      <c r="E23" s="18"/>
      <c r="F23" s="18"/>
      <c r="G23" s="17" t="s">
        <v>64</v>
      </c>
    </row>
    <row r="24" customFormat="false" ht="15" hidden="false" customHeight="false" outlineLevel="0" collapsed="false">
      <c r="B24" s="2" t="s">
        <v>74</v>
      </c>
    </row>
    <row r="25" customFormat="false" ht="15" hidden="false" customHeight="false" outlineLevel="0" collapsed="false">
      <c r="B25" s="2" t="s">
        <v>75</v>
      </c>
    </row>
    <row r="26" customFormat="false" ht="15" hidden="false" customHeight="false" outlineLevel="0" collapsed="false">
      <c r="B26" s="2" t="s">
        <v>76</v>
      </c>
    </row>
    <row r="27" customFormat="false" ht="15" hidden="false" customHeight="false" outlineLevel="0" collapsed="false">
      <c r="B27" s="2" t="s">
        <v>77</v>
      </c>
    </row>
    <row r="30" customFormat="false" ht="15" hidden="false" customHeight="false" outlineLevel="0" collapsed="false">
      <c r="B30" s="6" t="s">
        <v>78</v>
      </c>
      <c r="C30" s="7"/>
      <c r="D30" s="7"/>
      <c r="E30" s="7"/>
      <c r="F30" s="7"/>
      <c r="G30" s="7"/>
    </row>
    <row r="31" customFormat="false" ht="15" hidden="false" customHeight="false" outlineLevel="0" collapsed="false">
      <c r="B31" s="3" t="s">
        <v>79</v>
      </c>
      <c r="C31" s="20" t="n">
        <v>0.02</v>
      </c>
    </row>
    <row r="32" customFormat="false" ht="15" hidden="false" customHeight="false" outlineLevel="0" collapsed="false">
      <c r="B32" s="3" t="s">
        <v>80</v>
      </c>
      <c r="C32" s="21" t="n">
        <v>3900000</v>
      </c>
    </row>
    <row r="33" customFormat="false" ht="15" hidden="false" customHeight="false" outlineLevel="0" collapsed="false">
      <c r="B33" s="3" t="s">
        <v>81</v>
      </c>
      <c r="C33" s="21" t="n">
        <v>1400000</v>
      </c>
    </row>
    <row r="34" customFormat="false" ht="15" hidden="false" customHeight="false" outlineLevel="0" collapsed="false">
      <c r="B34" s="3" t="s">
        <v>82</v>
      </c>
      <c r="C34" s="21" t="n">
        <v>2300000</v>
      </c>
    </row>
    <row r="35" customFormat="false" ht="15" hidden="false" customHeight="false" outlineLevel="0" collapsed="false">
      <c r="B35" s="3" t="s">
        <v>83</v>
      </c>
      <c r="C35" s="21" t="n">
        <v>1800000</v>
      </c>
    </row>
    <row r="36" customFormat="false" ht="15" hidden="false" customHeight="false" outlineLevel="0" collapsed="false">
      <c r="B36" s="4" t="s">
        <v>84</v>
      </c>
      <c r="C36" s="22" t="n">
        <f aca="false">SUM(C32:C35)</f>
        <v>9400000</v>
      </c>
    </row>
    <row r="39" customFormat="false" ht="15" hidden="false" customHeight="false" outlineLevel="0" collapsed="false">
      <c r="B39" s="6" t="s">
        <v>85</v>
      </c>
      <c r="C39" s="7"/>
      <c r="D39" s="7"/>
      <c r="E39" s="7"/>
      <c r="F39" s="7"/>
      <c r="G39" s="7"/>
    </row>
    <row r="40" customFormat="false" ht="15" hidden="false" customHeight="false" outlineLevel="0" collapsed="false">
      <c r="B40" s="3" t="s">
        <v>86</v>
      </c>
      <c r="C40" s="14" t="n">
        <v>145</v>
      </c>
    </row>
    <row r="41" customFormat="false" ht="15" hidden="false" customHeight="false" outlineLevel="0" collapsed="false">
      <c r="B41" s="3" t="s">
        <v>87</v>
      </c>
      <c r="C41" s="14" t="n">
        <v>6500</v>
      </c>
    </row>
    <row r="42" customFormat="false" ht="15" hidden="false" customHeight="false" outlineLevel="0" collapsed="false">
      <c r="B42" s="2" t="s">
        <v>88</v>
      </c>
    </row>
    <row r="45" customFormat="false" ht="15" hidden="false" customHeight="false" outlineLevel="0" collapsed="false">
      <c r="B45" s="6" t="s">
        <v>89</v>
      </c>
      <c r="C45" s="7"/>
      <c r="D45" s="7"/>
      <c r="E45" s="7"/>
      <c r="F45" s="7"/>
      <c r="G45" s="7"/>
    </row>
    <row r="46" customFormat="false" ht="15" hidden="false" customHeight="false" outlineLevel="0" collapsed="false">
      <c r="B46" s="3" t="s">
        <v>90</v>
      </c>
      <c r="C46" s="23" t="n">
        <v>0.25</v>
      </c>
    </row>
    <row r="47" customFormat="false" ht="15" hidden="false" customHeight="false" outlineLevel="0" collapsed="false">
      <c r="B47" s="3" t="s">
        <v>91</v>
      </c>
      <c r="C47" s="20" t="n">
        <v>0.05</v>
      </c>
    </row>
    <row r="50" customFormat="false" ht="15" hidden="false" customHeight="false" outlineLevel="0" collapsed="false">
      <c r="B50" s="6" t="s">
        <v>92</v>
      </c>
      <c r="C50" s="7"/>
      <c r="D50" s="7"/>
      <c r="E50" s="7"/>
      <c r="F50" s="7"/>
      <c r="G50" s="7"/>
    </row>
    <row r="51" customFormat="false" ht="15" hidden="false" customHeight="false" outlineLevel="0" collapsed="false">
      <c r="B51" s="3" t="s">
        <v>93</v>
      </c>
      <c r="C51" s="24" t="n">
        <v>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V46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12"/>
    <col collapsed="false" customWidth="true" hidden="false" outlineLevel="0" max="3" min="3" style="0" width="20"/>
    <col collapsed="false" customWidth="true" hidden="false" outlineLevel="0" max="4" min="4" style="0" width="22"/>
    <col collapsed="false" customWidth="true" hidden="false" outlineLevel="0" max="5" min="5" style="0" width="11"/>
    <col collapsed="false" customWidth="true" hidden="false" outlineLevel="0" max="7" min="6" style="0" width="15"/>
    <col collapsed="false" customWidth="true" hidden="false" outlineLevel="0" max="8" min="8" style="0" width="12"/>
    <col collapsed="false" customWidth="true" hidden="false" outlineLevel="0" max="9" min="9" style="0" width="13"/>
    <col collapsed="false" customWidth="true" hidden="false" outlineLevel="0" max="11" min="10" style="0" width="15"/>
    <col collapsed="false" customWidth="true" hidden="false" outlineLevel="0" max="12" min="12" style="0" width="13"/>
    <col collapsed="false" customWidth="true" hidden="false" outlineLevel="0" max="13" min="13" style="0" width="15"/>
    <col collapsed="false" customWidth="true" hidden="false" outlineLevel="0" max="15" min="14" style="0" width="13"/>
    <col collapsed="false" customWidth="true" hidden="false" outlineLevel="0" max="16" min="16" style="0" width="30"/>
    <col collapsed="false" customWidth="true" hidden="false" outlineLevel="0" max="17" min="17" style="0" width="14"/>
    <col collapsed="false" customWidth="true" hidden="false" outlineLevel="0" max="18" min="18" style="0" width="13"/>
    <col collapsed="false" customWidth="true" hidden="false" outlineLevel="0" max="20" min="19" style="0" width="16"/>
    <col collapsed="false" customWidth="true" hidden="false" outlineLevel="0" max="21" min="21" style="0" width="15"/>
    <col collapsed="false" customWidth="true" hidden="false" outlineLevel="0" max="22" min="22" style="0" width="16"/>
  </cols>
  <sheetData>
    <row r="2" customFormat="false" ht="16.15" hidden="false" customHeight="false" outlineLevel="0" collapsed="false">
      <c r="B2" s="11" t="s">
        <v>94</v>
      </c>
    </row>
    <row r="3" customFormat="false" ht="15" hidden="false" customHeight="false" outlineLevel="0" collapsed="false">
      <c r="B3" s="2" t="s">
        <v>95</v>
      </c>
    </row>
    <row r="5" customFormat="false" ht="43.5" hidden="false" customHeight="true" outlineLevel="0" collapsed="false">
      <c r="B5" s="12" t="s">
        <v>96</v>
      </c>
      <c r="C5" s="12" t="s">
        <v>97</v>
      </c>
      <c r="D5" s="12" t="s">
        <v>46</v>
      </c>
      <c r="E5" s="12" t="s">
        <v>98</v>
      </c>
      <c r="F5" s="12" t="s">
        <v>99</v>
      </c>
      <c r="G5" s="12" t="s">
        <v>100</v>
      </c>
      <c r="H5" s="12" t="s">
        <v>47</v>
      </c>
      <c r="I5" s="12" t="s">
        <v>48</v>
      </c>
      <c r="J5" s="12" t="s">
        <v>101</v>
      </c>
      <c r="K5" s="12" t="s">
        <v>102</v>
      </c>
      <c r="L5" s="12" t="s">
        <v>103</v>
      </c>
      <c r="M5" s="12" t="s">
        <v>104</v>
      </c>
      <c r="N5" s="12" t="s">
        <v>105</v>
      </c>
      <c r="O5" s="12" t="s">
        <v>106</v>
      </c>
      <c r="P5" s="12" t="s">
        <v>107</v>
      </c>
      <c r="Q5" s="12" t="s">
        <v>108</v>
      </c>
      <c r="R5" s="12" t="s">
        <v>109</v>
      </c>
      <c r="S5" s="12" t="s">
        <v>110</v>
      </c>
      <c r="T5" s="12" t="s">
        <v>111</v>
      </c>
      <c r="U5" s="12" t="s">
        <v>112</v>
      </c>
      <c r="V5" s="12" t="s">
        <v>113</v>
      </c>
    </row>
    <row r="6" customFormat="false" ht="15" hidden="false" customHeight="false" outlineLevel="0" collapsed="false">
      <c r="B6" s="13" t="s">
        <v>114</v>
      </c>
      <c r="C6" s="13" t="s">
        <v>115</v>
      </c>
      <c r="D6" s="13" t="s">
        <v>52</v>
      </c>
      <c r="E6" s="24" t="n">
        <v>6720</v>
      </c>
      <c r="F6" s="14" t="n">
        <v>836226.05</v>
      </c>
      <c r="G6" s="14" t="n">
        <v>777690.23</v>
      </c>
      <c r="H6" s="15" t="n">
        <f aca="false">INDEX('Your Inputs'!$C$8:$C$10,MATCH($D6,'Your Inputs'!$B$8:$B$10,0))</f>
        <v>148</v>
      </c>
      <c r="I6" s="15" t="n">
        <f aca="false">INDEX('Your Inputs'!$D$8:$D$10,MATCH($D6,'Your Inputs'!$B$8:$B$10,0))</f>
        <v>78</v>
      </c>
      <c r="J6" s="15" t="n">
        <f aca="false">ROUND($E6*$H6,2)</f>
        <v>994560</v>
      </c>
      <c r="K6" s="15" t="n">
        <f aca="false">ROUND($E6*$I6,2)</f>
        <v>524160</v>
      </c>
      <c r="L6" s="15" t="n">
        <f aca="false">ROUND($F6*'Your Inputs'!$C$31,2)</f>
        <v>16724.52</v>
      </c>
      <c r="M6" s="15" t="n">
        <f aca="false">ROUND($G6-$K6-$L6,2)</f>
        <v>236805.71</v>
      </c>
      <c r="N6" s="15" t="n">
        <f aca="false">$G6/$E6</f>
        <v>115.727712797619</v>
      </c>
      <c r="O6" s="25" t="n">
        <f aca="false">$G6/$J6</f>
        <v>0.781944005389318</v>
      </c>
      <c r="P6" s="18" t="str">
        <f aca="false">$C6&amp;" | "&amp;$D6</f>
        <v>OEM key accounts | Structural adhesives</v>
      </c>
      <c r="Q6" s="25" t="n">
        <f aca="false">INDEX('Your Floors'!$K$20:$K$31,MATCH($P6,'Your Floors'!$D$20:$D$31,0))</f>
        <v>0.778791003638182</v>
      </c>
      <c r="R6" s="18" t="str">
        <f aca="false">IF($O6&lt;$Q6,"below the floor","at or above it")</f>
        <v>at or above it</v>
      </c>
      <c r="S6" s="15" t="n">
        <f aca="false">IF($O6&lt;$Q6,$E6*ROUND($Q6*$H6,2),$G6)</f>
        <v>777690.23</v>
      </c>
      <c r="T6" s="15" t="n">
        <f aca="false">IF($O6&lt;$Q6,ROUND($L6*$S6/$G6,2),$L6)</f>
        <v>16724.52</v>
      </c>
      <c r="U6" s="15" t="n">
        <f aca="false">ROUND(($S6-$G6)-($T6-$L6),2)</f>
        <v>0</v>
      </c>
      <c r="V6" s="15" t="n">
        <f aca="false">IF($O6&lt;$Q6,ROUND($S6-$K6-$T6,2),$M6)</f>
        <v>236805.71</v>
      </c>
    </row>
    <row r="7" customFormat="false" ht="15" hidden="false" customHeight="false" outlineLevel="0" collapsed="false">
      <c r="B7" s="13" t="s">
        <v>114</v>
      </c>
      <c r="C7" s="13" t="s">
        <v>115</v>
      </c>
      <c r="D7" s="13" t="s">
        <v>54</v>
      </c>
      <c r="E7" s="24" t="n">
        <v>8588</v>
      </c>
      <c r="F7" s="14" t="n">
        <v>389757.79</v>
      </c>
      <c r="G7" s="14" t="n">
        <v>362474.75</v>
      </c>
      <c r="H7" s="15" t="n">
        <f aca="false">INDEX('Your Inputs'!$C$8:$C$10,MATCH($D7,'Your Inputs'!$B$8:$B$10,0))</f>
        <v>62</v>
      </c>
      <c r="I7" s="15" t="n">
        <f aca="false">INDEX('Your Inputs'!$D$8:$D$10,MATCH($D7,'Your Inputs'!$B$8:$B$10,0))</f>
        <v>36</v>
      </c>
      <c r="J7" s="15" t="n">
        <f aca="false">ROUND($E7*$H7,2)</f>
        <v>532456</v>
      </c>
      <c r="K7" s="15" t="n">
        <f aca="false">ROUND($E7*$I7,2)</f>
        <v>309168</v>
      </c>
      <c r="L7" s="15" t="n">
        <f aca="false">ROUND($F7*'Your Inputs'!$C$31,2)</f>
        <v>7795.16</v>
      </c>
      <c r="M7" s="15" t="n">
        <f aca="false">ROUND($G7-$K7-$L7,2)</f>
        <v>45511.59</v>
      </c>
      <c r="N7" s="15" t="n">
        <f aca="false">$G7/$E7</f>
        <v>42.2071204005589</v>
      </c>
      <c r="O7" s="25" t="n">
        <f aca="false">$G7/$J7</f>
        <v>0.680760006460628</v>
      </c>
      <c r="P7" s="18" t="str">
        <f aca="false">$C7&amp;" | "&amp;$D7</f>
        <v>OEM key accounts | Sealants</v>
      </c>
      <c r="Q7" s="25" t="n">
        <f aca="false">INDEX('Your Floors'!$K$20:$K$31,MATCH($P7,'Your Floors'!$D$20:$D$31,0))</f>
        <v>0.678015003945501</v>
      </c>
      <c r="R7" s="18" t="str">
        <f aca="false">IF($O7&lt;$Q7,"below the floor","at or above it")</f>
        <v>at or above it</v>
      </c>
      <c r="S7" s="15" t="n">
        <f aca="false">IF($O7&lt;$Q7,$E7*ROUND($Q7*$H7,2),$G7)</f>
        <v>362474.75</v>
      </c>
      <c r="T7" s="15" t="n">
        <f aca="false">IF($O7&lt;$Q7,ROUND($L7*$S7/$G7,2),$L7)</f>
        <v>7795.16</v>
      </c>
      <c r="U7" s="15" t="n">
        <f aca="false">ROUND(($S7-$G7)-($T7-$L7),2)</f>
        <v>0</v>
      </c>
      <c r="V7" s="15" t="n">
        <f aca="false">IF($O7&lt;$Q7,ROUND($S7-$K7-$T7,2),$M7)</f>
        <v>45511.59</v>
      </c>
    </row>
    <row r="8" customFormat="false" ht="15" hidden="false" customHeight="false" outlineLevel="0" collapsed="false">
      <c r="B8" s="13" t="s">
        <v>114</v>
      </c>
      <c r="C8" s="13" t="s">
        <v>115</v>
      </c>
      <c r="D8" s="13" t="s">
        <v>56</v>
      </c>
      <c r="E8" s="24" t="n">
        <v>6487</v>
      </c>
      <c r="F8" s="14" t="n">
        <v>489732.17</v>
      </c>
      <c r="G8" s="14" t="n">
        <v>455450.91</v>
      </c>
      <c r="H8" s="15" t="n">
        <f aca="false">INDEX('Your Inputs'!$C$8:$C$10,MATCH($D8,'Your Inputs'!$B$8:$B$10,0))</f>
        <v>96</v>
      </c>
      <c r="I8" s="15" t="n">
        <f aca="false">INDEX('Your Inputs'!$D$8:$D$10,MATCH($D8,'Your Inputs'!$B$8:$B$10,0))</f>
        <v>58</v>
      </c>
      <c r="J8" s="15" t="n">
        <f aca="false">ROUND($E8*$H8,2)</f>
        <v>622752</v>
      </c>
      <c r="K8" s="15" t="n">
        <f aca="false">ROUND($E8*$I8,2)</f>
        <v>376246</v>
      </c>
      <c r="L8" s="15" t="n">
        <f aca="false">ROUND($F8*'Your Inputs'!$C$31,2)</f>
        <v>9794.64</v>
      </c>
      <c r="M8" s="15" t="n">
        <f aca="false">ROUND($G8-$K8-$L8,2)</f>
        <v>69410.27</v>
      </c>
      <c r="N8" s="15" t="n">
        <f aca="false">$G8/$E8</f>
        <v>70.2097903499306</v>
      </c>
      <c r="O8" s="25" t="n">
        <f aca="false">$G8/$J8</f>
        <v>0.731351982811777</v>
      </c>
      <c r="P8" s="18" t="str">
        <f aca="false">$C8&amp;" | "&amp;$D8</f>
        <v>OEM key accounts | Protective coatings</v>
      </c>
      <c r="Q8" s="25" t="n">
        <f aca="false">INDEX('Your Floors'!$K$20:$K$31,MATCH($P8,'Your Floors'!$D$20:$D$31,0))</f>
        <v>0.7284029857742</v>
      </c>
      <c r="R8" s="18" t="str">
        <f aca="false">IF($O8&lt;$Q8,"below the floor","at or above it")</f>
        <v>at or above it</v>
      </c>
      <c r="S8" s="15" t="n">
        <f aca="false">IF($O8&lt;$Q8,$E8*ROUND($Q8*$H8,2),$G8)</f>
        <v>455450.91</v>
      </c>
      <c r="T8" s="15" t="n">
        <f aca="false">IF($O8&lt;$Q8,ROUND($L8*$S8/$G8,2),$L8)</f>
        <v>9794.64</v>
      </c>
      <c r="U8" s="15" t="n">
        <f aca="false">ROUND(($S8-$G8)-($T8-$L8),2)</f>
        <v>0</v>
      </c>
      <c r="V8" s="15" t="n">
        <f aca="false">IF($O8&lt;$Q8,ROUND($S8-$K8-$T8,2),$M8)</f>
        <v>69410.27</v>
      </c>
    </row>
    <row r="9" customFormat="false" ht="15" hidden="false" customHeight="false" outlineLevel="0" collapsed="false">
      <c r="B9" s="13" t="s">
        <v>116</v>
      </c>
      <c r="C9" s="13" t="s">
        <v>115</v>
      </c>
      <c r="D9" s="13" t="s">
        <v>52</v>
      </c>
      <c r="E9" s="24" t="n">
        <v>6480</v>
      </c>
      <c r="F9" s="14" t="n">
        <v>827172</v>
      </c>
      <c r="G9" s="14" t="n">
        <v>769269.96</v>
      </c>
      <c r="H9" s="15" t="n">
        <f aca="false">INDEX('Your Inputs'!$C$8:$C$10,MATCH($D9,'Your Inputs'!$B$8:$B$10,0))</f>
        <v>148</v>
      </c>
      <c r="I9" s="15" t="n">
        <f aca="false">INDEX('Your Inputs'!$D$8:$D$10,MATCH($D9,'Your Inputs'!$B$8:$B$10,0))</f>
        <v>78</v>
      </c>
      <c r="J9" s="15" t="n">
        <f aca="false">ROUND($E9*$H9,2)</f>
        <v>959040</v>
      </c>
      <c r="K9" s="15" t="n">
        <f aca="false">ROUND($E9*$I9,2)</f>
        <v>505440</v>
      </c>
      <c r="L9" s="15" t="n">
        <f aca="false">ROUND($F9*'Your Inputs'!$C$31,2)</f>
        <v>16543.44</v>
      </c>
      <c r="M9" s="15" t="n">
        <f aca="false">ROUND($G9-$K9-$L9,2)</f>
        <v>247286.52</v>
      </c>
      <c r="N9" s="15" t="n">
        <f aca="false">$G9/$E9</f>
        <v>118.7145</v>
      </c>
      <c r="O9" s="25" t="n">
        <f aca="false">$G9/$J9</f>
        <v>0.802125</v>
      </c>
      <c r="P9" s="18" t="str">
        <f aca="false">$C9&amp;" | "&amp;$D9</f>
        <v>OEM key accounts | Structural adhesives</v>
      </c>
      <c r="Q9" s="25" t="n">
        <f aca="false">INDEX('Your Floors'!$K$20:$K$31,MATCH($P9,'Your Floors'!$D$20:$D$31,0))</f>
        <v>0.778791003638182</v>
      </c>
      <c r="R9" s="18" t="str">
        <f aca="false">IF($O9&lt;$Q9,"below the floor","at or above it")</f>
        <v>at or above it</v>
      </c>
      <c r="S9" s="15" t="n">
        <f aca="false">IF($O9&lt;$Q9,$E9*ROUND($Q9*$H9,2),$G9)</f>
        <v>769269.96</v>
      </c>
      <c r="T9" s="15" t="n">
        <f aca="false">IF($O9&lt;$Q9,ROUND($L9*$S9/$G9,2),$L9)</f>
        <v>16543.44</v>
      </c>
      <c r="U9" s="15" t="n">
        <f aca="false">ROUND(($S9-$G9)-($T9-$L9),2)</f>
        <v>0</v>
      </c>
      <c r="V9" s="15" t="n">
        <f aca="false">IF($O9&lt;$Q9,ROUND($S9-$K9-$T9,2),$M9)</f>
        <v>247286.52</v>
      </c>
    </row>
    <row r="10" customFormat="false" ht="15" hidden="false" customHeight="false" outlineLevel="0" collapsed="false">
      <c r="B10" s="13" t="s">
        <v>116</v>
      </c>
      <c r="C10" s="13" t="s">
        <v>115</v>
      </c>
      <c r="D10" s="13" t="s">
        <v>54</v>
      </c>
      <c r="E10" s="24" t="n">
        <v>8977</v>
      </c>
      <c r="F10" s="14" t="n">
        <v>432736.28</v>
      </c>
      <c r="G10" s="14" t="n">
        <v>402444.74</v>
      </c>
      <c r="H10" s="15" t="n">
        <f aca="false">INDEX('Your Inputs'!$C$8:$C$10,MATCH($D10,'Your Inputs'!$B$8:$B$10,0))</f>
        <v>62</v>
      </c>
      <c r="I10" s="15" t="n">
        <f aca="false">INDEX('Your Inputs'!$D$8:$D$10,MATCH($D10,'Your Inputs'!$B$8:$B$10,0))</f>
        <v>36</v>
      </c>
      <c r="J10" s="15" t="n">
        <f aca="false">ROUND($E10*$H10,2)</f>
        <v>556574</v>
      </c>
      <c r="K10" s="15" t="n">
        <f aca="false">ROUND($E10*$I10,2)</f>
        <v>323172</v>
      </c>
      <c r="L10" s="15" t="n">
        <f aca="false">ROUND($F10*'Your Inputs'!$C$31,2)</f>
        <v>8654.73</v>
      </c>
      <c r="M10" s="15" t="n">
        <f aca="false">ROUND($G10-$K10-$L10,2)</f>
        <v>70618.01</v>
      </c>
      <c r="N10" s="15" t="n">
        <f aca="false">$G10/$E10</f>
        <v>44.8306494374513</v>
      </c>
      <c r="O10" s="25" t="n">
        <f aca="false">$G10/$J10</f>
        <v>0.723074990926633</v>
      </c>
      <c r="P10" s="18" t="str">
        <f aca="false">$C10&amp;" | "&amp;$D10</f>
        <v>OEM key accounts | Sealants</v>
      </c>
      <c r="Q10" s="25" t="n">
        <f aca="false">INDEX('Your Floors'!$K$20:$K$31,MATCH($P10,'Your Floors'!$D$20:$D$31,0))</f>
        <v>0.678015003945501</v>
      </c>
      <c r="R10" s="18" t="str">
        <f aca="false">IF($O10&lt;$Q10,"below the floor","at or above it")</f>
        <v>at or above it</v>
      </c>
      <c r="S10" s="15" t="n">
        <f aca="false">IF($O10&lt;$Q10,$E10*ROUND($Q10*$H10,2),$G10)</f>
        <v>402444.74</v>
      </c>
      <c r="T10" s="15" t="n">
        <f aca="false">IF($O10&lt;$Q10,ROUND($L10*$S10/$G10,2),$L10)</f>
        <v>8654.73</v>
      </c>
      <c r="U10" s="15" t="n">
        <f aca="false">ROUND(($S10-$G10)-($T10-$L10),2)</f>
        <v>0</v>
      </c>
      <c r="V10" s="15" t="n">
        <f aca="false">IF($O10&lt;$Q10,ROUND($S10-$K10-$T10,2),$M10)</f>
        <v>70618.01</v>
      </c>
    </row>
    <row r="11" customFormat="false" ht="15" hidden="false" customHeight="false" outlineLevel="0" collapsed="false">
      <c r="B11" s="13" t="s">
        <v>116</v>
      </c>
      <c r="C11" s="13" t="s">
        <v>115</v>
      </c>
      <c r="D11" s="13" t="s">
        <v>56</v>
      </c>
      <c r="E11" s="24" t="n">
        <v>7713</v>
      </c>
      <c r="F11" s="14" t="n">
        <v>607167.36</v>
      </c>
      <c r="G11" s="14" t="n">
        <v>564665.64</v>
      </c>
      <c r="H11" s="15" t="n">
        <f aca="false">INDEX('Your Inputs'!$C$8:$C$10,MATCH($D11,'Your Inputs'!$B$8:$B$10,0))</f>
        <v>96</v>
      </c>
      <c r="I11" s="15" t="n">
        <f aca="false">INDEX('Your Inputs'!$D$8:$D$10,MATCH($D11,'Your Inputs'!$B$8:$B$10,0))</f>
        <v>58</v>
      </c>
      <c r="J11" s="15" t="n">
        <f aca="false">ROUND($E11*$H11,2)</f>
        <v>740448</v>
      </c>
      <c r="K11" s="15" t="n">
        <f aca="false">ROUND($E11*$I11,2)</f>
        <v>447354</v>
      </c>
      <c r="L11" s="15" t="n">
        <f aca="false">ROUND($F11*'Your Inputs'!$C$31,2)</f>
        <v>12143.35</v>
      </c>
      <c r="M11" s="15" t="n">
        <f aca="false">ROUND($G11-$K11-$L11,2)</f>
        <v>105168.29</v>
      </c>
      <c r="N11" s="15" t="n">
        <f aca="false">$G11/$E11</f>
        <v>73.2095993776741</v>
      </c>
      <c r="O11" s="25" t="n">
        <f aca="false">$G11/$J11</f>
        <v>0.762599993517438</v>
      </c>
      <c r="P11" s="18" t="str">
        <f aca="false">$C11&amp;" | "&amp;$D11</f>
        <v>OEM key accounts | Protective coatings</v>
      </c>
      <c r="Q11" s="25" t="n">
        <f aca="false">INDEX('Your Floors'!$K$20:$K$31,MATCH($P11,'Your Floors'!$D$20:$D$31,0))</f>
        <v>0.7284029857742</v>
      </c>
      <c r="R11" s="18" t="str">
        <f aca="false">IF($O11&lt;$Q11,"below the floor","at or above it")</f>
        <v>at or above it</v>
      </c>
      <c r="S11" s="15" t="n">
        <f aca="false">IF($O11&lt;$Q11,$E11*ROUND($Q11*$H11,2),$G11)</f>
        <v>564665.64</v>
      </c>
      <c r="T11" s="15" t="n">
        <f aca="false">IF($O11&lt;$Q11,ROUND($L11*$S11/$G11,2),$L11)</f>
        <v>12143.35</v>
      </c>
      <c r="U11" s="15" t="n">
        <f aca="false">ROUND(($S11-$G11)-($T11-$L11),2)</f>
        <v>0</v>
      </c>
      <c r="V11" s="15" t="n">
        <f aca="false">IF($O11&lt;$Q11,ROUND($S11-$K11-$T11,2),$M11)</f>
        <v>105168.29</v>
      </c>
    </row>
    <row r="12" customFormat="false" ht="15" hidden="false" customHeight="false" outlineLevel="0" collapsed="false">
      <c r="B12" s="13" t="s">
        <v>117</v>
      </c>
      <c r="C12" s="13" t="s">
        <v>115</v>
      </c>
      <c r="D12" s="13" t="s">
        <v>52</v>
      </c>
      <c r="E12" s="24" t="n">
        <v>8376</v>
      </c>
      <c r="F12" s="14" t="n">
        <v>1061510.58</v>
      </c>
      <c r="G12" s="14" t="n">
        <v>987204.84</v>
      </c>
      <c r="H12" s="15" t="n">
        <f aca="false">INDEX('Your Inputs'!$C$8:$C$10,MATCH($D12,'Your Inputs'!$B$8:$B$10,0))</f>
        <v>148</v>
      </c>
      <c r="I12" s="15" t="n">
        <f aca="false">INDEX('Your Inputs'!$D$8:$D$10,MATCH($D12,'Your Inputs'!$B$8:$B$10,0))</f>
        <v>78</v>
      </c>
      <c r="J12" s="15" t="n">
        <f aca="false">ROUND($E12*$H12,2)</f>
        <v>1239648</v>
      </c>
      <c r="K12" s="15" t="n">
        <f aca="false">ROUND($E12*$I12,2)</f>
        <v>653328</v>
      </c>
      <c r="L12" s="15" t="n">
        <f aca="false">ROUND($F12*'Your Inputs'!$C$31,2)</f>
        <v>21230.21</v>
      </c>
      <c r="M12" s="15" t="n">
        <f aca="false">ROUND($G12-$K12-$L12,2)</f>
        <v>312646.63</v>
      </c>
      <c r="N12" s="15" t="n">
        <f aca="false">$G12/$E12</f>
        <v>117.861131805158</v>
      </c>
      <c r="O12" s="25" t="n">
        <f aca="false">$G12/$J12</f>
        <v>0.796358998683497</v>
      </c>
      <c r="P12" s="18" t="str">
        <f aca="false">$C12&amp;" | "&amp;$D12</f>
        <v>OEM key accounts | Structural adhesives</v>
      </c>
      <c r="Q12" s="25" t="n">
        <f aca="false">INDEX('Your Floors'!$K$20:$K$31,MATCH($P12,'Your Floors'!$D$20:$D$31,0))</f>
        <v>0.778791003638182</v>
      </c>
      <c r="R12" s="18" t="str">
        <f aca="false">IF($O12&lt;$Q12,"below the floor","at or above it")</f>
        <v>at or above it</v>
      </c>
      <c r="S12" s="15" t="n">
        <f aca="false">IF($O12&lt;$Q12,$E12*ROUND($Q12*$H12,2),$G12)</f>
        <v>987204.84</v>
      </c>
      <c r="T12" s="15" t="n">
        <f aca="false">IF($O12&lt;$Q12,ROUND($L12*$S12/$G12,2),$L12)</f>
        <v>21230.21</v>
      </c>
      <c r="U12" s="15" t="n">
        <f aca="false">ROUND(($S12-$G12)-($T12-$L12),2)</f>
        <v>0</v>
      </c>
      <c r="V12" s="15" t="n">
        <f aca="false">IF($O12&lt;$Q12,ROUND($S12-$K12-$T12,2),$M12)</f>
        <v>312646.63</v>
      </c>
    </row>
    <row r="13" customFormat="false" ht="15" hidden="false" customHeight="false" outlineLevel="0" collapsed="false">
      <c r="B13" s="13" t="s">
        <v>117</v>
      </c>
      <c r="C13" s="13" t="s">
        <v>115</v>
      </c>
      <c r="D13" s="13" t="s">
        <v>54</v>
      </c>
      <c r="E13" s="24" t="n">
        <v>8159</v>
      </c>
      <c r="F13" s="14" t="n">
        <v>386728.44</v>
      </c>
      <c r="G13" s="14" t="n">
        <v>359657.45</v>
      </c>
      <c r="H13" s="15" t="n">
        <f aca="false">INDEX('Your Inputs'!$C$8:$C$10,MATCH($D13,'Your Inputs'!$B$8:$B$10,0))</f>
        <v>62</v>
      </c>
      <c r="I13" s="15" t="n">
        <f aca="false">INDEX('Your Inputs'!$D$8:$D$10,MATCH($D13,'Your Inputs'!$B$8:$B$10,0))</f>
        <v>36</v>
      </c>
      <c r="J13" s="15" t="n">
        <f aca="false">ROUND($E13*$H13,2)</f>
        <v>505858</v>
      </c>
      <c r="K13" s="15" t="n">
        <f aca="false">ROUND($E13*$I13,2)</f>
        <v>293724</v>
      </c>
      <c r="L13" s="15" t="n">
        <f aca="false">ROUND($F13*'Your Inputs'!$C$31,2)</f>
        <v>7734.57</v>
      </c>
      <c r="M13" s="15" t="n">
        <f aca="false">ROUND($G13-$K13-$L13,2)</f>
        <v>58198.88</v>
      </c>
      <c r="N13" s="15" t="n">
        <f aca="false">$G13/$E13</f>
        <v>44.0810699840667</v>
      </c>
      <c r="O13" s="25" t="n">
        <f aca="false">$G13/$J13</f>
        <v>0.710984999743011</v>
      </c>
      <c r="P13" s="18" t="str">
        <f aca="false">$C13&amp;" | "&amp;$D13</f>
        <v>OEM key accounts | Sealants</v>
      </c>
      <c r="Q13" s="25" t="n">
        <f aca="false">INDEX('Your Floors'!$K$20:$K$31,MATCH($P13,'Your Floors'!$D$20:$D$31,0))</f>
        <v>0.678015003945501</v>
      </c>
      <c r="R13" s="18" t="str">
        <f aca="false">IF($O13&lt;$Q13,"below the floor","at or above it")</f>
        <v>at or above it</v>
      </c>
      <c r="S13" s="15" t="n">
        <f aca="false">IF($O13&lt;$Q13,$E13*ROUND($Q13*$H13,2),$G13)</f>
        <v>359657.45</v>
      </c>
      <c r="T13" s="15" t="n">
        <f aca="false">IF($O13&lt;$Q13,ROUND($L13*$S13/$G13,2),$L13)</f>
        <v>7734.57</v>
      </c>
      <c r="U13" s="15" t="n">
        <f aca="false">ROUND(($S13-$G13)-($T13-$L13),2)</f>
        <v>0</v>
      </c>
      <c r="V13" s="15" t="n">
        <f aca="false">IF($O13&lt;$Q13,ROUND($S13-$K13-$T13,2),$M13)</f>
        <v>58198.88</v>
      </c>
    </row>
    <row r="14" customFormat="false" ht="15" hidden="false" customHeight="false" outlineLevel="0" collapsed="false">
      <c r="B14" s="13" t="s">
        <v>117</v>
      </c>
      <c r="C14" s="13" t="s">
        <v>115</v>
      </c>
      <c r="D14" s="13" t="s">
        <v>56</v>
      </c>
      <c r="E14" s="24" t="n">
        <v>8285</v>
      </c>
      <c r="F14" s="14" t="n">
        <v>644559.74</v>
      </c>
      <c r="G14" s="14" t="n">
        <v>599440.56</v>
      </c>
      <c r="H14" s="15" t="n">
        <f aca="false">INDEX('Your Inputs'!$C$8:$C$10,MATCH($D14,'Your Inputs'!$B$8:$B$10,0))</f>
        <v>96</v>
      </c>
      <c r="I14" s="15" t="n">
        <f aca="false">INDEX('Your Inputs'!$D$8:$D$10,MATCH($D14,'Your Inputs'!$B$8:$B$10,0))</f>
        <v>58</v>
      </c>
      <c r="J14" s="15" t="n">
        <f aca="false">ROUND($E14*$H14,2)</f>
        <v>795360</v>
      </c>
      <c r="K14" s="15" t="n">
        <f aca="false">ROUND($E14*$I14,2)</f>
        <v>480530</v>
      </c>
      <c r="L14" s="15" t="n">
        <f aca="false">ROUND($F14*'Your Inputs'!$C$31,2)</f>
        <v>12891.19</v>
      </c>
      <c r="M14" s="15" t="n">
        <f aca="false">ROUND($G14-$K14-$L14,2)</f>
        <v>106019.37</v>
      </c>
      <c r="N14" s="15" t="n">
        <f aca="false">$G14/$E14</f>
        <v>72.3525117682559</v>
      </c>
      <c r="O14" s="25" t="n">
        <f aca="false">$G14/$J14</f>
        <v>0.753671997585999</v>
      </c>
      <c r="P14" s="18" t="str">
        <f aca="false">$C14&amp;" | "&amp;$D14</f>
        <v>OEM key accounts | Protective coatings</v>
      </c>
      <c r="Q14" s="25" t="n">
        <f aca="false">INDEX('Your Floors'!$K$20:$K$31,MATCH($P14,'Your Floors'!$D$20:$D$31,0))</f>
        <v>0.7284029857742</v>
      </c>
      <c r="R14" s="18" t="str">
        <f aca="false">IF($O14&lt;$Q14,"below the floor","at or above it")</f>
        <v>at or above it</v>
      </c>
      <c r="S14" s="15" t="n">
        <f aca="false">IF($O14&lt;$Q14,$E14*ROUND($Q14*$H14,2),$G14)</f>
        <v>599440.56</v>
      </c>
      <c r="T14" s="15" t="n">
        <f aca="false">IF($O14&lt;$Q14,ROUND($L14*$S14/$G14,2),$L14)</f>
        <v>12891.19</v>
      </c>
      <c r="U14" s="15" t="n">
        <f aca="false">ROUND(($S14-$G14)-($T14-$L14),2)</f>
        <v>0</v>
      </c>
      <c r="V14" s="15" t="n">
        <f aca="false">IF($O14&lt;$Q14,ROUND($S14-$K14-$T14,2),$M14)</f>
        <v>106019.37</v>
      </c>
    </row>
    <row r="15" customFormat="false" ht="15" hidden="false" customHeight="false" outlineLevel="0" collapsed="false">
      <c r="B15" s="13" t="s">
        <v>118</v>
      </c>
      <c r="C15" s="13" t="s">
        <v>115</v>
      </c>
      <c r="D15" s="13" t="s">
        <v>52</v>
      </c>
      <c r="E15" s="24" t="n">
        <v>9741</v>
      </c>
      <c r="F15" s="14" t="n">
        <v>1243438.65</v>
      </c>
      <c r="G15" s="14" t="n">
        <v>1137746.37</v>
      </c>
      <c r="H15" s="15" t="n">
        <f aca="false">INDEX('Your Inputs'!$C$8:$C$10,MATCH($D15,'Your Inputs'!$B$8:$B$10,0))</f>
        <v>148</v>
      </c>
      <c r="I15" s="15" t="n">
        <f aca="false">INDEX('Your Inputs'!$D$8:$D$10,MATCH($D15,'Your Inputs'!$B$8:$B$10,0))</f>
        <v>78</v>
      </c>
      <c r="J15" s="15" t="n">
        <f aca="false">ROUND($E15*$H15,2)</f>
        <v>1441668</v>
      </c>
      <c r="K15" s="15" t="n">
        <f aca="false">ROUND($E15*$I15,2)</f>
        <v>759798</v>
      </c>
      <c r="L15" s="15" t="n">
        <f aca="false">ROUND($F15*'Your Inputs'!$C$31,2)</f>
        <v>24868.77</v>
      </c>
      <c r="M15" s="15" t="n">
        <f aca="false">ROUND($G15-$K15-$L15,2)</f>
        <v>353079.6</v>
      </c>
      <c r="N15" s="15" t="n">
        <f aca="false">$G15/$E15</f>
        <v>116.799750538959</v>
      </c>
      <c r="O15" s="25" t="n">
        <f aca="false">$G15/$J15</f>
        <v>0.789187503641615</v>
      </c>
      <c r="P15" s="18" t="str">
        <f aca="false">$C15&amp;" | "&amp;$D15</f>
        <v>OEM key accounts | Structural adhesives</v>
      </c>
      <c r="Q15" s="25" t="n">
        <f aca="false">INDEX('Your Floors'!$K$20:$K$31,MATCH($P15,'Your Floors'!$D$20:$D$31,0))</f>
        <v>0.778791003638182</v>
      </c>
      <c r="R15" s="18" t="str">
        <f aca="false">IF($O15&lt;$Q15,"below the floor","at or above it")</f>
        <v>at or above it</v>
      </c>
      <c r="S15" s="15" t="n">
        <f aca="false">IF($O15&lt;$Q15,$E15*ROUND($Q15*$H15,2),$G15)</f>
        <v>1137746.37</v>
      </c>
      <c r="T15" s="15" t="n">
        <f aca="false">IF($O15&lt;$Q15,ROUND($L15*$S15/$G15,2),$L15)</f>
        <v>24868.77</v>
      </c>
      <c r="U15" s="15" t="n">
        <f aca="false">ROUND(($S15-$G15)-($T15-$L15),2)</f>
        <v>0</v>
      </c>
      <c r="V15" s="15" t="n">
        <f aca="false">IF($O15&lt;$Q15,ROUND($S15-$K15-$T15,2),$M15)</f>
        <v>353079.6</v>
      </c>
    </row>
    <row r="16" customFormat="false" ht="15" hidden="false" customHeight="false" outlineLevel="0" collapsed="false">
      <c r="B16" s="13" t="s">
        <v>118</v>
      </c>
      <c r="C16" s="13" t="s">
        <v>115</v>
      </c>
      <c r="D16" s="13" t="s">
        <v>54</v>
      </c>
      <c r="E16" s="24" t="n">
        <v>8989</v>
      </c>
      <c r="F16" s="14" t="n">
        <v>433314.74</v>
      </c>
      <c r="G16" s="14" t="n">
        <v>396482.99</v>
      </c>
      <c r="H16" s="15" t="n">
        <f aca="false">INDEX('Your Inputs'!$C$8:$C$10,MATCH($D16,'Your Inputs'!$B$8:$B$10,0))</f>
        <v>62</v>
      </c>
      <c r="I16" s="15" t="n">
        <f aca="false">INDEX('Your Inputs'!$D$8:$D$10,MATCH($D16,'Your Inputs'!$B$8:$B$10,0))</f>
        <v>36</v>
      </c>
      <c r="J16" s="15" t="n">
        <f aca="false">ROUND($E16*$H16,2)</f>
        <v>557318</v>
      </c>
      <c r="K16" s="15" t="n">
        <f aca="false">ROUND($E16*$I16,2)</f>
        <v>323604</v>
      </c>
      <c r="L16" s="15" t="n">
        <f aca="false">ROUND($F16*'Your Inputs'!$C$31,2)</f>
        <v>8666.29</v>
      </c>
      <c r="M16" s="15" t="n">
        <f aca="false">ROUND($G16-$K16-$L16,2)</f>
        <v>64212.7</v>
      </c>
      <c r="N16" s="15" t="n">
        <f aca="false">$G16/$E16</f>
        <v>44.1075748136611</v>
      </c>
      <c r="O16" s="25" t="n">
        <f aca="false">$G16/$J16</f>
        <v>0.711412496994535</v>
      </c>
      <c r="P16" s="18" t="str">
        <f aca="false">$C16&amp;" | "&amp;$D16</f>
        <v>OEM key accounts | Sealants</v>
      </c>
      <c r="Q16" s="25" t="n">
        <f aca="false">INDEX('Your Floors'!$K$20:$K$31,MATCH($P16,'Your Floors'!$D$20:$D$31,0))</f>
        <v>0.678015003945501</v>
      </c>
      <c r="R16" s="18" t="str">
        <f aca="false">IF($O16&lt;$Q16,"below the floor","at or above it")</f>
        <v>at or above it</v>
      </c>
      <c r="S16" s="15" t="n">
        <f aca="false">IF($O16&lt;$Q16,$E16*ROUND($Q16*$H16,2),$G16)</f>
        <v>396482.99</v>
      </c>
      <c r="T16" s="15" t="n">
        <f aca="false">IF($O16&lt;$Q16,ROUND($L16*$S16/$G16,2),$L16)</f>
        <v>8666.29</v>
      </c>
      <c r="U16" s="15" t="n">
        <f aca="false">ROUND(($S16-$G16)-($T16-$L16),2)</f>
        <v>0</v>
      </c>
      <c r="V16" s="15" t="n">
        <f aca="false">IF($O16&lt;$Q16,ROUND($S16-$K16-$T16,2),$M16)</f>
        <v>64212.7</v>
      </c>
    </row>
    <row r="17" customFormat="false" ht="15" hidden="false" customHeight="false" outlineLevel="0" collapsed="false">
      <c r="B17" s="13" t="s">
        <v>118</v>
      </c>
      <c r="C17" s="13" t="s">
        <v>115</v>
      </c>
      <c r="D17" s="13" t="s">
        <v>56</v>
      </c>
      <c r="E17" s="24" t="n">
        <v>8843</v>
      </c>
      <c r="F17" s="14" t="n">
        <v>696120.96</v>
      </c>
      <c r="G17" s="14" t="n">
        <v>636950.68</v>
      </c>
      <c r="H17" s="15" t="n">
        <f aca="false">INDEX('Your Inputs'!$C$8:$C$10,MATCH($D17,'Your Inputs'!$B$8:$B$10,0))</f>
        <v>96</v>
      </c>
      <c r="I17" s="15" t="n">
        <f aca="false">INDEX('Your Inputs'!$D$8:$D$10,MATCH($D17,'Your Inputs'!$B$8:$B$10,0))</f>
        <v>58</v>
      </c>
      <c r="J17" s="15" t="n">
        <f aca="false">ROUND($E17*$H17,2)</f>
        <v>848928</v>
      </c>
      <c r="K17" s="15" t="n">
        <f aca="false">ROUND($E17*$I17,2)</f>
        <v>512894</v>
      </c>
      <c r="L17" s="15" t="n">
        <f aca="false">ROUND($F17*'Your Inputs'!$C$31,2)</f>
        <v>13922.42</v>
      </c>
      <c r="M17" s="15" t="n">
        <f aca="false">ROUND($G17-$K17-$L17,2)</f>
        <v>110134.26</v>
      </c>
      <c r="N17" s="15" t="n">
        <f aca="false">$G17/$E17</f>
        <v>72.0288001809341</v>
      </c>
      <c r="O17" s="25" t="n">
        <f aca="false">$G17/$J17</f>
        <v>0.75030000188473</v>
      </c>
      <c r="P17" s="18" t="str">
        <f aca="false">$C17&amp;" | "&amp;$D17</f>
        <v>OEM key accounts | Protective coatings</v>
      </c>
      <c r="Q17" s="25" t="n">
        <f aca="false">INDEX('Your Floors'!$K$20:$K$31,MATCH($P17,'Your Floors'!$D$20:$D$31,0))</f>
        <v>0.7284029857742</v>
      </c>
      <c r="R17" s="18" t="str">
        <f aca="false">IF($O17&lt;$Q17,"below the floor","at or above it")</f>
        <v>at or above it</v>
      </c>
      <c r="S17" s="15" t="n">
        <f aca="false">IF($O17&lt;$Q17,$E17*ROUND($Q17*$H17,2),$G17)</f>
        <v>636950.68</v>
      </c>
      <c r="T17" s="15" t="n">
        <f aca="false">IF($O17&lt;$Q17,ROUND($L17*$S17/$G17,2),$L17)</f>
        <v>13922.42</v>
      </c>
      <c r="U17" s="15" t="n">
        <f aca="false">ROUND(($S17-$G17)-($T17-$L17),2)</f>
        <v>0</v>
      </c>
      <c r="V17" s="15" t="n">
        <f aca="false">IF($O17&lt;$Q17,ROUND($S17-$K17-$T17,2),$M17)</f>
        <v>110134.26</v>
      </c>
    </row>
    <row r="18" customFormat="false" ht="15" hidden="false" customHeight="false" outlineLevel="0" collapsed="false">
      <c r="B18" s="13" t="s">
        <v>119</v>
      </c>
      <c r="C18" s="13" t="s">
        <v>115</v>
      </c>
      <c r="D18" s="13" t="s">
        <v>52</v>
      </c>
      <c r="E18" s="24" t="n">
        <v>15461</v>
      </c>
      <c r="F18" s="14" t="n">
        <v>1923942.1</v>
      </c>
      <c r="G18" s="14" t="n">
        <v>1760407.02</v>
      </c>
      <c r="H18" s="15" t="n">
        <f aca="false">INDEX('Your Inputs'!$C$8:$C$10,MATCH($D18,'Your Inputs'!$B$8:$B$10,0))</f>
        <v>148</v>
      </c>
      <c r="I18" s="15" t="n">
        <f aca="false">INDEX('Your Inputs'!$D$8:$D$10,MATCH($D18,'Your Inputs'!$B$8:$B$10,0))</f>
        <v>78</v>
      </c>
      <c r="J18" s="15" t="n">
        <f aca="false">ROUND($E18*$H18,2)</f>
        <v>2288228</v>
      </c>
      <c r="K18" s="15" t="n">
        <f aca="false">ROUND($E18*$I18,2)</f>
        <v>1205958</v>
      </c>
      <c r="L18" s="15" t="n">
        <f aca="false">ROUND($F18*'Your Inputs'!$C$31,2)</f>
        <v>38478.84</v>
      </c>
      <c r="M18" s="15" t="n">
        <f aca="false">ROUND($G18-$K18-$L18,2)</f>
        <v>515970.18</v>
      </c>
      <c r="N18" s="15" t="n">
        <f aca="false">$G18/$E18</f>
        <v>113.861135760947</v>
      </c>
      <c r="O18" s="25" t="n">
        <f aca="false">$G18/$J18</f>
        <v>0.769331998384776</v>
      </c>
      <c r="P18" s="18" t="str">
        <f aca="false">$C18&amp;" | "&amp;$D18</f>
        <v>OEM key accounts | Structural adhesives</v>
      </c>
      <c r="Q18" s="25" t="n">
        <f aca="false">INDEX('Your Floors'!$K$20:$K$31,MATCH($P18,'Your Floors'!$D$20:$D$31,0))</f>
        <v>0.778791003638182</v>
      </c>
      <c r="R18" s="18" t="str">
        <f aca="false">IF($O18&lt;$Q18,"below the floor","at or above it")</f>
        <v>below the floor</v>
      </c>
      <c r="S18" s="15" t="n">
        <f aca="false">IF($O18&lt;$Q18,$E18*ROUND($Q18*$H18,2),$G18)</f>
        <v>1782034.86</v>
      </c>
      <c r="T18" s="15" t="n">
        <f aca="false">IF($O18&lt;$Q18,ROUND($L18*$S18/$G18,2),$L18)</f>
        <v>38951.58</v>
      </c>
      <c r="U18" s="15" t="n">
        <f aca="false">ROUND(($S18-$G18)-($T18-$L18),2)</f>
        <v>21155.1</v>
      </c>
      <c r="V18" s="15" t="n">
        <f aca="false">IF($O18&lt;$Q18,ROUND($S18-$K18-$T18,2),$M18)</f>
        <v>537125.28</v>
      </c>
    </row>
    <row r="19" customFormat="false" ht="15" hidden="false" customHeight="false" outlineLevel="0" collapsed="false">
      <c r="B19" s="13" t="s">
        <v>119</v>
      </c>
      <c r="C19" s="13" t="s">
        <v>115</v>
      </c>
      <c r="D19" s="13" t="s">
        <v>54</v>
      </c>
      <c r="E19" s="24" t="n">
        <v>16488</v>
      </c>
      <c r="F19" s="14" t="n">
        <v>748291.39</v>
      </c>
      <c r="G19" s="14" t="n">
        <v>684686.62</v>
      </c>
      <c r="H19" s="15" t="n">
        <f aca="false">INDEX('Your Inputs'!$C$8:$C$10,MATCH($D19,'Your Inputs'!$B$8:$B$10,0))</f>
        <v>62</v>
      </c>
      <c r="I19" s="15" t="n">
        <f aca="false">INDEX('Your Inputs'!$D$8:$D$10,MATCH($D19,'Your Inputs'!$B$8:$B$10,0))</f>
        <v>36</v>
      </c>
      <c r="J19" s="15" t="n">
        <f aca="false">ROUND($E19*$H19,2)</f>
        <v>1022256</v>
      </c>
      <c r="K19" s="15" t="n">
        <f aca="false">ROUND($E19*$I19,2)</f>
        <v>593568</v>
      </c>
      <c r="L19" s="15" t="n">
        <f aca="false">ROUND($F19*'Your Inputs'!$C$31,2)</f>
        <v>14965.83</v>
      </c>
      <c r="M19" s="15" t="n">
        <f aca="false">ROUND($G19-$K19-$L19,2)</f>
        <v>76152.79</v>
      </c>
      <c r="N19" s="15" t="n">
        <f aca="false">$G19/$E19</f>
        <v>41.5263597768074</v>
      </c>
      <c r="O19" s="25" t="n">
        <f aca="false">$G19/$J19</f>
        <v>0.669779996400119</v>
      </c>
      <c r="P19" s="18" t="str">
        <f aca="false">$C19&amp;" | "&amp;$D19</f>
        <v>OEM key accounts | Sealants</v>
      </c>
      <c r="Q19" s="25" t="n">
        <f aca="false">INDEX('Your Floors'!$K$20:$K$31,MATCH($P19,'Your Floors'!$D$20:$D$31,0))</f>
        <v>0.678015003945501</v>
      </c>
      <c r="R19" s="18" t="str">
        <f aca="false">IF($O19&lt;$Q19,"below the floor","at or above it")</f>
        <v>below the floor</v>
      </c>
      <c r="S19" s="15" t="n">
        <f aca="false">IF($O19&lt;$Q19,$E19*ROUND($Q19*$H19,2),$G19)</f>
        <v>693155.52</v>
      </c>
      <c r="T19" s="15" t="n">
        <f aca="false">IF($O19&lt;$Q19,ROUND($L19*$S19/$G19,2),$L19)</f>
        <v>15150.94</v>
      </c>
      <c r="U19" s="15" t="n">
        <f aca="false">ROUND(($S19-$G19)-($T19-$L19),2)</f>
        <v>8283.79</v>
      </c>
      <c r="V19" s="15" t="n">
        <f aca="false">IF($O19&lt;$Q19,ROUND($S19-$K19-$T19,2),$M19)</f>
        <v>84436.58</v>
      </c>
    </row>
    <row r="20" customFormat="false" ht="15" hidden="false" customHeight="false" outlineLevel="0" collapsed="false">
      <c r="B20" s="13" t="s">
        <v>119</v>
      </c>
      <c r="C20" s="13" t="s">
        <v>115</v>
      </c>
      <c r="D20" s="13" t="s">
        <v>56</v>
      </c>
      <c r="E20" s="24" t="n">
        <v>15641</v>
      </c>
      <c r="F20" s="14" t="n">
        <v>1180807.91</v>
      </c>
      <c r="G20" s="14" t="n">
        <v>1080439.23</v>
      </c>
      <c r="H20" s="15" t="n">
        <f aca="false">INDEX('Your Inputs'!$C$8:$C$10,MATCH($D20,'Your Inputs'!$B$8:$B$10,0))</f>
        <v>96</v>
      </c>
      <c r="I20" s="15" t="n">
        <f aca="false">INDEX('Your Inputs'!$D$8:$D$10,MATCH($D20,'Your Inputs'!$B$8:$B$10,0))</f>
        <v>58</v>
      </c>
      <c r="J20" s="15" t="n">
        <f aca="false">ROUND($E20*$H20,2)</f>
        <v>1501536</v>
      </c>
      <c r="K20" s="15" t="n">
        <f aca="false">ROUND($E20*$I20,2)</f>
        <v>907178</v>
      </c>
      <c r="L20" s="15" t="n">
        <f aca="false">ROUND($F20*'Your Inputs'!$C$31,2)</f>
        <v>23616.16</v>
      </c>
      <c r="M20" s="15" t="n">
        <f aca="false">ROUND($G20-$K20-$L20,2)</f>
        <v>149645.07</v>
      </c>
      <c r="N20" s="15" t="n">
        <f aca="false">$G20/$E20</f>
        <v>69.0773754875008</v>
      </c>
      <c r="O20" s="25" t="n">
        <f aca="false">$G20/$J20</f>
        <v>0.719555994661467</v>
      </c>
      <c r="P20" s="18" t="str">
        <f aca="false">$C20&amp;" | "&amp;$D20</f>
        <v>OEM key accounts | Protective coatings</v>
      </c>
      <c r="Q20" s="25" t="n">
        <f aca="false">INDEX('Your Floors'!$K$20:$K$31,MATCH($P20,'Your Floors'!$D$20:$D$31,0))</f>
        <v>0.7284029857742</v>
      </c>
      <c r="R20" s="18" t="str">
        <f aca="false">IF($O20&lt;$Q20,"below the floor","at or above it")</f>
        <v>below the floor</v>
      </c>
      <c r="S20" s="15" t="n">
        <f aca="false">IF($O20&lt;$Q20,$E20*ROUND($Q20*$H20,2),$G20)</f>
        <v>1093775.13</v>
      </c>
      <c r="T20" s="15" t="n">
        <f aca="false">IF($O20&lt;$Q20,ROUND($L20*$S20/$G20,2),$L20)</f>
        <v>23907.66</v>
      </c>
      <c r="U20" s="15" t="n">
        <f aca="false">ROUND(($S20-$G20)-($T20-$L20),2)</f>
        <v>13044.4</v>
      </c>
      <c r="V20" s="15" t="n">
        <f aca="false">IF($O20&lt;$Q20,ROUND($S20-$K20-$T20,2),$M20)</f>
        <v>162689.47</v>
      </c>
    </row>
    <row r="21" customFormat="false" ht="15" hidden="false" customHeight="false" outlineLevel="0" collapsed="false">
      <c r="B21" s="13" t="s">
        <v>120</v>
      </c>
      <c r="C21" s="13" t="s">
        <v>115</v>
      </c>
      <c r="D21" s="13" t="s">
        <v>52</v>
      </c>
      <c r="E21" s="24" t="n">
        <v>6135</v>
      </c>
      <c r="F21" s="14" t="n">
        <v>777503.27</v>
      </c>
      <c r="G21" s="14" t="n">
        <v>723078.04</v>
      </c>
      <c r="H21" s="15" t="n">
        <f aca="false">INDEX('Your Inputs'!$C$8:$C$10,MATCH($D21,'Your Inputs'!$B$8:$B$10,0))</f>
        <v>148</v>
      </c>
      <c r="I21" s="15" t="n">
        <f aca="false">INDEX('Your Inputs'!$D$8:$D$10,MATCH($D21,'Your Inputs'!$B$8:$B$10,0))</f>
        <v>78</v>
      </c>
      <c r="J21" s="15" t="n">
        <f aca="false">ROUND($E21*$H21,2)</f>
        <v>907980</v>
      </c>
      <c r="K21" s="15" t="n">
        <f aca="false">ROUND($E21*$I21,2)</f>
        <v>478530</v>
      </c>
      <c r="L21" s="15" t="n">
        <f aca="false">ROUND($F21*'Your Inputs'!$C$31,2)</f>
        <v>15550.07</v>
      </c>
      <c r="M21" s="15" t="n">
        <f aca="false">ROUND($G21-$K21-$L21,2)</f>
        <v>228997.97</v>
      </c>
      <c r="N21" s="15" t="n">
        <f aca="false">$G21/$E21</f>
        <v>117.861131214344</v>
      </c>
      <c r="O21" s="25" t="n">
        <f aca="false">$G21/$J21</f>
        <v>0.796358994691513</v>
      </c>
      <c r="P21" s="18" t="str">
        <f aca="false">$C21&amp;" | "&amp;$D21</f>
        <v>OEM key accounts | Structural adhesives</v>
      </c>
      <c r="Q21" s="25" t="n">
        <f aca="false">INDEX('Your Floors'!$K$20:$K$31,MATCH($P21,'Your Floors'!$D$20:$D$31,0))</f>
        <v>0.778791003638182</v>
      </c>
      <c r="R21" s="18" t="str">
        <f aca="false">IF($O21&lt;$Q21,"below the floor","at or above it")</f>
        <v>at or above it</v>
      </c>
      <c r="S21" s="15" t="n">
        <f aca="false">IF($O21&lt;$Q21,$E21*ROUND($Q21*$H21,2),$G21)</f>
        <v>723078.04</v>
      </c>
      <c r="T21" s="15" t="n">
        <f aca="false">IF($O21&lt;$Q21,ROUND($L21*$S21/$G21,2),$L21)</f>
        <v>15550.07</v>
      </c>
      <c r="U21" s="15" t="n">
        <f aca="false">ROUND(($S21-$G21)-($T21-$L21),2)</f>
        <v>0</v>
      </c>
      <c r="V21" s="15" t="n">
        <f aca="false">IF($O21&lt;$Q21,ROUND($S21-$K21-$T21,2),$M21)</f>
        <v>228997.97</v>
      </c>
    </row>
    <row r="22" customFormat="false" ht="15" hidden="false" customHeight="false" outlineLevel="0" collapsed="false">
      <c r="B22" s="13" t="s">
        <v>120</v>
      </c>
      <c r="C22" s="13" t="s">
        <v>115</v>
      </c>
      <c r="D22" s="13" t="s">
        <v>54</v>
      </c>
      <c r="E22" s="24" t="n">
        <v>8000</v>
      </c>
      <c r="F22" s="14" t="n">
        <v>379192</v>
      </c>
      <c r="G22" s="14" t="n">
        <v>352648.56</v>
      </c>
      <c r="H22" s="15" t="n">
        <f aca="false">INDEX('Your Inputs'!$C$8:$C$10,MATCH($D22,'Your Inputs'!$B$8:$B$10,0))</f>
        <v>62</v>
      </c>
      <c r="I22" s="15" t="n">
        <f aca="false">INDEX('Your Inputs'!$D$8:$D$10,MATCH($D22,'Your Inputs'!$B$8:$B$10,0))</f>
        <v>36</v>
      </c>
      <c r="J22" s="15" t="n">
        <f aca="false">ROUND($E22*$H22,2)</f>
        <v>496000</v>
      </c>
      <c r="K22" s="15" t="n">
        <f aca="false">ROUND($E22*$I22,2)</f>
        <v>288000</v>
      </c>
      <c r="L22" s="15" t="n">
        <f aca="false">ROUND($F22*'Your Inputs'!$C$31,2)</f>
        <v>7583.84</v>
      </c>
      <c r="M22" s="15" t="n">
        <f aca="false">ROUND($G22-$K22-$L22,2)</f>
        <v>57064.72</v>
      </c>
      <c r="N22" s="15" t="n">
        <f aca="false">$G22/$E22</f>
        <v>44.08107</v>
      </c>
      <c r="O22" s="25" t="n">
        <f aca="false">$G22/$J22</f>
        <v>0.710985</v>
      </c>
      <c r="P22" s="18" t="str">
        <f aca="false">$C22&amp;" | "&amp;$D22</f>
        <v>OEM key accounts | Sealants</v>
      </c>
      <c r="Q22" s="25" t="n">
        <f aca="false">INDEX('Your Floors'!$K$20:$K$31,MATCH($P22,'Your Floors'!$D$20:$D$31,0))</f>
        <v>0.678015003945501</v>
      </c>
      <c r="R22" s="18" t="str">
        <f aca="false">IF($O22&lt;$Q22,"below the floor","at or above it")</f>
        <v>at or above it</v>
      </c>
      <c r="S22" s="15" t="n">
        <f aca="false">IF($O22&lt;$Q22,$E22*ROUND($Q22*$H22,2),$G22)</f>
        <v>352648.56</v>
      </c>
      <c r="T22" s="15" t="n">
        <f aca="false">IF($O22&lt;$Q22,ROUND($L22*$S22/$G22,2),$L22)</f>
        <v>7583.84</v>
      </c>
      <c r="U22" s="15" t="n">
        <f aca="false">ROUND(($S22-$G22)-($T22-$L22),2)</f>
        <v>0</v>
      </c>
      <c r="V22" s="15" t="n">
        <f aca="false">IF($O22&lt;$Q22,ROUND($S22-$K22-$T22,2),$M22)</f>
        <v>57064.72</v>
      </c>
    </row>
    <row r="23" customFormat="false" ht="15" hidden="false" customHeight="false" outlineLevel="0" collapsed="false">
      <c r="B23" s="13" t="s">
        <v>120</v>
      </c>
      <c r="C23" s="13" t="s">
        <v>115</v>
      </c>
      <c r="D23" s="13" t="s">
        <v>56</v>
      </c>
      <c r="E23" s="24" t="n">
        <v>6919</v>
      </c>
      <c r="F23" s="14" t="n">
        <v>538287.13</v>
      </c>
      <c r="G23" s="14" t="n">
        <v>500607.03</v>
      </c>
      <c r="H23" s="15" t="n">
        <f aca="false">INDEX('Your Inputs'!$C$8:$C$10,MATCH($D23,'Your Inputs'!$B$8:$B$10,0))</f>
        <v>96</v>
      </c>
      <c r="I23" s="15" t="n">
        <f aca="false">INDEX('Your Inputs'!$D$8:$D$10,MATCH($D23,'Your Inputs'!$B$8:$B$10,0))</f>
        <v>58</v>
      </c>
      <c r="J23" s="15" t="n">
        <f aca="false">ROUND($E23*$H23,2)</f>
        <v>664224</v>
      </c>
      <c r="K23" s="15" t="n">
        <f aca="false">ROUND($E23*$I23,2)</f>
        <v>401302</v>
      </c>
      <c r="L23" s="15" t="n">
        <f aca="false">ROUND($F23*'Your Inputs'!$C$31,2)</f>
        <v>10765.74</v>
      </c>
      <c r="M23" s="15" t="n">
        <f aca="false">ROUND($G23-$K23-$L23,2)</f>
        <v>88539.29</v>
      </c>
      <c r="N23" s="15" t="n">
        <f aca="false">$G23/$E23</f>
        <v>72.3525119236884</v>
      </c>
      <c r="O23" s="25" t="n">
        <f aca="false">$G23/$J23</f>
        <v>0.753671999205087</v>
      </c>
      <c r="P23" s="18" t="str">
        <f aca="false">$C23&amp;" | "&amp;$D23</f>
        <v>OEM key accounts | Protective coatings</v>
      </c>
      <c r="Q23" s="25" t="n">
        <f aca="false">INDEX('Your Floors'!$K$20:$K$31,MATCH($P23,'Your Floors'!$D$20:$D$31,0))</f>
        <v>0.7284029857742</v>
      </c>
      <c r="R23" s="18" t="str">
        <f aca="false">IF($O23&lt;$Q23,"below the floor","at or above it")</f>
        <v>at or above it</v>
      </c>
      <c r="S23" s="15" t="n">
        <f aca="false">IF($O23&lt;$Q23,$E23*ROUND($Q23*$H23,2),$G23)</f>
        <v>500607.03</v>
      </c>
      <c r="T23" s="15" t="n">
        <f aca="false">IF($O23&lt;$Q23,ROUND($L23*$S23/$G23,2),$L23)</f>
        <v>10765.74</v>
      </c>
      <c r="U23" s="15" t="n">
        <f aca="false">ROUND(($S23-$G23)-($T23-$L23),2)</f>
        <v>0</v>
      </c>
      <c r="V23" s="15" t="n">
        <f aca="false">IF($O23&lt;$Q23,ROUND($S23-$K23-$T23,2),$M23)</f>
        <v>88539.29</v>
      </c>
    </row>
    <row r="24" customFormat="false" ht="15" hidden="false" customHeight="false" outlineLevel="0" collapsed="false">
      <c r="B24" s="13" t="s">
        <v>121</v>
      </c>
      <c r="C24" s="13" t="s">
        <v>115</v>
      </c>
      <c r="D24" s="13" t="s">
        <v>52</v>
      </c>
      <c r="E24" s="24" t="n">
        <v>2168</v>
      </c>
      <c r="F24" s="14" t="n">
        <v>282713.27</v>
      </c>
      <c r="G24" s="14" t="n">
        <v>267164.03</v>
      </c>
      <c r="H24" s="15" t="n">
        <f aca="false">INDEX('Your Inputs'!$C$8:$C$10,MATCH($D24,'Your Inputs'!$B$8:$B$10,0))</f>
        <v>148</v>
      </c>
      <c r="I24" s="15" t="n">
        <f aca="false">INDEX('Your Inputs'!$D$8:$D$10,MATCH($D24,'Your Inputs'!$B$8:$B$10,0))</f>
        <v>78</v>
      </c>
      <c r="J24" s="15" t="n">
        <f aca="false">ROUND($E24*$H24,2)</f>
        <v>320864</v>
      </c>
      <c r="K24" s="15" t="n">
        <f aca="false">ROUND($E24*$I24,2)</f>
        <v>169104</v>
      </c>
      <c r="L24" s="15" t="n">
        <f aca="false">ROUND($F24*'Your Inputs'!$C$31,2)</f>
        <v>5654.27</v>
      </c>
      <c r="M24" s="15" t="n">
        <f aca="false">ROUND($G24-$K24-$L24,2)</f>
        <v>92405.76</v>
      </c>
      <c r="N24" s="15" t="n">
        <f aca="false">$G24/$E24</f>
        <v>123.230641143911</v>
      </c>
      <c r="O24" s="25" t="n">
        <f aca="false">$G24/$J24</f>
        <v>0.832639467188591</v>
      </c>
      <c r="P24" s="18" t="str">
        <f aca="false">$C24&amp;" | "&amp;$D24</f>
        <v>OEM key accounts | Structural adhesives</v>
      </c>
      <c r="Q24" s="25" t="n">
        <f aca="false">INDEX('Your Floors'!$K$20:$K$31,MATCH($P24,'Your Floors'!$D$20:$D$31,0))</f>
        <v>0.778791003638182</v>
      </c>
      <c r="R24" s="18" t="str">
        <f aca="false">IF($O24&lt;$Q24,"below the floor","at or above it")</f>
        <v>at or above it</v>
      </c>
      <c r="S24" s="15" t="n">
        <f aca="false">IF($O24&lt;$Q24,$E24*ROUND($Q24*$H24,2),$G24)</f>
        <v>267164.03</v>
      </c>
      <c r="T24" s="15" t="n">
        <f aca="false">IF($O24&lt;$Q24,ROUND($L24*$S24/$G24,2),$L24)</f>
        <v>5654.27</v>
      </c>
      <c r="U24" s="15" t="n">
        <f aca="false">ROUND(($S24-$G24)-($T24-$L24),2)</f>
        <v>0</v>
      </c>
      <c r="V24" s="15" t="n">
        <f aca="false">IF($O24&lt;$Q24,ROUND($S24-$K24-$T24,2),$M24)</f>
        <v>92405.76</v>
      </c>
    </row>
    <row r="25" customFormat="false" ht="15" hidden="false" customHeight="false" outlineLevel="0" collapsed="false">
      <c r="B25" s="13" t="s">
        <v>121</v>
      </c>
      <c r="C25" s="13" t="s">
        <v>115</v>
      </c>
      <c r="D25" s="13" t="s">
        <v>54</v>
      </c>
      <c r="E25" s="24" t="n">
        <v>3445</v>
      </c>
      <c r="F25" s="14" t="n">
        <v>174396.23</v>
      </c>
      <c r="G25" s="14" t="n">
        <v>164804.44</v>
      </c>
      <c r="H25" s="15" t="n">
        <f aca="false">INDEX('Your Inputs'!$C$8:$C$10,MATCH($D25,'Your Inputs'!$B$8:$B$10,0))</f>
        <v>62</v>
      </c>
      <c r="I25" s="15" t="n">
        <f aca="false">INDEX('Your Inputs'!$D$8:$D$10,MATCH($D25,'Your Inputs'!$B$8:$B$10,0))</f>
        <v>36</v>
      </c>
      <c r="J25" s="15" t="n">
        <f aca="false">ROUND($E25*$H25,2)</f>
        <v>213590</v>
      </c>
      <c r="K25" s="15" t="n">
        <f aca="false">ROUND($E25*$I25,2)</f>
        <v>124020</v>
      </c>
      <c r="L25" s="15" t="n">
        <f aca="false">ROUND($F25*'Your Inputs'!$C$31,2)</f>
        <v>3487.92</v>
      </c>
      <c r="M25" s="15" t="n">
        <f aca="false">ROUND($G25-$K25-$L25,2)</f>
        <v>37296.52</v>
      </c>
      <c r="N25" s="15" t="n">
        <f aca="false">$G25/$E25</f>
        <v>47.8387343976778</v>
      </c>
      <c r="O25" s="25" t="n">
        <f aca="false">$G25/$J25</f>
        <v>0.771592490285126</v>
      </c>
      <c r="P25" s="18" t="str">
        <f aca="false">$C25&amp;" | "&amp;$D25</f>
        <v>OEM key accounts | Sealants</v>
      </c>
      <c r="Q25" s="25" t="n">
        <f aca="false">INDEX('Your Floors'!$K$20:$K$31,MATCH($P25,'Your Floors'!$D$20:$D$31,0))</f>
        <v>0.678015003945501</v>
      </c>
      <c r="R25" s="18" t="str">
        <f aca="false">IF($O25&lt;$Q25,"below the floor","at or above it")</f>
        <v>at or above it</v>
      </c>
      <c r="S25" s="15" t="n">
        <f aca="false">IF($O25&lt;$Q25,$E25*ROUND($Q25*$H25,2),$G25)</f>
        <v>164804.44</v>
      </c>
      <c r="T25" s="15" t="n">
        <f aca="false">IF($O25&lt;$Q25,ROUND($L25*$S25/$G25,2),$L25)</f>
        <v>3487.92</v>
      </c>
      <c r="U25" s="15" t="n">
        <f aca="false">ROUND(($S25-$G25)-($T25-$L25),2)</f>
        <v>0</v>
      </c>
      <c r="V25" s="15" t="n">
        <f aca="false">IF($O25&lt;$Q25,ROUND($S25-$K25-$T25,2),$M25)</f>
        <v>37296.52</v>
      </c>
    </row>
    <row r="26" customFormat="false" ht="15" hidden="false" customHeight="false" outlineLevel="0" collapsed="false">
      <c r="B26" s="13" t="s">
        <v>121</v>
      </c>
      <c r="C26" s="13" t="s">
        <v>115</v>
      </c>
      <c r="D26" s="13" t="s">
        <v>56</v>
      </c>
      <c r="E26" s="24" t="n">
        <v>2814</v>
      </c>
      <c r="F26" s="14" t="n">
        <v>229298.23</v>
      </c>
      <c r="G26" s="14" t="n">
        <v>216686.83</v>
      </c>
      <c r="H26" s="15" t="n">
        <f aca="false">INDEX('Your Inputs'!$C$8:$C$10,MATCH($D26,'Your Inputs'!$B$8:$B$10,0))</f>
        <v>96</v>
      </c>
      <c r="I26" s="15" t="n">
        <f aca="false">INDEX('Your Inputs'!$D$8:$D$10,MATCH($D26,'Your Inputs'!$B$8:$B$10,0))</f>
        <v>58</v>
      </c>
      <c r="J26" s="15" t="n">
        <f aca="false">ROUND($E26*$H26,2)</f>
        <v>270144</v>
      </c>
      <c r="K26" s="15" t="n">
        <f aca="false">ROUND($E26*$I26,2)</f>
        <v>163212</v>
      </c>
      <c r="L26" s="15" t="n">
        <f aca="false">ROUND($F26*'Your Inputs'!$C$31,2)</f>
        <v>4585.96</v>
      </c>
      <c r="M26" s="15" t="n">
        <f aca="false">ROUND($G26-$K26-$L26,2)</f>
        <v>48888.87</v>
      </c>
      <c r="N26" s="15" t="n">
        <f aca="false">$G26/$E26</f>
        <v>77.0031378820185</v>
      </c>
      <c r="O26" s="25" t="n">
        <f aca="false">$G26/$J26</f>
        <v>0.802116019604359</v>
      </c>
      <c r="P26" s="18" t="str">
        <f aca="false">$C26&amp;" | "&amp;$D26</f>
        <v>OEM key accounts | Protective coatings</v>
      </c>
      <c r="Q26" s="25" t="n">
        <f aca="false">INDEX('Your Floors'!$K$20:$K$31,MATCH($P26,'Your Floors'!$D$20:$D$31,0))</f>
        <v>0.7284029857742</v>
      </c>
      <c r="R26" s="18" t="str">
        <f aca="false">IF($O26&lt;$Q26,"below the floor","at or above it")</f>
        <v>at or above it</v>
      </c>
      <c r="S26" s="15" t="n">
        <f aca="false">IF($O26&lt;$Q26,$E26*ROUND($Q26*$H26,2),$G26)</f>
        <v>216686.83</v>
      </c>
      <c r="T26" s="15" t="n">
        <f aca="false">IF($O26&lt;$Q26,ROUND($L26*$S26/$G26,2),$L26)</f>
        <v>4585.96</v>
      </c>
      <c r="U26" s="15" t="n">
        <f aca="false">ROUND(($S26-$G26)-($T26-$L26),2)</f>
        <v>0</v>
      </c>
      <c r="V26" s="15" t="n">
        <f aca="false">IF($O26&lt;$Q26,ROUND($S26-$K26-$T26,2),$M26)</f>
        <v>48888.87</v>
      </c>
    </row>
    <row r="27" customFormat="false" ht="15" hidden="false" customHeight="false" outlineLevel="0" collapsed="false">
      <c r="B27" s="13" t="s">
        <v>122</v>
      </c>
      <c r="C27" s="13" t="s">
        <v>115</v>
      </c>
      <c r="D27" s="13" t="s">
        <v>52</v>
      </c>
      <c r="E27" s="24" t="n">
        <v>10575</v>
      </c>
      <c r="F27" s="14" t="n">
        <v>1320787.89</v>
      </c>
      <c r="G27" s="14" t="n">
        <v>1228332.73</v>
      </c>
      <c r="H27" s="15" t="n">
        <f aca="false">INDEX('Your Inputs'!$C$8:$C$10,MATCH($D27,'Your Inputs'!$B$8:$B$10,0))</f>
        <v>148</v>
      </c>
      <c r="I27" s="15" t="n">
        <f aca="false">INDEX('Your Inputs'!$D$8:$D$10,MATCH($D27,'Your Inputs'!$B$8:$B$10,0))</f>
        <v>78</v>
      </c>
      <c r="J27" s="15" t="n">
        <f aca="false">ROUND($E27*$H27,2)</f>
        <v>1565100</v>
      </c>
      <c r="K27" s="15" t="n">
        <f aca="false">ROUND($E27*$I27,2)</f>
        <v>824850</v>
      </c>
      <c r="L27" s="15" t="n">
        <f aca="false">ROUND($F27*'Your Inputs'!$C$31,2)</f>
        <v>26415.76</v>
      </c>
      <c r="M27" s="15" t="n">
        <f aca="false">ROUND($G27-$K27-$L27,2)</f>
        <v>377066.97</v>
      </c>
      <c r="N27" s="15" t="n">
        <f aca="false">$G27/$E27</f>
        <v>116.154395271868</v>
      </c>
      <c r="O27" s="25" t="n">
        <f aca="false">$G27/$J27</f>
        <v>0.784826995080187</v>
      </c>
      <c r="P27" s="18" t="str">
        <f aca="false">$C27&amp;" | "&amp;$D27</f>
        <v>OEM key accounts | Structural adhesives</v>
      </c>
      <c r="Q27" s="25" t="n">
        <f aca="false">INDEX('Your Floors'!$K$20:$K$31,MATCH($P27,'Your Floors'!$D$20:$D$31,0))</f>
        <v>0.778791003638182</v>
      </c>
      <c r="R27" s="18" t="str">
        <f aca="false">IF($O27&lt;$Q27,"below the floor","at or above it")</f>
        <v>at or above it</v>
      </c>
      <c r="S27" s="15" t="n">
        <f aca="false">IF($O27&lt;$Q27,$E27*ROUND($Q27*$H27,2),$G27)</f>
        <v>1228332.73</v>
      </c>
      <c r="T27" s="15" t="n">
        <f aca="false">IF($O27&lt;$Q27,ROUND($L27*$S27/$G27,2),$L27)</f>
        <v>26415.76</v>
      </c>
      <c r="U27" s="15" t="n">
        <f aca="false">ROUND(($S27-$G27)-($T27-$L27),2)</f>
        <v>0</v>
      </c>
      <c r="V27" s="15" t="n">
        <f aca="false">IF($O27&lt;$Q27,ROUND($S27-$K27-$T27,2),$M27)</f>
        <v>377066.97</v>
      </c>
    </row>
    <row r="28" customFormat="false" ht="15" hidden="false" customHeight="false" outlineLevel="0" collapsed="false">
      <c r="B28" s="13" t="s">
        <v>122</v>
      </c>
      <c r="C28" s="13" t="s">
        <v>115</v>
      </c>
      <c r="D28" s="13" t="s">
        <v>54</v>
      </c>
      <c r="E28" s="24" t="n">
        <v>10900</v>
      </c>
      <c r="F28" s="14" t="n">
        <v>499078.3</v>
      </c>
      <c r="G28" s="14" t="n">
        <v>464142.82</v>
      </c>
      <c r="H28" s="15" t="n">
        <f aca="false">INDEX('Your Inputs'!$C$8:$C$10,MATCH($D28,'Your Inputs'!$B$8:$B$10,0))</f>
        <v>62</v>
      </c>
      <c r="I28" s="15" t="n">
        <f aca="false">INDEX('Your Inputs'!$D$8:$D$10,MATCH($D28,'Your Inputs'!$B$8:$B$10,0))</f>
        <v>36</v>
      </c>
      <c r="J28" s="15" t="n">
        <f aca="false">ROUND($E28*$H28,2)</f>
        <v>675800</v>
      </c>
      <c r="K28" s="15" t="n">
        <f aca="false">ROUND($E28*$I28,2)</f>
        <v>392400</v>
      </c>
      <c r="L28" s="15" t="n">
        <f aca="false">ROUND($F28*'Your Inputs'!$C$31,2)</f>
        <v>9981.57</v>
      </c>
      <c r="M28" s="15" t="n">
        <f aca="false">ROUND($G28-$K28-$L28,2)</f>
        <v>61761.25</v>
      </c>
      <c r="N28" s="15" t="n">
        <f aca="false">$G28/$E28</f>
        <v>42.5819100917431</v>
      </c>
      <c r="O28" s="25" t="n">
        <f aca="false">$G28/$J28</f>
        <v>0.686805001479728</v>
      </c>
      <c r="P28" s="18" t="str">
        <f aca="false">$C28&amp;" | "&amp;$D28</f>
        <v>OEM key accounts | Sealants</v>
      </c>
      <c r="Q28" s="25" t="n">
        <f aca="false">INDEX('Your Floors'!$K$20:$K$31,MATCH($P28,'Your Floors'!$D$20:$D$31,0))</f>
        <v>0.678015003945501</v>
      </c>
      <c r="R28" s="18" t="str">
        <f aca="false">IF($O28&lt;$Q28,"below the floor","at or above it")</f>
        <v>at or above it</v>
      </c>
      <c r="S28" s="15" t="n">
        <f aca="false">IF($O28&lt;$Q28,$E28*ROUND($Q28*$H28,2),$G28)</f>
        <v>464142.82</v>
      </c>
      <c r="T28" s="15" t="n">
        <f aca="false">IF($O28&lt;$Q28,ROUND($L28*$S28/$G28,2),$L28)</f>
        <v>9981.57</v>
      </c>
      <c r="U28" s="15" t="n">
        <f aca="false">ROUND(($S28-$G28)-($T28-$L28),2)</f>
        <v>0</v>
      </c>
      <c r="V28" s="15" t="n">
        <f aca="false">IF($O28&lt;$Q28,ROUND($S28-$K28-$T28,2),$M28)</f>
        <v>61761.25</v>
      </c>
    </row>
    <row r="29" customFormat="false" ht="15" hidden="false" customHeight="false" outlineLevel="0" collapsed="false">
      <c r="B29" s="13" t="s">
        <v>122</v>
      </c>
      <c r="C29" s="13" t="s">
        <v>115</v>
      </c>
      <c r="D29" s="13" t="s">
        <v>56</v>
      </c>
      <c r="E29" s="24" t="n">
        <v>3179</v>
      </c>
      <c r="F29" s="14" t="n">
        <v>241461.58</v>
      </c>
      <c r="G29" s="14" t="n">
        <v>224559.26</v>
      </c>
      <c r="H29" s="15" t="n">
        <f aca="false">INDEX('Your Inputs'!$C$8:$C$10,MATCH($D29,'Your Inputs'!$B$8:$B$10,0))</f>
        <v>96</v>
      </c>
      <c r="I29" s="15" t="n">
        <f aca="false">INDEX('Your Inputs'!$D$8:$D$10,MATCH($D29,'Your Inputs'!$B$8:$B$10,0))</f>
        <v>58</v>
      </c>
      <c r="J29" s="15" t="n">
        <f aca="false">ROUND($E29*$H29,2)</f>
        <v>305184</v>
      </c>
      <c r="K29" s="15" t="n">
        <f aca="false">ROUND($E29*$I29,2)</f>
        <v>184382</v>
      </c>
      <c r="L29" s="15" t="n">
        <f aca="false">ROUND($F29*'Your Inputs'!$C$31,2)</f>
        <v>4829.23</v>
      </c>
      <c r="M29" s="15" t="n">
        <f aca="false">ROUND($G29-$K29-$L29,2)</f>
        <v>35348.03</v>
      </c>
      <c r="N29" s="15" t="n">
        <f aca="false">$G29/$E29</f>
        <v>70.6383328090595</v>
      </c>
      <c r="O29" s="25" t="n">
        <f aca="false">$G29/$J29</f>
        <v>0.735815966761036</v>
      </c>
      <c r="P29" s="18" t="str">
        <f aca="false">$C29&amp;" | "&amp;$D29</f>
        <v>OEM key accounts | Protective coatings</v>
      </c>
      <c r="Q29" s="25" t="n">
        <f aca="false">INDEX('Your Floors'!$K$20:$K$31,MATCH($P29,'Your Floors'!$D$20:$D$31,0))</f>
        <v>0.7284029857742</v>
      </c>
      <c r="R29" s="18" t="str">
        <f aca="false">IF($O29&lt;$Q29,"below the floor","at or above it")</f>
        <v>at or above it</v>
      </c>
      <c r="S29" s="15" t="n">
        <f aca="false">IF($O29&lt;$Q29,$E29*ROUND($Q29*$H29,2),$G29)</f>
        <v>224559.26</v>
      </c>
      <c r="T29" s="15" t="n">
        <f aca="false">IF($O29&lt;$Q29,ROUND($L29*$S29/$G29,2),$L29)</f>
        <v>4829.23</v>
      </c>
      <c r="U29" s="15" t="n">
        <f aca="false">ROUND(($S29-$G29)-($T29-$L29),2)</f>
        <v>0</v>
      </c>
      <c r="V29" s="15" t="n">
        <f aca="false">IF($O29&lt;$Q29,ROUND($S29-$K29-$T29,2),$M29)</f>
        <v>35348.03</v>
      </c>
    </row>
    <row r="30" customFormat="false" ht="15" hidden="false" customHeight="false" outlineLevel="0" collapsed="false">
      <c r="B30" s="13" t="s">
        <v>123</v>
      </c>
      <c r="C30" s="13" t="s">
        <v>115</v>
      </c>
      <c r="D30" s="13" t="s">
        <v>52</v>
      </c>
      <c r="E30" s="24" t="n">
        <v>4179</v>
      </c>
      <c r="F30" s="14" t="n">
        <v>554539.93</v>
      </c>
      <c r="G30" s="14" t="n">
        <v>515722.13</v>
      </c>
      <c r="H30" s="15" t="n">
        <f aca="false">INDEX('Your Inputs'!$C$8:$C$10,MATCH($D30,'Your Inputs'!$B$8:$B$10,0))</f>
        <v>148</v>
      </c>
      <c r="I30" s="15" t="n">
        <f aca="false">INDEX('Your Inputs'!$D$8:$D$10,MATCH($D30,'Your Inputs'!$B$8:$B$10,0))</f>
        <v>78</v>
      </c>
      <c r="J30" s="15" t="n">
        <f aca="false">ROUND($E30*$H30,2)</f>
        <v>618492</v>
      </c>
      <c r="K30" s="15" t="n">
        <f aca="false">ROUND($E30*$I30,2)</f>
        <v>325962</v>
      </c>
      <c r="L30" s="15" t="n">
        <f aca="false">ROUND($F30*'Your Inputs'!$C$31,2)</f>
        <v>11090.8</v>
      </c>
      <c r="M30" s="15" t="n">
        <f aca="false">ROUND($G30-$K30-$L30,2)</f>
        <v>178669.33</v>
      </c>
      <c r="N30" s="15" t="n">
        <f aca="false">$G30/$E30</f>
        <v>123.408023450586</v>
      </c>
      <c r="O30" s="25" t="n">
        <f aca="false">$G30/$J30</f>
        <v>0.833837996287745</v>
      </c>
      <c r="P30" s="18" t="str">
        <f aca="false">$C30&amp;" | "&amp;$D30</f>
        <v>OEM key accounts | Structural adhesives</v>
      </c>
      <c r="Q30" s="25" t="n">
        <f aca="false">INDEX('Your Floors'!$K$20:$K$31,MATCH($P30,'Your Floors'!$D$20:$D$31,0))</f>
        <v>0.778791003638182</v>
      </c>
      <c r="R30" s="18" t="str">
        <f aca="false">IF($O30&lt;$Q30,"below the floor","at or above it")</f>
        <v>at or above it</v>
      </c>
      <c r="S30" s="15" t="n">
        <f aca="false">IF($O30&lt;$Q30,$E30*ROUND($Q30*$H30,2),$G30)</f>
        <v>515722.13</v>
      </c>
      <c r="T30" s="15" t="n">
        <f aca="false">IF($O30&lt;$Q30,ROUND($L30*$S30/$G30,2),$L30)</f>
        <v>11090.8</v>
      </c>
      <c r="U30" s="15" t="n">
        <f aca="false">ROUND(($S30-$G30)-($T30-$L30),2)</f>
        <v>0</v>
      </c>
      <c r="V30" s="15" t="n">
        <f aca="false">IF($O30&lt;$Q30,ROUND($S30-$K30-$T30,2),$M30)</f>
        <v>178669.33</v>
      </c>
    </row>
    <row r="31" customFormat="false" ht="15" hidden="false" customHeight="false" outlineLevel="0" collapsed="false">
      <c r="B31" s="13" t="s">
        <v>123</v>
      </c>
      <c r="C31" s="13" t="s">
        <v>115</v>
      </c>
      <c r="D31" s="13" t="s">
        <v>54</v>
      </c>
      <c r="E31" s="24" t="n">
        <v>3592</v>
      </c>
      <c r="F31" s="14" t="n">
        <v>189075.7</v>
      </c>
      <c r="G31" s="14" t="n">
        <v>175840.4</v>
      </c>
      <c r="H31" s="15" t="n">
        <f aca="false">INDEX('Your Inputs'!$C$8:$C$10,MATCH($D31,'Your Inputs'!$B$8:$B$10,0))</f>
        <v>62</v>
      </c>
      <c r="I31" s="15" t="n">
        <f aca="false">INDEX('Your Inputs'!$D$8:$D$10,MATCH($D31,'Your Inputs'!$B$8:$B$10,0))</f>
        <v>36</v>
      </c>
      <c r="J31" s="15" t="n">
        <f aca="false">ROUND($E31*$H31,2)</f>
        <v>222704</v>
      </c>
      <c r="K31" s="15" t="n">
        <f aca="false">ROUND($E31*$I31,2)</f>
        <v>129312</v>
      </c>
      <c r="L31" s="15" t="n">
        <f aca="false">ROUND($F31*'Your Inputs'!$C$31,2)</f>
        <v>3781.51</v>
      </c>
      <c r="M31" s="15" t="n">
        <f aca="false">ROUND($G31-$K31-$L31,2)</f>
        <v>42746.89</v>
      </c>
      <c r="N31" s="15" t="n">
        <f aca="false">$G31/$E31</f>
        <v>48.9533407572383</v>
      </c>
      <c r="O31" s="25" t="n">
        <f aca="false">$G31/$J31</f>
        <v>0.789570012213521</v>
      </c>
      <c r="P31" s="18" t="str">
        <f aca="false">$C31&amp;" | "&amp;$D31</f>
        <v>OEM key accounts | Sealants</v>
      </c>
      <c r="Q31" s="25" t="n">
        <f aca="false">INDEX('Your Floors'!$K$20:$K$31,MATCH($P31,'Your Floors'!$D$20:$D$31,0))</f>
        <v>0.678015003945501</v>
      </c>
      <c r="R31" s="18" t="str">
        <f aca="false">IF($O31&lt;$Q31,"below the floor","at or above it")</f>
        <v>at or above it</v>
      </c>
      <c r="S31" s="15" t="n">
        <f aca="false">IF($O31&lt;$Q31,$E31*ROUND($Q31*$H31,2),$G31)</f>
        <v>175840.4</v>
      </c>
      <c r="T31" s="15" t="n">
        <f aca="false">IF($O31&lt;$Q31,ROUND($L31*$S31/$G31,2),$L31)</f>
        <v>3781.51</v>
      </c>
      <c r="U31" s="15" t="n">
        <f aca="false">ROUND(($S31-$G31)-($T31-$L31),2)</f>
        <v>0</v>
      </c>
      <c r="V31" s="15" t="n">
        <f aca="false">IF($O31&lt;$Q31,ROUND($S31-$K31-$T31,2),$M31)</f>
        <v>42746.89</v>
      </c>
    </row>
    <row r="32" customFormat="false" ht="15" hidden="false" customHeight="false" outlineLevel="0" collapsed="false">
      <c r="B32" s="13" t="s">
        <v>123</v>
      </c>
      <c r="C32" s="13" t="s">
        <v>115</v>
      </c>
      <c r="D32" s="13" t="s">
        <v>56</v>
      </c>
      <c r="E32" s="24" t="n">
        <v>3193</v>
      </c>
      <c r="F32" s="14" t="n">
        <v>267537.64</v>
      </c>
      <c r="G32" s="14" t="n">
        <v>248810</v>
      </c>
      <c r="H32" s="15" t="n">
        <f aca="false">INDEX('Your Inputs'!$C$8:$C$10,MATCH($D32,'Your Inputs'!$B$8:$B$10,0))</f>
        <v>96</v>
      </c>
      <c r="I32" s="15" t="n">
        <f aca="false">INDEX('Your Inputs'!$D$8:$D$10,MATCH($D32,'Your Inputs'!$B$8:$B$10,0))</f>
        <v>58</v>
      </c>
      <c r="J32" s="15" t="n">
        <f aca="false">ROUND($E32*$H32,2)</f>
        <v>306528</v>
      </c>
      <c r="K32" s="15" t="n">
        <f aca="false">ROUND($E32*$I32,2)</f>
        <v>185194</v>
      </c>
      <c r="L32" s="15" t="n">
        <f aca="false">ROUND($F32*'Your Inputs'!$C$31,2)</f>
        <v>5350.75</v>
      </c>
      <c r="M32" s="15" t="n">
        <f aca="false">ROUND($G32-$K32-$L32,2)</f>
        <v>58265.25</v>
      </c>
      <c r="N32" s="15" t="n">
        <f aca="false">$G32/$E32</f>
        <v>77.9235828374569</v>
      </c>
      <c r="O32" s="25" t="n">
        <f aca="false">$G32/$J32</f>
        <v>0.811703987890176</v>
      </c>
      <c r="P32" s="18" t="str">
        <f aca="false">$C32&amp;" | "&amp;$D32</f>
        <v>OEM key accounts | Protective coatings</v>
      </c>
      <c r="Q32" s="25" t="n">
        <f aca="false">INDEX('Your Floors'!$K$20:$K$31,MATCH($P32,'Your Floors'!$D$20:$D$31,0))</f>
        <v>0.7284029857742</v>
      </c>
      <c r="R32" s="18" t="str">
        <f aca="false">IF($O32&lt;$Q32,"below the floor","at or above it")</f>
        <v>at or above it</v>
      </c>
      <c r="S32" s="15" t="n">
        <f aca="false">IF($O32&lt;$Q32,$E32*ROUND($Q32*$H32,2),$G32)</f>
        <v>248810</v>
      </c>
      <c r="T32" s="15" t="n">
        <f aca="false">IF($O32&lt;$Q32,ROUND($L32*$S32/$G32,2),$L32)</f>
        <v>5350.75</v>
      </c>
      <c r="U32" s="15" t="n">
        <f aca="false">ROUND(($S32-$G32)-($T32-$L32),2)</f>
        <v>0</v>
      </c>
      <c r="V32" s="15" t="n">
        <f aca="false">IF($O32&lt;$Q32,ROUND($S32-$K32-$T32,2),$M32)</f>
        <v>58265.25</v>
      </c>
    </row>
    <row r="33" customFormat="false" ht="15" hidden="false" customHeight="false" outlineLevel="0" collapsed="false">
      <c r="B33" s="13" t="s">
        <v>124</v>
      </c>
      <c r="C33" s="13" t="s">
        <v>115</v>
      </c>
      <c r="D33" s="13" t="s">
        <v>52</v>
      </c>
      <c r="E33" s="24" t="n">
        <v>6452</v>
      </c>
      <c r="F33" s="14" t="n">
        <v>814717.27</v>
      </c>
      <c r="G33" s="14" t="n">
        <v>757687.06</v>
      </c>
      <c r="H33" s="15" t="n">
        <f aca="false">INDEX('Your Inputs'!$C$8:$C$10,MATCH($D33,'Your Inputs'!$B$8:$B$10,0))</f>
        <v>148</v>
      </c>
      <c r="I33" s="15" t="n">
        <f aca="false">INDEX('Your Inputs'!$D$8:$D$10,MATCH($D33,'Your Inputs'!$B$8:$B$10,0))</f>
        <v>78</v>
      </c>
      <c r="J33" s="15" t="n">
        <f aca="false">ROUND($E33*$H33,2)</f>
        <v>954896</v>
      </c>
      <c r="K33" s="15" t="n">
        <f aca="false">ROUND($E33*$I33,2)</f>
        <v>503256</v>
      </c>
      <c r="L33" s="15" t="n">
        <f aca="false">ROUND($F33*'Your Inputs'!$C$31,2)</f>
        <v>16294.35</v>
      </c>
      <c r="M33" s="15" t="n">
        <f aca="false">ROUND($G33-$K33-$L33,2)</f>
        <v>238136.71</v>
      </c>
      <c r="N33" s="15" t="n">
        <f aca="false">$G33/$E33</f>
        <v>117.434448233106</v>
      </c>
      <c r="O33" s="25" t="n">
        <f aca="false">$G33/$J33</f>
        <v>0.793476001575041</v>
      </c>
      <c r="P33" s="18" t="str">
        <f aca="false">$C33&amp;" | "&amp;$D33</f>
        <v>OEM key accounts | Structural adhesives</v>
      </c>
      <c r="Q33" s="25" t="n">
        <f aca="false">INDEX('Your Floors'!$K$20:$K$31,MATCH($P33,'Your Floors'!$D$20:$D$31,0))</f>
        <v>0.778791003638182</v>
      </c>
      <c r="R33" s="18" t="str">
        <f aca="false">IF($O33&lt;$Q33,"below the floor","at or above it")</f>
        <v>at or above it</v>
      </c>
      <c r="S33" s="15" t="n">
        <f aca="false">IF($O33&lt;$Q33,$E33*ROUND($Q33*$H33,2),$G33)</f>
        <v>757687.06</v>
      </c>
      <c r="T33" s="15" t="n">
        <f aca="false">IF($O33&lt;$Q33,ROUND($L33*$S33/$G33,2),$L33)</f>
        <v>16294.35</v>
      </c>
      <c r="U33" s="15" t="n">
        <f aca="false">ROUND(($S33-$G33)-($T33-$L33),2)</f>
        <v>0</v>
      </c>
      <c r="V33" s="15" t="n">
        <f aca="false">IF($O33&lt;$Q33,ROUND($S33-$K33-$T33,2),$M33)</f>
        <v>238136.71</v>
      </c>
    </row>
    <row r="34" customFormat="false" ht="15" hidden="false" customHeight="false" outlineLevel="0" collapsed="false">
      <c r="B34" s="13" t="s">
        <v>124</v>
      </c>
      <c r="C34" s="13" t="s">
        <v>115</v>
      </c>
      <c r="D34" s="13" t="s">
        <v>54</v>
      </c>
      <c r="E34" s="24" t="n">
        <v>7211</v>
      </c>
      <c r="F34" s="14" t="n">
        <v>338888.16</v>
      </c>
      <c r="G34" s="14" t="n">
        <v>315165.99</v>
      </c>
      <c r="H34" s="15" t="n">
        <f aca="false">INDEX('Your Inputs'!$C$8:$C$10,MATCH($D34,'Your Inputs'!$B$8:$B$10,0))</f>
        <v>62</v>
      </c>
      <c r="I34" s="15" t="n">
        <f aca="false">INDEX('Your Inputs'!$D$8:$D$10,MATCH($D34,'Your Inputs'!$B$8:$B$10,0))</f>
        <v>36</v>
      </c>
      <c r="J34" s="15" t="n">
        <f aca="false">ROUND($E34*$H34,2)</f>
        <v>447082</v>
      </c>
      <c r="K34" s="15" t="n">
        <f aca="false">ROUND($E34*$I34,2)</f>
        <v>259596</v>
      </c>
      <c r="L34" s="15" t="n">
        <f aca="false">ROUND($F34*'Your Inputs'!$C$31,2)</f>
        <v>6777.76</v>
      </c>
      <c r="M34" s="15" t="n">
        <f aca="false">ROUND($G34-$K34-$L34,2)</f>
        <v>48792.23</v>
      </c>
      <c r="N34" s="15" t="n">
        <f aca="false">$G34/$E34</f>
        <v>43.7062806822909</v>
      </c>
      <c r="O34" s="25" t="n">
        <f aca="false">$G34/$J34</f>
        <v>0.704940011004693</v>
      </c>
      <c r="P34" s="18" t="str">
        <f aca="false">$C34&amp;" | "&amp;$D34</f>
        <v>OEM key accounts | Sealants</v>
      </c>
      <c r="Q34" s="25" t="n">
        <f aca="false">INDEX('Your Floors'!$K$20:$K$31,MATCH($P34,'Your Floors'!$D$20:$D$31,0))</f>
        <v>0.678015003945501</v>
      </c>
      <c r="R34" s="18" t="str">
        <f aca="false">IF($O34&lt;$Q34,"below the floor","at or above it")</f>
        <v>at or above it</v>
      </c>
      <c r="S34" s="15" t="n">
        <f aca="false">IF($O34&lt;$Q34,$E34*ROUND($Q34*$H34,2),$G34)</f>
        <v>315165.99</v>
      </c>
      <c r="T34" s="15" t="n">
        <f aca="false">IF($O34&lt;$Q34,ROUND($L34*$S34/$G34,2),$L34)</f>
        <v>6777.76</v>
      </c>
      <c r="U34" s="15" t="n">
        <f aca="false">ROUND(($S34-$G34)-($T34-$L34),2)</f>
        <v>0</v>
      </c>
      <c r="V34" s="15" t="n">
        <f aca="false">IF($O34&lt;$Q34,ROUND($S34-$K34-$T34,2),$M34)</f>
        <v>48792.23</v>
      </c>
    </row>
    <row r="35" customFormat="false" ht="15" hidden="false" customHeight="false" outlineLevel="0" collapsed="false">
      <c r="B35" s="13" t="s">
        <v>124</v>
      </c>
      <c r="C35" s="13" t="s">
        <v>115</v>
      </c>
      <c r="D35" s="13" t="s">
        <v>56</v>
      </c>
      <c r="E35" s="24" t="n">
        <v>6602</v>
      </c>
      <c r="F35" s="14" t="n">
        <v>510582.84</v>
      </c>
      <c r="G35" s="14" t="n">
        <v>474842.04</v>
      </c>
      <c r="H35" s="15" t="n">
        <f aca="false">INDEX('Your Inputs'!$C$8:$C$10,MATCH($D35,'Your Inputs'!$B$8:$B$10,0))</f>
        <v>96</v>
      </c>
      <c r="I35" s="15" t="n">
        <f aca="false">INDEX('Your Inputs'!$D$8:$D$10,MATCH($D35,'Your Inputs'!$B$8:$B$10,0))</f>
        <v>58</v>
      </c>
      <c r="J35" s="15" t="n">
        <f aca="false">ROUND($E35*$H35,2)</f>
        <v>633792</v>
      </c>
      <c r="K35" s="15" t="n">
        <f aca="false">ROUND($E35*$I35,2)</f>
        <v>382916</v>
      </c>
      <c r="L35" s="15" t="n">
        <f aca="false">ROUND($F35*'Your Inputs'!$C$31,2)</f>
        <v>10211.66</v>
      </c>
      <c r="M35" s="15" t="n">
        <f aca="false">ROUND($G35-$K35-$L35,2)</f>
        <v>81714.38</v>
      </c>
      <c r="N35" s="15" t="n">
        <f aca="false">$G35/$E35</f>
        <v>71.9239684943956</v>
      </c>
      <c r="O35" s="25" t="n">
        <f aca="false">$G35/$J35</f>
        <v>0.749208005149955</v>
      </c>
      <c r="P35" s="18" t="str">
        <f aca="false">$C35&amp;" | "&amp;$D35</f>
        <v>OEM key accounts | Protective coatings</v>
      </c>
      <c r="Q35" s="25" t="n">
        <f aca="false">INDEX('Your Floors'!$K$20:$K$31,MATCH($P35,'Your Floors'!$D$20:$D$31,0))</f>
        <v>0.7284029857742</v>
      </c>
      <c r="R35" s="18" t="str">
        <f aca="false">IF($O35&lt;$Q35,"below the floor","at or above it")</f>
        <v>at or above it</v>
      </c>
      <c r="S35" s="15" t="n">
        <f aca="false">IF($O35&lt;$Q35,$E35*ROUND($Q35*$H35,2),$G35)</f>
        <v>474842.04</v>
      </c>
      <c r="T35" s="15" t="n">
        <f aca="false">IF($O35&lt;$Q35,ROUND($L35*$S35/$G35,2),$L35)</f>
        <v>10211.66</v>
      </c>
      <c r="U35" s="15" t="n">
        <f aca="false">ROUND(($S35-$G35)-($T35-$L35),2)</f>
        <v>0</v>
      </c>
      <c r="V35" s="15" t="n">
        <f aca="false">IF($O35&lt;$Q35,ROUND($S35-$K35-$T35,2),$M35)</f>
        <v>81714.38</v>
      </c>
    </row>
    <row r="36" customFormat="false" ht="15" hidden="false" customHeight="false" outlineLevel="0" collapsed="false">
      <c r="B36" s="13" t="s">
        <v>125</v>
      </c>
      <c r="C36" s="13" t="s">
        <v>115</v>
      </c>
      <c r="D36" s="13" t="s">
        <v>52</v>
      </c>
      <c r="E36" s="24" t="n">
        <v>10432</v>
      </c>
      <c r="F36" s="14" t="n">
        <v>1293355.19</v>
      </c>
      <c r="G36" s="14" t="n">
        <v>1183419.99</v>
      </c>
      <c r="H36" s="15" t="n">
        <f aca="false">INDEX('Your Inputs'!$C$8:$C$10,MATCH($D36,'Your Inputs'!$B$8:$B$10,0))</f>
        <v>148</v>
      </c>
      <c r="I36" s="15" t="n">
        <f aca="false">INDEX('Your Inputs'!$D$8:$D$10,MATCH($D36,'Your Inputs'!$B$8:$B$10,0))</f>
        <v>78</v>
      </c>
      <c r="J36" s="15" t="n">
        <f aca="false">ROUND($E36*$H36,2)</f>
        <v>1543936</v>
      </c>
      <c r="K36" s="15" t="n">
        <f aca="false">ROUND($E36*$I36,2)</f>
        <v>813696</v>
      </c>
      <c r="L36" s="15" t="n">
        <f aca="false">ROUND($F36*'Your Inputs'!$C$31,2)</f>
        <v>25867.1</v>
      </c>
      <c r="M36" s="15" t="n">
        <f aca="false">ROUND($G36-$K36-$L36,2)</f>
        <v>343856.89</v>
      </c>
      <c r="N36" s="15" t="n">
        <f aca="false">$G36/$E36</f>
        <v>113.441333397239</v>
      </c>
      <c r="O36" s="25" t="n">
        <f aca="false">$G36/$J36</f>
        <v>0.766495495927292</v>
      </c>
      <c r="P36" s="18" t="str">
        <f aca="false">$C36&amp;" | "&amp;$D36</f>
        <v>OEM key accounts | Structural adhesives</v>
      </c>
      <c r="Q36" s="25" t="n">
        <f aca="false">INDEX('Your Floors'!$K$20:$K$31,MATCH($P36,'Your Floors'!$D$20:$D$31,0))</f>
        <v>0.778791003638182</v>
      </c>
      <c r="R36" s="18" t="str">
        <f aca="false">IF($O36&lt;$Q36,"below the floor","at or above it")</f>
        <v>below the floor</v>
      </c>
      <c r="S36" s="15" t="n">
        <f aca="false">IF($O36&lt;$Q36,$E36*ROUND($Q36*$H36,2),$G36)</f>
        <v>1202392.32</v>
      </c>
      <c r="T36" s="15" t="n">
        <f aca="false">IF($O36&lt;$Q36,ROUND($L36*$S36/$G36,2),$L36)</f>
        <v>26281.8</v>
      </c>
      <c r="U36" s="15" t="n">
        <f aca="false">ROUND(($S36-$G36)-($T36-$L36),2)</f>
        <v>18557.63</v>
      </c>
      <c r="V36" s="15" t="n">
        <f aca="false">IF($O36&lt;$Q36,ROUND($S36-$K36-$T36,2),$M36)</f>
        <v>362414.52</v>
      </c>
    </row>
    <row r="37" customFormat="false" ht="15" hidden="false" customHeight="false" outlineLevel="0" collapsed="false">
      <c r="B37" s="13" t="s">
        <v>125</v>
      </c>
      <c r="C37" s="13" t="s">
        <v>115</v>
      </c>
      <c r="D37" s="13" t="s">
        <v>54</v>
      </c>
      <c r="E37" s="24" t="n">
        <v>8260</v>
      </c>
      <c r="F37" s="14" t="n">
        <v>371543.06</v>
      </c>
      <c r="G37" s="14" t="n">
        <v>339961.9</v>
      </c>
      <c r="H37" s="15" t="n">
        <f aca="false">INDEX('Your Inputs'!$C$8:$C$10,MATCH($D37,'Your Inputs'!$B$8:$B$10,0))</f>
        <v>62</v>
      </c>
      <c r="I37" s="15" t="n">
        <f aca="false">INDEX('Your Inputs'!$D$8:$D$10,MATCH($D37,'Your Inputs'!$B$8:$B$10,0))</f>
        <v>36</v>
      </c>
      <c r="J37" s="15" t="n">
        <f aca="false">ROUND($E37*$H37,2)</f>
        <v>512120</v>
      </c>
      <c r="K37" s="15" t="n">
        <f aca="false">ROUND($E37*$I37,2)</f>
        <v>297360</v>
      </c>
      <c r="L37" s="15" t="n">
        <f aca="false">ROUND($F37*'Your Inputs'!$C$31,2)</f>
        <v>7430.86</v>
      </c>
      <c r="M37" s="15" t="n">
        <f aca="false">ROUND($G37-$K37-$L37,2)</f>
        <v>35171.04</v>
      </c>
      <c r="N37" s="15" t="n">
        <f aca="false">$G37/$E37</f>
        <v>41.1576150121065</v>
      </c>
      <c r="O37" s="25" t="n">
        <f aca="false">$G37/$J37</f>
        <v>0.663832500195267</v>
      </c>
      <c r="P37" s="18" t="str">
        <f aca="false">$C37&amp;" | "&amp;$D37</f>
        <v>OEM key accounts | Sealants</v>
      </c>
      <c r="Q37" s="25" t="n">
        <f aca="false">INDEX('Your Floors'!$K$20:$K$31,MATCH($P37,'Your Floors'!$D$20:$D$31,0))</f>
        <v>0.678015003945501</v>
      </c>
      <c r="R37" s="18" t="str">
        <f aca="false">IF($O37&lt;$Q37,"below the floor","at or above it")</f>
        <v>below the floor</v>
      </c>
      <c r="S37" s="15" t="n">
        <f aca="false">IF($O37&lt;$Q37,$E37*ROUND($Q37*$H37,2),$G37)</f>
        <v>347250.4</v>
      </c>
      <c r="T37" s="15" t="n">
        <f aca="false">IF($O37&lt;$Q37,ROUND($L37*$S37/$G37,2),$L37)</f>
        <v>7590.17</v>
      </c>
      <c r="U37" s="15" t="n">
        <f aca="false">ROUND(($S37-$G37)-($T37-$L37),2)</f>
        <v>7129.19</v>
      </c>
      <c r="V37" s="15" t="n">
        <f aca="false">IF($O37&lt;$Q37,ROUND($S37-$K37-$T37,2),$M37)</f>
        <v>42300.23</v>
      </c>
    </row>
    <row r="38" customFormat="false" ht="15" hidden="false" customHeight="false" outlineLevel="0" collapsed="false">
      <c r="B38" s="13" t="s">
        <v>125</v>
      </c>
      <c r="C38" s="13" t="s">
        <v>115</v>
      </c>
      <c r="D38" s="13" t="s">
        <v>56</v>
      </c>
      <c r="E38" s="24" t="n">
        <v>6525</v>
      </c>
      <c r="F38" s="14" t="n">
        <v>489594.24</v>
      </c>
      <c r="G38" s="14" t="n">
        <v>447978.73</v>
      </c>
      <c r="H38" s="15" t="n">
        <f aca="false">INDEX('Your Inputs'!$C$8:$C$10,MATCH($D38,'Your Inputs'!$B$8:$B$10,0))</f>
        <v>96</v>
      </c>
      <c r="I38" s="15" t="n">
        <f aca="false">INDEX('Your Inputs'!$D$8:$D$10,MATCH($D38,'Your Inputs'!$B$8:$B$10,0))</f>
        <v>58</v>
      </c>
      <c r="J38" s="15" t="n">
        <f aca="false">ROUND($E38*$H38,2)</f>
        <v>626400</v>
      </c>
      <c r="K38" s="15" t="n">
        <f aca="false">ROUND($E38*$I38,2)</f>
        <v>378450</v>
      </c>
      <c r="L38" s="15" t="n">
        <f aca="false">ROUND($F38*'Your Inputs'!$C$31,2)</f>
        <v>9791.88</v>
      </c>
      <c r="M38" s="15" t="n">
        <f aca="false">ROUND($G38-$K38-$L38,2)</f>
        <v>59736.85</v>
      </c>
      <c r="N38" s="15" t="n">
        <f aca="false">$G38/$E38</f>
        <v>68.6557440613027</v>
      </c>
      <c r="O38" s="25" t="n">
        <f aca="false">$G38/$J38</f>
        <v>0.71516400063857</v>
      </c>
      <c r="P38" s="18" t="str">
        <f aca="false">$C38&amp;" | "&amp;$D38</f>
        <v>OEM key accounts | Protective coatings</v>
      </c>
      <c r="Q38" s="25" t="n">
        <f aca="false">INDEX('Your Floors'!$K$20:$K$31,MATCH($P38,'Your Floors'!$D$20:$D$31,0))</f>
        <v>0.7284029857742</v>
      </c>
      <c r="R38" s="18" t="str">
        <f aca="false">IF($O38&lt;$Q38,"below the floor","at or above it")</f>
        <v>below the floor</v>
      </c>
      <c r="S38" s="15" t="n">
        <f aca="false">IF($O38&lt;$Q38,$E38*ROUND($Q38*$H38,2),$G38)</f>
        <v>456293.25</v>
      </c>
      <c r="T38" s="15" t="n">
        <f aca="false">IF($O38&lt;$Q38,ROUND($L38*$S38/$G38,2),$L38)</f>
        <v>9973.62</v>
      </c>
      <c r="U38" s="15" t="n">
        <f aca="false">ROUND(($S38-$G38)-($T38-$L38),2)</f>
        <v>8132.78</v>
      </c>
      <c r="V38" s="15" t="n">
        <f aca="false">IF($O38&lt;$Q38,ROUND($S38-$K38-$T38,2),$M38)</f>
        <v>67869.63</v>
      </c>
    </row>
    <row r="39" customFormat="false" ht="15" hidden="false" customHeight="false" outlineLevel="0" collapsed="false">
      <c r="B39" s="13" t="s">
        <v>126</v>
      </c>
      <c r="C39" s="13" t="s">
        <v>115</v>
      </c>
      <c r="D39" s="13" t="s">
        <v>52</v>
      </c>
      <c r="E39" s="24" t="n">
        <v>4765</v>
      </c>
      <c r="F39" s="14" t="n">
        <v>577645.7</v>
      </c>
      <c r="G39" s="14" t="n">
        <v>537210.5</v>
      </c>
      <c r="H39" s="15" t="n">
        <f aca="false">INDEX('Your Inputs'!$C$8:$C$10,MATCH($D39,'Your Inputs'!$B$8:$B$10,0))</f>
        <v>148</v>
      </c>
      <c r="I39" s="15" t="n">
        <f aca="false">INDEX('Your Inputs'!$D$8:$D$10,MATCH($D39,'Your Inputs'!$B$8:$B$10,0))</f>
        <v>78</v>
      </c>
      <c r="J39" s="15" t="n">
        <f aca="false">ROUND($E39*$H39,2)</f>
        <v>705220</v>
      </c>
      <c r="K39" s="15" t="n">
        <f aca="false">ROUND($E39*$I39,2)</f>
        <v>371670</v>
      </c>
      <c r="L39" s="15" t="n">
        <f aca="false">ROUND($F39*'Your Inputs'!$C$31,2)</f>
        <v>11552.91</v>
      </c>
      <c r="M39" s="15" t="n">
        <f aca="false">ROUND($G39-$K39-$L39,2)</f>
        <v>153987.59</v>
      </c>
      <c r="N39" s="15" t="n">
        <f aca="false">$G39/$E39</f>
        <v>112.74092339979</v>
      </c>
      <c r="O39" s="25" t="n">
        <f aca="false">$G39/$J39</f>
        <v>0.761762995944528</v>
      </c>
      <c r="P39" s="18" t="str">
        <f aca="false">$C39&amp;" | "&amp;$D39</f>
        <v>OEM key accounts | Structural adhesives</v>
      </c>
      <c r="Q39" s="25" t="n">
        <f aca="false">INDEX('Your Floors'!$K$20:$K$31,MATCH($P39,'Your Floors'!$D$20:$D$31,0))</f>
        <v>0.778791003638182</v>
      </c>
      <c r="R39" s="18" t="str">
        <f aca="false">IF($O39&lt;$Q39,"below the floor","at or above it")</f>
        <v>below the floor</v>
      </c>
      <c r="S39" s="15" t="n">
        <f aca="false">IF($O39&lt;$Q39,$E39*ROUND($Q39*$H39,2),$G39)</f>
        <v>549213.9</v>
      </c>
      <c r="T39" s="15" t="n">
        <f aca="false">IF($O39&lt;$Q39,ROUND($L39*$S39/$G39,2),$L39)</f>
        <v>11811.05</v>
      </c>
      <c r="U39" s="15" t="n">
        <f aca="false">ROUND(($S39-$G39)-($T39-$L39),2)</f>
        <v>11745.26</v>
      </c>
      <c r="V39" s="15" t="n">
        <f aca="false">IF($O39&lt;$Q39,ROUND($S39-$K39-$T39,2),$M39)</f>
        <v>165732.85</v>
      </c>
    </row>
    <row r="40" customFormat="false" ht="15" hidden="false" customHeight="false" outlineLevel="0" collapsed="false">
      <c r="B40" s="13" t="s">
        <v>126</v>
      </c>
      <c r="C40" s="13" t="s">
        <v>115</v>
      </c>
      <c r="D40" s="13" t="s">
        <v>54</v>
      </c>
      <c r="E40" s="24" t="n">
        <v>3875</v>
      </c>
      <c r="F40" s="14" t="n">
        <v>168175</v>
      </c>
      <c r="G40" s="14" t="n">
        <v>156402.74</v>
      </c>
      <c r="H40" s="15" t="n">
        <f aca="false">INDEX('Your Inputs'!$C$8:$C$10,MATCH($D40,'Your Inputs'!$B$8:$B$10,0))</f>
        <v>62</v>
      </c>
      <c r="I40" s="15" t="n">
        <f aca="false">INDEX('Your Inputs'!$D$8:$D$10,MATCH($D40,'Your Inputs'!$B$8:$B$10,0))</f>
        <v>36</v>
      </c>
      <c r="J40" s="15" t="n">
        <f aca="false">ROUND($E40*$H40,2)</f>
        <v>240250</v>
      </c>
      <c r="K40" s="15" t="n">
        <f aca="false">ROUND($E40*$I40,2)</f>
        <v>139500</v>
      </c>
      <c r="L40" s="15" t="n">
        <f aca="false">ROUND($F40*'Your Inputs'!$C$31,2)</f>
        <v>3363.5</v>
      </c>
      <c r="M40" s="15" t="n">
        <f aca="false">ROUND($G40-$K40-$L40,2)</f>
        <v>13539.24</v>
      </c>
      <c r="N40" s="15" t="n">
        <f aca="false">$G40/$E40</f>
        <v>40.3619974193548</v>
      </c>
      <c r="O40" s="25" t="n">
        <f aca="false">$G40/$J40</f>
        <v>0.650999958376691</v>
      </c>
      <c r="P40" s="18" t="str">
        <f aca="false">$C40&amp;" | "&amp;$D40</f>
        <v>OEM key accounts | Sealants</v>
      </c>
      <c r="Q40" s="25" t="n">
        <f aca="false">INDEX('Your Floors'!$K$20:$K$31,MATCH($P40,'Your Floors'!$D$20:$D$31,0))</f>
        <v>0.678015003945501</v>
      </c>
      <c r="R40" s="18" t="str">
        <f aca="false">IF($O40&lt;$Q40,"below the floor","at or above it")</f>
        <v>below the floor</v>
      </c>
      <c r="S40" s="15" t="n">
        <f aca="false">IF($O40&lt;$Q40,$E40*ROUND($Q40*$H40,2),$G40)</f>
        <v>162905</v>
      </c>
      <c r="T40" s="15" t="n">
        <f aca="false">IF($O40&lt;$Q40,ROUND($L40*$S40/$G40,2),$L40)</f>
        <v>3503.33</v>
      </c>
      <c r="U40" s="15" t="n">
        <f aca="false">ROUND(($S40-$G40)-($T40-$L40),2)</f>
        <v>6362.43</v>
      </c>
      <c r="V40" s="15" t="n">
        <f aca="false">IF($O40&lt;$Q40,ROUND($S40-$K40-$T40,2),$M40)</f>
        <v>19901.67</v>
      </c>
    </row>
    <row r="41" customFormat="false" ht="15" hidden="false" customHeight="false" outlineLevel="0" collapsed="false">
      <c r="B41" s="13" t="s">
        <v>126</v>
      </c>
      <c r="C41" s="13" t="s">
        <v>115</v>
      </c>
      <c r="D41" s="13" t="s">
        <v>56</v>
      </c>
      <c r="E41" s="24" t="n">
        <v>4431</v>
      </c>
      <c r="F41" s="14" t="n">
        <v>320223.05</v>
      </c>
      <c r="G41" s="14" t="n">
        <v>297807.43</v>
      </c>
      <c r="H41" s="15" t="n">
        <f aca="false">INDEX('Your Inputs'!$C$8:$C$10,MATCH($D41,'Your Inputs'!$B$8:$B$10,0))</f>
        <v>96</v>
      </c>
      <c r="I41" s="15" t="n">
        <f aca="false">INDEX('Your Inputs'!$D$8:$D$10,MATCH($D41,'Your Inputs'!$B$8:$B$10,0))</f>
        <v>58</v>
      </c>
      <c r="J41" s="15" t="n">
        <f aca="false">ROUND($E41*$H41,2)</f>
        <v>425376</v>
      </c>
      <c r="K41" s="15" t="n">
        <f aca="false">ROUND($E41*$I41,2)</f>
        <v>256998</v>
      </c>
      <c r="L41" s="15" t="n">
        <f aca="false">ROUND($F41*'Your Inputs'!$C$31,2)</f>
        <v>6404.46</v>
      </c>
      <c r="M41" s="15" t="n">
        <f aca="false">ROUND($G41-$K41-$L41,2)</f>
        <v>34404.97</v>
      </c>
      <c r="N41" s="15" t="n">
        <f aca="false">$G41/$E41</f>
        <v>67.2099819453848</v>
      </c>
      <c r="O41" s="25" t="n">
        <f aca="false">$G41/$J41</f>
        <v>0.700103978597758</v>
      </c>
      <c r="P41" s="18" t="str">
        <f aca="false">$C41&amp;" | "&amp;$D41</f>
        <v>OEM key accounts | Protective coatings</v>
      </c>
      <c r="Q41" s="25" t="n">
        <f aca="false">INDEX('Your Floors'!$K$20:$K$31,MATCH($P41,'Your Floors'!$D$20:$D$31,0))</f>
        <v>0.7284029857742</v>
      </c>
      <c r="R41" s="18" t="str">
        <f aca="false">IF($O41&lt;$Q41,"below the floor","at or above it")</f>
        <v>below the floor</v>
      </c>
      <c r="S41" s="15" t="n">
        <f aca="false">IF($O41&lt;$Q41,$E41*ROUND($Q41*$H41,2),$G41)</f>
        <v>309859.83</v>
      </c>
      <c r="T41" s="15" t="n">
        <f aca="false">IF($O41&lt;$Q41,ROUND($L41*$S41/$G41,2),$L41)</f>
        <v>6663.65</v>
      </c>
      <c r="U41" s="15" t="n">
        <f aca="false">ROUND(($S41-$G41)-($T41-$L41),2)</f>
        <v>11793.21</v>
      </c>
      <c r="V41" s="15" t="n">
        <f aca="false">IF($O41&lt;$Q41,ROUND($S41-$K41-$T41,2),$M41)</f>
        <v>46198.18</v>
      </c>
    </row>
    <row r="42" customFormat="false" ht="15" hidden="false" customHeight="false" outlineLevel="0" collapsed="false">
      <c r="B42" s="13" t="s">
        <v>127</v>
      </c>
      <c r="C42" s="13" t="s">
        <v>128</v>
      </c>
      <c r="D42" s="13" t="s">
        <v>52</v>
      </c>
      <c r="E42" s="24" t="n">
        <v>134</v>
      </c>
      <c r="F42" s="14" t="n">
        <v>17747.66</v>
      </c>
      <c r="G42" s="14" t="n">
        <v>16097.14</v>
      </c>
      <c r="H42" s="15" t="n">
        <f aca="false">INDEX('Your Inputs'!$C$8:$C$10,MATCH($D42,'Your Inputs'!$B$8:$B$10,0))</f>
        <v>148</v>
      </c>
      <c r="I42" s="15" t="n">
        <f aca="false">INDEX('Your Inputs'!$D$8:$D$10,MATCH($D42,'Your Inputs'!$B$8:$B$10,0))</f>
        <v>78</v>
      </c>
      <c r="J42" s="15" t="n">
        <f aca="false">ROUND($E42*$H42,2)</f>
        <v>19832</v>
      </c>
      <c r="K42" s="15" t="n">
        <f aca="false">ROUND($E42*$I42,2)</f>
        <v>10452</v>
      </c>
      <c r="L42" s="15" t="n">
        <f aca="false">ROUND($F42*'Your Inputs'!$C$31,2)</f>
        <v>354.95</v>
      </c>
      <c r="M42" s="15" t="n">
        <f aca="false">ROUND($G42-$K42-$L42,2)</f>
        <v>5290.19</v>
      </c>
      <c r="N42" s="15" t="n">
        <f aca="false">$G42/$E42</f>
        <v>120.127910447761</v>
      </c>
      <c r="O42" s="25" t="n">
        <f aca="false">$G42/$J42</f>
        <v>0.811675070592981</v>
      </c>
      <c r="P42" s="18" t="str">
        <f aca="false">$C42&amp;" | "&amp;$D42</f>
        <v>Distributors | Structural adhesives</v>
      </c>
      <c r="Q42" s="25" t="n">
        <f aca="false">INDEX('Your Floors'!$K$20:$K$31,MATCH($P42,'Your Floors'!$D$20:$D$31,0))</f>
        <v>0.781507876109447</v>
      </c>
      <c r="R42" s="18" t="str">
        <f aca="false">IF($O42&lt;$Q42,"below the floor","at or above it")</f>
        <v>at or above it</v>
      </c>
      <c r="S42" s="15" t="n">
        <f aca="false">IF($O42&lt;$Q42,$E42*ROUND($Q42*$H42,2),$G42)</f>
        <v>16097.14</v>
      </c>
      <c r="T42" s="15" t="n">
        <f aca="false">IF($O42&lt;$Q42,ROUND($L42*$S42/$G42,2),$L42)</f>
        <v>354.95</v>
      </c>
      <c r="U42" s="15" t="n">
        <f aca="false">ROUND(($S42-$G42)-($T42-$L42),2)</f>
        <v>0</v>
      </c>
      <c r="V42" s="15" t="n">
        <f aca="false">IF($O42&lt;$Q42,ROUND($S42-$K42-$T42,2),$M42)</f>
        <v>5290.19</v>
      </c>
    </row>
    <row r="43" customFormat="false" ht="15" hidden="false" customHeight="false" outlineLevel="0" collapsed="false">
      <c r="B43" s="13" t="s">
        <v>127</v>
      </c>
      <c r="C43" s="13" t="s">
        <v>128</v>
      </c>
      <c r="D43" s="13" t="s">
        <v>54</v>
      </c>
      <c r="E43" s="24" t="n">
        <v>1201</v>
      </c>
      <c r="F43" s="14" t="n">
        <v>61319.46</v>
      </c>
      <c r="G43" s="14" t="n">
        <v>55616.75</v>
      </c>
      <c r="H43" s="15" t="n">
        <f aca="false">INDEX('Your Inputs'!$C$8:$C$10,MATCH($D43,'Your Inputs'!$B$8:$B$10,0))</f>
        <v>62</v>
      </c>
      <c r="I43" s="15" t="n">
        <f aca="false">INDEX('Your Inputs'!$D$8:$D$10,MATCH($D43,'Your Inputs'!$B$8:$B$10,0))</f>
        <v>36</v>
      </c>
      <c r="J43" s="15" t="n">
        <f aca="false">ROUND($E43*$H43,2)</f>
        <v>74462</v>
      </c>
      <c r="K43" s="15" t="n">
        <f aca="false">ROUND($E43*$I43,2)</f>
        <v>43236</v>
      </c>
      <c r="L43" s="15" t="n">
        <f aca="false">ROUND($F43*'Your Inputs'!$C$31,2)</f>
        <v>1226.39</v>
      </c>
      <c r="M43" s="15" t="n">
        <f aca="false">ROUND($G43-$K43-$L43,2)</f>
        <v>11154.36</v>
      </c>
      <c r="N43" s="15" t="n">
        <f aca="false">$G43/$E43</f>
        <v>46.3087010824313</v>
      </c>
      <c r="O43" s="25" t="n">
        <f aca="false">$G43/$J43</f>
        <v>0.746914533587602</v>
      </c>
      <c r="P43" s="18" t="str">
        <f aca="false">$C43&amp;" | "&amp;$D43</f>
        <v>Distributors | Sealants</v>
      </c>
      <c r="Q43" s="25" t="n">
        <f aca="false">INDEX('Your Floors'!$K$20:$K$31,MATCH($P43,'Your Floors'!$D$20:$D$31,0))</f>
        <v>0.704282831281691</v>
      </c>
      <c r="R43" s="18" t="str">
        <f aca="false">IF($O43&lt;$Q43,"below the floor","at or above it")</f>
        <v>at or above it</v>
      </c>
      <c r="S43" s="15" t="n">
        <f aca="false">IF($O43&lt;$Q43,$E43*ROUND($Q43*$H43,2),$G43)</f>
        <v>55616.75</v>
      </c>
      <c r="T43" s="15" t="n">
        <f aca="false">IF($O43&lt;$Q43,ROUND($L43*$S43/$G43,2),$L43)</f>
        <v>1226.39</v>
      </c>
      <c r="U43" s="15" t="n">
        <f aca="false">ROUND(($S43-$G43)-($T43-$L43),2)</f>
        <v>0</v>
      </c>
      <c r="V43" s="15" t="n">
        <f aca="false">IF($O43&lt;$Q43,ROUND($S43-$K43-$T43,2),$M43)</f>
        <v>11154.36</v>
      </c>
    </row>
    <row r="44" customFormat="false" ht="15" hidden="false" customHeight="false" outlineLevel="0" collapsed="false">
      <c r="B44" s="13" t="s">
        <v>127</v>
      </c>
      <c r="C44" s="13" t="s">
        <v>128</v>
      </c>
      <c r="D44" s="13" t="s">
        <v>56</v>
      </c>
      <c r="E44" s="24" t="n">
        <v>360</v>
      </c>
      <c r="F44" s="14" t="n">
        <v>29693.95</v>
      </c>
      <c r="G44" s="14" t="n">
        <v>26932.41</v>
      </c>
      <c r="H44" s="15" t="n">
        <f aca="false">INDEX('Your Inputs'!$C$8:$C$10,MATCH($D44,'Your Inputs'!$B$8:$B$10,0))</f>
        <v>96</v>
      </c>
      <c r="I44" s="15" t="n">
        <f aca="false">INDEX('Your Inputs'!$D$8:$D$10,MATCH($D44,'Your Inputs'!$B$8:$B$10,0))</f>
        <v>58</v>
      </c>
      <c r="J44" s="15" t="n">
        <f aca="false">ROUND($E44*$H44,2)</f>
        <v>34560</v>
      </c>
      <c r="K44" s="15" t="n">
        <f aca="false">ROUND($E44*$I44,2)</f>
        <v>20880</v>
      </c>
      <c r="L44" s="15" t="n">
        <f aca="false">ROUND($F44*'Your Inputs'!$C$31,2)</f>
        <v>593.88</v>
      </c>
      <c r="M44" s="15" t="n">
        <f aca="false">ROUND($G44-$K44-$L44,2)</f>
        <v>5458.53</v>
      </c>
      <c r="N44" s="15" t="n">
        <f aca="false">$G44/$E44</f>
        <v>74.81225</v>
      </c>
      <c r="O44" s="25" t="n">
        <f aca="false">$G44/$J44</f>
        <v>0.779294270833333</v>
      </c>
      <c r="P44" s="18" t="str">
        <f aca="false">$C44&amp;" | "&amp;$D44</f>
        <v>Distributors | Protective coatings</v>
      </c>
      <c r="Q44" s="25" t="n">
        <f aca="false">INDEX('Your Floors'!$K$20:$K$31,MATCH($P44,'Your Floors'!$D$20:$D$31,0))</f>
        <v>0.741797996122263</v>
      </c>
      <c r="R44" s="18" t="str">
        <f aca="false">IF($O44&lt;$Q44,"below the floor","at or above it")</f>
        <v>at or above it</v>
      </c>
      <c r="S44" s="15" t="n">
        <f aca="false">IF($O44&lt;$Q44,$E44*ROUND($Q44*$H44,2),$G44)</f>
        <v>26932.41</v>
      </c>
      <c r="T44" s="15" t="n">
        <f aca="false">IF($O44&lt;$Q44,ROUND($L44*$S44/$G44,2),$L44)</f>
        <v>593.88</v>
      </c>
      <c r="U44" s="15" t="n">
        <f aca="false">ROUND(($S44-$G44)-($T44-$L44),2)</f>
        <v>0</v>
      </c>
      <c r="V44" s="15" t="n">
        <f aca="false">IF($O44&lt;$Q44,ROUND($S44-$K44-$T44,2),$M44)</f>
        <v>5458.53</v>
      </c>
    </row>
    <row r="45" customFormat="false" ht="15" hidden="false" customHeight="false" outlineLevel="0" collapsed="false">
      <c r="B45" s="13" t="s">
        <v>129</v>
      </c>
      <c r="C45" s="13" t="s">
        <v>128</v>
      </c>
      <c r="D45" s="13" t="s">
        <v>52</v>
      </c>
      <c r="E45" s="24" t="n">
        <v>2157</v>
      </c>
      <c r="F45" s="14" t="n">
        <v>289195.89</v>
      </c>
      <c r="G45" s="14" t="n">
        <v>255070.76</v>
      </c>
      <c r="H45" s="15" t="n">
        <f aca="false">INDEX('Your Inputs'!$C$8:$C$10,MATCH($D45,'Your Inputs'!$B$8:$B$10,0))</f>
        <v>148</v>
      </c>
      <c r="I45" s="15" t="n">
        <f aca="false">INDEX('Your Inputs'!$D$8:$D$10,MATCH($D45,'Your Inputs'!$B$8:$B$10,0))</f>
        <v>78</v>
      </c>
      <c r="J45" s="15" t="n">
        <f aca="false">ROUND($E45*$H45,2)</f>
        <v>319236</v>
      </c>
      <c r="K45" s="15" t="n">
        <f aca="false">ROUND($E45*$I45,2)</f>
        <v>168246</v>
      </c>
      <c r="L45" s="15" t="n">
        <f aca="false">ROUND($F45*'Your Inputs'!$C$31,2)</f>
        <v>5783.92</v>
      </c>
      <c r="M45" s="15" t="n">
        <f aca="false">ROUND($G45-$K45-$L45,2)</f>
        <v>81040.84</v>
      </c>
      <c r="N45" s="15" t="n">
        <f aca="false">$G45/$E45</f>
        <v>118.252554473806</v>
      </c>
      <c r="O45" s="25" t="n">
        <f aca="false">$G45/$J45</f>
        <v>0.799003746444637</v>
      </c>
      <c r="P45" s="18" t="str">
        <f aca="false">$C45&amp;" | "&amp;$D45</f>
        <v>Distributors | Structural adhesives</v>
      </c>
      <c r="Q45" s="25" t="n">
        <f aca="false">INDEX('Your Floors'!$K$20:$K$31,MATCH($P45,'Your Floors'!$D$20:$D$31,0))</f>
        <v>0.781507876109447</v>
      </c>
      <c r="R45" s="18" t="str">
        <f aca="false">IF($O45&lt;$Q45,"below the floor","at or above it")</f>
        <v>at or above it</v>
      </c>
      <c r="S45" s="15" t="n">
        <f aca="false">IF($O45&lt;$Q45,$E45*ROUND($Q45*$H45,2),$G45)</f>
        <v>255070.76</v>
      </c>
      <c r="T45" s="15" t="n">
        <f aca="false">IF($O45&lt;$Q45,ROUND($L45*$S45/$G45,2),$L45)</f>
        <v>5783.92</v>
      </c>
      <c r="U45" s="15" t="n">
        <f aca="false">ROUND(($S45-$G45)-($T45-$L45),2)</f>
        <v>0</v>
      </c>
      <c r="V45" s="15" t="n">
        <f aca="false">IF($O45&lt;$Q45,ROUND($S45-$K45-$T45,2),$M45)</f>
        <v>81040.84</v>
      </c>
    </row>
    <row r="46" customFormat="false" ht="15" hidden="false" customHeight="false" outlineLevel="0" collapsed="false">
      <c r="B46" s="13" t="s">
        <v>129</v>
      </c>
      <c r="C46" s="13" t="s">
        <v>128</v>
      </c>
      <c r="D46" s="13" t="s">
        <v>54</v>
      </c>
      <c r="E46" s="24" t="n">
        <v>9044</v>
      </c>
      <c r="F46" s="14" t="n">
        <v>486992.27</v>
      </c>
      <c r="G46" s="14" t="n">
        <v>429527.18</v>
      </c>
      <c r="H46" s="15" t="n">
        <f aca="false">INDEX('Your Inputs'!$C$8:$C$10,MATCH($D46,'Your Inputs'!$B$8:$B$10,0))</f>
        <v>62</v>
      </c>
      <c r="I46" s="15" t="n">
        <f aca="false">INDEX('Your Inputs'!$D$8:$D$10,MATCH($D46,'Your Inputs'!$B$8:$B$10,0))</f>
        <v>36</v>
      </c>
      <c r="J46" s="15" t="n">
        <f aca="false">ROUND($E46*$H46,2)</f>
        <v>560728</v>
      </c>
      <c r="K46" s="15" t="n">
        <f aca="false">ROUND($E46*$I46,2)</f>
        <v>325584</v>
      </c>
      <c r="L46" s="15" t="n">
        <f aca="false">ROUND($F46*'Your Inputs'!$C$31,2)</f>
        <v>9739.85</v>
      </c>
      <c r="M46" s="15" t="n">
        <f aca="false">ROUND($G46-$K46-$L46,2)</f>
        <v>94203.33</v>
      </c>
      <c r="N46" s="15" t="n">
        <f aca="false">$G46/$E46</f>
        <v>47.4930539584255</v>
      </c>
      <c r="O46" s="25" t="n">
        <f aca="false">$G46/$J46</f>
        <v>0.766016999329443</v>
      </c>
      <c r="P46" s="18" t="str">
        <f aca="false">$C46&amp;" | "&amp;$D46</f>
        <v>Distributors | Sealants</v>
      </c>
      <c r="Q46" s="25" t="n">
        <f aca="false">INDEX('Your Floors'!$K$20:$K$31,MATCH($P46,'Your Floors'!$D$20:$D$31,0))</f>
        <v>0.704282831281691</v>
      </c>
      <c r="R46" s="18" t="str">
        <f aca="false">IF($O46&lt;$Q46,"below the floor","at or above it")</f>
        <v>at or above it</v>
      </c>
      <c r="S46" s="15" t="n">
        <f aca="false">IF($O46&lt;$Q46,$E46*ROUND($Q46*$H46,2),$G46)</f>
        <v>429527.18</v>
      </c>
      <c r="T46" s="15" t="n">
        <f aca="false">IF($O46&lt;$Q46,ROUND($L46*$S46/$G46,2),$L46)</f>
        <v>9739.85</v>
      </c>
      <c r="U46" s="15" t="n">
        <f aca="false">ROUND(($S46-$G46)-($T46-$L46),2)</f>
        <v>0</v>
      </c>
      <c r="V46" s="15" t="n">
        <f aca="false">IF($O46&lt;$Q46,ROUND($S46-$K46-$T46,2),$M46)</f>
        <v>94203.33</v>
      </c>
    </row>
    <row r="47" customFormat="false" ht="15" hidden="false" customHeight="false" outlineLevel="0" collapsed="false">
      <c r="B47" s="13" t="s">
        <v>129</v>
      </c>
      <c r="C47" s="13" t="s">
        <v>128</v>
      </c>
      <c r="D47" s="13" t="s">
        <v>56</v>
      </c>
      <c r="E47" s="24" t="n">
        <v>1945</v>
      </c>
      <c r="F47" s="14" t="n">
        <v>165657.98</v>
      </c>
      <c r="G47" s="14" t="n">
        <v>146110.34</v>
      </c>
      <c r="H47" s="15" t="n">
        <f aca="false">INDEX('Your Inputs'!$C$8:$C$10,MATCH($D47,'Your Inputs'!$B$8:$B$10,0))</f>
        <v>96</v>
      </c>
      <c r="I47" s="15" t="n">
        <f aca="false">INDEX('Your Inputs'!$D$8:$D$10,MATCH($D47,'Your Inputs'!$B$8:$B$10,0))</f>
        <v>58</v>
      </c>
      <c r="J47" s="15" t="n">
        <f aca="false">ROUND($E47*$H47,2)</f>
        <v>186720</v>
      </c>
      <c r="K47" s="15" t="n">
        <f aca="false">ROUND($E47*$I47,2)</f>
        <v>112810</v>
      </c>
      <c r="L47" s="15" t="n">
        <f aca="false">ROUND($F47*'Your Inputs'!$C$31,2)</f>
        <v>3313.16</v>
      </c>
      <c r="M47" s="15" t="n">
        <f aca="false">ROUND($G47-$K47-$L47,2)</f>
        <v>29987.18</v>
      </c>
      <c r="N47" s="15" t="n">
        <f aca="false">$G47/$E47</f>
        <v>75.1209974293059</v>
      </c>
      <c r="O47" s="25" t="n">
        <f aca="false">$G47/$J47</f>
        <v>0.782510389888603</v>
      </c>
      <c r="P47" s="18" t="str">
        <f aca="false">$C47&amp;" | "&amp;$D47</f>
        <v>Distributors | Protective coatings</v>
      </c>
      <c r="Q47" s="25" t="n">
        <f aca="false">INDEX('Your Floors'!$K$20:$K$31,MATCH($P47,'Your Floors'!$D$20:$D$31,0))</f>
        <v>0.741797996122263</v>
      </c>
      <c r="R47" s="18" t="str">
        <f aca="false">IF($O47&lt;$Q47,"below the floor","at or above it")</f>
        <v>at or above it</v>
      </c>
      <c r="S47" s="15" t="n">
        <f aca="false">IF($O47&lt;$Q47,$E47*ROUND($Q47*$H47,2),$G47)</f>
        <v>146110.34</v>
      </c>
      <c r="T47" s="15" t="n">
        <f aca="false">IF($O47&lt;$Q47,ROUND($L47*$S47/$G47,2),$L47)</f>
        <v>3313.16</v>
      </c>
      <c r="U47" s="15" t="n">
        <f aca="false">ROUND(($S47-$G47)-($T47-$L47),2)</f>
        <v>0</v>
      </c>
      <c r="V47" s="15" t="n">
        <f aca="false">IF($O47&lt;$Q47,ROUND($S47-$K47-$T47,2),$M47)</f>
        <v>29987.18</v>
      </c>
    </row>
    <row r="48" customFormat="false" ht="15" hidden="false" customHeight="false" outlineLevel="0" collapsed="false">
      <c r="B48" s="13" t="s">
        <v>130</v>
      </c>
      <c r="C48" s="13" t="s">
        <v>128</v>
      </c>
      <c r="D48" s="13" t="s">
        <v>52</v>
      </c>
      <c r="E48" s="24" t="n">
        <v>211</v>
      </c>
      <c r="F48" s="14" t="n">
        <v>29494.85</v>
      </c>
      <c r="G48" s="14" t="n">
        <v>26604.35</v>
      </c>
      <c r="H48" s="15" t="n">
        <f aca="false">INDEX('Your Inputs'!$C$8:$C$10,MATCH($D48,'Your Inputs'!$B$8:$B$10,0))</f>
        <v>148</v>
      </c>
      <c r="I48" s="15" t="n">
        <f aca="false">INDEX('Your Inputs'!$D$8:$D$10,MATCH($D48,'Your Inputs'!$B$8:$B$10,0))</f>
        <v>78</v>
      </c>
      <c r="J48" s="15" t="n">
        <f aca="false">ROUND($E48*$H48,2)</f>
        <v>31228</v>
      </c>
      <c r="K48" s="15" t="n">
        <f aca="false">ROUND($E48*$I48,2)</f>
        <v>16458</v>
      </c>
      <c r="L48" s="15" t="n">
        <f aca="false">ROUND($F48*'Your Inputs'!$C$31,2)</f>
        <v>589.9</v>
      </c>
      <c r="M48" s="15" t="n">
        <f aca="false">ROUND($G48-$K48-$L48,2)</f>
        <v>9556.45</v>
      </c>
      <c r="N48" s="15" t="n">
        <f aca="false">$G48/$E48</f>
        <v>126.086966824645</v>
      </c>
      <c r="O48" s="25" t="n">
        <f aca="false">$G48/$J48</f>
        <v>0.851938965031382</v>
      </c>
      <c r="P48" s="18" t="str">
        <f aca="false">$C48&amp;" | "&amp;$D48</f>
        <v>Distributors | Structural adhesives</v>
      </c>
      <c r="Q48" s="25" t="n">
        <f aca="false">INDEX('Your Floors'!$K$20:$K$31,MATCH($P48,'Your Floors'!$D$20:$D$31,0))</f>
        <v>0.781507876109447</v>
      </c>
      <c r="R48" s="18" t="str">
        <f aca="false">IF($O48&lt;$Q48,"below the floor","at or above it")</f>
        <v>at or above it</v>
      </c>
      <c r="S48" s="15" t="n">
        <f aca="false">IF($O48&lt;$Q48,$E48*ROUND($Q48*$H48,2),$G48)</f>
        <v>26604.35</v>
      </c>
      <c r="T48" s="15" t="n">
        <f aca="false">IF($O48&lt;$Q48,ROUND($L48*$S48/$G48,2),$L48)</f>
        <v>589.9</v>
      </c>
      <c r="U48" s="15" t="n">
        <f aca="false">ROUND(($S48-$G48)-($T48-$L48),2)</f>
        <v>0</v>
      </c>
      <c r="V48" s="15" t="n">
        <f aca="false">IF($O48&lt;$Q48,ROUND($S48-$K48-$T48,2),$M48)</f>
        <v>9556.45</v>
      </c>
    </row>
    <row r="49" customFormat="false" ht="15" hidden="false" customHeight="false" outlineLevel="0" collapsed="false">
      <c r="B49" s="13" t="s">
        <v>130</v>
      </c>
      <c r="C49" s="13" t="s">
        <v>128</v>
      </c>
      <c r="D49" s="13" t="s">
        <v>54</v>
      </c>
      <c r="E49" s="24" t="n">
        <v>1969</v>
      </c>
      <c r="F49" s="14" t="n">
        <v>113227.34</v>
      </c>
      <c r="G49" s="14" t="n">
        <v>102131.06</v>
      </c>
      <c r="H49" s="15" t="n">
        <f aca="false">INDEX('Your Inputs'!$C$8:$C$10,MATCH($D49,'Your Inputs'!$B$8:$B$10,0))</f>
        <v>62</v>
      </c>
      <c r="I49" s="15" t="n">
        <f aca="false">INDEX('Your Inputs'!$D$8:$D$10,MATCH($D49,'Your Inputs'!$B$8:$B$10,0))</f>
        <v>36</v>
      </c>
      <c r="J49" s="15" t="n">
        <f aca="false">ROUND($E49*$H49,2)</f>
        <v>122078</v>
      </c>
      <c r="K49" s="15" t="n">
        <f aca="false">ROUND($E49*$I49,2)</f>
        <v>70884</v>
      </c>
      <c r="L49" s="15" t="n">
        <f aca="false">ROUND($F49*'Your Inputs'!$C$31,2)</f>
        <v>2264.55</v>
      </c>
      <c r="M49" s="15" t="n">
        <f aca="false">ROUND($G49-$K49-$L49,2)</f>
        <v>28982.51</v>
      </c>
      <c r="N49" s="15" t="n">
        <f aca="false">$G49/$E49</f>
        <v>51.8695073641442</v>
      </c>
      <c r="O49" s="25" t="n">
        <f aca="false">$G49/$J49</f>
        <v>0.836604957486197</v>
      </c>
      <c r="P49" s="18" t="str">
        <f aca="false">$C49&amp;" | "&amp;$D49</f>
        <v>Distributors | Sealants</v>
      </c>
      <c r="Q49" s="25" t="n">
        <f aca="false">INDEX('Your Floors'!$K$20:$K$31,MATCH($P49,'Your Floors'!$D$20:$D$31,0))</f>
        <v>0.704282831281691</v>
      </c>
      <c r="R49" s="18" t="str">
        <f aca="false">IF($O49&lt;$Q49,"below the floor","at or above it")</f>
        <v>at or above it</v>
      </c>
      <c r="S49" s="15" t="n">
        <f aca="false">IF($O49&lt;$Q49,$E49*ROUND($Q49*$H49,2),$G49)</f>
        <v>102131.06</v>
      </c>
      <c r="T49" s="15" t="n">
        <f aca="false">IF($O49&lt;$Q49,ROUND($L49*$S49/$G49,2),$L49)</f>
        <v>2264.55</v>
      </c>
      <c r="U49" s="15" t="n">
        <f aca="false">ROUND(($S49-$G49)-($T49-$L49),2)</f>
        <v>0</v>
      </c>
      <c r="V49" s="15" t="n">
        <f aca="false">IF($O49&lt;$Q49,ROUND($S49-$K49-$T49,2),$M49)</f>
        <v>28982.51</v>
      </c>
    </row>
    <row r="50" customFormat="false" ht="15" hidden="false" customHeight="false" outlineLevel="0" collapsed="false">
      <c r="B50" s="13" t="s">
        <v>130</v>
      </c>
      <c r="C50" s="13" t="s">
        <v>128</v>
      </c>
      <c r="D50" s="13" t="s">
        <v>56</v>
      </c>
      <c r="E50" s="24" t="n">
        <v>1362</v>
      </c>
      <c r="F50" s="14" t="n">
        <v>122383.87</v>
      </c>
      <c r="G50" s="14" t="n">
        <v>110390.24</v>
      </c>
      <c r="H50" s="15" t="n">
        <f aca="false">INDEX('Your Inputs'!$C$8:$C$10,MATCH($D50,'Your Inputs'!$B$8:$B$10,0))</f>
        <v>96</v>
      </c>
      <c r="I50" s="15" t="n">
        <f aca="false">INDEX('Your Inputs'!$D$8:$D$10,MATCH($D50,'Your Inputs'!$B$8:$B$10,0))</f>
        <v>58</v>
      </c>
      <c r="J50" s="15" t="n">
        <f aca="false">ROUND($E50*$H50,2)</f>
        <v>130752</v>
      </c>
      <c r="K50" s="15" t="n">
        <f aca="false">ROUND($E50*$I50,2)</f>
        <v>78996</v>
      </c>
      <c r="L50" s="15" t="n">
        <f aca="false">ROUND($F50*'Your Inputs'!$C$31,2)</f>
        <v>2447.68</v>
      </c>
      <c r="M50" s="15" t="n">
        <f aca="false">ROUND($G50-$K50-$L50,2)</f>
        <v>28946.56</v>
      </c>
      <c r="N50" s="15" t="n">
        <f aca="false">$G50/$E50</f>
        <v>81.0501027900147</v>
      </c>
      <c r="O50" s="25" t="n">
        <f aca="false">$G50/$J50</f>
        <v>0.844271904062653</v>
      </c>
      <c r="P50" s="18" t="str">
        <f aca="false">$C50&amp;" | "&amp;$D50</f>
        <v>Distributors | Protective coatings</v>
      </c>
      <c r="Q50" s="25" t="n">
        <f aca="false">INDEX('Your Floors'!$K$20:$K$31,MATCH($P50,'Your Floors'!$D$20:$D$31,0))</f>
        <v>0.741797996122263</v>
      </c>
      <c r="R50" s="18" t="str">
        <f aca="false">IF($O50&lt;$Q50,"below the floor","at or above it")</f>
        <v>at or above it</v>
      </c>
      <c r="S50" s="15" t="n">
        <f aca="false">IF($O50&lt;$Q50,$E50*ROUND($Q50*$H50,2),$G50)</f>
        <v>110390.24</v>
      </c>
      <c r="T50" s="15" t="n">
        <f aca="false">IF($O50&lt;$Q50,ROUND($L50*$S50/$G50,2),$L50)</f>
        <v>2447.68</v>
      </c>
      <c r="U50" s="15" t="n">
        <f aca="false">ROUND(($S50-$G50)-($T50-$L50),2)</f>
        <v>0</v>
      </c>
      <c r="V50" s="15" t="n">
        <f aca="false">IF($O50&lt;$Q50,ROUND($S50-$K50-$T50,2),$M50)</f>
        <v>28946.56</v>
      </c>
    </row>
    <row r="51" customFormat="false" ht="15" hidden="false" customHeight="false" outlineLevel="0" collapsed="false">
      <c r="B51" s="13" t="s">
        <v>131</v>
      </c>
      <c r="C51" s="13" t="s">
        <v>128</v>
      </c>
      <c r="D51" s="13" t="s">
        <v>52</v>
      </c>
      <c r="E51" s="24" t="n">
        <v>1959</v>
      </c>
      <c r="F51" s="14" t="n">
        <v>245978.31</v>
      </c>
      <c r="G51" s="14" t="n">
        <v>216952.87</v>
      </c>
      <c r="H51" s="15" t="n">
        <f aca="false">INDEX('Your Inputs'!$C$8:$C$10,MATCH($D51,'Your Inputs'!$B$8:$B$10,0))</f>
        <v>148</v>
      </c>
      <c r="I51" s="15" t="n">
        <f aca="false">INDEX('Your Inputs'!$D$8:$D$10,MATCH($D51,'Your Inputs'!$B$8:$B$10,0))</f>
        <v>78</v>
      </c>
      <c r="J51" s="15" t="n">
        <f aca="false">ROUND($E51*$H51,2)</f>
        <v>289932</v>
      </c>
      <c r="K51" s="15" t="n">
        <f aca="false">ROUND($E51*$I51,2)</f>
        <v>152802</v>
      </c>
      <c r="L51" s="15" t="n">
        <f aca="false">ROUND($F51*'Your Inputs'!$C$31,2)</f>
        <v>4919.57</v>
      </c>
      <c r="M51" s="15" t="n">
        <f aca="false">ROUND($G51-$K51-$L51,2)</f>
        <v>59231.3</v>
      </c>
      <c r="N51" s="15" t="n">
        <f aca="false">$G51/$E51</f>
        <v>110.746743236345</v>
      </c>
      <c r="O51" s="25" t="n">
        <f aca="false">$G51/$J51</f>
        <v>0.74828880565098</v>
      </c>
      <c r="P51" s="18" t="str">
        <f aca="false">$C51&amp;" | "&amp;$D51</f>
        <v>Distributors | Structural adhesives</v>
      </c>
      <c r="Q51" s="25" t="n">
        <f aca="false">INDEX('Your Floors'!$K$20:$K$31,MATCH($P51,'Your Floors'!$D$20:$D$31,0))</f>
        <v>0.781507876109447</v>
      </c>
      <c r="R51" s="18" t="str">
        <f aca="false">IF($O51&lt;$Q51,"below the floor","at or above it")</f>
        <v>below the floor</v>
      </c>
      <c r="S51" s="15" t="n">
        <f aca="false">IF($O51&lt;$Q51,$E51*ROUND($Q51*$H51,2),$G51)</f>
        <v>226577.94</v>
      </c>
      <c r="T51" s="15" t="n">
        <f aca="false">IF($O51&lt;$Q51,ROUND($L51*$S51/$G51,2),$L51)</f>
        <v>5137.83</v>
      </c>
      <c r="U51" s="15" t="n">
        <f aca="false">ROUND(($S51-$G51)-($T51-$L51),2)</f>
        <v>9406.81</v>
      </c>
      <c r="V51" s="15" t="n">
        <f aca="false">IF($O51&lt;$Q51,ROUND($S51-$K51-$T51,2),$M51)</f>
        <v>68638.11</v>
      </c>
    </row>
    <row r="52" customFormat="false" ht="15" hidden="false" customHeight="false" outlineLevel="0" collapsed="false">
      <c r="B52" s="13" t="s">
        <v>131</v>
      </c>
      <c r="C52" s="13" t="s">
        <v>128</v>
      </c>
      <c r="D52" s="13" t="s">
        <v>54</v>
      </c>
      <c r="E52" s="24" t="n">
        <v>8590</v>
      </c>
      <c r="F52" s="14" t="n">
        <v>386653.08</v>
      </c>
      <c r="G52" s="14" t="n">
        <v>341028.01</v>
      </c>
      <c r="H52" s="15" t="n">
        <f aca="false">INDEX('Your Inputs'!$C$8:$C$10,MATCH($D52,'Your Inputs'!$B$8:$B$10,0))</f>
        <v>62</v>
      </c>
      <c r="I52" s="15" t="n">
        <f aca="false">INDEX('Your Inputs'!$D$8:$D$10,MATCH($D52,'Your Inputs'!$B$8:$B$10,0))</f>
        <v>36</v>
      </c>
      <c r="J52" s="15" t="n">
        <f aca="false">ROUND($E52*$H52,2)</f>
        <v>532580</v>
      </c>
      <c r="K52" s="15" t="n">
        <f aca="false">ROUND($E52*$I52,2)</f>
        <v>309240</v>
      </c>
      <c r="L52" s="15" t="n">
        <f aca="false">ROUND($F52*'Your Inputs'!$C$31,2)</f>
        <v>7733.06</v>
      </c>
      <c r="M52" s="15" t="n">
        <f aca="false">ROUND($G52-$K52-$L52,2)</f>
        <v>24054.95</v>
      </c>
      <c r="N52" s="15" t="n">
        <f aca="false">$G52/$E52</f>
        <v>39.7005832363213</v>
      </c>
      <c r="O52" s="25" t="n">
        <f aca="false">$G52/$J52</f>
        <v>0.640331987682602</v>
      </c>
      <c r="P52" s="18" t="str">
        <f aca="false">$C52&amp;" | "&amp;$D52</f>
        <v>Distributors | Sealants</v>
      </c>
      <c r="Q52" s="25" t="n">
        <f aca="false">INDEX('Your Floors'!$K$20:$K$31,MATCH($P52,'Your Floors'!$D$20:$D$31,0))</f>
        <v>0.704282831281691</v>
      </c>
      <c r="R52" s="18" t="str">
        <f aca="false">IF($O52&lt;$Q52,"below the floor","at or above it")</f>
        <v>below the floor</v>
      </c>
      <c r="S52" s="15" t="n">
        <f aca="false">IF($O52&lt;$Q52,$E52*ROUND($Q52*$H52,2),$G52)</f>
        <v>375125.3</v>
      </c>
      <c r="T52" s="15" t="n">
        <f aca="false">IF($O52&lt;$Q52,ROUND($L52*$S52/$G52,2),$L52)</f>
        <v>8506.24</v>
      </c>
      <c r="U52" s="15" t="n">
        <f aca="false">ROUND(($S52-$G52)-($T52-$L52),2)</f>
        <v>33324.11</v>
      </c>
      <c r="V52" s="15" t="n">
        <f aca="false">IF($O52&lt;$Q52,ROUND($S52-$K52-$T52,2),$M52)</f>
        <v>57379.06</v>
      </c>
    </row>
    <row r="53" customFormat="false" ht="15" hidden="false" customHeight="false" outlineLevel="0" collapsed="false">
      <c r="B53" s="13" t="s">
        <v>131</v>
      </c>
      <c r="C53" s="13" t="s">
        <v>128</v>
      </c>
      <c r="D53" s="13" t="s">
        <v>56</v>
      </c>
      <c r="E53" s="24" t="n">
        <v>2492</v>
      </c>
      <c r="F53" s="14" t="n">
        <v>188323.43</v>
      </c>
      <c r="G53" s="14" t="n">
        <v>166101.26</v>
      </c>
      <c r="H53" s="15" t="n">
        <f aca="false">INDEX('Your Inputs'!$C$8:$C$10,MATCH($D53,'Your Inputs'!$B$8:$B$10,0))</f>
        <v>96</v>
      </c>
      <c r="I53" s="15" t="n">
        <f aca="false">INDEX('Your Inputs'!$D$8:$D$10,MATCH($D53,'Your Inputs'!$B$8:$B$10,0))</f>
        <v>58</v>
      </c>
      <c r="J53" s="15" t="n">
        <f aca="false">ROUND($E53*$H53,2)</f>
        <v>239232</v>
      </c>
      <c r="K53" s="15" t="n">
        <f aca="false">ROUND($E53*$I53,2)</f>
        <v>144536</v>
      </c>
      <c r="L53" s="15" t="n">
        <f aca="false">ROUND($F53*'Your Inputs'!$C$31,2)</f>
        <v>3766.47</v>
      </c>
      <c r="M53" s="15" t="n">
        <f aca="false">ROUND($G53-$K53-$L53,2)</f>
        <v>17798.79</v>
      </c>
      <c r="N53" s="15" t="n">
        <f aca="false">$G53/$E53</f>
        <v>66.6537961476726</v>
      </c>
      <c r="O53" s="25" t="n">
        <f aca="false">$G53/$J53</f>
        <v>0.694310376538256</v>
      </c>
      <c r="P53" s="18" t="str">
        <f aca="false">$C53&amp;" | "&amp;$D53</f>
        <v>Distributors | Protective coatings</v>
      </c>
      <c r="Q53" s="25" t="n">
        <f aca="false">INDEX('Your Floors'!$K$20:$K$31,MATCH($P53,'Your Floors'!$D$20:$D$31,0))</f>
        <v>0.741797996122263</v>
      </c>
      <c r="R53" s="18" t="str">
        <f aca="false">IF($O53&lt;$Q53,"below the floor","at or above it")</f>
        <v>below the floor</v>
      </c>
      <c r="S53" s="15" t="n">
        <f aca="false">IF($O53&lt;$Q53,$E53*ROUND($Q53*$H53,2),$G53)</f>
        <v>177455.32</v>
      </c>
      <c r="T53" s="15" t="n">
        <f aca="false">IF($O53&lt;$Q53,ROUND($L53*$S53/$G53,2),$L53)</f>
        <v>4023.93</v>
      </c>
      <c r="U53" s="15" t="n">
        <f aca="false">ROUND(($S53-$G53)-($T53-$L53),2)</f>
        <v>11096.6</v>
      </c>
      <c r="V53" s="15" t="n">
        <f aca="false">IF($O53&lt;$Q53,ROUND($S53-$K53-$T53,2),$M53)</f>
        <v>28895.39</v>
      </c>
    </row>
    <row r="54" customFormat="false" ht="15" hidden="false" customHeight="false" outlineLevel="0" collapsed="false">
      <c r="B54" s="13" t="s">
        <v>132</v>
      </c>
      <c r="C54" s="13" t="s">
        <v>128</v>
      </c>
      <c r="D54" s="13" t="s">
        <v>52</v>
      </c>
      <c r="E54" s="24" t="n">
        <v>1854</v>
      </c>
      <c r="F54" s="14" t="n">
        <v>249806.48</v>
      </c>
      <c r="G54" s="14" t="n">
        <v>221578.35</v>
      </c>
      <c r="H54" s="15" t="n">
        <f aca="false">INDEX('Your Inputs'!$C$8:$C$10,MATCH($D54,'Your Inputs'!$B$8:$B$10,0))</f>
        <v>148</v>
      </c>
      <c r="I54" s="15" t="n">
        <f aca="false">INDEX('Your Inputs'!$D$8:$D$10,MATCH($D54,'Your Inputs'!$B$8:$B$10,0))</f>
        <v>78</v>
      </c>
      <c r="J54" s="15" t="n">
        <f aca="false">ROUND($E54*$H54,2)</f>
        <v>274392</v>
      </c>
      <c r="K54" s="15" t="n">
        <f aca="false">ROUND($E54*$I54,2)</f>
        <v>144612</v>
      </c>
      <c r="L54" s="15" t="n">
        <f aca="false">ROUND($F54*'Your Inputs'!$C$31,2)</f>
        <v>4996.13</v>
      </c>
      <c r="M54" s="15" t="n">
        <f aca="false">ROUND($G54-$K54-$L54,2)</f>
        <v>71970.22</v>
      </c>
      <c r="N54" s="15" t="n">
        <f aca="false">$G54/$E54</f>
        <v>119.513673139159</v>
      </c>
      <c r="O54" s="25" t="n">
        <f aca="false">$G54/$J54</f>
        <v>0.807524818507828</v>
      </c>
      <c r="P54" s="18" t="str">
        <f aca="false">$C54&amp;" | "&amp;$D54</f>
        <v>Distributors | Structural adhesives</v>
      </c>
      <c r="Q54" s="25" t="n">
        <f aca="false">INDEX('Your Floors'!$K$20:$K$31,MATCH($P54,'Your Floors'!$D$20:$D$31,0))</f>
        <v>0.781507876109447</v>
      </c>
      <c r="R54" s="18" t="str">
        <f aca="false">IF($O54&lt;$Q54,"below the floor","at or above it")</f>
        <v>at or above it</v>
      </c>
      <c r="S54" s="15" t="n">
        <f aca="false">IF($O54&lt;$Q54,$E54*ROUND($Q54*$H54,2),$G54)</f>
        <v>221578.35</v>
      </c>
      <c r="T54" s="15" t="n">
        <f aca="false">IF($O54&lt;$Q54,ROUND($L54*$S54/$G54,2),$L54)</f>
        <v>4996.13</v>
      </c>
      <c r="U54" s="15" t="n">
        <f aca="false">ROUND(($S54-$G54)-($T54-$L54),2)</f>
        <v>0</v>
      </c>
      <c r="V54" s="15" t="n">
        <f aca="false">IF($O54&lt;$Q54,ROUND($S54-$K54-$T54,2),$M54)</f>
        <v>71970.22</v>
      </c>
    </row>
    <row r="55" customFormat="false" ht="15" hidden="false" customHeight="false" outlineLevel="0" collapsed="false">
      <c r="B55" s="13" t="s">
        <v>132</v>
      </c>
      <c r="C55" s="13" t="s">
        <v>128</v>
      </c>
      <c r="D55" s="13" t="s">
        <v>54</v>
      </c>
      <c r="E55" s="24" t="n">
        <v>10593</v>
      </c>
      <c r="F55" s="14" t="n">
        <v>562191.7</v>
      </c>
      <c r="G55" s="14" t="n">
        <v>498664.04</v>
      </c>
      <c r="H55" s="15" t="n">
        <f aca="false">INDEX('Your Inputs'!$C$8:$C$10,MATCH($D55,'Your Inputs'!$B$8:$B$10,0))</f>
        <v>62</v>
      </c>
      <c r="I55" s="15" t="n">
        <f aca="false">INDEX('Your Inputs'!$D$8:$D$10,MATCH($D55,'Your Inputs'!$B$8:$B$10,0))</f>
        <v>36</v>
      </c>
      <c r="J55" s="15" t="n">
        <f aca="false">ROUND($E55*$H55,2)</f>
        <v>656766</v>
      </c>
      <c r="K55" s="15" t="n">
        <f aca="false">ROUND($E55*$I55,2)</f>
        <v>381348</v>
      </c>
      <c r="L55" s="15" t="n">
        <f aca="false">ROUND($F55*'Your Inputs'!$C$31,2)</f>
        <v>11243.83</v>
      </c>
      <c r="M55" s="15" t="n">
        <f aca="false">ROUND($G55-$K55-$L55,2)</f>
        <v>106072.21</v>
      </c>
      <c r="N55" s="15" t="n">
        <f aca="false">$G55/$E55</f>
        <v>47.0748645331823</v>
      </c>
      <c r="O55" s="25" t="n">
        <f aca="false">$G55/$J55</f>
        <v>0.759272008599714</v>
      </c>
      <c r="P55" s="18" t="str">
        <f aca="false">$C55&amp;" | "&amp;$D55</f>
        <v>Distributors | Sealants</v>
      </c>
      <c r="Q55" s="25" t="n">
        <f aca="false">INDEX('Your Floors'!$K$20:$K$31,MATCH($P55,'Your Floors'!$D$20:$D$31,0))</f>
        <v>0.704282831281691</v>
      </c>
      <c r="R55" s="18" t="str">
        <f aca="false">IF($O55&lt;$Q55,"below the floor","at or above it")</f>
        <v>at or above it</v>
      </c>
      <c r="S55" s="15" t="n">
        <f aca="false">IF($O55&lt;$Q55,$E55*ROUND($Q55*$H55,2),$G55)</f>
        <v>498664.04</v>
      </c>
      <c r="T55" s="15" t="n">
        <f aca="false">IF($O55&lt;$Q55,ROUND($L55*$S55/$G55,2),$L55)</f>
        <v>11243.83</v>
      </c>
      <c r="U55" s="15" t="n">
        <f aca="false">ROUND(($S55-$G55)-($T55-$L55),2)</f>
        <v>0</v>
      </c>
      <c r="V55" s="15" t="n">
        <f aca="false">IF($O55&lt;$Q55,ROUND($S55-$K55-$T55,2),$M55)</f>
        <v>106072.21</v>
      </c>
    </row>
    <row r="56" customFormat="false" ht="15" hidden="false" customHeight="false" outlineLevel="0" collapsed="false">
      <c r="B56" s="13" t="s">
        <v>132</v>
      </c>
      <c r="C56" s="13" t="s">
        <v>128</v>
      </c>
      <c r="D56" s="13" t="s">
        <v>56</v>
      </c>
      <c r="E56" s="24" t="n">
        <v>3698</v>
      </c>
      <c r="F56" s="14" t="n">
        <v>313543.07</v>
      </c>
      <c r="G56" s="14" t="n">
        <v>278112.7</v>
      </c>
      <c r="H56" s="15" t="n">
        <f aca="false">INDEX('Your Inputs'!$C$8:$C$10,MATCH($D56,'Your Inputs'!$B$8:$B$10,0))</f>
        <v>96</v>
      </c>
      <c r="I56" s="15" t="n">
        <f aca="false">INDEX('Your Inputs'!$D$8:$D$10,MATCH($D56,'Your Inputs'!$B$8:$B$10,0))</f>
        <v>58</v>
      </c>
      <c r="J56" s="15" t="n">
        <f aca="false">ROUND($E56*$H56,2)</f>
        <v>355008</v>
      </c>
      <c r="K56" s="15" t="n">
        <f aca="false">ROUND($E56*$I56,2)</f>
        <v>214484</v>
      </c>
      <c r="L56" s="15" t="n">
        <f aca="false">ROUND($F56*'Your Inputs'!$C$31,2)</f>
        <v>6270.86</v>
      </c>
      <c r="M56" s="15" t="n">
        <f aca="false">ROUND($G56-$K56-$L56,2)</f>
        <v>57357.84</v>
      </c>
      <c r="N56" s="15" t="n">
        <f aca="false">$G56/$E56</f>
        <v>75.2062466197945</v>
      </c>
      <c r="O56" s="25" t="n">
        <f aca="false">$G56/$J56</f>
        <v>0.783398402289526</v>
      </c>
      <c r="P56" s="18" t="str">
        <f aca="false">$C56&amp;" | "&amp;$D56</f>
        <v>Distributors | Protective coatings</v>
      </c>
      <c r="Q56" s="25" t="n">
        <f aca="false">INDEX('Your Floors'!$K$20:$K$31,MATCH($P56,'Your Floors'!$D$20:$D$31,0))</f>
        <v>0.741797996122263</v>
      </c>
      <c r="R56" s="18" t="str">
        <f aca="false">IF($O56&lt;$Q56,"below the floor","at or above it")</f>
        <v>at or above it</v>
      </c>
      <c r="S56" s="15" t="n">
        <f aca="false">IF($O56&lt;$Q56,$E56*ROUND($Q56*$H56,2),$G56)</f>
        <v>278112.7</v>
      </c>
      <c r="T56" s="15" t="n">
        <f aca="false">IF($O56&lt;$Q56,ROUND($L56*$S56/$G56,2),$L56)</f>
        <v>6270.86</v>
      </c>
      <c r="U56" s="15" t="n">
        <f aca="false">ROUND(($S56-$G56)-($T56-$L56),2)</f>
        <v>0</v>
      </c>
      <c r="V56" s="15" t="n">
        <f aca="false">IF($O56&lt;$Q56,ROUND($S56-$K56-$T56,2),$M56)</f>
        <v>57357.84</v>
      </c>
    </row>
    <row r="57" customFormat="false" ht="15" hidden="false" customHeight="false" outlineLevel="0" collapsed="false">
      <c r="B57" s="13" t="s">
        <v>133</v>
      </c>
      <c r="C57" s="13" t="s">
        <v>128</v>
      </c>
      <c r="D57" s="13" t="s">
        <v>52</v>
      </c>
      <c r="E57" s="24" t="n">
        <v>975</v>
      </c>
      <c r="F57" s="14" t="n">
        <v>128686.74</v>
      </c>
      <c r="G57" s="14" t="n">
        <v>114145.15</v>
      </c>
      <c r="H57" s="15" t="n">
        <f aca="false">INDEX('Your Inputs'!$C$8:$C$10,MATCH($D57,'Your Inputs'!$B$8:$B$10,0))</f>
        <v>148</v>
      </c>
      <c r="I57" s="15" t="n">
        <f aca="false">INDEX('Your Inputs'!$D$8:$D$10,MATCH($D57,'Your Inputs'!$B$8:$B$10,0))</f>
        <v>78</v>
      </c>
      <c r="J57" s="15" t="n">
        <f aca="false">ROUND($E57*$H57,2)</f>
        <v>144300</v>
      </c>
      <c r="K57" s="15" t="n">
        <f aca="false">ROUND($E57*$I57,2)</f>
        <v>76050</v>
      </c>
      <c r="L57" s="15" t="n">
        <f aca="false">ROUND($F57*'Your Inputs'!$C$31,2)</f>
        <v>2573.73</v>
      </c>
      <c r="M57" s="15" t="n">
        <f aca="false">ROUND($G57-$K57-$L57,2)</f>
        <v>35521.42</v>
      </c>
      <c r="N57" s="15" t="n">
        <f aca="false">$G57/$E57</f>
        <v>117.071948717949</v>
      </c>
      <c r="O57" s="25" t="n">
        <f aca="false">$G57/$J57</f>
        <v>0.791026680526681</v>
      </c>
      <c r="P57" s="18" t="str">
        <f aca="false">$C57&amp;" | "&amp;$D57</f>
        <v>Distributors | Structural adhesives</v>
      </c>
      <c r="Q57" s="25" t="n">
        <f aca="false">INDEX('Your Floors'!$K$20:$K$31,MATCH($P57,'Your Floors'!$D$20:$D$31,0))</f>
        <v>0.781507876109447</v>
      </c>
      <c r="R57" s="18" t="str">
        <f aca="false">IF($O57&lt;$Q57,"below the floor","at or above it")</f>
        <v>at or above it</v>
      </c>
      <c r="S57" s="15" t="n">
        <f aca="false">IF($O57&lt;$Q57,$E57*ROUND($Q57*$H57,2),$G57)</f>
        <v>114145.15</v>
      </c>
      <c r="T57" s="15" t="n">
        <f aca="false">IF($O57&lt;$Q57,ROUND($L57*$S57/$G57,2),$L57)</f>
        <v>2573.73</v>
      </c>
      <c r="U57" s="15" t="n">
        <f aca="false">ROUND(($S57-$G57)-($T57-$L57),2)</f>
        <v>0</v>
      </c>
      <c r="V57" s="15" t="n">
        <f aca="false">IF($O57&lt;$Q57,ROUND($S57-$K57-$T57,2),$M57)</f>
        <v>35521.42</v>
      </c>
    </row>
    <row r="58" customFormat="false" ht="15" hidden="false" customHeight="false" outlineLevel="0" collapsed="false">
      <c r="B58" s="13" t="s">
        <v>133</v>
      </c>
      <c r="C58" s="13" t="s">
        <v>128</v>
      </c>
      <c r="D58" s="13" t="s">
        <v>54</v>
      </c>
      <c r="E58" s="24" t="n">
        <v>5234</v>
      </c>
      <c r="F58" s="14" t="n">
        <v>265123.04</v>
      </c>
      <c r="G58" s="14" t="n">
        <v>235164.13</v>
      </c>
      <c r="H58" s="15" t="n">
        <f aca="false">INDEX('Your Inputs'!$C$8:$C$10,MATCH($D58,'Your Inputs'!$B$8:$B$10,0))</f>
        <v>62</v>
      </c>
      <c r="I58" s="15" t="n">
        <f aca="false">INDEX('Your Inputs'!$D$8:$D$10,MATCH($D58,'Your Inputs'!$B$8:$B$10,0))</f>
        <v>36</v>
      </c>
      <c r="J58" s="15" t="n">
        <f aca="false">ROUND($E58*$H58,2)</f>
        <v>324508</v>
      </c>
      <c r="K58" s="15" t="n">
        <f aca="false">ROUND($E58*$I58,2)</f>
        <v>188424</v>
      </c>
      <c r="L58" s="15" t="n">
        <f aca="false">ROUND($F58*'Your Inputs'!$C$31,2)</f>
        <v>5302.46</v>
      </c>
      <c r="M58" s="15" t="n">
        <f aca="false">ROUND($G58-$K58-$L58,2)</f>
        <v>41437.67</v>
      </c>
      <c r="N58" s="15" t="n">
        <f aca="false">$G58/$E58</f>
        <v>44.9300974398166</v>
      </c>
      <c r="O58" s="25" t="n">
        <f aca="false">$G58/$J58</f>
        <v>0.724678990964784</v>
      </c>
      <c r="P58" s="18" t="str">
        <f aca="false">$C58&amp;" | "&amp;$D58</f>
        <v>Distributors | Sealants</v>
      </c>
      <c r="Q58" s="25" t="n">
        <f aca="false">INDEX('Your Floors'!$K$20:$K$31,MATCH($P58,'Your Floors'!$D$20:$D$31,0))</f>
        <v>0.704282831281691</v>
      </c>
      <c r="R58" s="18" t="str">
        <f aca="false">IF($O58&lt;$Q58,"below the floor","at or above it")</f>
        <v>at or above it</v>
      </c>
      <c r="S58" s="15" t="n">
        <f aca="false">IF($O58&lt;$Q58,$E58*ROUND($Q58*$H58,2),$G58)</f>
        <v>235164.13</v>
      </c>
      <c r="T58" s="15" t="n">
        <f aca="false">IF($O58&lt;$Q58,ROUND($L58*$S58/$G58,2),$L58)</f>
        <v>5302.46</v>
      </c>
      <c r="U58" s="15" t="n">
        <f aca="false">ROUND(($S58-$G58)-($T58-$L58),2)</f>
        <v>0</v>
      </c>
      <c r="V58" s="15" t="n">
        <f aca="false">IF($O58&lt;$Q58,ROUND($S58-$K58-$T58,2),$M58)</f>
        <v>41437.67</v>
      </c>
    </row>
    <row r="59" customFormat="false" ht="15" hidden="false" customHeight="false" outlineLevel="0" collapsed="false">
      <c r="B59" s="13" t="s">
        <v>133</v>
      </c>
      <c r="C59" s="13" t="s">
        <v>128</v>
      </c>
      <c r="D59" s="13" t="s">
        <v>56</v>
      </c>
      <c r="E59" s="24" t="n">
        <v>1626</v>
      </c>
      <c r="F59" s="14" t="n">
        <v>133368.42</v>
      </c>
      <c r="G59" s="14" t="n">
        <v>118297.78</v>
      </c>
      <c r="H59" s="15" t="n">
        <f aca="false">INDEX('Your Inputs'!$C$8:$C$10,MATCH($D59,'Your Inputs'!$B$8:$B$10,0))</f>
        <v>96</v>
      </c>
      <c r="I59" s="15" t="n">
        <f aca="false">INDEX('Your Inputs'!$D$8:$D$10,MATCH($D59,'Your Inputs'!$B$8:$B$10,0))</f>
        <v>58</v>
      </c>
      <c r="J59" s="15" t="n">
        <f aca="false">ROUND($E59*$H59,2)</f>
        <v>156096</v>
      </c>
      <c r="K59" s="15" t="n">
        <f aca="false">ROUND($E59*$I59,2)</f>
        <v>94308</v>
      </c>
      <c r="L59" s="15" t="n">
        <f aca="false">ROUND($F59*'Your Inputs'!$C$31,2)</f>
        <v>2667.37</v>
      </c>
      <c r="M59" s="15" t="n">
        <f aca="false">ROUND($G59-$K59-$L59,2)</f>
        <v>21322.41</v>
      </c>
      <c r="N59" s="15" t="n">
        <f aca="false">$G59/$E59</f>
        <v>72.7538622386224</v>
      </c>
      <c r="O59" s="25" t="n">
        <f aca="false">$G59/$J59</f>
        <v>0.757852731652317</v>
      </c>
      <c r="P59" s="18" t="str">
        <f aca="false">$C59&amp;" | "&amp;$D59</f>
        <v>Distributors | Protective coatings</v>
      </c>
      <c r="Q59" s="25" t="n">
        <f aca="false">INDEX('Your Floors'!$K$20:$K$31,MATCH($P59,'Your Floors'!$D$20:$D$31,0))</f>
        <v>0.741797996122263</v>
      </c>
      <c r="R59" s="18" t="str">
        <f aca="false">IF($O59&lt;$Q59,"below the floor","at or above it")</f>
        <v>at or above it</v>
      </c>
      <c r="S59" s="15" t="n">
        <f aca="false">IF($O59&lt;$Q59,$E59*ROUND($Q59*$H59,2),$G59)</f>
        <v>118297.78</v>
      </c>
      <c r="T59" s="15" t="n">
        <f aca="false">IF($O59&lt;$Q59,ROUND($L59*$S59/$G59,2),$L59)</f>
        <v>2667.37</v>
      </c>
      <c r="U59" s="15" t="n">
        <f aca="false">ROUND(($S59-$G59)-($T59-$L59),2)</f>
        <v>0</v>
      </c>
      <c r="V59" s="15" t="n">
        <f aca="false">IF($O59&lt;$Q59,ROUND($S59-$K59-$T59,2),$M59)</f>
        <v>21322.41</v>
      </c>
    </row>
    <row r="60" customFormat="false" ht="15" hidden="false" customHeight="false" outlineLevel="0" collapsed="false">
      <c r="B60" s="13" t="s">
        <v>134</v>
      </c>
      <c r="C60" s="13" t="s">
        <v>128</v>
      </c>
      <c r="D60" s="13" t="s">
        <v>52</v>
      </c>
      <c r="E60" s="24" t="n">
        <v>731</v>
      </c>
      <c r="F60" s="14" t="n">
        <v>98158.97</v>
      </c>
      <c r="G60" s="14" t="n">
        <v>85594.64</v>
      </c>
      <c r="H60" s="15" t="n">
        <f aca="false">INDEX('Your Inputs'!$C$8:$C$10,MATCH($D60,'Your Inputs'!$B$8:$B$10,0))</f>
        <v>148</v>
      </c>
      <c r="I60" s="15" t="n">
        <f aca="false">INDEX('Your Inputs'!$D$8:$D$10,MATCH($D60,'Your Inputs'!$B$8:$B$10,0))</f>
        <v>78</v>
      </c>
      <c r="J60" s="15" t="n">
        <f aca="false">ROUND($E60*$H60,2)</f>
        <v>108188</v>
      </c>
      <c r="K60" s="15" t="n">
        <f aca="false">ROUND($E60*$I60,2)</f>
        <v>57018</v>
      </c>
      <c r="L60" s="15" t="n">
        <f aca="false">ROUND($F60*'Your Inputs'!$C$31,2)</f>
        <v>1963.18</v>
      </c>
      <c r="M60" s="15" t="n">
        <f aca="false">ROUND($G60-$K60-$L60,2)</f>
        <v>26613.46</v>
      </c>
      <c r="N60" s="15" t="n">
        <f aca="false">$G60/$E60</f>
        <v>117.092530779754</v>
      </c>
      <c r="O60" s="25" t="n">
        <f aca="false">$G60/$J60</f>
        <v>0.79116574851185</v>
      </c>
      <c r="P60" s="18" t="str">
        <f aca="false">$C60&amp;" | "&amp;$D60</f>
        <v>Distributors | Structural adhesives</v>
      </c>
      <c r="Q60" s="25" t="n">
        <f aca="false">INDEX('Your Floors'!$K$20:$K$31,MATCH($P60,'Your Floors'!$D$20:$D$31,0))</f>
        <v>0.781507876109447</v>
      </c>
      <c r="R60" s="18" t="str">
        <f aca="false">IF($O60&lt;$Q60,"below the floor","at or above it")</f>
        <v>at or above it</v>
      </c>
      <c r="S60" s="15" t="n">
        <f aca="false">IF($O60&lt;$Q60,$E60*ROUND($Q60*$H60,2),$G60)</f>
        <v>85594.64</v>
      </c>
      <c r="T60" s="15" t="n">
        <f aca="false">IF($O60&lt;$Q60,ROUND($L60*$S60/$G60,2),$L60)</f>
        <v>1963.18</v>
      </c>
      <c r="U60" s="15" t="n">
        <f aca="false">ROUND(($S60-$G60)-($T60-$L60),2)</f>
        <v>0</v>
      </c>
      <c r="V60" s="15" t="n">
        <f aca="false">IF($O60&lt;$Q60,ROUND($S60-$K60-$T60,2),$M60)</f>
        <v>26613.46</v>
      </c>
    </row>
    <row r="61" customFormat="false" ht="15" hidden="false" customHeight="false" outlineLevel="0" collapsed="false">
      <c r="B61" s="13" t="s">
        <v>134</v>
      </c>
      <c r="C61" s="13" t="s">
        <v>128</v>
      </c>
      <c r="D61" s="13" t="s">
        <v>54</v>
      </c>
      <c r="E61" s="24" t="n">
        <v>9172</v>
      </c>
      <c r="F61" s="14" t="n">
        <v>483080.07</v>
      </c>
      <c r="G61" s="14" t="n">
        <v>421245.83</v>
      </c>
      <c r="H61" s="15" t="n">
        <f aca="false">INDEX('Your Inputs'!$C$8:$C$10,MATCH($D61,'Your Inputs'!$B$8:$B$10,0))</f>
        <v>62</v>
      </c>
      <c r="I61" s="15" t="n">
        <f aca="false">INDEX('Your Inputs'!$D$8:$D$10,MATCH($D61,'Your Inputs'!$B$8:$B$10,0))</f>
        <v>36</v>
      </c>
      <c r="J61" s="15" t="n">
        <f aca="false">ROUND($E61*$H61,2)</f>
        <v>568664</v>
      </c>
      <c r="K61" s="15" t="n">
        <f aca="false">ROUND($E61*$I61,2)</f>
        <v>330192</v>
      </c>
      <c r="L61" s="15" t="n">
        <f aca="false">ROUND($F61*'Your Inputs'!$C$31,2)</f>
        <v>9661.6</v>
      </c>
      <c r="M61" s="15" t="n">
        <f aca="false">ROUND($G61-$K61-$L61,2)</f>
        <v>81392.23</v>
      </c>
      <c r="N61" s="15" t="n">
        <f aca="false">$G61/$E61</f>
        <v>45.9273691670301</v>
      </c>
      <c r="O61" s="25" t="n">
        <f aca="false">$G61/$J61</f>
        <v>0.740764018823066</v>
      </c>
      <c r="P61" s="18" t="str">
        <f aca="false">$C61&amp;" | "&amp;$D61</f>
        <v>Distributors | Sealants</v>
      </c>
      <c r="Q61" s="25" t="n">
        <f aca="false">INDEX('Your Floors'!$K$20:$K$31,MATCH($P61,'Your Floors'!$D$20:$D$31,0))</f>
        <v>0.704282831281691</v>
      </c>
      <c r="R61" s="18" t="str">
        <f aca="false">IF($O61&lt;$Q61,"below the floor","at or above it")</f>
        <v>at or above it</v>
      </c>
      <c r="S61" s="15" t="n">
        <f aca="false">IF($O61&lt;$Q61,$E61*ROUND($Q61*$H61,2),$G61)</f>
        <v>421245.83</v>
      </c>
      <c r="T61" s="15" t="n">
        <f aca="false">IF($O61&lt;$Q61,ROUND($L61*$S61/$G61,2),$L61)</f>
        <v>9661.6</v>
      </c>
      <c r="U61" s="15" t="n">
        <f aca="false">ROUND(($S61-$G61)-($T61-$L61),2)</f>
        <v>0</v>
      </c>
      <c r="V61" s="15" t="n">
        <f aca="false">IF($O61&lt;$Q61,ROUND($S61-$K61-$T61,2),$M61)</f>
        <v>81392.23</v>
      </c>
    </row>
    <row r="62" customFormat="false" ht="15" hidden="false" customHeight="false" outlineLevel="0" collapsed="false">
      <c r="B62" s="13" t="s">
        <v>134</v>
      </c>
      <c r="C62" s="13" t="s">
        <v>128</v>
      </c>
      <c r="D62" s="13" t="s">
        <v>56</v>
      </c>
      <c r="E62" s="24" t="n">
        <v>2968</v>
      </c>
      <c r="F62" s="14" t="n">
        <v>250280.76</v>
      </c>
      <c r="G62" s="14" t="n">
        <v>218244.81</v>
      </c>
      <c r="H62" s="15" t="n">
        <f aca="false">INDEX('Your Inputs'!$C$8:$C$10,MATCH($D62,'Your Inputs'!$B$8:$B$10,0))</f>
        <v>96</v>
      </c>
      <c r="I62" s="15" t="n">
        <f aca="false">INDEX('Your Inputs'!$D$8:$D$10,MATCH($D62,'Your Inputs'!$B$8:$B$10,0))</f>
        <v>58</v>
      </c>
      <c r="J62" s="15" t="n">
        <f aca="false">ROUND($E62*$H62,2)</f>
        <v>284928</v>
      </c>
      <c r="K62" s="15" t="n">
        <f aca="false">ROUND($E62*$I62,2)</f>
        <v>172144</v>
      </c>
      <c r="L62" s="15" t="n">
        <f aca="false">ROUND($F62*'Your Inputs'!$C$31,2)</f>
        <v>5005.62</v>
      </c>
      <c r="M62" s="15" t="n">
        <f aca="false">ROUND($G62-$K62-$L62,2)</f>
        <v>41095.19</v>
      </c>
      <c r="N62" s="15" t="n">
        <f aca="false">$G62/$E62</f>
        <v>73.5326179245283</v>
      </c>
      <c r="O62" s="25" t="n">
        <f aca="false">$G62/$J62</f>
        <v>0.76596477004717</v>
      </c>
      <c r="P62" s="18" t="str">
        <f aca="false">$C62&amp;" | "&amp;$D62</f>
        <v>Distributors | Protective coatings</v>
      </c>
      <c r="Q62" s="25" t="n">
        <f aca="false">INDEX('Your Floors'!$K$20:$K$31,MATCH($P62,'Your Floors'!$D$20:$D$31,0))</f>
        <v>0.741797996122263</v>
      </c>
      <c r="R62" s="18" t="str">
        <f aca="false">IF($O62&lt;$Q62,"below the floor","at or above it")</f>
        <v>at or above it</v>
      </c>
      <c r="S62" s="15" t="n">
        <f aca="false">IF($O62&lt;$Q62,$E62*ROUND($Q62*$H62,2),$G62)</f>
        <v>218244.81</v>
      </c>
      <c r="T62" s="15" t="n">
        <f aca="false">IF($O62&lt;$Q62,ROUND($L62*$S62/$G62,2),$L62)</f>
        <v>5005.62</v>
      </c>
      <c r="U62" s="15" t="n">
        <f aca="false">ROUND(($S62-$G62)-($T62-$L62),2)</f>
        <v>0</v>
      </c>
      <c r="V62" s="15" t="n">
        <f aca="false">IF($O62&lt;$Q62,ROUND($S62-$K62-$T62,2),$M62)</f>
        <v>41095.19</v>
      </c>
    </row>
    <row r="63" customFormat="false" ht="15" hidden="false" customHeight="false" outlineLevel="0" collapsed="false">
      <c r="B63" s="13" t="s">
        <v>135</v>
      </c>
      <c r="C63" s="13" t="s">
        <v>128</v>
      </c>
      <c r="D63" s="13" t="s">
        <v>52</v>
      </c>
      <c r="E63" s="24" t="n">
        <v>34</v>
      </c>
      <c r="F63" s="14" t="n">
        <v>4518.74</v>
      </c>
      <c r="G63" s="14" t="n">
        <v>4143.69</v>
      </c>
      <c r="H63" s="15" t="n">
        <f aca="false">INDEX('Your Inputs'!$C$8:$C$10,MATCH($D63,'Your Inputs'!$B$8:$B$10,0))</f>
        <v>148</v>
      </c>
      <c r="I63" s="15" t="n">
        <f aca="false">INDEX('Your Inputs'!$D$8:$D$10,MATCH($D63,'Your Inputs'!$B$8:$B$10,0))</f>
        <v>78</v>
      </c>
      <c r="J63" s="15" t="n">
        <f aca="false">ROUND($E63*$H63,2)</f>
        <v>5032</v>
      </c>
      <c r="K63" s="15" t="n">
        <f aca="false">ROUND($E63*$I63,2)</f>
        <v>2652</v>
      </c>
      <c r="L63" s="15" t="n">
        <f aca="false">ROUND($F63*'Your Inputs'!$C$31,2)</f>
        <v>90.37</v>
      </c>
      <c r="M63" s="15" t="n">
        <f aca="false">ROUND($G63-$K63-$L63,2)</f>
        <v>1401.32</v>
      </c>
      <c r="N63" s="15" t="n">
        <f aca="false">$G63/$E63</f>
        <v>121.873235294118</v>
      </c>
      <c r="O63" s="25" t="n">
        <f aca="false">$G63/$J63</f>
        <v>0.823467806041335</v>
      </c>
      <c r="P63" s="18" t="str">
        <f aca="false">$C63&amp;" | "&amp;$D63</f>
        <v>Distributors | Structural adhesives</v>
      </c>
      <c r="Q63" s="25" t="n">
        <f aca="false">INDEX('Your Floors'!$K$20:$K$31,MATCH($P63,'Your Floors'!$D$20:$D$31,0))</f>
        <v>0.781507876109447</v>
      </c>
      <c r="R63" s="18" t="str">
        <f aca="false">IF($O63&lt;$Q63,"below the floor","at or above it")</f>
        <v>at or above it</v>
      </c>
      <c r="S63" s="15" t="n">
        <f aca="false">IF($O63&lt;$Q63,$E63*ROUND($Q63*$H63,2),$G63)</f>
        <v>4143.69</v>
      </c>
      <c r="T63" s="15" t="n">
        <f aca="false">IF($O63&lt;$Q63,ROUND($L63*$S63/$G63,2),$L63)</f>
        <v>90.37</v>
      </c>
      <c r="U63" s="15" t="n">
        <f aca="false">ROUND(($S63-$G63)-($T63-$L63),2)</f>
        <v>0</v>
      </c>
      <c r="V63" s="15" t="n">
        <f aca="false">IF($O63&lt;$Q63,ROUND($S63-$K63-$T63,2),$M63)</f>
        <v>1401.32</v>
      </c>
    </row>
    <row r="64" customFormat="false" ht="15" hidden="false" customHeight="false" outlineLevel="0" collapsed="false">
      <c r="B64" s="13" t="s">
        <v>135</v>
      </c>
      <c r="C64" s="13" t="s">
        <v>128</v>
      </c>
      <c r="D64" s="13" t="s">
        <v>54</v>
      </c>
      <c r="E64" s="24" t="n">
        <v>1183</v>
      </c>
      <c r="F64" s="14" t="n">
        <v>60877.18</v>
      </c>
      <c r="G64" s="14" t="n">
        <v>55824.37</v>
      </c>
      <c r="H64" s="15" t="n">
        <f aca="false">INDEX('Your Inputs'!$C$8:$C$10,MATCH($D64,'Your Inputs'!$B$8:$B$10,0))</f>
        <v>62</v>
      </c>
      <c r="I64" s="15" t="n">
        <f aca="false">INDEX('Your Inputs'!$D$8:$D$10,MATCH($D64,'Your Inputs'!$B$8:$B$10,0))</f>
        <v>36</v>
      </c>
      <c r="J64" s="15" t="n">
        <f aca="false">ROUND($E64*$H64,2)</f>
        <v>73346</v>
      </c>
      <c r="K64" s="15" t="n">
        <f aca="false">ROUND($E64*$I64,2)</f>
        <v>42588</v>
      </c>
      <c r="L64" s="15" t="n">
        <f aca="false">ROUND($F64*'Your Inputs'!$C$31,2)</f>
        <v>1217.54</v>
      </c>
      <c r="M64" s="15" t="n">
        <f aca="false">ROUND($G64-$K64-$L64,2)</f>
        <v>12018.83</v>
      </c>
      <c r="N64" s="15" t="n">
        <f aca="false">$G64/$E64</f>
        <v>47.1888165680473</v>
      </c>
      <c r="O64" s="25" t="n">
        <f aca="false">$G64/$J64</f>
        <v>0.761109944645925</v>
      </c>
      <c r="P64" s="18" t="str">
        <f aca="false">$C64&amp;" | "&amp;$D64</f>
        <v>Distributors | Sealants</v>
      </c>
      <c r="Q64" s="25" t="n">
        <f aca="false">INDEX('Your Floors'!$K$20:$K$31,MATCH($P64,'Your Floors'!$D$20:$D$31,0))</f>
        <v>0.704282831281691</v>
      </c>
      <c r="R64" s="18" t="str">
        <f aca="false">IF($O64&lt;$Q64,"below the floor","at or above it")</f>
        <v>at or above it</v>
      </c>
      <c r="S64" s="15" t="n">
        <f aca="false">IF($O64&lt;$Q64,$E64*ROUND($Q64*$H64,2),$G64)</f>
        <v>55824.37</v>
      </c>
      <c r="T64" s="15" t="n">
        <f aca="false">IF($O64&lt;$Q64,ROUND($L64*$S64/$G64,2),$L64)</f>
        <v>1217.54</v>
      </c>
      <c r="U64" s="15" t="n">
        <f aca="false">ROUND(($S64-$G64)-($T64-$L64),2)</f>
        <v>0</v>
      </c>
      <c r="V64" s="15" t="n">
        <f aca="false">IF($O64&lt;$Q64,ROUND($S64-$K64-$T64,2),$M64)</f>
        <v>12018.83</v>
      </c>
    </row>
    <row r="65" customFormat="false" ht="15" hidden="false" customHeight="false" outlineLevel="0" collapsed="false">
      <c r="B65" s="13" t="s">
        <v>135</v>
      </c>
      <c r="C65" s="13" t="s">
        <v>128</v>
      </c>
      <c r="D65" s="13" t="s">
        <v>56</v>
      </c>
      <c r="E65" s="24" t="n">
        <v>357</v>
      </c>
      <c r="F65" s="14" t="n">
        <v>29611.01</v>
      </c>
      <c r="G65" s="14" t="n">
        <v>27153.28</v>
      </c>
      <c r="H65" s="15" t="n">
        <f aca="false">INDEX('Your Inputs'!$C$8:$C$10,MATCH($D65,'Your Inputs'!$B$8:$B$10,0))</f>
        <v>96</v>
      </c>
      <c r="I65" s="15" t="n">
        <f aca="false">INDEX('Your Inputs'!$D$8:$D$10,MATCH($D65,'Your Inputs'!$B$8:$B$10,0))</f>
        <v>58</v>
      </c>
      <c r="J65" s="15" t="n">
        <f aca="false">ROUND($E65*$H65,2)</f>
        <v>34272</v>
      </c>
      <c r="K65" s="15" t="n">
        <f aca="false">ROUND($E65*$I65,2)</f>
        <v>20706</v>
      </c>
      <c r="L65" s="15" t="n">
        <f aca="false">ROUND($F65*'Your Inputs'!$C$31,2)</f>
        <v>592.22</v>
      </c>
      <c r="M65" s="15" t="n">
        <f aca="false">ROUND($G65-$K65-$L65,2)</f>
        <v>5855.06</v>
      </c>
      <c r="N65" s="15" t="n">
        <f aca="false">$G65/$E65</f>
        <v>76.0596078431373</v>
      </c>
      <c r="O65" s="25" t="n">
        <f aca="false">$G65/$J65</f>
        <v>0.792287581699346</v>
      </c>
      <c r="P65" s="18" t="str">
        <f aca="false">$C65&amp;" | "&amp;$D65</f>
        <v>Distributors | Protective coatings</v>
      </c>
      <c r="Q65" s="25" t="n">
        <f aca="false">INDEX('Your Floors'!$K$20:$K$31,MATCH($P65,'Your Floors'!$D$20:$D$31,0))</f>
        <v>0.741797996122263</v>
      </c>
      <c r="R65" s="18" t="str">
        <f aca="false">IF($O65&lt;$Q65,"below the floor","at or above it")</f>
        <v>at or above it</v>
      </c>
      <c r="S65" s="15" t="n">
        <f aca="false">IF($O65&lt;$Q65,$E65*ROUND($Q65*$H65,2),$G65)</f>
        <v>27153.28</v>
      </c>
      <c r="T65" s="15" t="n">
        <f aca="false">IF($O65&lt;$Q65,ROUND($L65*$S65/$G65,2),$L65)</f>
        <v>592.22</v>
      </c>
      <c r="U65" s="15" t="n">
        <f aca="false">ROUND(($S65-$G65)-($T65-$L65),2)</f>
        <v>0</v>
      </c>
      <c r="V65" s="15" t="n">
        <f aca="false">IF($O65&lt;$Q65,ROUND($S65-$K65-$T65,2),$M65)</f>
        <v>5855.06</v>
      </c>
    </row>
    <row r="66" customFormat="false" ht="15" hidden="false" customHeight="false" outlineLevel="0" collapsed="false">
      <c r="B66" s="13" t="s">
        <v>136</v>
      </c>
      <c r="C66" s="13" t="s">
        <v>128</v>
      </c>
      <c r="D66" s="13" t="s">
        <v>52</v>
      </c>
      <c r="E66" s="24" t="n">
        <v>1215</v>
      </c>
      <c r="F66" s="14" t="n">
        <v>161478.36</v>
      </c>
      <c r="G66" s="14" t="n">
        <v>143231.29</v>
      </c>
      <c r="H66" s="15" t="n">
        <f aca="false">INDEX('Your Inputs'!$C$8:$C$10,MATCH($D66,'Your Inputs'!$B$8:$B$10,0))</f>
        <v>148</v>
      </c>
      <c r="I66" s="15" t="n">
        <f aca="false">INDEX('Your Inputs'!$D$8:$D$10,MATCH($D66,'Your Inputs'!$B$8:$B$10,0))</f>
        <v>78</v>
      </c>
      <c r="J66" s="15" t="n">
        <f aca="false">ROUND($E66*$H66,2)</f>
        <v>179820</v>
      </c>
      <c r="K66" s="15" t="n">
        <f aca="false">ROUND($E66*$I66,2)</f>
        <v>94770</v>
      </c>
      <c r="L66" s="15" t="n">
        <f aca="false">ROUND($F66*'Your Inputs'!$C$31,2)</f>
        <v>3229.57</v>
      </c>
      <c r="M66" s="15" t="n">
        <f aca="false">ROUND($G66-$K66-$L66,2)</f>
        <v>45231.72</v>
      </c>
      <c r="N66" s="15" t="n">
        <f aca="false">$G66/$E66</f>
        <v>117.885835390947</v>
      </c>
      <c r="O66" s="25" t="n">
        <f aca="false">$G66/$J66</f>
        <v>0.796525914803693</v>
      </c>
      <c r="P66" s="18" t="str">
        <f aca="false">$C66&amp;" | "&amp;$D66</f>
        <v>Distributors | Structural adhesives</v>
      </c>
      <c r="Q66" s="25" t="n">
        <f aca="false">INDEX('Your Floors'!$K$20:$K$31,MATCH($P66,'Your Floors'!$D$20:$D$31,0))</f>
        <v>0.781507876109447</v>
      </c>
      <c r="R66" s="18" t="str">
        <f aca="false">IF($O66&lt;$Q66,"below the floor","at or above it")</f>
        <v>at or above it</v>
      </c>
      <c r="S66" s="15" t="n">
        <f aca="false">IF($O66&lt;$Q66,$E66*ROUND($Q66*$H66,2),$G66)</f>
        <v>143231.29</v>
      </c>
      <c r="T66" s="15" t="n">
        <f aca="false">IF($O66&lt;$Q66,ROUND($L66*$S66/$G66,2),$L66)</f>
        <v>3229.57</v>
      </c>
      <c r="U66" s="15" t="n">
        <f aca="false">ROUND(($S66-$G66)-($T66-$L66),2)</f>
        <v>0</v>
      </c>
      <c r="V66" s="15" t="n">
        <f aca="false">IF($O66&lt;$Q66,ROUND($S66-$K66-$T66,2),$M66)</f>
        <v>45231.72</v>
      </c>
    </row>
    <row r="67" customFormat="false" ht="15" hidden="false" customHeight="false" outlineLevel="0" collapsed="false">
      <c r="B67" s="13" t="s">
        <v>136</v>
      </c>
      <c r="C67" s="13" t="s">
        <v>128</v>
      </c>
      <c r="D67" s="13" t="s">
        <v>54</v>
      </c>
      <c r="E67" s="24" t="n">
        <v>5687</v>
      </c>
      <c r="F67" s="14" t="n">
        <v>292653.02</v>
      </c>
      <c r="G67" s="14" t="n">
        <v>259583.22</v>
      </c>
      <c r="H67" s="15" t="n">
        <f aca="false">INDEX('Your Inputs'!$C$8:$C$10,MATCH($D67,'Your Inputs'!$B$8:$B$10,0))</f>
        <v>62</v>
      </c>
      <c r="I67" s="15" t="n">
        <f aca="false">INDEX('Your Inputs'!$D$8:$D$10,MATCH($D67,'Your Inputs'!$B$8:$B$10,0))</f>
        <v>36</v>
      </c>
      <c r="J67" s="15" t="n">
        <f aca="false">ROUND($E67*$H67,2)</f>
        <v>352594</v>
      </c>
      <c r="K67" s="15" t="n">
        <f aca="false">ROUND($E67*$I67,2)</f>
        <v>204732</v>
      </c>
      <c r="L67" s="15" t="n">
        <f aca="false">ROUND($F67*'Your Inputs'!$C$31,2)</f>
        <v>5853.06</v>
      </c>
      <c r="M67" s="15" t="n">
        <f aca="false">ROUND($G67-$K67-$L67,2)</f>
        <v>48998.16</v>
      </c>
      <c r="N67" s="15" t="n">
        <f aca="false">$G67/$E67</f>
        <v>45.6450184631616</v>
      </c>
      <c r="O67" s="25" t="n">
        <f aca="false">$G67/$J67</f>
        <v>0.736209975212284</v>
      </c>
      <c r="P67" s="18" t="str">
        <f aca="false">$C67&amp;" | "&amp;$D67</f>
        <v>Distributors | Sealants</v>
      </c>
      <c r="Q67" s="25" t="n">
        <f aca="false">INDEX('Your Floors'!$K$20:$K$31,MATCH($P67,'Your Floors'!$D$20:$D$31,0))</f>
        <v>0.704282831281691</v>
      </c>
      <c r="R67" s="18" t="str">
        <f aca="false">IF($O67&lt;$Q67,"below the floor","at or above it")</f>
        <v>at or above it</v>
      </c>
      <c r="S67" s="15" t="n">
        <f aca="false">IF($O67&lt;$Q67,$E67*ROUND($Q67*$H67,2),$G67)</f>
        <v>259583.22</v>
      </c>
      <c r="T67" s="15" t="n">
        <f aca="false">IF($O67&lt;$Q67,ROUND($L67*$S67/$G67,2),$L67)</f>
        <v>5853.06</v>
      </c>
      <c r="U67" s="15" t="n">
        <f aca="false">ROUND(($S67-$G67)-($T67-$L67),2)</f>
        <v>0</v>
      </c>
      <c r="V67" s="15" t="n">
        <f aca="false">IF($O67&lt;$Q67,ROUND($S67-$K67-$T67,2),$M67)</f>
        <v>48998.16</v>
      </c>
    </row>
    <row r="68" customFormat="false" ht="15" hidden="false" customHeight="false" outlineLevel="0" collapsed="false">
      <c r="B68" s="13" t="s">
        <v>136</v>
      </c>
      <c r="C68" s="13" t="s">
        <v>128</v>
      </c>
      <c r="D68" s="13" t="s">
        <v>56</v>
      </c>
      <c r="E68" s="24" t="n">
        <v>1402</v>
      </c>
      <c r="F68" s="14" t="n">
        <v>116287.49</v>
      </c>
      <c r="G68" s="14" t="n">
        <v>103147.01</v>
      </c>
      <c r="H68" s="15" t="n">
        <f aca="false">INDEX('Your Inputs'!$C$8:$C$10,MATCH($D68,'Your Inputs'!$B$8:$B$10,0))</f>
        <v>96</v>
      </c>
      <c r="I68" s="15" t="n">
        <f aca="false">INDEX('Your Inputs'!$D$8:$D$10,MATCH($D68,'Your Inputs'!$B$8:$B$10,0))</f>
        <v>58</v>
      </c>
      <c r="J68" s="15" t="n">
        <f aca="false">ROUND($E68*$H68,2)</f>
        <v>134592</v>
      </c>
      <c r="K68" s="15" t="n">
        <f aca="false">ROUND($E68*$I68,2)</f>
        <v>81316</v>
      </c>
      <c r="L68" s="15" t="n">
        <f aca="false">ROUND($F68*'Your Inputs'!$C$31,2)</f>
        <v>2325.75</v>
      </c>
      <c r="M68" s="15" t="n">
        <f aca="false">ROUND($G68-$K68-$L68,2)</f>
        <v>19505.26</v>
      </c>
      <c r="N68" s="15" t="n">
        <f aca="false">$G68/$E68</f>
        <v>73.5713338088445</v>
      </c>
      <c r="O68" s="25" t="n">
        <f aca="false">$G68/$J68</f>
        <v>0.766368060508797</v>
      </c>
      <c r="P68" s="18" t="str">
        <f aca="false">$C68&amp;" | "&amp;$D68</f>
        <v>Distributors | Protective coatings</v>
      </c>
      <c r="Q68" s="25" t="n">
        <f aca="false">INDEX('Your Floors'!$K$20:$K$31,MATCH($P68,'Your Floors'!$D$20:$D$31,0))</f>
        <v>0.741797996122263</v>
      </c>
      <c r="R68" s="18" t="str">
        <f aca="false">IF($O68&lt;$Q68,"below the floor","at or above it")</f>
        <v>at or above it</v>
      </c>
      <c r="S68" s="15" t="n">
        <f aca="false">IF($O68&lt;$Q68,$E68*ROUND($Q68*$H68,2),$G68)</f>
        <v>103147.01</v>
      </c>
      <c r="T68" s="15" t="n">
        <f aca="false">IF($O68&lt;$Q68,ROUND($L68*$S68/$G68,2),$L68)</f>
        <v>2325.75</v>
      </c>
      <c r="U68" s="15" t="n">
        <f aca="false">ROUND(($S68-$G68)-($T68-$L68),2)</f>
        <v>0</v>
      </c>
      <c r="V68" s="15" t="n">
        <f aca="false">IF($O68&lt;$Q68,ROUND($S68-$K68-$T68,2),$M68)</f>
        <v>19505.26</v>
      </c>
    </row>
    <row r="69" customFormat="false" ht="15" hidden="false" customHeight="false" outlineLevel="0" collapsed="false">
      <c r="B69" s="13" t="s">
        <v>137</v>
      </c>
      <c r="C69" s="13" t="s">
        <v>128</v>
      </c>
      <c r="D69" s="13" t="s">
        <v>52</v>
      </c>
      <c r="E69" s="24" t="n">
        <v>164</v>
      </c>
      <c r="F69" s="14" t="n">
        <v>20818.09</v>
      </c>
      <c r="G69" s="14" t="n">
        <v>18465.66</v>
      </c>
      <c r="H69" s="15" t="n">
        <f aca="false">INDEX('Your Inputs'!$C$8:$C$10,MATCH($D69,'Your Inputs'!$B$8:$B$10,0))</f>
        <v>148</v>
      </c>
      <c r="I69" s="15" t="n">
        <f aca="false">INDEX('Your Inputs'!$D$8:$D$10,MATCH($D69,'Your Inputs'!$B$8:$B$10,0))</f>
        <v>78</v>
      </c>
      <c r="J69" s="15" t="n">
        <f aca="false">ROUND($E69*$H69,2)</f>
        <v>24272</v>
      </c>
      <c r="K69" s="15" t="n">
        <f aca="false">ROUND($E69*$I69,2)</f>
        <v>12792</v>
      </c>
      <c r="L69" s="15" t="n">
        <f aca="false">ROUND($F69*'Your Inputs'!$C$31,2)</f>
        <v>416.36</v>
      </c>
      <c r="M69" s="15" t="n">
        <f aca="false">ROUND($G69-$K69-$L69,2)</f>
        <v>5257.3</v>
      </c>
      <c r="N69" s="15" t="n">
        <f aca="false">$G69/$E69</f>
        <v>112.595487804878</v>
      </c>
      <c r="O69" s="25" t="n">
        <f aca="false">$G69/$J69</f>
        <v>0.760780323005933</v>
      </c>
      <c r="P69" s="18" t="str">
        <f aca="false">$C69&amp;" | "&amp;$D69</f>
        <v>Distributors | Structural adhesives</v>
      </c>
      <c r="Q69" s="25" t="n">
        <f aca="false">INDEX('Your Floors'!$K$20:$K$31,MATCH($P69,'Your Floors'!$D$20:$D$31,0))</f>
        <v>0.781507876109447</v>
      </c>
      <c r="R69" s="18" t="str">
        <f aca="false">IF($O69&lt;$Q69,"below the floor","at or above it")</f>
        <v>below the floor</v>
      </c>
      <c r="S69" s="15" t="n">
        <f aca="false">IF($O69&lt;$Q69,$E69*ROUND($Q69*$H69,2),$G69)</f>
        <v>18968.24</v>
      </c>
      <c r="T69" s="15" t="n">
        <f aca="false">IF($O69&lt;$Q69,ROUND($L69*$S69/$G69,2),$L69)</f>
        <v>427.69</v>
      </c>
      <c r="U69" s="15" t="n">
        <f aca="false">ROUND(($S69-$G69)-($T69-$L69),2)</f>
        <v>491.25</v>
      </c>
      <c r="V69" s="15" t="n">
        <f aca="false">IF($O69&lt;$Q69,ROUND($S69-$K69-$T69,2),$M69)</f>
        <v>5748.55</v>
      </c>
    </row>
    <row r="70" customFormat="false" ht="15" hidden="false" customHeight="false" outlineLevel="0" collapsed="false">
      <c r="B70" s="13" t="s">
        <v>137</v>
      </c>
      <c r="C70" s="13" t="s">
        <v>128</v>
      </c>
      <c r="D70" s="13" t="s">
        <v>54</v>
      </c>
      <c r="E70" s="24" t="n">
        <v>3031</v>
      </c>
      <c r="F70" s="14" t="n">
        <v>140095.85</v>
      </c>
      <c r="G70" s="14" t="n">
        <v>124265</v>
      </c>
      <c r="H70" s="15" t="n">
        <f aca="false">INDEX('Your Inputs'!$C$8:$C$10,MATCH($D70,'Your Inputs'!$B$8:$B$10,0))</f>
        <v>62</v>
      </c>
      <c r="I70" s="15" t="n">
        <f aca="false">INDEX('Your Inputs'!$D$8:$D$10,MATCH($D70,'Your Inputs'!$B$8:$B$10,0))</f>
        <v>36</v>
      </c>
      <c r="J70" s="15" t="n">
        <f aca="false">ROUND($E70*$H70,2)</f>
        <v>187922</v>
      </c>
      <c r="K70" s="15" t="n">
        <f aca="false">ROUND($E70*$I70,2)</f>
        <v>109116</v>
      </c>
      <c r="L70" s="15" t="n">
        <f aca="false">ROUND($F70*'Your Inputs'!$C$31,2)</f>
        <v>2801.92</v>
      </c>
      <c r="M70" s="15" t="n">
        <f aca="false">ROUND($G70-$K70-$L70,2)</f>
        <v>12347.08</v>
      </c>
      <c r="N70" s="15" t="n">
        <f aca="false">$G70/$E70</f>
        <v>40.9980204552953</v>
      </c>
      <c r="O70" s="25" t="n">
        <f aca="false">$G70/$J70</f>
        <v>0.661258394440247</v>
      </c>
      <c r="P70" s="18" t="str">
        <f aca="false">$C70&amp;" | "&amp;$D70</f>
        <v>Distributors | Sealants</v>
      </c>
      <c r="Q70" s="25" t="n">
        <f aca="false">INDEX('Your Floors'!$K$20:$K$31,MATCH($P70,'Your Floors'!$D$20:$D$31,0))</f>
        <v>0.704282831281691</v>
      </c>
      <c r="R70" s="18" t="str">
        <f aca="false">IF($O70&lt;$Q70,"below the floor","at or above it")</f>
        <v>below the floor</v>
      </c>
      <c r="S70" s="15" t="n">
        <f aca="false">IF($O70&lt;$Q70,$E70*ROUND($Q70*$H70,2),$G70)</f>
        <v>132363.77</v>
      </c>
      <c r="T70" s="15" t="n">
        <f aca="false">IF($O70&lt;$Q70,ROUND($L70*$S70/$G70,2),$L70)</f>
        <v>2984.53</v>
      </c>
      <c r="U70" s="15" t="n">
        <f aca="false">ROUND(($S70-$G70)-($T70-$L70),2)</f>
        <v>7916.16</v>
      </c>
      <c r="V70" s="15" t="n">
        <f aca="false">IF($O70&lt;$Q70,ROUND($S70-$K70-$T70,2),$M70)</f>
        <v>20263.24</v>
      </c>
    </row>
    <row r="71" customFormat="false" ht="15" hidden="false" customHeight="false" outlineLevel="0" collapsed="false">
      <c r="B71" s="13" t="s">
        <v>137</v>
      </c>
      <c r="C71" s="13" t="s">
        <v>128</v>
      </c>
      <c r="D71" s="13" t="s">
        <v>56</v>
      </c>
      <c r="E71" s="24" t="n">
        <v>1080</v>
      </c>
      <c r="F71" s="14" t="n">
        <v>83109.89</v>
      </c>
      <c r="G71" s="14" t="n">
        <v>73718.46</v>
      </c>
      <c r="H71" s="15" t="n">
        <f aca="false">INDEX('Your Inputs'!$C$8:$C$10,MATCH($D71,'Your Inputs'!$B$8:$B$10,0))</f>
        <v>96</v>
      </c>
      <c r="I71" s="15" t="n">
        <f aca="false">INDEX('Your Inputs'!$D$8:$D$10,MATCH($D71,'Your Inputs'!$B$8:$B$10,0))</f>
        <v>58</v>
      </c>
      <c r="J71" s="15" t="n">
        <f aca="false">ROUND($E71*$H71,2)</f>
        <v>103680</v>
      </c>
      <c r="K71" s="15" t="n">
        <f aca="false">ROUND($E71*$I71,2)</f>
        <v>62640</v>
      </c>
      <c r="L71" s="15" t="n">
        <f aca="false">ROUND($F71*'Your Inputs'!$C$31,2)</f>
        <v>1662.2</v>
      </c>
      <c r="M71" s="15" t="n">
        <f aca="false">ROUND($G71-$K71-$L71,2)</f>
        <v>9416.26</v>
      </c>
      <c r="N71" s="15" t="n">
        <f aca="false">$G71/$E71</f>
        <v>68.2578333333333</v>
      </c>
      <c r="O71" s="25" t="n">
        <f aca="false">$G71/$J71</f>
        <v>0.711019097222222</v>
      </c>
      <c r="P71" s="18" t="str">
        <f aca="false">$C71&amp;" | "&amp;$D71</f>
        <v>Distributors | Protective coatings</v>
      </c>
      <c r="Q71" s="25" t="n">
        <f aca="false">INDEX('Your Floors'!$K$20:$K$31,MATCH($P71,'Your Floors'!$D$20:$D$31,0))</f>
        <v>0.741797996122263</v>
      </c>
      <c r="R71" s="18" t="str">
        <f aca="false">IF($O71&lt;$Q71,"below the floor","at or above it")</f>
        <v>below the floor</v>
      </c>
      <c r="S71" s="15" t="n">
        <f aca="false">IF($O71&lt;$Q71,$E71*ROUND($Q71*$H71,2),$G71)</f>
        <v>76906.8</v>
      </c>
      <c r="T71" s="15" t="n">
        <f aca="false">IF($O71&lt;$Q71,ROUND($L71*$S71/$G71,2),$L71)</f>
        <v>1734.09</v>
      </c>
      <c r="U71" s="15" t="n">
        <f aca="false">ROUND(($S71-$G71)-($T71-$L71),2)</f>
        <v>3116.45</v>
      </c>
      <c r="V71" s="15" t="n">
        <f aca="false">IF($O71&lt;$Q71,ROUND($S71-$K71-$T71,2),$M71)</f>
        <v>12532.71</v>
      </c>
    </row>
    <row r="72" customFormat="false" ht="15" hidden="false" customHeight="false" outlineLevel="0" collapsed="false">
      <c r="B72" s="13" t="s">
        <v>138</v>
      </c>
      <c r="C72" s="13" t="s">
        <v>128</v>
      </c>
      <c r="D72" s="13" t="s">
        <v>52</v>
      </c>
      <c r="E72" s="24" t="n">
        <v>392</v>
      </c>
      <c r="F72" s="14" t="n">
        <v>54975.96</v>
      </c>
      <c r="G72" s="14" t="n">
        <v>50687.83</v>
      </c>
      <c r="H72" s="15" t="n">
        <f aca="false">INDEX('Your Inputs'!$C$8:$C$10,MATCH($D72,'Your Inputs'!$B$8:$B$10,0))</f>
        <v>148</v>
      </c>
      <c r="I72" s="15" t="n">
        <f aca="false">INDEX('Your Inputs'!$D$8:$D$10,MATCH($D72,'Your Inputs'!$B$8:$B$10,0))</f>
        <v>78</v>
      </c>
      <c r="J72" s="15" t="n">
        <f aca="false">ROUND($E72*$H72,2)</f>
        <v>58016</v>
      </c>
      <c r="K72" s="15" t="n">
        <f aca="false">ROUND($E72*$I72,2)</f>
        <v>30576</v>
      </c>
      <c r="L72" s="15" t="n">
        <f aca="false">ROUND($F72*'Your Inputs'!$C$31,2)</f>
        <v>1099.52</v>
      </c>
      <c r="M72" s="15" t="n">
        <f aca="false">ROUND($G72-$K72-$L72,2)</f>
        <v>19012.31</v>
      </c>
      <c r="N72" s="15" t="n">
        <f aca="false">$G72/$E72</f>
        <v>129.30568877551</v>
      </c>
      <c r="O72" s="25" t="n">
        <f aca="false">$G72/$J72</f>
        <v>0.873687086321015</v>
      </c>
      <c r="P72" s="18" t="str">
        <f aca="false">$C72&amp;" | "&amp;$D72</f>
        <v>Distributors | Structural adhesives</v>
      </c>
      <c r="Q72" s="25" t="n">
        <f aca="false">INDEX('Your Floors'!$K$20:$K$31,MATCH($P72,'Your Floors'!$D$20:$D$31,0))</f>
        <v>0.781507876109447</v>
      </c>
      <c r="R72" s="18" t="str">
        <f aca="false">IF($O72&lt;$Q72,"below the floor","at or above it")</f>
        <v>at or above it</v>
      </c>
      <c r="S72" s="15" t="n">
        <f aca="false">IF($O72&lt;$Q72,$E72*ROUND($Q72*$H72,2),$G72)</f>
        <v>50687.83</v>
      </c>
      <c r="T72" s="15" t="n">
        <f aca="false">IF($O72&lt;$Q72,ROUND($L72*$S72/$G72,2),$L72)</f>
        <v>1099.52</v>
      </c>
      <c r="U72" s="15" t="n">
        <f aca="false">ROUND(($S72-$G72)-($T72-$L72),2)</f>
        <v>0</v>
      </c>
      <c r="V72" s="15" t="n">
        <f aca="false">IF($O72&lt;$Q72,ROUND($S72-$K72-$T72,2),$M72)</f>
        <v>19012.31</v>
      </c>
    </row>
    <row r="73" customFormat="false" ht="15" hidden="false" customHeight="false" outlineLevel="0" collapsed="false">
      <c r="B73" s="13" t="s">
        <v>138</v>
      </c>
      <c r="C73" s="13" t="s">
        <v>128</v>
      </c>
      <c r="D73" s="13" t="s">
        <v>54</v>
      </c>
      <c r="E73" s="24" t="n">
        <v>2589</v>
      </c>
      <c r="F73" s="14" t="n">
        <v>149923.81</v>
      </c>
      <c r="G73" s="14" t="n">
        <v>138229.74</v>
      </c>
      <c r="H73" s="15" t="n">
        <f aca="false">INDEX('Your Inputs'!$C$8:$C$10,MATCH($D73,'Your Inputs'!$B$8:$B$10,0))</f>
        <v>62</v>
      </c>
      <c r="I73" s="15" t="n">
        <f aca="false">INDEX('Your Inputs'!$D$8:$D$10,MATCH($D73,'Your Inputs'!$B$8:$B$10,0))</f>
        <v>36</v>
      </c>
      <c r="J73" s="15" t="n">
        <f aca="false">ROUND($E73*$H73,2)</f>
        <v>160518</v>
      </c>
      <c r="K73" s="15" t="n">
        <f aca="false">ROUND($E73*$I73,2)</f>
        <v>93204</v>
      </c>
      <c r="L73" s="15" t="n">
        <f aca="false">ROUND($F73*'Your Inputs'!$C$31,2)</f>
        <v>2998.48</v>
      </c>
      <c r="M73" s="15" t="n">
        <f aca="false">ROUND($G73-$K73-$L73,2)</f>
        <v>42027.26</v>
      </c>
      <c r="N73" s="15" t="n">
        <f aca="false">$G73/$E73</f>
        <v>53.3911703360371</v>
      </c>
      <c r="O73" s="25" t="n">
        <f aca="false">$G73/$J73</f>
        <v>0.861147908645759</v>
      </c>
      <c r="P73" s="18" t="str">
        <f aca="false">$C73&amp;" | "&amp;$D73</f>
        <v>Distributors | Sealants</v>
      </c>
      <c r="Q73" s="25" t="n">
        <f aca="false">INDEX('Your Floors'!$K$20:$K$31,MATCH($P73,'Your Floors'!$D$20:$D$31,0))</f>
        <v>0.704282831281691</v>
      </c>
      <c r="R73" s="18" t="str">
        <f aca="false">IF($O73&lt;$Q73,"below the floor","at or above it")</f>
        <v>at or above it</v>
      </c>
      <c r="S73" s="15" t="n">
        <f aca="false">IF($O73&lt;$Q73,$E73*ROUND($Q73*$H73,2),$G73)</f>
        <v>138229.74</v>
      </c>
      <c r="T73" s="15" t="n">
        <f aca="false">IF($O73&lt;$Q73,ROUND($L73*$S73/$G73,2),$L73)</f>
        <v>2998.48</v>
      </c>
      <c r="U73" s="15" t="n">
        <f aca="false">ROUND(($S73-$G73)-($T73-$L73),2)</f>
        <v>0</v>
      </c>
      <c r="V73" s="15" t="n">
        <f aca="false">IF($O73&lt;$Q73,ROUND($S73-$K73-$T73,2),$M73)</f>
        <v>42027.26</v>
      </c>
    </row>
    <row r="74" customFormat="false" ht="15" hidden="false" customHeight="false" outlineLevel="0" collapsed="false">
      <c r="B74" s="13" t="s">
        <v>138</v>
      </c>
      <c r="C74" s="13" t="s">
        <v>128</v>
      </c>
      <c r="D74" s="13" t="s">
        <v>56</v>
      </c>
      <c r="E74" s="24" t="n">
        <v>904</v>
      </c>
      <c r="F74" s="14" t="n">
        <v>81646.39</v>
      </c>
      <c r="G74" s="14" t="n">
        <v>75277.97</v>
      </c>
      <c r="H74" s="15" t="n">
        <f aca="false">INDEX('Your Inputs'!$C$8:$C$10,MATCH($D74,'Your Inputs'!$B$8:$B$10,0))</f>
        <v>96</v>
      </c>
      <c r="I74" s="15" t="n">
        <f aca="false">INDEX('Your Inputs'!$D$8:$D$10,MATCH($D74,'Your Inputs'!$B$8:$B$10,0))</f>
        <v>58</v>
      </c>
      <c r="J74" s="15" t="n">
        <f aca="false">ROUND($E74*$H74,2)</f>
        <v>86784</v>
      </c>
      <c r="K74" s="15" t="n">
        <f aca="false">ROUND($E74*$I74,2)</f>
        <v>52432</v>
      </c>
      <c r="L74" s="15" t="n">
        <f aca="false">ROUND($F74*'Your Inputs'!$C$31,2)</f>
        <v>1632.93</v>
      </c>
      <c r="M74" s="15" t="n">
        <f aca="false">ROUND($G74-$K74-$L74,2)</f>
        <v>21213.04</v>
      </c>
      <c r="N74" s="15" t="n">
        <f aca="false">$G74/$E74</f>
        <v>83.2720907079646</v>
      </c>
      <c r="O74" s="25" t="n">
        <f aca="false">$G74/$J74</f>
        <v>0.867417611541298</v>
      </c>
      <c r="P74" s="18" t="str">
        <f aca="false">$C74&amp;" | "&amp;$D74</f>
        <v>Distributors | Protective coatings</v>
      </c>
      <c r="Q74" s="25" t="n">
        <f aca="false">INDEX('Your Floors'!$K$20:$K$31,MATCH($P74,'Your Floors'!$D$20:$D$31,0))</f>
        <v>0.741797996122263</v>
      </c>
      <c r="R74" s="18" t="str">
        <f aca="false">IF($O74&lt;$Q74,"below the floor","at or above it")</f>
        <v>at or above it</v>
      </c>
      <c r="S74" s="15" t="n">
        <f aca="false">IF($O74&lt;$Q74,$E74*ROUND($Q74*$H74,2),$G74)</f>
        <v>75277.97</v>
      </c>
      <c r="T74" s="15" t="n">
        <f aca="false">IF($O74&lt;$Q74,ROUND($L74*$S74/$G74,2),$L74)</f>
        <v>1632.93</v>
      </c>
      <c r="U74" s="15" t="n">
        <f aca="false">ROUND(($S74-$G74)-($T74-$L74),2)</f>
        <v>0</v>
      </c>
      <c r="V74" s="15" t="n">
        <f aca="false">IF($O74&lt;$Q74,ROUND($S74-$K74-$T74,2),$M74)</f>
        <v>21213.04</v>
      </c>
    </row>
    <row r="75" customFormat="false" ht="15" hidden="false" customHeight="false" outlineLevel="0" collapsed="false">
      <c r="B75" s="13" t="s">
        <v>139</v>
      </c>
      <c r="C75" s="13" t="s">
        <v>128</v>
      </c>
      <c r="D75" s="13" t="s">
        <v>52</v>
      </c>
      <c r="E75" s="24" t="n">
        <v>1181</v>
      </c>
      <c r="F75" s="14" t="n">
        <v>152380.18</v>
      </c>
      <c r="G75" s="14" t="n">
        <v>132875.53</v>
      </c>
      <c r="H75" s="15" t="n">
        <f aca="false">INDEX('Your Inputs'!$C$8:$C$10,MATCH($D75,'Your Inputs'!$B$8:$B$10,0))</f>
        <v>148</v>
      </c>
      <c r="I75" s="15" t="n">
        <f aca="false">INDEX('Your Inputs'!$D$8:$D$10,MATCH($D75,'Your Inputs'!$B$8:$B$10,0))</f>
        <v>78</v>
      </c>
      <c r="J75" s="15" t="n">
        <f aca="false">ROUND($E75*$H75,2)</f>
        <v>174788</v>
      </c>
      <c r="K75" s="15" t="n">
        <f aca="false">ROUND($E75*$I75,2)</f>
        <v>92118</v>
      </c>
      <c r="L75" s="15" t="n">
        <f aca="false">ROUND($F75*'Your Inputs'!$C$31,2)</f>
        <v>3047.6</v>
      </c>
      <c r="M75" s="15" t="n">
        <f aca="false">ROUND($G75-$K75-$L75,2)</f>
        <v>37709.93</v>
      </c>
      <c r="N75" s="15" t="n">
        <f aca="false">$G75/$E75</f>
        <v>112.511033022862</v>
      </c>
      <c r="O75" s="25" t="n">
        <f aca="false">$G75/$J75</f>
        <v>0.760209682586905</v>
      </c>
      <c r="P75" s="18" t="str">
        <f aca="false">$C75&amp;" | "&amp;$D75</f>
        <v>Distributors | Structural adhesives</v>
      </c>
      <c r="Q75" s="25" t="n">
        <f aca="false">INDEX('Your Floors'!$K$20:$K$31,MATCH($P75,'Your Floors'!$D$20:$D$31,0))</f>
        <v>0.781507876109447</v>
      </c>
      <c r="R75" s="18" t="str">
        <f aca="false">IF($O75&lt;$Q75,"below the floor","at or above it")</f>
        <v>below the floor</v>
      </c>
      <c r="S75" s="15" t="n">
        <f aca="false">IF($O75&lt;$Q75,$E75*ROUND($Q75*$H75,2),$G75)</f>
        <v>136594.46</v>
      </c>
      <c r="T75" s="15" t="n">
        <f aca="false">IF($O75&lt;$Q75,ROUND($L75*$S75/$G75,2),$L75)</f>
        <v>3132.9</v>
      </c>
      <c r="U75" s="15" t="n">
        <f aca="false">ROUND(($S75-$G75)-($T75-$L75),2)</f>
        <v>3633.63</v>
      </c>
      <c r="V75" s="15" t="n">
        <f aca="false">IF($O75&lt;$Q75,ROUND($S75-$K75-$T75,2),$M75)</f>
        <v>41343.56</v>
      </c>
    </row>
    <row r="76" customFormat="false" ht="15" hidden="false" customHeight="false" outlineLevel="0" collapsed="false">
      <c r="B76" s="13" t="s">
        <v>139</v>
      </c>
      <c r="C76" s="13" t="s">
        <v>128</v>
      </c>
      <c r="D76" s="13" t="s">
        <v>54</v>
      </c>
      <c r="E76" s="24" t="n">
        <v>6867</v>
      </c>
      <c r="F76" s="14" t="n">
        <v>339325.94</v>
      </c>
      <c r="G76" s="14" t="n">
        <v>295892.21</v>
      </c>
      <c r="H76" s="15" t="n">
        <f aca="false">INDEX('Your Inputs'!$C$8:$C$10,MATCH($D76,'Your Inputs'!$B$8:$B$10,0))</f>
        <v>62</v>
      </c>
      <c r="I76" s="15" t="n">
        <f aca="false">INDEX('Your Inputs'!$D$8:$D$10,MATCH($D76,'Your Inputs'!$B$8:$B$10,0))</f>
        <v>36</v>
      </c>
      <c r="J76" s="15" t="n">
        <f aca="false">ROUND($E76*$H76,2)</f>
        <v>425754</v>
      </c>
      <c r="K76" s="15" t="n">
        <f aca="false">ROUND($E76*$I76,2)</f>
        <v>247212</v>
      </c>
      <c r="L76" s="15" t="n">
        <f aca="false">ROUND($F76*'Your Inputs'!$C$31,2)</f>
        <v>6786.52</v>
      </c>
      <c r="M76" s="15" t="n">
        <f aca="false">ROUND($G76-$K76-$L76,2)</f>
        <v>41893.69</v>
      </c>
      <c r="N76" s="15" t="n">
        <f aca="false">$G76/$E76</f>
        <v>43.089006844328</v>
      </c>
      <c r="O76" s="25" t="n">
        <f aca="false">$G76/$J76</f>
        <v>0.694983981360128</v>
      </c>
      <c r="P76" s="18" t="str">
        <f aca="false">$C76&amp;" | "&amp;$D76</f>
        <v>Distributors | Sealants</v>
      </c>
      <c r="Q76" s="25" t="n">
        <f aca="false">INDEX('Your Floors'!$K$20:$K$31,MATCH($P76,'Your Floors'!$D$20:$D$31,0))</f>
        <v>0.704282831281691</v>
      </c>
      <c r="R76" s="18" t="str">
        <f aca="false">IF($O76&lt;$Q76,"below the floor","at or above it")</f>
        <v>below the floor</v>
      </c>
      <c r="S76" s="15" t="n">
        <f aca="false">IF($O76&lt;$Q76,$E76*ROUND($Q76*$H76,2),$G76)</f>
        <v>299881.89</v>
      </c>
      <c r="T76" s="15" t="n">
        <f aca="false">IF($O76&lt;$Q76,ROUND($L76*$S76/$G76,2),$L76)</f>
        <v>6878.03</v>
      </c>
      <c r="U76" s="15" t="n">
        <f aca="false">ROUND(($S76-$G76)-($T76-$L76),2)</f>
        <v>3898.17</v>
      </c>
      <c r="V76" s="15" t="n">
        <f aca="false">IF($O76&lt;$Q76,ROUND($S76-$K76-$T76,2),$M76)</f>
        <v>45791.86</v>
      </c>
    </row>
    <row r="77" customFormat="false" ht="15" hidden="false" customHeight="false" outlineLevel="0" collapsed="false">
      <c r="B77" s="13" t="s">
        <v>139</v>
      </c>
      <c r="C77" s="13" t="s">
        <v>128</v>
      </c>
      <c r="D77" s="13" t="s">
        <v>56</v>
      </c>
      <c r="E77" s="24" t="n">
        <v>2124</v>
      </c>
      <c r="F77" s="14" t="n">
        <v>170137.5</v>
      </c>
      <c r="G77" s="14" t="n">
        <v>148359.9</v>
      </c>
      <c r="H77" s="15" t="n">
        <f aca="false">INDEX('Your Inputs'!$C$8:$C$10,MATCH($D77,'Your Inputs'!$B$8:$B$10,0))</f>
        <v>96</v>
      </c>
      <c r="I77" s="15" t="n">
        <f aca="false">INDEX('Your Inputs'!$D$8:$D$10,MATCH($D77,'Your Inputs'!$B$8:$B$10,0))</f>
        <v>58</v>
      </c>
      <c r="J77" s="15" t="n">
        <f aca="false">ROUND($E77*$H77,2)</f>
        <v>203904</v>
      </c>
      <c r="K77" s="15" t="n">
        <f aca="false">ROUND($E77*$I77,2)</f>
        <v>123192</v>
      </c>
      <c r="L77" s="15" t="n">
        <f aca="false">ROUND($F77*'Your Inputs'!$C$31,2)</f>
        <v>3402.75</v>
      </c>
      <c r="M77" s="15" t="n">
        <f aca="false">ROUND($G77-$K77-$L77,2)</f>
        <v>21765.15</v>
      </c>
      <c r="N77" s="15" t="n">
        <f aca="false">$G77/$E77</f>
        <v>69.8492937853107</v>
      </c>
      <c r="O77" s="25" t="n">
        <f aca="false">$G77/$J77</f>
        <v>0.727596810263653</v>
      </c>
      <c r="P77" s="18" t="str">
        <f aca="false">$C77&amp;" | "&amp;$D77</f>
        <v>Distributors | Protective coatings</v>
      </c>
      <c r="Q77" s="25" t="n">
        <f aca="false">INDEX('Your Floors'!$K$20:$K$31,MATCH($P77,'Your Floors'!$D$20:$D$31,0))</f>
        <v>0.741797996122263</v>
      </c>
      <c r="R77" s="18" t="str">
        <f aca="false">IF($O77&lt;$Q77,"below the floor","at or above it")</f>
        <v>below the floor</v>
      </c>
      <c r="S77" s="15" t="n">
        <f aca="false">IF($O77&lt;$Q77,$E77*ROUND($Q77*$H77,2),$G77)</f>
        <v>151250.04</v>
      </c>
      <c r="T77" s="15" t="n">
        <f aca="false">IF($O77&lt;$Q77,ROUND($L77*$S77/$G77,2),$L77)</f>
        <v>3469.04</v>
      </c>
      <c r="U77" s="15" t="n">
        <f aca="false">ROUND(($S77-$G77)-($T77-$L77),2)</f>
        <v>2823.85</v>
      </c>
      <c r="V77" s="15" t="n">
        <f aca="false">IF($O77&lt;$Q77,ROUND($S77-$K77-$T77,2),$M77)</f>
        <v>24589</v>
      </c>
    </row>
    <row r="78" customFormat="false" ht="15" hidden="false" customHeight="false" outlineLevel="0" collapsed="false">
      <c r="B78" s="13" t="s">
        <v>140</v>
      </c>
      <c r="C78" s="13" t="s">
        <v>128</v>
      </c>
      <c r="D78" s="13" t="s">
        <v>52</v>
      </c>
      <c r="E78" s="24" t="n">
        <v>291</v>
      </c>
      <c r="F78" s="14" t="n">
        <v>38214.24</v>
      </c>
      <c r="G78" s="14" t="n">
        <v>33896.04</v>
      </c>
      <c r="H78" s="15" t="n">
        <f aca="false">INDEX('Your Inputs'!$C$8:$C$10,MATCH($D78,'Your Inputs'!$B$8:$B$10,0))</f>
        <v>148</v>
      </c>
      <c r="I78" s="15" t="n">
        <f aca="false">INDEX('Your Inputs'!$D$8:$D$10,MATCH($D78,'Your Inputs'!$B$8:$B$10,0))</f>
        <v>78</v>
      </c>
      <c r="J78" s="15" t="n">
        <f aca="false">ROUND($E78*$H78,2)</f>
        <v>43068</v>
      </c>
      <c r="K78" s="15" t="n">
        <f aca="false">ROUND($E78*$I78,2)</f>
        <v>22698</v>
      </c>
      <c r="L78" s="15" t="n">
        <f aca="false">ROUND($F78*'Your Inputs'!$C$31,2)</f>
        <v>764.28</v>
      </c>
      <c r="M78" s="15" t="n">
        <f aca="false">ROUND($G78-$K78-$L78,2)</f>
        <v>10433.76</v>
      </c>
      <c r="N78" s="15" t="n">
        <f aca="false">$G78/$E78</f>
        <v>116.481237113402</v>
      </c>
      <c r="O78" s="25" t="n">
        <f aca="false">$G78/$J78</f>
        <v>0.787035385901365</v>
      </c>
      <c r="P78" s="18" t="str">
        <f aca="false">$C78&amp;" | "&amp;$D78</f>
        <v>Distributors | Structural adhesives</v>
      </c>
      <c r="Q78" s="25" t="n">
        <f aca="false">INDEX('Your Floors'!$K$20:$K$31,MATCH($P78,'Your Floors'!$D$20:$D$31,0))</f>
        <v>0.781507876109447</v>
      </c>
      <c r="R78" s="18" t="str">
        <f aca="false">IF($O78&lt;$Q78,"below the floor","at or above it")</f>
        <v>at or above it</v>
      </c>
      <c r="S78" s="15" t="n">
        <f aca="false">IF($O78&lt;$Q78,$E78*ROUND($Q78*$H78,2),$G78)</f>
        <v>33896.04</v>
      </c>
      <c r="T78" s="15" t="n">
        <f aca="false">IF($O78&lt;$Q78,ROUND($L78*$S78/$G78,2),$L78)</f>
        <v>764.28</v>
      </c>
      <c r="U78" s="15" t="n">
        <f aca="false">ROUND(($S78-$G78)-($T78-$L78),2)</f>
        <v>0</v>
      </c>
      <c r="V78" s="15" t="n">
        <f aca="false">IF($O78&lt;$Q78,ROUND($S78-$K78-$T78,2),$M78)</f>
        <v>10433.76</v>
      </c>
    </row>
    <row r="79" customFormat="false" ht="15" hidden="false" customHeight="false" outlineLevel="0" collapsed="false">
      <c r="B79" s="13" t="s">
        <v>140</v>
      </c>
      <c r="C79" s="13" t="s">
        <v>128</v>
      </c>
      <c r="D79" s="13" t="s">
        <v>54</v>
      </c>
      <c r="E79" s="24" t="n">
        <v>11151</v>
      </c>
      <c r="F79" s="14" t="n">
        <v>573484.78</v>
      </c>
      <c r="G79" s="14" t="n">
        <v>508680.99</v>
      </c>
      <c r="H79" s="15" t="n">
        <f aca="false">INDEX('Your Inputs'!$C$8:$C$10,MATCH($D79,'Your Inputs'!$B$8:$B$10,0))</f>
        <v>62</v>
      </c>
      <c r="I79" s="15" t="n">
        <f aca="false">INDEX('Your Inputs'!$D$8:$D$10,MATCH($D79,'Your Inputs'!$B$8:$B$10,0))</f>
        <v>36</v>
      </c>
      <c r="J79" s="15" t="n">
        <f aca="false">ROUND($E79*$H79,2)</f>
        <v>691362</v>
      </c>
      <c r="K79" s="15" t="n">
        <f aca="false">ROUND($E79*$I79,2)</f>
        <v>401436</v>
      </c>
      <c r="L79" s="15" t="n">
        <f aca="false">ROUND($F79*'Your Inputs'!$C$31,2)</f>
        <v>11469.7</v>
      </c>
      <c r="M79" s="15" t="n">
        <f aca="false">ROUND($G79-$K79-$L79,2)</f>
        <v>95775.29</v>
      </c>
      <c r="N79" s="15" t="n">
        <f aca="false">$G79/$E79</f>
        <v>45.6175221953188</v>
      </c>
      <c r="O79" s="25" t="n">
        <f aca="false">$G79/$J79</f>
        <v>0.735766487021271</v>
      </c>
      <c r="P79" s="18" t="str">
        <f aca="false">$C79&amp;" | "&amp;$D79</f>
        <v>Distributors | Sealants</v>
      </c>
      <c r="Q79" s="25" t="n">
        <f aca="false">INDEX('Your Floors'!$K$20:$K$31,MATCH($P79,'Your Floors'!$D$20:$D$31,0))</f>
        <v>0.704282831281691</v>
      </c>
      <c r="R79" s="18" t="str">
        <f aca="false">IF($O79&lt;$Q79,"below the floor","at or above it")</f>
        <v>at or above it</v>
      </c>
      <c r="S79" s="15" t="n">
        <f aca="false">IF($O79&lt;$Q79,$E79*ROUND($Q79*$H79,2),$G79)</f>
        <v>508680.99</v>
      </c>
      <c r="T79" s="15" t="n">
        <f aca="false">IF($O79&lt;$Q79,ROUND($L79*$S79/$G79,2),$L79)</f>
        <v>11469.7</v>
      </c>
      <c r="U79" s="15" t="n">
        <f aca="false">ROUND(($S79-$G79)-($T79-$L79),2)</f>
        <v>0</v>
      </c>
      <c r="V79" s="15" t="n">
        <f aca="false">IF($O79&lt;$Q79,ROUND($S79-$K79-$T79,2),$M79)</f>
        <v>95775.29</v>
      </c>
    </row>
    <row r="80" customFormat="false" ht="15" hidden="false" customHeight="false" outlineLevel="0" collapsed="false">
      <c r="B80" s="13" t="s">
        <v>140</v>
      </c>
      <c r="C80" s="13" t="s">
        <v>128</v>
      </c>
      <c r="D80" s="13" t="s">
        <v>56</v>
      </c>
      <c r="E80" s="24" t="n">
        <v>2928</v>
      </c>
      <c r="F80" s="14" t="n">
        <v>241285.94</v>
      </c>
      <c r="G80" s="14" t="n">
        <v>214020.62</v>
      </c>
      <c r="H80" s="15" t="n">
        <f aca="false">INDEX('Your Inputs'!$C$8:$C$10,MATCH($D80,'Your Inputs'!$B$8:$B$10,0))</f>
        <v>96</v>
      </c>
      <c r="I80" s="15" t="n">
        <f aca="false">INDEX('Your Inputs'!$D$8:$D$10,MATCH($D80,'Your Inputs'!$B$8:$B$10,0))</f>
        <v>58</v>
      </c>
      <c r="J80" s="15" t="n">
        <f aca="false">ROUND($E80*$H80,2)</f>
        <v>281088</v>
      </c>
      <c r="K80" s="15" t="n">
        <f aca="false">ROUND($E80*$I80,2)</f>
        <v>169824</v>
      </c>
      <c r="L80" s="15" t="n">
        <f aca="false">ROUND($F80*'Your Inputs'!$C$31,2)</f>
        <v>4825.72</v>
      </c>
      <c r="M80" s="15" t="n">
        <f aca="false">ROUND($G80-$K80-$L80,2)</f>
        <v>39370.9</v>
      </c>
      <c r="N80" s="15" t="n">
        <f aca="false">$G80/$E80</f>
        <v>73.0944740437159</v>
      </c>
      <c r="O80" s="25" t="n">
        <f aca="false">$G80/$J80</f>
        <v>0.761400771288707</v>
      </c>
      <c r="P80" s="18" t="str">
        <f aca="false">$C80&amp;" | "&amp;$D80</f>
        <v>Distributors | Protective coatings</v>
      </c>
      <c r="Q80" s="25" t="n">
        <f aca="false">INDEX('Your Floors'!$K$20:$K$31,MATCH($P80,'Your Floors'!$D$20:$D$31,0))</f>
        <v>0.741797996122263</v>
      </c>
      <c r="R80" s="18" t="str">
        <f aca="false">IF($O80&lt;$Q80,"below the floor","at or above it")</f>
        <v>at or above it</v>
      </c>
      <c r="S80" s="15" t="n">
        <f aca="false">IF($O80&lt;$Q80,$E80*ROUND($Q80*$H80,2),$G80)</f>
        <v>214020.62</v>
      </c>
      <c r="T80" s="15" t="n">
        <f aca="false">IF($O80&lt;$Q80,ROUND($L80*$S80/$G80,2),$L80)</f>
        <v>4825.72</v>
      </c>
      <c r="U80" s="15" t="n">
        <f aca="false">ROUND(($S80-$G80)-($T80-$L80),2)</f>
        <v>0</v>
      </c>
      <c r="V80" s="15" t="n">
        <f aca="false">IF($O80&lt;$Q80,ROUND($S80-$K80-$T80,2),$M80)</f>
        <v>39370.9</v>
      </c>
    </row>
    <row r="81" customFormat="false" ht="15" hidden="false" customHeight="false" outlineLevel="0" collapsed="false">
      <c r="B81" s="13" t="s">
        <v>141</v>
      </c>
      <c r="C81" s="13" t="s">
        <v>128</v>
      </c>
      <c r="D81" s="13" t="s">
        <v>52</v>
      </c>
      <c r="E81" s="24" t="n">
        <v>644</v>
      </c>
      <c r="F81" s="14" t="n">
        <v>88840.32</v>
      </c>
      <c r="G81" s="14" t="n">
        <v>80133.97</v>
      </c>
      <c r="H81" s="15" t="n">
        <f aca="false">INDEX('Your Inputs'!$C$8:$C$10,MATCH($D81,'Your Inputs'!$B$8:$B$10,0))</f>
        <v>148</v>
      </c>
      <c r="I81" s="15" t="n">
        <f aca="false">INDEX('Your Inputs'!$D$8:$D$10,MATCH($D81,'Your Inputs'!$B$8:$B$10,0))</f>
        <v>78</v>
      </c>
      <c r="J81" s="15" t="n">
        <f aca="false">ROUND($E81*$H81,2)</f>
        <v>95312</v>
      </c>
      <c r="K81" s="15" t="n">
        <f aca="false">ROUND($E81*$I81,2)</f>
        <v>50232</v>
      </c>
      <c r="L81" s="15" t="n">
        <f aca="false">ROUND($F81*'Your Inputs'!$C$31,2)</f>
        <v>1776.81</v>
      </c>
      <c r="M81" s="15" t="n">
        <f aca="false">ROUND($G81-$K81-$L81,2)</f>
        <v>28125.16</v>
      </c>
      <c r="N81" s="15" t="n">
        <f aca="false">$G81/$E81</f>
        <v>124.431630434783</v>
      </c>
      <c r="O81" s="25" t="n">
        <f aca="false">$G81/$J81</f>
        <v>0.840754259694477</v>
      </c>
      <c r="P81" s="18" t="str">
        <f aca="false">$C81&amp;" | "&amp;$D81</f>
        <v>Distributors | Structural adhesives</v>
      </c>
      <c r="Q81" s="25" t="n">
        <f aca="false">INDEX('Your Floors'!$K$20:$K$31,MATCH($P81,'Your Floors'!$D$20:$D$31,0))</f>
        <v>0.781507876109447</v>
      </c>
      <c r="R81" s="18" t="str">
        <f aca="false">IF($O81&lt;$Q81,"below the floor","at or above it")</f>
        <v>at or above it</v>
      </c>
      <c r="S81" s="15" t="n">
        <f aca="false">IF($O81&lt;$Q81,$E81*ROUND($Q81*$H81,2),$G81)</f>
        <v>80133.97</v>
      </c>
      <c r="T81" s="15" t="n">
        <f aca="false">IF($O81&lt;$Q81,ROUND($L81*$S81/$G81,2),$L81)</f>
        <v>1776.81</v>
      </c>
      <c r="U81" s="15" t="n">
        <f aca="false">ROUND(($S81-$G81)-($T81-$L81),2)</f>
        <v>0</v>
      </c>
      <c r="V81" s="15" t="n">
        <f aca="false">IF($O81&lt;$Q81,ROUND($S81-$K81-$T81,2),$M81)</f>
        <v>28125.16</v>
      </c>
    </row>
    <row r="82" customFormat="false" ht="15" hidden="false" customHeight="false" outlineLevel="0" collapsed="false">
      <c r="B82" s="13" t="s">
        <v>141</v>
      </c>
      <c r="C82" s="13" t="s">
        <v>128</v>
      </c>
      <c r="D82" s="13" t="s">
        <v>54</v>
      </c>
      <c r="E82" s="24" t="n">
        <v>5297</v>
      </c>
      <c r="F82" s="14" t="n">
        <v>296065.22</v>
      </c>
      <c r="G82" s="14" t="n">
        <v>267050.84</v>
      </c>
      <c r="H82" s="15" t="n">
        <f aca="false">INDEX('Your Inputs'!$C$8:$C$10,MATCH($D82,'Your Inputs'!$B$8:$B$10,0))</f>
        <v>62</v>
      </c>
      <c r="I82" s="15" t="n">
        <f aca="false">INDEX('Your Inputs'!$D$8:$D$10,MATCH($D82,'Your Inputs'!$B$8:$B$10,0))</f>
        <v>36</v>
      </c>
      <c r="J82" s="15" t="n">
        <f aca="false">ROUND($E82*$H82,2)</f>
        <v>328414</v>
      </c>
      <c r="K82" s="15" t="n">
        <f aca="false">ROUND($E82*$I82,2)</f>
        <v>190692</v>
      </c>
      <c r="L82" s="15" t="n">
        <f aca="false">ROUND($F82*'Your Inputs'!$C$31,2)</f>
        <v>5921.3</v>
      </c>
      <c r="M82" s="15" t="n">
        <f aca="false">ROUND($G82-$K82-$L82,2)</f>
        <v>70437.54</v>
      </c>
      <c r="N82" s="15" t="n">
        <f aca="false">$G82/$E82</f>
        <v>50.4154880120823</v>
      </c>
      <c r="O82" s="25" t="n">
        <f aca="false">$G82/$J82</f>
        <v>0.813153032452941</v>
      </c>
      <c r="P82" s="18" t="str">
        <f aca="false">$C82&amp;" | "&amp;$D82</f>
        <v>Distributors | Sealants</v>
      </c>
      <c r="Q82" s="25" t="n">
        <f aca="false">INDEX('Your Floors'!$K$20:$K$31,MATCH($P82,'Your Floors'!$D$20:$D$31,0))</f>
        <v>0.704282831281691</v>
      </c>
      <c r="R82" s="18" t="str">
        <f aca="false">IF($O82&lt;$Q82,"below the floor","at or above it")</f>
        <v>at or above it</v>
      </c>
      <c r="S82" s="15" t="n">
        <f aca="false">IF($O82&lt;$Q82,$E82*ROUND($Q82*$H82,2),$G82)</f>
        <v>267050.84</v>
      </c>
      <c r="T82" s="15" t="n">
        <f aca="false">IF($O82&lt;$Q82,ROUND($L82*$S82/$G82,2),$L82)</f>
        <v>5921.3</v>
      </c>
      <c r="U82" s="15" t="n">
        <f aca="false">ROUND(($S82-$G82)-($T82-$L82),2)</f>
        <v>0</v>
      </c>
      <c r="V82" s="15" t="n">
        <f aca="false">IF($O82&lt;$Q82,ROUND($S82-$K82-$T82,2),$M82)</f>
        <v>70437.54</v>
      </c>
    </row>
    <row r="83" customFormat="false" ht="15" hidden="false" customHeight="false" outlineLevel="0" collapsed="false">
      <c r="B83" s="13" t="s">
        <v>141</v>
      </c>
      <c r="C83" s="13" t="s">
        <v>128</v>
      </c>
      <c r="D83" s="13" t="s">
        <v>56</v>
      </c>
      <c r="E83" s="24" t="n">
        <v>2528</v>
      </c>
      <c r="F83" s="14" t="n">
        <v>222496.36</v>
      </c>
      <c r="G83" s="14" t="n">
        <v>200691.71</v>
      </c>
      <c r="H83" s="15" t="n">
        <f aca="false">INDEX('Your Inputs'!$C$8:$C$10,MATCH($D83,'Your Inputs'!$B$8:$B$10,0))</f>
        <v>96</v>
      </c>
      <c r="I83" s="15" t="n">
        <f aca="false">INDEX('Your Inputs'!$D$8:$D$10,MATCH($D83,'Your Inputs'!$B$8:$B$10,0))</f>
        <v>58</v>
      </c>
      <c r="J83" s="15" t="n">
        <f aca="false">ROUND($E83*$H83,2)</f>
        <v>242688</v>
      </c>
      <c r="K83" s="15" t="n">
        <f aca="false">ROUND($E83*$I83,2)</f>
        <v>146624</v>
      </c>
      <c r="L83" s="15" t="n">
        <f aca="false">ROUND($F83*'Your Inputs'!$C$31,2)</f>
        <v>4449.93</v>
      </c>
      <c r="M83" s="15" t="n">
        <f aca="false">ROUND($G83-$K83-$L83,2)</f>
        <v>49617.78</v>
      </c>
      <c r="N83" s="15" t="n">
        <f aca="false">$G83/$E83</f>
        <v>79.3875435126582</v>
      </c>
      <c r="O83" s="25" t="n">
        <f aca="false">$G83/$J83</f>
        <v>0.826953578256857</v>
      </c>
      <c r="P83" s="18" t="str">
        <f aca="false">$C83&amp;" | "&amp;$D83</f>
        <v>Distributors | Protective coatings</v>
      </c>
      <c r="Q83" s="25" t="n">
        <f aca="false">INDEX('Your Floors'!$K$20:$K$31,MATCH($P83,'Your Floors'!$D$20:$D$31,0))</f>
        <v>0.741797996122263</v>
      </c>
      <c r="R83" s="18" t="str">
        <f aca="false">IF($O83&lt;$Q83,"below the floor","at or above it")</f>
        <v>at or above it</v>
      </c>
      <c r="S83" s="15" t="n">
        <f aca="false">IF($O83&lt;$Q83,$E83*ROUND($Q83*$H83,2),$G83)</f>
        <v>200691.71</v>
      </c>
      <c r="T83" s="15" t="n">
        <f aca="false">IF($O83&lt;$Q83,ROUND($L83*$S83/$G83,2),$L83)</f>
        <v>4449.93</v>
      </c>
      <c r="U83" s="15" t="n">
        <f aca="false">ROUND(($S83-$G83)-($T83-$L83),2)</f>
        <v>0</v>
      </c>
      <c r="V83" s="15" t="n">
        <f aca="false">IF($O83&lt;$Q83,ROUND($S83-$K83-$T83,2),$M83)</f>
        <v>49617.78</v>
      </c>
    </row>
    <row r="84" customFormat="false" ht="15" hidden="false" customHeight="false" outlineLevel="0" collapsed="false">
      <c r="B84" s="13" t="s">
        <v>142</v>
      </c>
      <c r="C84" s="13" t="s">
        <v>128</v>
      </c>
      <c r="D84" s="13" t="s">
        <v>52</v>
      </c>
      <c r="E84" s="24" t="n">
        <v>185</v>
      </c>
      <c r="F84" s="14" t="n">
        <v>24841.87</v>
      </c>
      <c r="G84" s="14" t="n">
        <v>22034.73</v>
      </c>
      <c r="H84" s="15" t="n">
        <f aca="false">INDEX('Your Inputs'!$C$8:$C$10,MATCH($D84,'Your Inputs'!$B$8:$B$10,0))</f>
        <v>148</v>
      </c>
      <c r="I84" s="15" t="n">
        <f aca="false">INDEX('Your Inputs'!$D$8:$D$10,MATCH($D84,'Your Inputs'!$B$8:$B$10,0))</f>
        <v>78</v>
      </c>
      <c r="J84" s="15" t="n">
        <f aca="false">ROUND($E84*$H84,2)</f>
        <v>27380</v>
      </c>
      <c r="K84" s="15" t="n">
        <f aca="false">ROUND($E84*$I84,2)</f>
        <v>14430</v>
      </c>
      <c r="L84" s="15" t="n">
        <f aca="false">ROUND($F84*'Your Inputs'!$C$31,2)</f>
        <v>496.84</v>
      </c>
      <c r="M84" s="15" t="n">
        <f aca="false">ROUND($G84-$K84-$L84,2)</f>
        <v>7107.89</v>
      </c>
      <c r="N84" s="15" t="n">
        <f aca="false">$G84/$E84</f>
        <v>119.106648648649</v>
      </c>
      <c r="O84" s="25" t="n">
        <f aca="false">$G84/$J84</f>
        <v>0.80477465303141</v>
      </c>
      <c r="P84" s="18" t="str">
        <f aca="false">$C84&amp;" | "&amp;$D84</f>
        <v>Distributors | Structural adhesives</v>
      </c>
      <c r="Q84" s="25" t="n">
        <f aca="false">INDEX('Your Floors'!$K$20:$K$31,MATCH($P84,'Your Floors'!$D$20:$D$31,0))</f>
        <v>0.781507876109447</v>
      </c>
      <c r="R84" s="18" t="str">
        <f aca="false">IF($O84&lt;$Q84,"below the floor","at or above it")</f>
        <v>at or above it</v>
      </c>
      <c r="S84" s="15" t="n">
        <f aca="false">IF($O84&lt;$Q84,$E84*ROUND($Q84*$H84,2),$G84)</f>
        <v>22034.73</v>
      </c>
      <c r="T84" s="15" t="n">
        <f aca="false">IF($O84&lt;$Q84,ROUND($L84*$S84/$G84,2),$L84)</f>
        <v>496.84</v>
      </c>
      <c r="U84" s="15" t="n">
        <f aca="false">ROUND(($S84-$G84)-($T84-$L84),2)</f>
        <v>0</v>
      </c>
      <c r="V84" s="15" t="n">
        <f aca="false">IF($O84&lt;$Q84,ROUND($S84-$K84-$T84,2),$M84)</f>
        <v>7107.89</v>
      </c>
    </row>
    <row r="85" customFormat="false" ht="15" hidden="false" customHeight="false" outlineLevel="0" collapsed="false">
      <c r="B85" s="13" t="s">
        <v>142</v>
      </c>
      <c r="C85" s="13" t="s">
        <v>128</v>
      </c>
      <c r="D85" s="13" t="s">
        <v>54</v>
      </c>
      <c r="E85" s="24" t="n">
        <v>5877</v>
      </c>
      <c r="F85" s="14" t="n">
        <v>309535.71</v>
      </c>
      <c r="G85" s="14" t="n">
        <v>274558.17</v>
      </c>
      <c r="H85" s="15" t="n">
        <f aca="false">INDEX('Your Inputs'!$C$8:$C$10,MATCH($D85,'Your Inputs'!$B$8:$B$10,0))</f>
        <v>62</v>
      </c>
      <c r="I85" s="15" t="n">
        <f aca="false">INDEX('Your Inputs'!$D$8:$D$10,MATCH($D85,'Your Inputs'!$B$8:$B$10,0))</f>
        <v>36</v>
      </c>
      <c r="J85" s="15" t="n">
        <f aca="false">ROUND($E85*$H85,2)</f>
        <v>364374</v>
      </c>
      <c r="K85" s="15" t="n">
        <f aca="false">ROUND($E85*$I85,2)</f>
        <v>211572</v>
      </c>
      <c r="L85" s="15" t="n">
        <f aca="false">ROUND($F85*'Your Inputs'!$C$31,2)</f>
        <v>6190.71</v>
      </c>
      <c r="M85" s="15" t="n">
        <f aca="false">ROUND($G85-$K85-$L85,2)</f>
        <v>56795.46</v>
      </c>
      <c r="N85" s="15" t="n">
        <f aca="false">$G85/$E85</f>
        <v>46.7174017355794</v>
      </c>
      <c r="O85" s="25" t="n">
        <f aca="false">$G85/$J85</f>
        <v>0.753506479606119</v>
      </c>
      <c r="P85" s="18" t="str">
        <f aca="false">$C85&amp;" | "&amp;$D85</f>
        <v>Distributors | Sealants</v>
      </c>
      <c r="Q85" s="25" t="n">
        <f aca="false">INDEX('Your Floors'!$K$20:$K$31,MATCH($P85,'Your Floors'!$D$20:$D$31,0))</f>
        <v>0.704282831281691</v>
      </c>
      <c r="R85" s="18" t="str">
        <f aca="false">IF($O85&lt;$Q85,"below the floor","at or above it")</f>
        <v>at or above it</v>
      </c>
      <c r="S85" s="15" t="n">
        <f aca="false">IF($O85&lt;$Q85,$E85*ROUND($Q85*$H85,2),$G85)</f>
        <v>274558.17</v>
      </c>
      <c r="T85" s="15" t="n">
        <f aca="false">IF($O85&lt;$Q85,ROUND($L85*$S85/$G85,2),$L85)</f>
        <v>6190.71</v>
      </c>
      <c r="U85" s="15" t="n">
        <f aca="false">ROUND(($S85-$G85)-($T85-$L85),2)</f>
        <v>0</v>
      </c>
      <c r="V85" s="15" t="n">
        <f aca="false">IF($O85&lt;$Q85,ROUND($S85-$K85-$T85,2),$M85)</f>
        <v>56795.46</v>
      </c>
    </row>
    <row r="86" customFormat="false" ht="15" hidden="false" customHeight="false" outlineLevel="0" collapsed="false">
      <c r="B86" s="13" t="s">
        <v>142</v>
      </c>
      <c r="C86" s="13" t="s">
        <v>128</v>
      </c>
      <c r="D86" s="13" t="s">
        <v>56</v>
      </c>
      <c r="E86" s="24" t="n">
        <v>2016</v>
      </c>
      <c r="F86" s="14" t="n">
        <v>170002.02</v>
      </c>
      <c r="G86" s="14" t="n">
        <v>150791.79</v>
      </c>
      <c r="H86" s="15" t="n">
        <f aca="false">INDEX('Your Inputs'!$C$8:$C$10,MATCH($D86,'Your Inputs'!$B$8:$B$10,0))</f>
        <v>96</v>
      </c>
      <c r="I86" s="15" t="n">
        <f aca="false">INDEX('Your Inputs'!$D$8:$D$10,MATCH($D86,'Your Inputs'!$B$8:$B$10,0))</f>
        <v>58</v>
      </c>
      <c r="J86" s="15" t="n">
        <f aca="false">ROUND($E86*$H86,2)</f>
        <v>193536</v>
      </c>
      <c r="K86" s="15" t="n">
        <f aca="false">ROUND($E86*$I86,2)</f>
        <v>116928</v>
      </c>
      <c r="L86" s="15" t="n">
        <f aca="false">ROUND($F86*'Your Inputs'!$C$31,2)</f>
        <v>3400.04</v>
      </c>
      <c r="M86" s="15" t="n">
        <f aca="false">ROUND($G86-$K86-$L86,2)</f>
        <v>30463.75</v>
      </c>
      <c r="N86" s="15" t="n">
        <f aca="false">$G86/$E86</f>
        <v>74.7975148809524</v>
      </c>
      <c r="O86" s="25" t="n">
        <f aca="false">$G86/$J86</f>
        <v>0.779140780009921</v>
      </c>
      <c r="P86" s="18" t="str">
        <f aca="false">$C86&amp;" | "&amp;$D86</f>
        <v>Distributors | Protective coatings</v>
      </c>
      <c r="Q86" s="25" t="n">
        <f aca="false">INDEX('Your Floors'!$K$20:$K$31,MATCH($P86,'Your Floors'!$D$20:$D$31,0))</f>
        <v>0.741797996122263</v>
      </c>
      <c r="R86" s="18" t="str">
        <f aca="false">IF($O86&lt;$Q86,"below the floor","at or above it")</f>
        <v>at or above it</v>
      </c>
      <c r="S86" s="15" t="n">
        <f aca="false">IF($O86&lt;$Q86,$E86*ROUND($Q86*$H86,2),$G86)</f>
        <v>150791.79</v>
      </c>
      <c r="T86" s="15" t="n">
        <f aca="false">IF($O86&lt;$Q86,ROUND($L86*$S86/$G86,2),$L86)</f>
        <v>3400.04</v>
      </c>
      <c r="U86" s="15" t="n">
        <f aca="false">ROUND(($S86-$G86)-($T86-$L86),2)</f>
        <v>0</v>
      </c>
      <c r="V86" s="15" t="n">
        <f aca="false">IF($O86&lt;$Q86,ROUND($S86-$K86-$T86,2),$M86)</f>
        <v>30463.75</v>
      </c>
    </row>
    <row r="87" customFormat="false" ht="15" hidden="false" customHeight="false" outlineLevel="0" collapsed="false">
      <c r="B87" s="13" t="s">
        <v>143</v>
      </c>
      <c r="C87" s="13" t="s">
        <v>128</v>
      </c>
      <c r="D87" s="13" t="s">
        <v>52</v>
      </c>
      <c r="E87" s="24" t="n">
        <v>80</v>
      </c>
      <c r="F87" s="14" t="n">
        <v>10632.32</v>
      </c>
      <c r="G87" s="14" t="n">
        <v>9909.32</v>
      </c>
      <c r="H87" s="15" t="n">
        <f aca="false">INDEX('Your Inputs'!$C$8:$C$10,MATCH($D87,'Your Inputs'!$B$8:$B$10,0))</f>
        <v>148</v>
      </c>
      <c r="I87" s="15" t="n">
        <f aca="false">INDEX('Your Inputs'!$D$8:$D$10,MATCH($D87,'Your Inputs'!$B$8:$B$10,0))</f>
        <v>78</v>
      </c>
      <c r="J87" s="15" t="n">
        <f aca="false">ROUND($E87*$H87,2)</f>
        <v>11840</v>
      </c>
      <c r="K87" s="15" t="n">
        <f aca="false">ROUND($E87*$I87,2)</f>
        <v>6240</v>
      </c>
      <c r="L87" s="15" t="n">
        <f aca="false">ROUND($F87*'Your Inputs'!$C$31,2)</f>
        <v>212.65</v>
      </c>
      <c r="M87" s="15" t="n">
        <f aca="false">ROUND($G87-$K87-$L87,2)</f>
        <v>3456.67</v>
      </c>
      <c r="N87" s="15" t="n">
        <f aca="false">$G87/$E87</f>
        <v>123.8665</v>
      </c>
      <c r="O87" s="25" t="n">
        <f aca="false">$G87/$J87</f>
        <v>0.836935810810811</v>
      </c>
      <c r="P87" s="18" t="str">
        <f aca="false">$C87&amp;" | "&amp;$D87</f>
        <v>Distributors | Structural adhesives</v>
      </c>
      <c r="Q87" s="25" t="n">
        <f aca="false">INDEX('Your Floors'!$K$20:$K$31,MATCH($P87,'Your Floors'!$D$20:$D$31,0))</f>
        <v>0.781507876109447</v>
      </c>
      <c r="R87" s="18" t="str">
        <f aca="false">IF($O87&lt;$Q87,"below the floor","at or above it")</f>
        <v>at or above it</v>
      </c>
      <c r="S87" s="15" t="n">
        <f aca="false">IF($O87&lt;$Q87,$E87*ROUND($Q87*$H87,2),$G87)</f>
        <v>9909.32</v>
      </c>
      <c r="T87" s="15" t="n">
        <f aca="false">IF($O87&lt;$Q87,ROUND($L87*$S87/$G87,2),$L87)</f>
        <v>212.65</v>
      </c>
      <c r="U87" s="15" t="n">
        <f aca="false">ROUND(($S87-$G87)-($T87-$L87),2)</f>
        <v>0</v>
      </c>
      <c r="V87" s="15" t="n">
        <f aca="false">IF($O87&lt;$Q87,ROUND($S87-$K87-$T87,2),$M87)</f>
        <v>3456.67</v>
      </c>
    </row>
    <row r="88" customFormat="false" ht="15" hidden="false" customHeight="false" outlineLevel="0" collapsed="false">
      <c r="B88" s="13" t="s">
        <v>143</v>
      </c>
      <c r="C88" s="13" t="s">
        <v>128</v>
      </c>
      <c r="D88" s="13" t="s">
        <v>54</v>
      </c>
      <c r="E88" s="24" t="n">
        <v>2038</v>
      </c>
      <c r="F88" s="14" t="n">
        <v>104875.48</v>
      </c>
      <c r="G88" s="14" t="n">
        <v>97743.95</v>
      </c>
      <c r="H88" s="15" t="n">
        <f aca="false">INDEX('Your Inputs'!$C$8:$C$10,MATCH($D88,'Your Inputs'!$B$8:$B$10,0))</f>
        <v>62</v>
      </c>
      <c r="I88" s="15" t="n">
        <f aca="false">INDEX('Your Inputs'!$D$8:$D$10,MATCH($D88,'Your Inputs'!$B$8:$B$10,0))</f>
        <v>36</v>
      </c>
      <c r="J88" s="15" t="n">
        <f aca="false">ROUND($E88*$H88,2)</f>
        <v>126356</v>
      </c>
      <c r="K88" s="15" t="n">
        <f aca="false">ROUND($E88*$I88,2)</f>
        <v>73368</v>
      </c>
      <c r="L88" s="15" t="n">
        <f aca="false">ROUND($F88*'Your Inputs'!$C$31,2)</f>
        <v>2097.51</v>
      </c>
      <c r="M88" s="15" t="n">
        <f aca="false">ROUND($G88-$K88-$L88,2)</f>
        <v>22278.44</v>
      </c>
      <c r="N88" s="15" t="n">
        <f aca="false">$G88/$E88</f>
        <v>47.9607212953876</v>
      </c>
      <c r="O88" s="25" t="n">
        <f aca="false">$G88/$J88</f>
        <v>0.773560020893349</v>
      </c>
      <c r="P88" s="18" t="str">
        <f aca="false">$C88&amp;" | "&amp;$D88</f>
        <v>Distributors | Sealants</v>
      </c>
      <c r="Q88" s="25" t="n">
        <f aca="false">INDEX('Your Floors'!$K$20:$K$31,MATCH($P88,'Your Floors'!$D$20:$D$31,0))</f>
        <v>0.704282831281691</v>
      </c>
      <c r="R88" s="18" t="str">
        <f aca="false">IF($O88&lt;$Q88,"below the floor","at or above it")</f>
        <v>at or above it</v>
      </c>
      <c r="S88" s="15" t="n">
        <f aca="false">IF($O88&lt;$Q88,$E88*ROUND($Q88*$H88,2),$G88)</f>
        <v>97743.95</v>
      </c>
      <c r="T88" s="15" t="n">
        <f aca="false">IF($O88&lt;$Q88,ROUND($L88*$S88/$G88,2),$L88)</f>
        <v>2097.51</v>
      </c>
      <c r="U88" s="15" t="n">
        <f aca="false">ROUND(($S88-$G88)-($T88-$L88),2)</f>
        <v>0</v>
      </c>
      <c r="V88" s="15" t="n">
        <f aca="false">IF($O88&lt;$Q88,ROUND($S88-$K88-$T88,2),$M88)</f>
        <v>22278.44</v>
      </c>
    </row>
    <row r="89" customFormat="false" ht="15" hidden="false" customHeight="false" outlineLevel="0" collapsed="false">
      <c r="B89" s="13" t="s">
        <v>143</v>
      </c>
      <c r="C89" s="13" t="s">
        <v>128</v>
      </c>
      <c r="D89" s="13" t="s">
        <v>56</v>
      </c>
      <c r="E89" s="24" t="n">
        <v>707</v>
      </c>
      <c r="F89" s="14" t="n">
        <v>58641.41</v>
      </c>
      <c r="G89" s="14" t="n">
        <v>54653.79</v>
      </c>
      <c r="H89" s="15" t="n">
        <f aca="false">INDEX('Your Inputs'!$C$8:$C$10,MATCH($D89,'Your Inputs'!$B$8:$B$10,0))</f>
        <v>96</v>
      </c>
      <c r="I89" s="15" t="n">
        <f aca="false">INDEX('Your Inputs'!$D$8:$D$10,MATCH($D89,'Your Inputs'!$B$8:$B$10,0))</f>
        <v>58</v>
      </c>
      <c r="J89" s="15" t="n">
        <f aca="false">ROUND($E89*$H89,2)</f>
        <v>67872</v>
      </c>
      <c r="K89" s="15" t="n">
        <f aca="false">ROUND($E89*$I89,2)</f>
        <v>41006</v>
      </c>
      <c r="L89" s="15" t="n">
        <f aca="false">ROUND($F89*'Your Inputs'!$C$31,2)</f>
        <v>1172.83</v>
      </c>
      <c r="M89" s="15" t="n">
        <f aca="false">ROUND($G89-$K89-$L89,2)</f>
        <v>12474.96</v>
      </c>
      <c r="N89" s="15" t="n">
        <f aca="false">$G89/$E89</f>
        <v>77.3038048090523</v>
      </c>
      <c r="O89" s="25" t="n">
        <f aca="false">$G89/$J89</f>
        <v>0.805247966760962</v>
      </c>
      <c r="P89" s="18" t="str">
        <f aca="false">$C89&amp;" | "&amp;$D89</f>
        <v>Distributors | Protective coatings</v>
      </c>
      <c r="Q89" s="25" t="n">
        <f aca="false">INDEX('Your Floors'!$K$20:$K$31,MATCH($P89,'Your Floors'!$D$20:$D$31,0))</f>
        <v>0.741797996122263</v>
      </c>
      <c r="R89" s="18" t="str">
        <f aca="false">IF($O89&lt;$Q89,"below the floor","at or above it")</f>
        <v>at or above it</v>
      </c>
      <c r="S89" s="15" t="n">
        <f aca="false">IF($O89&lt;$Q89,$E89*ROUND($Q89*$H89,2),$G89)</f>
        <v>54653.79</v>
      </c>
      <c r="T89" s="15" t="n">
        <f aca="false">IF($O89&lt;$Q89,ROUND($L89*$S89/$G89,2),$L89)</f>
        <v>1172.83</v>
      </c>
      <c r="U89" s="15" t="n">
        <f aca="false">ROUND(($S89-$G89)-($T89-$L89),2)</f>
        <v>0</v>
      </c>
      <c r="V89" s="15" t="n">
        <f aca="false">IF($O89&lt;$Q89,ROUND($S89-$K89-$T89,2),$M89)</f>
        <v>12474.96</v>
      </c>
    </row>
    <row r="90" customFormat="false" ht="15" hidden="false" customHeight="false" outlineLevel="0" collapsed="false">
      <c r="B90" s="13" t="s">
        <v>144</v>
      </c>
      <c r="C90" s="13" t="s">
        <v>128</v>
      </c>
      <c r="D90" s="13" t="s">
        <v>52</v>
      </c>
      <c r="E90" s="24" t="n">
        <v>764</v>
      </c>
      <c r="F90" s="14" t="n">
        <v>107497.55</v>
      </c>
      <c r="G90" s="14" t="n">
        <v>98037.77</v>
      </c>
      <c r="H90" s="15" t="n">
        <f aca="false">INDEX('Your Inputs'!$C$8:$C$10,MATCH($D90,'Your Inputs'!$B$8:$B$10,0))</f>
        <v>148</v>
      </c>
      <c r="I90" s="15" t="n">
        <f aca="false">INDEX('Your Inputs'!$D$8:$D$10,MATCH($D90,'Your Inputs'!$B$8:$B$10,0))</f>
        <v>78</v>
      </c>
      <c r="J90" s="15" t="n">
        <f aca="false">ROUND($E90*$H90,2)</f>
        <v>113072</v>
      </c>
      <c r="K90" s="15" t="n">
        <f aca="false">ROUND($E90*$I90,2)</f>
        <v>59592</v>
      </c>
      <c r="L90" s="15" t="n">
        <f aca="false">ROUND($F90*'Your Inputs'!$C$31,2)</f>
        <v>2149.95</v>
      </c>
      <c r="M90" s="15" t="n">
        <f aca="false">ROUND($G90-$K90-$L90,2)</f>
        <v>36295.82</v>
      </c>
      <c r="N90" s="15" t="n">
        <f aca="false">$G90/$E90</f>
        <v>128.321688481675</v>
      </c>
      <c r="O90" s="25" t="n">
        <f aca="false">$G90/$J90</f>
        <v>0.867038435686996</v>
      </c>
      <c r="P90" s="18" t="str">
        <f aca="false">$C90&amp;" | "&amp;$D90</f>
        <v>Distributors | Structural adhesives</v>
      </c>
      <c r="Q90" s="25" t="n">
        <f aca="false">INDEX('Your Floors'!$K$20:$K$31,MATCH($P90,'Your Floors'!$D$20:$D$31,0))</f>
        <v>0.781507876109447</v>
      </c>
      <c r="R90" s="18" t="str">
        <f aca="false">IF($O90&lt;$Q90,"below the floor","at or above it")</f>
        <v>at or above it</v>
      </c>
      <c r="S90" s="15" t="n">
        <f aca="false">IF($O90&lt;$Q90,$E90*ROUND($Q90*$H90,2),$G90)</f>
        <v>98037.77</v>
      </c>
      <c r="T90" s="15" t="n">
        <f aca="false">IF($O90&lt;$Q90,ROUND($L90*$S90/$G90,2),$L90)</f>
        <v>2149.95</v>
      </c>
      <c r="U90" s="15" t="n">
        <f aca="false">ROUND(($S90-$G90)-($T90-$L90),2)</f>
        <v>0</v>
      </c>
      <c r="V90" s="15" t="n">
        <f aca="false">IF($O90&lt;$Q90,ROUND($S90-$K90-$T90,2),$M90)</f>
        <v>36295.82</v>
      </c>
    </row>
    <row r="91" customFormat="false" ht="15" hidden="false" customHeight="false" outlineLevel="0" collapsed="false">
      <c r="B91" s="13" t="s">
        <v>144</v>
      </c>
      <c r="C91" s="13" t="s">
        <v>128</v>
      </c>
      <c r="D91" s="13" t="s">
        <v>54</v>
      </c>
      <c r="E91" s="24" t="n">
        <v>4648</v>
      </c>
      <c r="F91" s="14" t="n">
        <v>271029.53</v>
      </c>
      <c r="G91" s="14" t="n">
        <v>247178.93</v>
      </c>
      <c r="H91" s="15" t="n">
        <f aca="false">INDEX('Your Inputs'!$C$8:$C$10,MATCH($D91,'Your Inputs'!$B$8:$B$10,0))</f>
        <v>62</v>
      </c>
      <c r="I91" s="15" t="n">
        <f aca="false">INDEX('Your Inputs'!$D$8:$D$10,MATCH($D91,'Your Inputs'!$B$8:$B$10,0))</f>
        <v>36</v>
      </c>
      <c r="J91" s="15" t="n">
        <f aca="false">ROUND($E91*$H91,2)</f>
        <v>288176</v>
      </c>
      <c r="K91" s="15" t="n">
        <f aca="false">ROUND($E91*$I91,2)</f>
        <v>167328</v>
      </c>
      <c r="L91" s="15" t="n">
        <f aca="false">ROUND($F91*'Your Inputs'!$C$31,2)</f>
        <v>5420.59</v>
      </c>
      <c r="M91" s="15" t="n">
        <f aca="false">ROUND($G91-$K91-$L91,2)</f>
        <v>74430.34</v>
      </c>
      <c r="N91" s="15" t="n">
        <f aca="false">$G91/$E91</f>
        <v>53.1796320998279</v>
      </c>
      <c r="O91" s="25" t="n">
        <f aca="false">$G91/$J91</f>
        <v>0.857736001610127</v>
      </c>
      <c r="P91" s="18" t="str">
        <f aca="false">$C91&amp;" | "&amp;$D91</f>
        <v>Distributors | Sealants</v>
      </c>
      <c r="Q91" s="25" t="n">
        <f aca="false">INDEX('Your Floors'!$K$20:$K$31,MATCH($P91,'Your Floors'!$D$20:$D$31,0))</f>
        <v>0.704282831281691</v>
      </c>
      <c r="R91" s="18" t="str">
        <f aca="false">IF($O91&lt;$Q91,"below the floor","at or above it")</f>
        <v>at or above it</v>
      </c>
      <c r="S91" s="15" t="n">
        <f aca="false">IF($O91&lt;$Q91,$E91*ROUND($Q91*$H91,2),$G91)</f>
        <v>247178.93</v>
      </c>
      <c r="T91" s="15" t="n">
        <f aca="false">IF($O91&lt;$Q91,ROUND($L91*$S91/$G91,2),$L91)</f>
        <v>5420.59</v>
      </c>
      <c r="U91" s="15" t="n">
        <f aca="false">ROUND(($S91-$G91)-($T91-$L91),2)</f>
        <v>0</v>
      </c>
      <c r="V91" s="15" t="n">
        <f aca="false">IF($O91&lt;$Q91,ROUND($S91-$K91-$T91,2),$M91)</f>
        <v>74430.34</v>
      </c>
    </row>
    <row r="92" customFormat="false" ht="15" hidden="false" customHeight="false" outlineLevel="0" collapsed="false">
      <c r="B92" s="13" t="s">
        <v>144</v>
      </c>
      <c r="C92" s="13" t="s">
        <v>128</v>
      </c>
      <c r="D92" s="13" t="s">
        <v>56</v>
      </c>
      <c r="E92" s="24" t="n">
        <v>1695</v>
      </c>
      <c r="F92" s="14" t="n">
        <v>153868.03</v>
      </c>
      <c r="G92" s="14" t="n">
        <v>140327.65</v>
      </c>
      <c r="H92" s="15" t="n">
        <f aca="false">INDEX('Your Inputs'!$C$8:$C$10,MATCH($D92,'Your Inputs'!$B$8:$B$10,0))</f>
        <v>96</v>
      </c>
      <c r="I92" s="15" t="n">
        <f aca="false">INDEX('Your Inputs'!$D$8:$D$10,MATCH($D92,'Your Inputs'!$B$8:$B$10,0))</f>
        <v>58</v>
      </c>
      <c r="J92" s="15" t="n">
        <f aca="false">ROUND($E92*$H92,2)</f>
        <v>162720</v>
      </c>
      <c r="K92" s="15" t="n">
        <f aca="false">ROUND($E92*$I92,2)</f>
        <v>98310</v>
      </c>
      <c r="L92" s="15" t="n">
        <f aca="false">ROUND($F92*'Your Inputs'!$C$31,2)</f>
        <v>3077.36</v>
      </c>
      <c r="M92" s="15" t="n">
        <f aca="false">ROUND($G92-$K92-$L92,2)</f>
        <v>38940.29</v>
      </c>
      <c r="N92" s="15" t="n">
        <f aca="false">$G92/$E92</f>
        <v>82.7891740412979</v>
      </c>
      <c r="O92" s="25" t="n">
        <f aca="false">$G92/$J92</f>
        <v>0.862387229596853</v>
      </c>
      <c r="P92" s="18" t="str">
        <f aca="false">$C92&amp;" | "&amp;$D92</f>
        <v>Distributors | Protective coatings</v>
      </c>
      <c r="Q92" s="25" t="n">
        <f aca="false">INDEX('Your Floors'!$K$20:$K$31,MATCH($P92,'Your Floors'!$D$20:$D$31,0))</f>
        <v>0.741797996122263</v>
      </c>
      <c r="R92" s="18" t="str">
        <f aca="false">IF($O92&lt;$Q92,"below the floor","at or above it")</f>
        <v>at or above it</v>
      </c>
      <c r="S92" s="15" t="n">
        <f aca="false">IF($O92&lt;$Q92,$E92*ROUND($Q92*$H92,2),$G92)</f>
        <v>140327.65</v>
      </c>
      <c r="T92" s="15" t="n">
        <f aca="false">IF($O92&lt;$Q92,ROUND($L92*$S92/$G92,2),$L92)</f>
        <v>3077.36</v>
      </c>
      <c r="U92" s="15" t="n">
        <f aca="false">ROUND(($S92-$G92)-($T92-$L92),2)</f>
        <v>0</v>
      </c>
      <c r="V92" s="15" t="n">
        <f aca="false">IF($O92&lt;$Q92,ROUND($S92-$K92-$T92,2),$M92)</f>
        <v>38940.29</v>
      </c>
    </row>
    <row r="93" customFormat="false" ht="15" hidden="false" customHeight="false" outlineLevel="0" collapsed="false">
      <c r="B93" s="13" t="s">
        <v>145</v>
      </c>
      <c r="C93" s="13" t="s">
        <v>128</v>
      </c>
      <c r="D93" s="13" t="s">
        <v>52</v>
      </c>
      <c r="E93" s="24" t="n">
        <v>827</v>
      </c>
      <c r="F93" s="14" t="n">
        <v>106117.33</v>
      </c>
      <c r="G93" s="14" t="n">
        <v>95187.24</v>
      </c>
      <c r="H93" s="15" t="n">
        <f aca="false">INDEX('Your Inputs'!$C$8:$C$10,MATCH($D93,'Your Inputs'!$B$8:$B$10,0))</f>
        <v>148</v>
      </c>
      <c r="I93" s="15" t="n">
        <f aca="false">INDEX('Your Inputs'!$D$8:$D$10,MATCH($D93,'Your Inputs'!$B$8:$B$10,0))</f>
        <v>78</v>
      </c>
      <c r="J93" s="15" t="n">
        <f aca="false">ROUND($E93*$H93,2)</f>
        <v>122396</v>
      </c>
      <c r="K93" s="15" t="n">
        <f aca="false">ROUND($E93*$I93,2)</f>
        <v>64506</v>
      </c>
      <c r="L93" s="15" t="n">
        <f aca="false">ROUND($F93*'Your Inputs'!$C$31,2)</f>
        <v>2122.35</v>
      </c>
      <c r="M93" s="15" t="n">
        <f aca="false">ROUND($G93-$K93-$L93,2)</f>
        <v>28558.89</v>
      </c>
      <c r="N93" s="15" t="n">
        <f aca="false">$G93/$E93</f>
        <v>115.099443772672</v>
      </c>
      <c r="O93" s="25" t="n">
        <f aca="false">$G93/$J93</f>
        <v>0.777698944409948</v>
      </c>
      <c r="P93" s="18" t="str">
        <f aca="false">$C93&amp;" | "&amp;$D93</f>
        <v>Distributors | Structural adhesives</v>
      </c>
      <c r="Q93" s="25" t="n">
        <f aca="false">INDEX('Your Floors'!$K$20:$K$31,MATCH($P93,'Your Floors'!$D$20:$D$31,0))</f>
        <v>0.781507876109447</v>
      </c>
      <c r="R93" s="18" t="str">
        <f aca="false">IF($O93&lt;$Q93,"below the floor","at or above it")</f>
        <v>below the floor</v>
      </c>
      <c r="S93" s="15" t="n">
        <f aca="false">IF($O93&lt;$Q93,$E93*ROUND($Q93*$H93,2),$G93)</f>
        <v>95650.82</v>
      </c>
      <c r="T93" s="15" t="n">
        <f aca="false">IF($O93&lt;$Q93,ROUND($L93*$S93/$G93,2),$L93)</f>
        <v>2132.69</v>
      </c>
      <c r="U93" s="15" t="n">
        <f aca="false">ROUND(($S93-$G93)-($T93-$L93),2)</f>
        <v>453.24</v>
      </c>
      <c r="V93" s="15" t="n">
        <f aca="false">IF($O93&lt;$Q93,ROUND($S93-$K93-$T93,2),$M93)</f>
        <v>29012.13</v>
      </c>
    </row>
    <row r="94" customFormat="false" ht="15" hidden="false" customHeight="false" outlineLevel="0" collapsed="false">
      <c r="B94" s="13" t="s">
        <v>145</v>
      </c>
      <c r="C94" s="13" t="s">
        <v>128</v>
      </c>
      <c r="D94" s="13" t="s">
        <v>54</v>
      </c>
      <c r="E94" s="24" t="n">
        <v>3820</v>
      </c>
      <c r="F94" s="14" t="n">
        <v>181182.6</v>
      </c>
      <c r="G94" s="14" t="n">
        <v>162520.79</v>
      </c>
      <c r="H94" s="15" t="n">
        <f aca="false">INDEX('Your Inputs'!$C$8:$C$10,MATCH($D94,'Your Inputs'!$B$8:$B$10,0))</f>
        <v>62</v>
      </c>
      <c r="I94" s="15" t="n">
        <f aca="false">INDEX('Your Inputs'!$D$8:$D$10,MATCH($D94,'Your Inputs'!$B$8:$B$10,0))</f>
        <v>36</v>
      </c>
      <c r="J94" s="15" t="n">
        <f aca="false">ROUND($E94*$H94,2)</f>
        <v>236840</v>
      </c>
      <c r="K94" s="15" t="n">
        <f aca="false">ROUND($E94*$I94,2)</f>
        <v>137520</v>
      </c>
      <c r="L94" s="15" t="n">
        <f aca="false">ROUND($F94*'Your Inputs'!$C$31,2)</f>
        <v>3623.65</v>
      </c>
      <c r="M94" s="15" t="n">
        <f aca="false">ROUND($G94-$K94-$L94,2)</f>
        <v>21377.14</v>
      </c>
      <c r="N94" s="15" t="n">
        <f aca="false">$G94/$E94</f>
        <v>42.5447094240838</v>
      </c>
      <c r="O94" s="25" t="n">
        <f aca="false">$G94/$J94</f>
        <v>0.686204990711029</v>
      </c>
      <c r="P94" s="18" t="str">
        <f aca="false">$C94&amp;" | "&amp;$D94</f>
        <v>Distributors | Sealants</v>
      </c>
      <c r="Q94" s="25" t="n">
        <f aca="false">INDEX('Your Floors'!$K$20:$K$31,MATCH($P94,'Your Floors'!$D$20:$D$31,0))</f>
        <v>0.704282831281691</v>
      </c>
      <c r="R94" s="18" t="str">
        <f aca="false">IF($O94&lt;$Q94,"below the floor","at or above it")</f>
        <v>below the floor</v>
      </c>
      <c r="S94" s="15" t="n">
        <f aca="false">IF($O94&lt;$Q94,$E94*ROUND($Q94*$H94,2),$G94)</f>
        <v>166819.4</v>
      </c>
      <c r="T94" s="15" t="n">
        <f aca="false">IF($O94&lt;$Q94,ROUND($L94*$S94/$G94,2),$L94)</f>
        <v>3719.49</v>
      </c>
      <c r="U94" s="15" t="n">
        <f aca="false">ROUND(($S94-$G94)-($T94-$L94),2)</f>
        <v>4202.77</v>
      </c>
      <c r="V94" s="15" t="n">
        <f aca="false">IF($O94&lt;$Q94,ROUND($S94-$K94-$T94,2),$M94)</f>
        <v>25579.91</v>
      </c>
    </row>
    <row r="95" customFormat="false" ht="15" hidden="false" customHeight="false" outlineLevel="0" collapsed="false">
      <c r="B95" s="13" t="s">
        <v>145</v>
      </c>
      <c r="C95" s="13" t="s">
        <v>128</v>
      </c>
      <c r="D95" s="13" t="s">
        <v>56</v>
      </c>
      <c r="E95" s="24" t="n">
        <v>1096</v>
      </c>
      <c r="F95" s="14" t="n">
        <v>85856.26</v>
      </c>
      <c r="G95" s="14" t="n">
        <v>77013.06</v>
      </c>
      <c r="H95" s="15" t="n">
        <f aca="false">INDEX('Your Inputs'!$C$8:$C$10,MATCH($D95,'Your Inputs'!$B$8:$B$10,0))</f>
        <v>96</v>
      </c>
      <c r="I95" s="15" t="n">
        <f aca="false">INDEX('Your Inputs'!$D$8:$D$10,MATCH($D95,'Your Inputs'!$B$8:$B$10,0))</f>
        <v>58</v>
      </c>
      <c r="J95" s="15" t="n">
        <f aca="false">ROUND($E95*$H95,2)</f>
        <v>105216</v>
      </c>
      <c r="K95" s="15" t="n">
        <f aca="false">ROUND($E95*$I95,2)</f>
        <v>63568</v>
      </c>
      <c r="L95" s="15" t="n">
        <f aca="false">ROUND($F95*'Your Inputs'!$C$31,2)</f>
        <v>1717.13</v>
      </c>
      <c r="M95" s="15" t="n">
        <f aca="false">ROUND($G95-$K95-$L95,2)</f>
        <v>11727.93</v>
      </c>
      <c r="N95" s="15" t="n">
        <f aca="false">$G95/$E95</f>
        <v>70.2673905109489</v>
      </c>
      <c r="O95" s="25" t="n">
        <f aca="false">$G95/$J95</f>
        <v>0.731951984489051</v>
      </c>
      <c r="P95" s="18" t="str">
        <f aca="false">$C95&amp;" | "&amp;$D95</f>
        <v>Distributors | Protective coatings</v>
      </c>
      <c r="Q95" s="25" t="n">
        <f aca="false">INDEX('Your Floors'!$K$20:$K$31,MATCH($P95,'Your Floors'!$D$20:$D$31,0))</f>
        <v>0.741797996122263</v>
      </c>
      <c r="R95" s="18" t="str">
        <f aca="false">IF($O95&lt;$Q95,"below the floor","at or above it")</f>
        <v>below the floor</v>
      </c>
      <c r="S95" s="15" t="n">
        <f aca="false">IF($O95&lt;$Q95,$E95*ROUND($Q95*$H95,2),$G95)</f>
        <v>78046.16</v>
      </c>
      <c r="T95" s="15" t="n">
        <f aca="false">IF($O95&lt;$Q95,ROUND($L95*$S95/$G95,2),$L95)</f>
        <v>1740.16</v>
      </c>
      <c r="U95" s="15" t="n">
        <f aca="false">ROUND(($S95-$G95)-($T95-$L95),2)</f>
        <v>1010.07</v>
      </c>
      <c r="V95" s="15" t="n">
        <f aca="false">IF($O95&lt;$Q95,ROUND($S95-$K95-$T95,2),$M95)</f>
        <v>12738</v>
      </c>
    </row>
    <row r="96" customFormat="false" ht="15" hidden="false" customHeight="false" outlineLevel="0" collapsed="false">
      <c r="B96" s="13" t="s">
        <v>146</v>
      </c>
      <c r="C96" s="13" t="s">
        <v>128</v>
      </c>
      <c r="D96" s="13" t="s">
        <v>52</v>
      </c>
      <c r="E96" s="24" t="n">
        <v>857</v>
      </c>
      <c r="F96" s="14" t="n">
        <v>110360</v>
      </c>
      <c r="G96" s="14" t="n">
        <v>96233.92</v>
      </c>
      <c r="H96" s="15" t="n">
        <f aca="false">INDEX('Your Inputs'!$C$8:$C$10,MATCH($D96,'Your Inputs'!$B$8:$B$10,0))</f>
        <v>148</v>
      </c>
      <c r="I96" s="15" t="n">
        <f aca="false">INDEX('Your Inputs'!$D$8:$D$10,MATCH($D96,'Your Inputs'!$B$8:$B$10,0))</f>
        <v>78</v>
      </c>
      <c r="J96" s="15" t="n">
        <f aca="false">ROUND($E96*$H96,2)</f>
        <v>126836</v>
      </c>
      <c r="K96" s="15" t="n">
        <f aca="false">ROUND($E96*$I96,2)</f>
        <v>66846</v>
      </c>
      <c r="L96" s="15" t="n">
        <f aca="false">ROUND($F96*'Your Inputs'!$C$31,2)</f>
        <v>2207.2</v>
      </c>
      <c r="M96" s="15" t="n">
        <f aca="false">ROUND($G96-$K96-$L96,2)</f>
        <v>27180.72</v>
      </c>
      <c r="N96" s="15" t="n">
        <f aca="false">$G96/$E96</f>
        <v>112.29162193699</v>
      </c>
      <c r="O96" s="25" t="n">
        <f aca="false">$G96/$J96</f>
        <v>0.758727175249929</v>
      </c>
      <c r="P96" s="18" t="str">
        <f aca="false">$C96&amp;" | "&amp;$D96</f>
        <v>Distributors | Structural adhesives</v>
      </c>
      <c r="Q96" s="25" t="n">
        <f aca="false">INDEX('Your Floors'!$K$20:$K$31,MATCH($P96,'Your Floors'!$D$20:$D$31,0))</f>
        <v>0.781507876109447</v>
      </c>
      <c r="R96" s="18" t="str">
        <f aca="false">IF($O96&lt;$Q96,"below the floor","at or above it")</f>
        <v>below the floor</v>
      </c>
      <c r="S96" s="15" t="n">
        <f aca="false">IF($O96&lt;$Q96,$E96*ROUND($Q96*$H96,2),$G96)</f>
        <v>99120.62</v>
      </c>
      <c r="T96" s="15" t="n">
        <f aca="false">IF($O96&lt;$Q96,ROUND($L96*$S96/$G96,2),$L96)</f>
        <v>2273.41</v>
      </c>
      <c r="U96" s="15" t="n">
        <f aca="false">ROUND(($S96-$G96)-($T96-$L96),2)</f>
        <v>2820.49</v>
      </c>
      <c r="V96" s="15" t="n">
        <f aca="false">IF($O96&lt;$Q96,ROUND($S96-$K96-$T96,2),$M96)</f>
        <v>30001.21</v>
      </c>
    </row>
    <row r="97" customFormat="false" ht="15" hidden="false" customHeight="false" outlineLevel="0" collapsed="false">
      <c r="B97" s="13" t="s">
        <v>146</v>
      </c>
      <c r="C97" s="13" t="s">
        <v>128</v>
      </c>
      <c r="D97" s="13" t="s">
        <v>54</v>
      </c>
      <c r="E97" s="24" t="n">
        <v>7778</v>
      </c>
      <c r="F97" s="14" t="n">
        <v>372045.07</v>
      </c>
      <c r="G97" s="14" t="n">
        <v>324423.29</v>
      </c>
      <c r="H97" s="15" t="n">
        <f aca="false">INDEX('Your Inputs'!$C$8:$C$10,MATCH($D97,'Your Inputs'!$B$8:$B$10,0))</f>
        <v>62</v>
      </c>
      <c r="I97" s="15" t="n">
        <f aca="false">INDEX('Your Inputs'!$D$8:$D$10,MATCH($D97,'Your Inputs'!$B$8:$B$10,0))</f>
        <v>36</v>
      </c>
      <c r="J97" s="15" t="n">
        <f aca="false">ROUND($E97*$H97,2)</f>
        <v>482236</v>
      </c>
      <c r="K97" s="15" t="n">
        <f aca="false">ROUND($E97*$I97,2)</f>
        <v>280008</v>
      </c>
      <c r="L97" s="15" t="n">
        <f aca="false">ROUND($F97*'Your Inputs'!$C$31,2)</f>
        <v>7440.9</v>
      </c>
      <c r="M97" s="15" t="n">
        <f aca="false">ROUND($G97-$K97-$L97,2)</f>
        <v>36974.39</v>
      </c>
      <c r="N97" s="15" t="n">
        <f aca="false">$G97/$E97</f>
        <v>41.7103741321677</v>
      </c>
      <c r="O97" s="25" t="n">
        <f aca="false">$G97/$J97</f>
        <v>0.672747969873672</v>
      </c>
      <c r="P97" s="18" t="str">
        <f aca="false">$C97&amp;" | "&amp;$D97</f>
        <v>Distributors | Sealants</v>
      </c>
      <c r="Q97" s="25" t="n">
        <f aca="false">INDEX('Your Floors'!$K$20:$K$31,MATCH($P97,'Your Floors'!$D$20:$D$31,0))</f>
        <v>0.704282831281691</v>
      </c>
      <c r="R97" s="18" t="str">
        <f aca="false">IF($O97&lt;$Q97,"below the floor","at or above it")</f>
        <v>below the floor</v>
      </c>
      <c r="S97" s="15" t="n">
        <f aca="false">IF($O97&lt;$Q97,$E97*ROUND($Q97*$H97,2),$G97)</f>
        <v>339665.26</v>
      </c>
      <c r="T97" s="15" t="n">
        <f aca="false">IF($O97&lt;$Q97,ROUND($L97*$S97/$G97,2),$L97)</f>
        <v>7790.49</v>
      </c>
      <c r="U97" s="15" t="n">
        <f aca="false">ROUND(($S97-$G97)-($T97-$L97),2)</f>
        <v>14892.38</v>
      </c>
      <c r="V97" s="15" t="n">
        <f aca="false">IF($O97&lt;$Q97,ROUND($S97-$K97-$T97,2),$M97)</f>
        <v>51866.77</v>
      </c>
    </row>
    <row r="98" customFormat="false" ht="15" hidden="false" customHeight="false" outlineLevel="0" collapsed="false">
      <c r="B98" s="13" t="s">
        <v>146</v>
      </c>
      <c r="C98" s="13" t="s">
        <v>128</v>
      </c>
      <c r="D98" s="13" t="s">
        <v>56</v>
      </c>
      <c r="E98" s="24" t="n">
        <v>3273</v>
      </c>
      <c r="F98" s="14" t="n">
        <v>257901.93</v>
      </c>
      <c r="G98" s="14" t="n">
        <v>224890.47</v>
      </c>
      <c r="H98" s="15" t="n">
        <f aca="false">INDEX('Your Inputs'!$C$8:$C$10,MATCH($D98,'Your Inputs'!$B$8:$B$10,0))</f>
        <v>96</v>
      </c>
      <c r="I98" s="15" t="n">
        <f aca="false">INDEX('Your Inputs'!$D$8:$D$10,MATCH($D98,'Your Inputs'!$B$8:$B$10,0))</f>
        <v>58</v>
      </c>
      <c r="J98" s="15" t="n">
        <f aca="false">ROUND($E98*$H98,2)</f>
        <v>314208</v>
      </c>
      <c r="K98" s="15" t="n">
        <f aca="false">ROUND($E98*$I98,2)</f>
        <v>189834</v>
      </c>
      <c r="L98" s="15" t="n">
        <f aca="false">ROUND($F98*'Your Inputs'!$C$31,2)</f>
        <v>5158.04</v>
      </c>
      <c r="M98" s="15" t="n">
        <f aca="false">ROUND($G98-$K98-$L98,2)</f>
        <v>29898.43</v>
      </c>
      <c r="N98" s="15" t="n">
        <f aca="false">$G98/$E98</f>
        <v>68.7108065994501</v>
      </c>
      <c r="O98" s="25" t="n">
        <f aca="false">$G98/$J98</f>
        <v>0.715737568744271</v>
      </c>
      <c r="P98" s="18" t="str">
        <f aca="false">$C98&amp;" | "&amp;$D98</f>
        <v>Distributors | Protective coatings</v>
      </c>
      <c r="Q98" s="25" t="n">
        <f aca="false">INDEX('Your Floors'!$K$20:$K$31,MATCH($P98,'Your Floors'!$D$20:$D$31,0))</f>
        <v>0.741797996122263</v>
      </c>
      <c r="R98" s="18" t="str">
        <f aca="false">IF($O98&lt;$Q98,"below the floor","at or above it")</f>
        <v>below the floor</v>
      </c>
      <c r="S98" s="15" t="n">
        <f aca="false">IF($O98&lt;$Q98,$E98*ROUND($Q98*$H98,2),$G98)</f>
        <v>233070.33</v>
      </c>
      <c r="T98" s="15" t="n">
        <f aca="false">IF($O98&lt;$Q98,ROUND($L98*$S98/$G98,2),$L98)</f>
        <v>5345.65</v>
      </c>
      <c r="U98" s="15" t="n">
        <f aca="false">ROUND(($S98-$G98)-($T98-$L98),2)</f>
        <v>7992.25</v>
      </c>
      <c r="V98" s="15" t="n">
        <f aca="false">IF($O98&lt;$Q98,ROUND($S98-$K98-$T98,2),$M98)</f>
        <v>37890.68</v>
      </c>
    </row>
    <row r="99" customFormat="false" ht="15" hidden="false" customHeight="false" outlineLevel="0" collapsed="false">
      <c r="B99" s="13" t="s">
        <v>147</v>
      </c>
      <c r="C99" s="13" t="s">
        <v>128</v>
      </c>
      <c r="D99" s="13" t="s">
        <v>52</v>
      </c>
      <c r="E99" s="24" t="n">
        <v>466</v>
      </c>
      <c r="F99" s="14" t="n">
        <v>60864.26</v>
      </c>
      <c r="G99" s="14" t="n">
        <v>53986.6</v>
      </c>
      <c r="H99" s="15" t="n">
        <f aca="false">INDEX('Your Inputs'!$C$8:$C$10,MATCH($D99,'Your Inputs'!$B$8:$B$10,0))</f>
        <v>148</v>
      </c>
      <c r="I99" s="15" t="n">
        <f aca="false">INDEX('Your Inputs'!$D$8:$D$10,MATCH($D99,'Your Inputs'!$B$8:$B$10,0))</f>
        <v>78</v>
      </c>
      <c r="J99" s="15" t="n">
        <f aca="false">ROUND($E99*$H99,2)</f>
        <v>68968</v>
      </c>
      <c r="K99" s="15" t="n">
        <f aca="false">ROUND($E99*$I99,2)</f>
        <v>36348</v>
      </c>
      <c r="L99" s="15" t="n">
        <f aca="false">ROUND($F99*'Your Inputs'!$C$31,2)</f>
        <v>1217.29</v>
      </c>
      <c r="M99" s="15" t="n">
        <f aca="false">ROUND($G99-$K99-$L99,2)</f>
        <v>16421.31</v>
      </c>
      <c r="N99" s="15" t="n">
        <f aca="false">$G99/$E99</f>
        <v>115.851072961373</v>
      </c>
      <c r="O99" s="25" t="n">
        <f aca="false">$G99/$J99</f>
        <v>0.78277752000928</v>
      </c>
      <c r="P99" s="18" t="str">
        <f aca="false">$C99&amp;" | "&amp;$D99</f>
        <v>Distributors | Structural adhesives</v>
      </c>
      <c r="Q99" s="25" t="n">
        <f aca="false">INDEX('Your Floors'!$K$20:$K$31,MATCH($P99,'Your Floors'!$D$20:$D$31,0))</f>
        <v>0.781507876109447</v>
      </c>
      <c r="R99" s="18" t="str">
        <f aca="false">IF($O99&lt;$Q99,"below the floor","at or above it")</f>
        <v>at or above it</v>
      </c>
      <c r="S99" s="15" t="n">
        <f aca="false">IF($O99&lt;$Q99,$E99*ROUND($Q99*$H99,2),$G99)</f>
        <v>53986.6</v>
      </c>
      <c r="T99" s="15" t="n">
        <f aca="false">IF($O99&lt;$Q99,ROUND($L99*$S99/$G99,2),$L99)</f>
        <v>1217.29</v>
      </c>
      <c r="U99" s="15" t="n">
        <f aca="false">ROUND(($S99-$G99)-($T99-$L99),2)</f>
        <v>0</v>
      </c>
      <c r="V99" s="15" t="n">
        <f aca="false">IF($O99&lt;$Q99,ROUND($S99-$K99-$T99,2),$M99)</f>
        <v>16421.31</v>
      </c>
    </row>
    <row r="100" customFormat="false" ht="15" hidden="false" customHeight="false" outlineLevel="0" collapsed="false">
      <c r="B100" s="13" t="s">
        <v>147</v>
      </c>
      <c r="C100" s="13" t="s">
        <v>128</v>
      </c>
      <c r="D100" s="13" t="s">
        <v>54</v>
      </c>
      <c r="E100" s="24" t="n">
        <v>2727</v>
      </c>
      <c r="F100" s="14" t="n">
        <v>134836.51</v>
      </c>
      <c r="G100" s="14" t="n">
        <v>119599.98</v>
      </c>
      <c r="H100" s="15" t="n">
        <f aca="false">INDEX('Your Inputs'!$C$8:$C$10,MATCH($D100,'Your Inputs'!$B$8:$B$10,0))</f>
        <v>62</v>
      </c>
      <c r="I100" s="15" t="n">
        <f aca="false">INDEX('Your Inputs'!$D$8:$D$10,MATCH($D100,'Your Inputs'!$B$8:$B$10,0))</f>
        <v>36</v>
      </c>
      <c r="J100" s="15" t="n">
        <f aca="false">ROUND($E100*$H100,2)</f>
        <v>169074</v>
      </c>
      <c r="K100" s="15" t="n">
        <f aca="false">ROUND($E100*$I100,2)</f>
        <v>98172</v>
      </c>
      <c r="L100" s="15" t="n">
        <f aca="false">ROUND($F100*'Your Inputs'!$C$31,2)</f>
        <v>2696.73</v>
      </c>
      <c r="M100" s="15" t="n">
        <f aca="false">ROUND($G100-$K100-$L100,2)</f>
        <v>18731.25</v>
      </c>
      <c r="N100" s="15" t="n">
        <f aca="false">$G100/$E100</f>
        <v>43.8577117711771</v>
      </c>
      <c r="O100" s="25" t="n">
        <f aca="false">$G100/$J100</f>
        <v>0.707382447922212</v>
      </c>
      <c r="P100" s="18" t="str">
        <f aca="false">$C100&amp;" | "&amp;$D100</f>
        <v>Distributors | Sealants</v>
      </c>
      <c r="Q100" s="25" t="n">
        <f aca="false">INDEX('Your Floors'!$K$20:$K$31,MATCH($P100,'Your Floors'!$D$20:$D$31,0))</f>
        <v>0.704282831281691</v>
      </c>
      <c r="R100" s="18" t="str">
        <f aca="false">IF($O100&lt;$Q100,"below the floor","at or above it")</f>
        <v>at or above it</v>
      </c>
      <c r="S100" s="15" t="n">
        <f aca="false">IF($O100&lt;$Q100,$E100*ROUND($Q100*$H100,2),$G100)</f>
        <v>119599.98</v>
      </c>
      <c r="T100" s="15" t="n">
        <f aca="false">IF($O100&lt;$Q100,ROUND($L100*$S100/$G100,2),$L100)</f>
        <v>2696.73</v>
      </c>
      <c r="U100" s="15" t="n">
        <f aca="false">ROUND(($S100-$G100)-($T100-$L100),2)</f>
        <v>0</v>
      </c>
      <c r="V100" s="15" t="n">
        <f aca="false">IF($O100&lt;$Q100,ROUND($S100-$K100-$T100,2),$M100)</f>
        <v>18731.25</v>
      </c>
    </row>
    <row r="101" customFormat="false" ht="15" hidden="false" customHeight="false" outlineLevel="0" collapsed="false">
      <c r="B101" s="13" t="s">
        <v>147</v>
      </c>
      <c r="C101" s="13" t="s">
        <v>128</v>
      </c>
      <c r="D101" s="13" t="s">
        <v>56</v>
      </c>
      <c r="E101" s="24" t="n">
        <v>1125</v>
      </c>
      <c r="F101" s="14" t="n">
        <v>90720</v>
      </c>
      <c r="G101" s="14" t="n">
        <v>80468.64</v>
      </c>
      <c r="H101" s="15" t="n">
        <f aca="false">INDEX('Your Inputs'!$C$8:$C$10,MATCH($D101,'Your Inputs'!$B$8:$B$10,0))</f>
        <v>96</v>
      </c>
      <c r="I101" s="15" t="n">
        <f aca="false">INDEX('Your Inputs'!$D$8:$D$10,MATCH($D101,'Your Inputs'!$B$8:$B$10,0))</f>
        <v>58</v>
      </c>
      <c r="J101" s="15" t="n">
        <f aca="false">ROUND($E101*$H101,2)</f>
        <v>108000</v>
      </c>
      <c r="K101" s="15" t="n">
        <f aca="false">ROUND($E101*$I101,2)</f>
        <v>65250</v>
      </c>
      <c r="L101" s="15" t="n">
        <f aca="false">ROUND($F101*'Your Inputs'!$C$31,2)</f>
        <v>1814.4</v>
      </c>
      <c r="M101" s="15" t="n">
        <f aca="false">ROUND($G101-$K101-$L101,2)</f>
        <v>13404.24</v>
      </c>
      <c r="N101" s="15" t="n">
        <f aca="false">$G101/$E101</f>
        <v>71.52768</v>
      </c>
      <c r="O101" s="25" t="n">
        <f aca="false">$G101/$J101</f>
        <v>0.74508</v>
      </c>
      <c r="P101" s="18" t="str">
        <f aca="false">$C101&amp;" | "&amp;$D101</f>
        <v>Distributors | Protective coatings</v>
      </c>
      <c r="Q101" s="25" t="n">
        <f aca="false">INDEX('Your Floors'!$K$20:$K$31,MATCH($P101,'Your Floors'!$D$20:$D$31,0))</f>
        <v>0.741797996122263</v>
      </c>
      <c r="R101" s="18" t="str">
        <f aca="false">IF($O101&lt;$Q101,"below the floor","at or above it")</f>
        <v>at or above it</v>
      </c>
      <c r="S101" s="15" t="n">
        <f aca="false">IF($O101&lt;$Q101,$E101*ROUND($Q101*$H101,2),$G101)</f>
        <v>80468.64</v>
      </c>
      <c r="T101" s="15" t="n">
        <f aca="false">IF($O101&lt;$Q101,ROUND($L101*$S101/$G101,2),$L101)</f>
        <v>1814.4</v>
      </c>
      <c r="U101" s="15" t="n">
        <f aca="false">ROUND(($S101-$G101)-($T101-$L101),2)</f>
        <v>0</v>
      </c>
      <c r="V101" s="15" t="n">
        <f aca="false">IF($O101&lt;$Q101,ROUND($S101-$K101-$T101,2),$M101)</f>
        <v>13404.24</v>
      </c>
    </row>
    <row r="102" customFormat="false" ht="15" hidden="false" customHeight="false" outlineLevel="0" collapsed="false">
      <c r="B102" s="13" t="s">
        <v>148</v>
      </c>
      <c r="C102" s="13" t="s">
        <v>128</v>
      </c>
      <c r="D102" s="13" t="s">
        <v>52</v>
      </c>
      <c r="E102" s="24" t="n">
        <v>168</v>
      </c>
      <c r="F102" s="14" t="n">
        <v>21634.17</v>
      </c>
      <c r="G102" s="14" t="n">
        <v>19189.53</v>
      </c>
      <c r="H102" s="15" t="n">
        <f aca="false">INDEX('Your Inputs'!$C$8:$C$10,MATCH($D102,'Your Inputs'!$B$8:$B$10,0))</f>
        <v>148</v>
      </c>
      <c r="I102" s="15" t="n">
        <f aca="false">INDEX('Your Inputs'!$D$8:$D$10,MATCH($D102,'Your Inputs'!$B$8:$B$10,0))</f>
        <v>78</v>
      </c>
      <c r="J102" s="15" t="n">
        <f aca="false">ROUND($E102*$H102,2)</f>
        <v>24864</v>
      </c>
      <c r="K102" s="15" t="n">
        <f aca="false">ROUND($E102*$I102,2)</f>
        <v>13104</v>
      </c>
      <c r="L102" s="15" t="n">
        <f aca="false">ROUND($F102*'Your Inputs'!$C$31,2)</f>
        <v>432.68</v>
      </c>
      <c r="M102" s="15" t="n">
        <f aca="false">ROUND($G102-$K102-$L102,2)</f>
        <v>5652.85</v>
      </c>
      <c r="N102" s="15" t="n">
        <f aca="false">$G102/$E102</f>
        <v>114.223392857143</v>
      </c>
      <c r="O102" s="25" t="n">
        <f aca="false">$G102/$J102</f>
        <v>0.771779681467182</v>
      </c>
      <c r="P102" s="18" t="str">
        <f aca="false">$C102&amp;" | "&amp;$D102</f>
        <v>Distributors | Structural adhesives</v>
      </c>
      <c r="Q102" s="25" t="n">
        <f aca="false">INDEX('Your Floors'!$K$20:$K$31,MATCH($P102,'Your Floors'!$D$20:$D$31,0))</f>
        <v>0.781507876109447</v>
      </c>
      <c r="R102" s="18" t="str">
        <f aca="false">IF($O102&lt;$Q102,"below the floor","at or above it")</f>
        <v>below the floor</v>
      </c>
      <c r="S102" s="15" t="n">
        <f aca="false">IF($O102&lt;$Q102,$E102*ROUND($Q102*$H102,2),$G102)</f>
        <v>19430.88</v>
      </c>
      <c r="T102" s="15" t="n">
        <f aca="false">IF($O102&lt;$Q102,ROUND($L102*$S102/$G102,2),$L102)</f>
        <v>438.12</v>
      </c>
      <c r="U102" s="15" t="n">
        <f aca="false">ROUND(($S102-$G102)-($T102-$L102),2)</f>
        <v>235.91</v>
      </c>
      <c r="V102" s="15" t="n">
        <f aca="false">IF($O102&lt;$Q102,ROUND($S102-$K102-$T102,2),$M102)</f>
        <v>5888.76</v>
      </c>
    </row>
    <row r="103" customFormat="false" ht="15" hidden="false" customHeight="false" outlineLevel="0" collapsed="false">
      <c r="B103" s="13" t="s">
        <v>148</v>
      </c>
      <c r="C103" s="13" t="s">
        <v>128</v>
      </c>
      <c r="D103" s="13" t="s">
        <v>54</v>
      </c>
      <c r="E103" s="24" t="n">
        <v>6598</v>
      </c>
      <c r="F103" s="14" t="n">
        <v>315602.13</v>
      </c>
      <c r="G103" s="14" t="n">
        <v>279939.1</v>
      </c>
      <c r="H103" s="15" t="n">
        <f aca="false">INDEX('Your Inputs'!$C$8:$C$10,MATCH($D103,'Your Inputs'!$B$8:$B$10,0))</f>
        <v>62</v>
      </c>
      <c r="I103" s="15" t="n">
        <f aca="false">INDEX('Your Inputs'!$D$8:$D$10,MATCH($D103,'Your Inputs'!$B$8:$B$10,0))</f>
        <v>36</v>
      </c>
      <c r="J103" s="15" t="n">
        <f aca="false">ROUND($E103*$H103,2)</f>
        <v>409076</v>
      </c>
      <c r="K103" s="15" t="n">
        <f aca="false">ROUND($E103*$I103,2)</f>
        <v>237528</v>
      </c>
      <c r="L103" s="15" t="n">
        <f aca="false">ROUND($F103*'Your Inputs'!$C$31,2)</f>
        <v>6312.04</v>
      </c>
      <c r="M103" s="15" t="n">
        <f aca="false">ROUND($G103-$K103-$L103,2)</f>
        <v>36099.06</v>
      </c>
      <c r="N103" s="15" t="n">
        <f aca="false">$G103/$E103</f>
        <v>42.4278720824492</v>
      </c>
      <c r="O103" s="25" t="n">
        <f aca="false">$G103/$J103</f>
        <v>0.684320517458859</v>
      </c>
      <c r="P103" s="18" t="str">
        <f aca="false">$C103&amp;" | "&amp;$D103</f>
        <v>Distributors | Sealants</v>
      </c>
      <c r="Q103" s="25" t="n">
        <f aca="false">INDEX('Your Floors'!$K$20:$K$31,MATCH($P103,'Your Floors'!$D$20:$D$31,0))</f>
        <v>0.704282831281691</v>
      </c>
      <c r="R103" s="18" t="str">
        <f aca="false">IF($O103&lt;$Q103,"below the floor","at or above it")</f>
        <v>below the floor</v>
      </c>
      <c r="S103" s="15" t="n">
        <f aca="false">IF($O103&lt;$Q103,$E103*ROUND($Q103*$H103,2),$G103)</f>
        <v>288134.66</v>
      </c>
      <c r="T103" s="15" t="n">
        <f aca="false">IF($O103&lt;$Q103,ROUND($L103*$S103/$G103,2),$L103)</f>
        <v>6496.83</v>
      </c>
      <c r="U103" s="15" t="n">
        <f aca="false">ROUND(($S103-$G103)-($T103-$L103),2)</f>
        <v>8010.77</v>
      </c>
      <c r="V103" s="15" t="n">
        <f aca="false">IF($O103&lt;$Q103,ROUND($S103-$K103-$T103,2),$M103)</f>
        <v>44109.83</v>
      </c>
    </row>
    <row r="104" customFormat="false" ht="15" hidden="false" customHeight="false" outlineLevel="0" collapsed="false">
      <c r="B104" s="13" t="s">
        <v>148</v>
      </c>
      <c r="C104" s="13" t="s">
        <v>128</v>
      </c>
      <c r="D104" s="13" t="s">
        <v>56</v>
      </c>
      <c r="E104" s="24" t="n">
        <v>3094</v>
      </c>
      <c r="F104" s="14" t="n">
        <v>243797.3</v>
      </c>
      <c r="G104" s="14" t="n">
        <v>216248.2</v>
      </c>
      <c r="H104" s="15" t="n">
        <f aca="false">INDEX('Your Inputs'!$C$8:$C$10,MATCH($D104,'Your Inputs'!$B$8:$B$10,0))</f>
        <v>96</v>
      </c>
      <c r="I104" s="15" t="n">
        <f aca="false">INDEX('Your Inputs'!$D$8:$D$10,MATCH($D104,'Your Inputs'!$B$8:$B$10,0))</f>
        <v>58</v>
      </c>
      <c r="J104" s="15" t="n">
        <f aca="false">ROUND($E104*$H104,2)</f>
        <v>297024</v>
      </c>
      <c r="K104" s="15" t="n">
        <f aca="false">ROUND($E104*$I104,2)</f>
        <v>179452</v>
      </c>
      <c r="L104" s="15" t="n">
        <f aca="false">ROUND($F104*'Your Inputs'!$C$31,2)</f>
        <v>4875.95</v>
      </c>
      <c r="M104" s="15" t="n">
        <f aca="false">ROUND($G104-$K104-$L104,2)</f>
        <v>31920.25</v>
      </c>
      <c r="N104" s="15" t="n">
        <f aca="false">$G104/$E104</f>
        <v>69.8927601809955</v>
      </c>
      <c r="O104" s="25" t="n">
        <f aca="false">$G104/$J104</f>
        <v>0.728049585218703</v>
      </c>
      <c r="P104" s="18" t="str">
        <f aca="false">$C104&amp;" | "&amp;$D104</f>
        <v>Distributors | Protective coatings</v>
      </c>
      <c r="Q104" s="25" t="n">
        <f aca="false">INDEX('Your Floors'!$K$20:$K$31,MATCH($P104,'Your Floors'!$D$20:$D$31,0))</f>
        <v>0.741797996122263</v>
      </c>
      <c r="R104" s="18" t="str">
        <f aca="false">IF($O104&lt;$Q104,"below the floor","at or above it")</f>
        <v>below the floor</v>
      </c>
      <c r="S104" s="15" t="n">
        <f aca="false">IF($O104&lt;$Q104,$E104*ROUND($Q104*$H104,2),$G104)</f>
        <v>220323.74</v>
      </c>
      <c r="T104" s="15" t="n">
        <f aca="false">IF($O104&lt;$Q104,ROUND($L104*$S104/$G104,2),$L104)</f>
        <v>4967.85</v>
      </c>
      <c r="U104" s="15" t="n">
        <f aca="false">ROUND(($S104-$G104)-($T104-$L104),2)</f>
        <v>3983.64</v>
      </c>
      <c r="V104" s="15" t="n">
        <f aca="false">IF($O104&lt;$Q104,ROUND($S104-$K104-$T104,2),$M104)</f>
        <v>35903.89</v>
      </c>
    </row>
    <row r="105" customFormat="false" ht="15" hidden="false" customHeight="false" outlineLevel="0" collapsed="false">
      <c r="B105" s="13" t="s">
        <v>149</v>
      </c>
      <c r="C105" s="13" t="s">
        <v>128</v>
      </c>
      <c r="D105" s="13" t="s">
        <v>52</v>
      </c>
      <c r="E105" s="24" t="n">
        <v>2107</v>
      </c>
      <c r="F105" s="14" t="n">
        <v>282928.8</v>
      </c>
      <c r="G105" s="14" t="n">
        <v>249543.2</v>
      </c>
      <c r="H105" s="15" t="n">
        <f aca="false">INDEX('Your Inputs'!$C$8:$C$10,MATCH($D105,'Your Inputs'!$B$8:$B$10,0))</f>
        <v>148</v>
      </c>
      <c r="I105" s="15" t="n">
        <f aca="false">INDEX('Your Inputs'!$D$8:$D$10,MATCH($D105,'Your Inputs'!$B$8:$B$10,0))</f>
        <v>78</v>
      </c>
      <c r="J105" s="15" t="n">
        <f aca="false">ROUND($E105*$H105,2)</f>
        <v>311836</v>
      </c>
      <c r="K105" s="15" t="n">
        <f aca="false">ROUND($E105*$I105,2)</f>
        <v>164346</v>
      </c>
      <c r="L105" s="15" t="n">
        <f aca="false">ROUND($F105*'Your Inputs'!$C$31,2)</f>
        <v>5658.58</v>
      </c>
      <c r="M105" s="15" t="n">
        <f aca="false">ROUND($G105-$K105-$L105,2)</f>
        <v>79538.62</v>
      </c>
      <c r="N105" s="15" t="n">
        <f aca="false">$G105/$E105</f>
        <v>118.435310868533</v>
      </c>
      <c r="O105" s="25" t="n">
        <f aca="false">$G105/$J105</f>
        <v>0.80023858694955</v>
      </c>
      <c r="P105" s="18" t="str">
        <f aca="false">$C105&amp;" | "&amp;$D105</f>
        <v>Distributors | Structural adhesives</v>
      </c>
      <c r="Q105" s="25" t="n">
        <f aca="false">INDEX('Your Floors'!$K$20:$K$31,MATCH($P105,'Your Floors'!$D$20:$D$31,0))</f>
        <v>0.781507876109447</v>
      </c>
      <c r="R105" s="18" t="str">
        <f aca="false">IF($O105&lt;$Q105,"below the floor","at or above it")</f>
        <v>at or above it</v>
      </c>
      <c r="S105" s="15" t="n">
        <f aca="false">IF($O105&lt;$Q105,$E105*ROUND($Q105*$H105,2),$G105)</f>
        <v>249543.2</v>
      </c>
      <c r="T105" s="15" t="n">
        <f aca="false">IF($O105&lt;$Q105,ROUND($L105*$S105/$G105,2),$L105)</f>
        <v>5658.58</v>
      </c>
      <c r="U105" s="15" t="n">
        <f aca="false">ROUND(($S105-$G105)-($T105-$L105),2)</f>
        <v>0</v>
      </c>
      <c r="V105" s="15" t="n">
        <f aca="false">IF($O105&lt;$Q105,ROUND($S105-$K105-$T105,2),$M105)</f>
        <v>79538.62</v>
      </c>
    </row>
    <row r="106" customFormat="false" ht="15" hidden="false" customHeight="false" outlineLevel="0" collapsed="false">
      <c r="B106" s="13" t="s">
        <v>149</v>
      </c>
      <c r="C106" s="13" t="s">
        <v>128</v>
      </c>
      <c r="D106" s="13" t="s">
        <v>54</v>
      </c>
      <c r="E106" s="24" t="n">
        <v>13068</v>
      </c>
      <c r="F106" s="14" t="n">
        <v>688278.49</v>
      </c>
      <c r="G106" s="14" t="n">
        <v>607061.62</v>
      </c>
      <c r="H106" s="15" t="n">
        <f aca="false">INDEX('Your Inputs'!$C$8:$C$10,MATCH($D106,'Your Inputs'!$B$8:$B$10,0))</f>
        <v>62</v>
      </c>
      <c r="I106" s="15" t="n">
        <f aca="false">INDEX('Your Inputs'!$D$8:$D$10,MATCH($D106,'Your Inputs'!$B$8:$B$10,0))</f>
        <v>36</v>
      </c>
      <c r="J106" s="15" t="n">
        <f aca="false">ROUND($E106*$H106,2)</f>
        <v>810216</v>
      </c>
      <c r="K106" s="15" t="n">
        <f aca="false">ROUND($E106*$I106,2)</f>
        <v>470448</v>
      </c>
      <c r="L106" s="15" t="n">
        <f aca="false">ROUND($F106*'Your Inputs'!$C$31,2)</f>
        <v>13765.57</v>
      </c>
      <c r="M106" s="15" t="n">
        <f aca="false">ROUND($G106-$K106-$L106,2)</f>
        <v>122848.05</v>
      </c>
      <c r="N106" s="15" t="n">
        <f aca="false">$G106/$E106</f>
        <v>46.4540572390572</v>
      </c>
      <c r="O106" s="25" t="n">
        <f aca="false">$G106/$J106</f>
        <v>0.74925898772673</v>
      </c>
      <c r="P106" s="18" t="str">
        <f aca="false">$C106&amp;" | "&amp;$D106</f>
        <v>Distributors | Sealants</v>
      </c>
      <c r="Q106" s="25" t="n">
        <f aca="false">INDEX('Your Floors'!$K$20:$K$31,MATCH($P106,'Your Floors'!$D$20:$D$31,0))</f>
        <v>0.704282831281691</v>
      </c>
      <c r="R106" s="18" t="str">
        <f aca="false">IF($O106&lt;$Q106,"below the floor","at or above it")</f>
        <v>at or above it</v>
      </c>
      <c r="S106" s="15" t="n">
        <f aca="false">IF($O106&lt;$Q106,$E106*ROUND($Q106*$H106,2),$G106)</f>
        <v>607061.62</v>
      </c>
      <c r="T106" s="15" t="n">
        <f aca="false">IF($O106&lt;$Q106,ROUND($L106*$S106/$G106,2),$L106)</f>
        <v>13765.57</v>
      </c>
      <c r="U106" s="15" t="n">
        <f aca="false">ROUND(($S106-$G106)-($T106-$L106),2)</f>
        <v>0</v>
      </c>
      <c r="V106" s="15" t="n">
        <f aca="false">IF($O106&lt;$Q106,ROUND($S106-$K106-$T106,2),$M106)</f>
        <v>122848.05</v>
      </c>
    </row>
    <row r="107" customFormat="false" ht="15" hidden="false" customHeight="false" outlineLevel="0" collapsed="false">
      <c r="B107" s="13" t="s">
        <v>149</v>
      </c>
      <c r="C107" s="13" t="s">
        <v>128</v>
      </c>
      <c r="D107" s="13" t="s">
        <v>56</v>
      </c>
      <c r="E107" s="24" t="n">
        <v>1829</v>
      </c>
      <c r="F107" s="14" t="n">
        <v>154232.99</v>
      </c>
      <c r="G107" s="14" t="n">
        <v>136033.52</v>
      </c>
      <c r="H107" s="15" t="n">
        <f aca="false">INDEX('Your Inputs'!$C$8:$C$10,MATCH($D107,'Your Inputs'!$B$8:$B$10,0))</f>
        <v>96</v>
      </c>
      <c r="I107" s="15" t="n">
        <f aca="false">INDEX('Your Inputs'!$D$8:$D$10,MATCH($D107,'Your Inputs'!$B$8:$B$10,0))</f>
        <v>58</v>
      </c>
      <c r="J107" s="15" t="n">
        <f aca="false">ROUND($E107*$H107,2)</f>
        <v>175584</v>
      </c>
      <c r="K107" s="15" t="n">
        <f aca="false">ROUND($E107*$I107,2)</f>
        <v>106082</v>
      </c>
      <c r="L107" s="15" t="n">
        <f aca="false">ROUND($F107*'Your Inputs'!$C$31,2)</f>
        <v>3084.66</v>
      </c>
      <c r="M107" s="15" t="n">
        <f aca="false">ROUND($G107-$K107-$L107,2)</f>
        <v>26866.86</v>
      </c>
      <c r="N107" s="15" t="n">
        <f aca="false">$G107/$E107</f>
        <v>74.3758993985785</v>
      </c>
      <c r="O107" s="25" t="n">
        <f aca="false">$G107/$J107</f>
        <v>0.774748952068526</v>
      </c>
      <c r="P107" s="18" t="str">
        <f aca="false">$C107&amp;" | "&amp;$D107</f>
        <v>Distributors | Protective coatings</v>
      </c>
      <c r="Q107" s="25" t="n">
        <f aca="false">INDEX('Your Floors'!$K$20:$K$31,MATCH($P107,'Your Floors'!$D$20:$D$31,0))</f>
        <v>0.741797996122263</v>
      </c>
      <c r="R107" s="18" t="str">
        <f aca="false">IF($O107&lt;$Q107,"below the floor","at or above it")</f>
        <v>at or above it</v>
      </c>
      <c r="S107" s="15" t="n">
        <f aca="false">IF($O107&lt;$Q107,$E107*ROUND($Q107*$H107,2),$G107)</f>
        <v>136033.52</v>
      </c>
      <c r="T107" s="15" t="n">
        <f aca="false">IF($O107&lt;$Q107,ROUND($L107*$S107/$G107,2),$L107)</f>
        <v>3084.66</v>
      </c>
      <c r="U107" s="15" t="n">
        <f aca="false">ROUND(($S107-$G107)-($T107-$L107),2)</f>
        <v>0</v>
      </c>
      <c r="V107" s="15" t="n">
        <f aca="false">IF($O107&lt;$Q107,ROUND($S107-$K107-$T107,2),$M107)</f>
        <v>26866.86</v>
      </c>
    </row>
    <row r="108" customFormat="false" ht="15" hidden="false" customHeight="false" outlineLevel="0" collapsed="false">
      <c r="B108" s="13" t="s">
        <v>150</v>
      </c>
      <c r="C108" s="13" t="s">
        <v>128</v>
      </c>
      <c r="D108" s="13" t="s">
        <v>52</v>
      </c>
      <c r="E108" s="24" t="n">
        <v>1719</v>
      </c>
      <c r="F108" s="14" t="n">
        <v>234771.39</v>
      </c>
      <c r="G108" s="14" t="n">
        <v>208242.23</v>
      </c>
      <c r="H108" s="15" t="n">
        <f aca="false">INDEX('Your Inputs'!$C$8:$C$10,MATCH($D108,'Your Inputs'!$B$8:$B$10,0))</f>
        <v>148</v>
      </c>
      <c r="I108" s="15" t="n">
        <f aca="false">INDEX('Your Inputs'!$D$8:$D$10,MATCH($D108,'Your Inputs'!$B$8:$B$10,0))</f>
        <v>78</v>
      </c>
      <c r="J108" s="15" t="n">
        <f aca="false">ROUND($E108*$H108,2)</f>
        <v>254412</v>
      </c>
      <c r="K108" s="15" t="n">
        <f aca="false">ROUND($E108*$I108,2)</f>
        <v>134082</v>
      </c>
      <c r="L108" s="15" t="n">
        <f aca="false">ROUND($F108*'Your Inputs'!$C$31,2)</f>
        <v>4695.43</v>
      </c>
      <c r="M108" s="15" t="n">
        <f aca="false">ROUND($G108-$K108-$L108,2)</f>
        <v>69464.8</v>
      </c>
      <c r="N108" s="15" t="n">
        <f aca="false">$G108/$E108</f>
        <v>121.141495055265</v>
      </c>
      <c r="O108" s="25" t="n">
        <f aca="false">$G108/$J108</f>
        <v>0.818523615238275</v>
      </c>
      <c r="P108" s="18" t="str">
        <f aca="false">$C108&amp;" | "&amp;$D108</f>
        <v>Distributors | Structural adhesives</v>
      </c>
      <c r="Q108" s="25" t="n">
        <f aca="false">INDEX('Your Floors'!$K$20:$K$31,MATCH($P108,'Your Floors'!$D$20:$D$31,0))</f>
        <v>0.781507876109447</v>
      </c>
      <c r="R108" s="18" t="str">
        <f aca="false">IF($O108&lt;$Q108,"below the floor","at or above it")</f>
        <v>at or above it</v>
      </c>
      <c r="S108" s="15" t="n">
        <f aca="false">IF($O108&lt;$Q108,$E108*ROUND($Q108*$H108,2),$G108)</f>
        <v>208242.23</v>
      </c>
      <c r="T108" s="15" t="n">
        <f aca="false">IF($O108&lt;$Q108,ROUND($L108*$S108/$G108,2),$L108)</f>
        <v>4695.43</v>
      </c>
      <c r="U108" s="15" t="n">
        <f aca="false">ROUND(($S108-$G108)-($T108-$L108),2)</f>
        <v>0</v>
      </c>
      <c r="V108" s="15" t="n">
        <f aca="false">IF($O108&lt;$Q108,ROUND($S108-$K108-$T108,2),$M108)</f>
        <v>69464.8</v>
      </c>
    </row>
    <row r="109" customFormat="false" ht="15" hidden="false" customHeight="false" outlineLevel="0" collapsed="false">
      <c r="B109" s="13" t="s">
        <v>150</v>
      </c>
      <c r="C109" s="13" t="s">
        <v>128</v>
      </c>
      <c r="D109" s="13" t="s">
        <v>54</v>
      </c>
      <c r="E109" s="24" t="n">
        <v>5496</v>
      </c>
      <c r="F109" s="14" t="n">
        <v>300543.26</v>
      </c>
      <c r="G109" s="14" t="n">
        <v>266581.86</v>
      </c>
      <c r="H109" s="15" t="n">
        <f aca="false">INDEX('Your Inputs'!$C$8:$C$10,MATCH($D109,'Your Inputs'!$B$8:$B$10,0))</f>
        <v>62</v>
      </c>
      <c r="I109" s="15" t="n">
        <f aca="false">INDEX('Your Inputs'!$D$8:$D$10,MATCH($D109,'Your Inputs'!$B$8:$B$10,0))</f>
        <v>36</v>
      </c>
      <c r="J109" s="15" t="n">
        <f aca="false">ROUND($E109*$H109,2)</f>
        <v>340752</v>
      </c>
      <c r="K109" s="15" t="n">
        <f aca="false">ROUND($E109*$I109,2)</f>
        <v>197856</v>
      </c>
      <c r="L109" s="15" t="n">
        <f aca="false">ROUND($F109*'Your Inputs'!$C$31,2)</f>
        <v>6010.87</v>
      </c>
      <c r="M109" s="15" t="n">
        <f aca="false">ROUND($G109-$K109-$L109,2)</f>
        <v>62714.99</v>
      </c>
      <c r="N109" s="15" t="n">
        <f aca="false">$G109/$E109</f>
        <v>48.5047052401747</v>
      </c>
      <c r="O109" s="25" t="n">
        <f aca="false">$G109/$J109</f>
        <v>0.782333955486688</v>
      </c>
      <c r="P109" s="18" t="str">
        <f aca="false">$C109&amp;" | "&amp;$D109</f>
        <v>Distributors | Sealants</v>
      </c>
      <c r="Q109" s="25" t="n">
        <f aca="false">INDEX('Your Floors'!$K$20:$K$31,MATCH($P109,'Your Floors'!$D$20:$D$31,0))</f>
        <v>0.704282831281691</v>
      </c>
      <c r="R109" s="18" t="str">
        <f aca="false">IF($O109&lt;$Q109,"below the floor","at or above it")</f>
        <v>at or above it</v>
      </c>
      <c r="S109" s="15" t="n">
        <f aca="false">IF($O109&lt;$Q109,$E109*ROUND($Q109*$H109,2),$G109)</f>
        <v>266581.86</v>
      </c>
      <c r="T109" s="15" t="n">
        <f aca="false">IF($O109&lt;$Q109,ROUND($L109*$S109/$G109,2),$L109)</f>
        <v>6010.87</v>
      </c>
      <c r="U109" s="15" t="n">
        <f aca="false">ROUND(($S109-$G109)-($T109-$L109),2)</f>
        <v>0</v>
      </c>
      <c r="V109" s="15" t="n">
        <f aca="false">IF($O109&lt;$Q109,ROUND($S109-$K109-$T109,2),$M109)</f>
        <v>62714.99</v>
      </c>
    </row>
    <row r="110" customFormat="false" ht="15" hidden="false" customHeight="false" outlineLevel="0" collapsed="false">
      <c r="B110" s="13" t="s">
        <v>150</v>
      </c>
      <c r="C110" s="13" t="s">
        <v>128</v>
      </c>
      <c r="D110" s="13" t="s">
        <v>56</v>
      </c>
      <c r="E110" s="24" t="n">
        <v>1435</v>
      </c>
      <c r="F110" s="14" t="n">
        <v>124314.62</v>
      </c>
      <c r="G110" s="14" t="n">
        <v>110267.06</v>
      </c>
      <c r="H110" s="15" t="n">
        <f aca="false">INDEX('Your Inputs'!$C$8:$C$10,MATCH($D110,'Your Inputs'!$B$8:$B$10,0))</f>
        <v>96</v>
      </c>
      <c r="I110" s="15" t="n">
        <f aca="false">INDEX('Your Inputs'!$D$8:$D$10,MATCH($D110,'Your Inputs'!$B$8:$B$10,0))</f>
        <v>58</v>
      </c>
      <c r="J110" s="15" t="n">
        <f aca="false">ROUND($E110*$H110,2)</f>
        <v>137760</v>
      </c>
      <c r="K110" s="15" t="n">
        <f aca="false">ROUND($E110*$I110,2)</f>
        <v>83230</v>
      </c>
      <c r="L110" s="15" t="n">
        <f aca="false">ROUND($F110*'Your Inputs'!$C$31,2)</f>
        <v>2486.29</v>
      </c>
      <c r="M110" s="15" t="n">
        <f aca="false">ROUND($G110-$K110-$L110,2)</f>
        <v>24550.77</v>
      </c>
      <c r="N110" s="15" t="n">
        <f aca="false">$G110/$E110</f>
        <v>76.8411567944251</v>
      </c>
      <c r="O110" s="25" t="n">
        <f aca="false">$G110/$J110</f>
        <v>0.800428716608595</v>
      </c>
      <c r="P110" s="18" t="str">
        <f aca="false">$C110&amp;" | "&amp;$D110</f>
        <v>Distributors | Protective coatings</v>
      </c>
      <c r="Q110" s="25" t="n">
        <f aca="false">INDEX('Your Floors'!$K$20:$K$31,MATCH($P110,'Your Floors'!$D$20:$D$31,0))</f>
        <v>0.741797996122263</v>
      </c>
      <c r="R110" s="18" t="str">
        <f aca="false">IF($O110&lt;$Q110,"below the floor","at or above it")</f>
        <v>at or above it</v>
      </c>
      <c r="S110" s="15" t="n">
        <f aca="false">IF($O110&lt;$Q110,$E110*ROUND($Q110*$H110,2),$G110)</f>
        <v>110267.06</v>
      </c>
      <c r="T110" s="15" t="n">
        <f aca="false">IF($O110&lt;$Q110,ROUND($L110*$S110/$G110,2),$L110)</f>
        <v>2486.29</v>
      </c>
      <c r="U110" s="15" t="n">
        <f aca="false">ROUND(($S110-$G110)-($T110-$L110),2)</f>
        <v>0</v>
      </c>
      <c r="V110" s="15" t="n">
        <f aca="false">IF($O110&lt;$Q110,ROUND($S110-$K110-$T110,2),$M110)</f>
        <v>24550.77</v>
      </c>
    </row>
    <row r="111" customFormat="false" ht="15" hidden="false" customHeight="false" outlineLevel="0" collapsed="false">
      <c r="B111" s="13" t="s">
        <v>151</v>
      </c>
      <c r="C111" s="13" t="s">
        <v>128</v>
      </c>
      <c r="D111" s="13" t="s">
        <v>52</v>
      </c>
      <c r="E111" s="24" t="n">
        <v>1008</v>
      </c>
      <c r="F111" s="14" t="n">
        <v>142291.7</v>
      </c>
      <c r="G111" s="14" t="n">
        <v>126924.19</v>
      </c>
      <c r="H111" s="15" t="n">
        <f aca="false">INDEX('Your Inputs'!$C$8:$C$10,MATCH($D111,'Your Inputs'!$B$8:$B$10,0))</f>
        <v>148</v>
      </c>
      <c r="I111" s="15" t="n">
        <f aca="false">INDEX('Your Inputs'!$D$8:$D$10,MATCH($D111,'Your Inputs'!$B$8:$B$10,0))</f>
        <v>78</v>
      </c>
      <c r="J111" s="15" t="n">
        <f aca="false">ROUND($E111*$H111,2)</f>
        <v>149184</v>
      </c>
      <c r="K111" s="15" t="n">
        <f aca="false">ROUND($E111*$I111,2)</f>
        <v>78624</v>
      </c>
      <c r="L111" s="15" t="n">
        <f aca="false">ROUND($F111*'Your Inputs'!$C$31,2)</f>
        <v>2845.83</v>
      </c>
      <c r="M111" s="15" t="n">
        <f aca="false">ROUND($G111-$K111-$L111,2)</f>
        <v>45454.36</v>
      </c>
      <c r="N111" s="15" t="n">
        <f aca="false">$G111/$E111</f>
        <v>125.91685515873</v>
      </c>
      <c r="O111" s="25" t="n">
        <f aca="false">$G111/$J111</f>
        <v>0.850789561883312</v>
      </c>
      <c r="P111" s="18" t="str">
        <f aca="false">$C111&amp;" | "&amp;$D111</f>
        <v>Distributors | Structural adhesives</v>
      </c>
      <c r="Q111" s="25" t="n">
        <f aca="false">INDEX('Your Floors'!$K$20:$K$31,MATCH($P111,'Your Floors'!$D$20:$D$31,0))</f>
        <v>0.781507876109447</v>
      </c>
      <c r="R111" s="18" t="str">
        <f aca="false">IF($O111&lt;$Q111,"below the floor","at or above it")</f>
        <v>at or above it</v>
      </c>
      <c r="S111" s="15" t="n">
        <f aca="false">IF($O111&lt;$Q111,$E111*ROUND($Q111*$H111,2),$G111)</f>
        <v>126924.19</v>
      </c>
      <c r="T111" s="15" t="n">
        <f aca="false">IF($O111&lt;$Q111,ROUND($L111*$S111/$G111,2),$L111)</f>
        <v>2845.83</v>
      </c>
      <c r="U111" s="15" t="n">
        <f aca="false">ROUND(($S111-$G111)-($T111-$L111),2)</f>
        <v>0</v>
      </c>
      <c r="V111" s="15" t="n">
        <f aca="false">IF($O111&lt;$Q111,ROUND($S111-$K111-$T111,2),$M111)</f>
        <v>45454.36</v>
      </c>
    </row>
    <row r="112" customFormat="false" ht="15" hidden="false" customHeight="false" outlineLevel="0" collapsed="false">
      <c r="B112" s="13" t="s">
        <v>151</v>
      </c>
      <c r="C112" s="13" t="s">
        <v>128</v>
      </c>
      <c r="D112" s="13" t="s">
        <v>54</v>
      </c>
      <c r="E112" s="24" t="n">
        <v>11471</v>
      </c>
      <c r="F112" s="14" t="n">
        <v>673508.29</v>
      </c>
      <c r="G112" s="14" t="n">
        <v>600769.4</v>
      </c>
      <c r="H112" s="15" t="n">
        <f aca="false">INDEX('Your Inputs'!$C$8:$C$10,MATCH($D112,'Your Inputs'!$B$8:$B$10,0))</f>
        <v>62</v>
      </c>
      <c r="I112" s="15" t="n">
        <f aca="false">INDEX('Your Inputs'!$D$8:$D$10,MATCH($D112,'Your Inputs'!$B$8:$B$10,0))</f>
        <v>36</v>
      </c>
      <c r="J112" s="15" t="n">
        <f aca="false">ROUND($E112*$H112,2)</f>
        <v>711202</v>
      </c>
      <c r="K112" s="15" t="n">
        <f aca="false">ROUND($E112*$I112,2)</f>
        <v>412956</v>
      </c>
      <c r="L112" s="15" t="n">
        <f aca="false">ROUND($F112*'Your Inputs'!$C$31,2)</f>
        <v>13470.17</v>
      </c>
      <c r="M112" s="15" t="n">
        <f aca="false">ROUND($G112-$K112-$L112,2)</f>
        <v>174343.23</v>
      </c>
      <c r="N112" s="15" t="n">
        <f aca="false">$G112/$E112</f>
        <v>52.372888152733</v>
      </c>
      <c r="O112" s="25" t="n">
        <f aca="false">$G112/$J112</f>
        <v>0.844724002463435</v>
      </c>
      <c r="P112" s="18" t="str">
        <f aca="false">$C112&amp;" | "&amp;$D112</f>
        <v>Distributors | Sealants</v>
      </c>
      <c r="Q112" s="25" t="n">
        <f aca="false">INDEX('Your Floors'!$K$20:$K$31,MATCH($P112,'Your Floors'!$D$20:$D$31,0))</f>
        <v>0.704282831281691</v>
      </c>
      <c r="R112" s="18" t="str">
        <f aca="false">IF($O112&lt;$Q112,"below the floor","at or above it")</f>
        <v>at or above it</v>
      </c>
      <c r="S112" s="15" t="n">
        <f aca="false">IF($O112&lt;$Q112,$E112*ROUND($Q112*$H112,2),$G112)</f>
        <v>600769.4</v>
      </c>
      <c r="T112" s="15" t="n">
        <f aca="false">IF($O112&lt;$Q112,ROUND($L112*$S112/$G112,2),$L112)</f>
        <v>13470.17</v>
      </c>
      <c r="U112" s="15" t="n">
        <f aca="false">ROUND(($S112-$G112)-($T112-$L112),2)</f>
        <v>0</v>
      </c>
      <c r="V112" s="15" t="n">
        <f aca="false">IF($O112&lt;$Q112,ROUND($S112-$K112-$T112,2),$M112)</f>
        <v>174343.23</v>
      </c>
    </row>
    <row r="113" customFormat="false" ht="15" hidden="false" customHeight="false" outlineLevel="0" collapsed="false">
      <c r="B113" s="13" t="s">
        <v>151</v>
      </c>
      <c r="C113" s="13" t="s">
        <v>128</v>
      </c>
      <c r="D113" s="13" t="s">
        <v>56</v>
      </c>
      <c r="E113" s="24" t="n">
        <v>3115</v>
      </c>
      <c r="F113" s="14" t="n">
        <v>284207.62</v>
      </c>
      <c r="G113" s="14" t="n">
        <v>253513.2</v>
      </c>
      <c r="H113" s="15" t="n">
        <f aca="false">INDEX('Your Inputs'!$C$8:$C$10,MATCH($D113,'Your Inputs'!$B$8:$B$10,0))</f>
        <v>96</v>
      </c>
      <c r="I113" s="15" t="n">
        <f aca="false">INDEX('Your Inputs'!$D$8:$D$10,MATCH($D113,'Your Inputs'!$B$8:$B$10,0))</f>
        <v>58</v>
      </c>
      <c r="J113" s="15" t="n">
        <f aca="false">ROUND($E113*$H113,2)</f>
        <v>299040</v>
      </c>
      <c r="K113" s="15" t="n">
        <f aca="false">ROUND($E113*$I113,2)</f>
        <v>180670</v>
      </c>
      <c r="L113" s="15" t="n">
        <f aca="false">ROUND($F113*'Your Inputs'!$C$31,2)</f>
        <v>5684.15</v>
      </c>
      <c r="M113" s="15" t="n">
        <f aca="false">ROUND($G113-$K113-$L113,2)</f>
        <v>67159.05</v>
      </c>
      <c r="N113" s="15" t="n">
        <f aca="false">$G113/$E113</f>
        <v>81.3846548956661</v>
      </c>
      <c r="O113" s="25" t="n">
        <f aca="false">$G113/$J113</f>
        <v>0.847756821829856</v>
      </c>
      <c r="P113" s="18" t="str">
        <f aca="false">$C113&amp;" | "&amp;$D113</f>
        <v>Distributors | Protective coatings</v>
      </c>
      <c r="Q113" s="25" t="n">
        <f aca="false">INDEX('Your Floors'!$K$20:$K$31,MATCH($P113,'Your Floors'!$D$20:$D$31,0))</f>
        <v>0.741797996122263</v>
      </c>
      <c r="R113" s="18" t="str">
        <f aca="false">IF($O113&lt;$Q113,"below the floor","at or above it")</f>
        <v>at or above it</v>
      </c>
      <c r="S113" s="15" t="n">
        <f aca="false">IF($O113&lt;$Q113,$E113*ROUND($Q113*$H113,2),$G113)</f>
        <v>253513.2</v>
      </c>
      <c r="T113" s="15" t="n">
        <f aca="false">IF($O113&lt;$Q113,ROUND($L113*$S113/$G113,2),$L113)</f>
        <v>5684.15</v>
      </c>
      <c r="U113" s="15" t="n">
        <f aca="false">ROUND(($S113-$G113)-($T113-$L113),2)</f>
        <v>0</v>
      </c>
      <c r="V113" s="15" t="n">
        <f aca="false">IF($O113&lt;$Q113,ROUND($S113-$K113-$T113,2),$M113)</f>
        <v>67159.05</v>
      </c>
    </row>
    <row r="114" customFormat="false" ht="15" hidden="false" customHeight="false" outlineLevel="0" collapsed="false">
      <c r="B114" s="13" t="s">
        <v>152</v>
      </c>
      <c r="C114" s="13" t="s">
        <v>128</v>
      </c>
      <c r="D114" s="13" t="s">
        <v>52</v>
      </c>
      <c r="E114" s="24" t="n">
        <v>306</v>
      </c>
      <c r="F114" s="14" t="n">
        <v>41447.58</v>
      </c>
      <c r="G114" s="14" t="n">
        <v>36142.29</v>
      </c>
      <c r="H114" s="15" t="n">
        <f aca="false">INDEX('Your Inputs'!$C$8:$C$10,MATCH($D114,'Your Inputs'!$B$8:$B$10,0))</f>
        <v>148</v>
      </c>
      <c r="I114" s="15" t="n">
        <f aca="false">INDEX('Your Inputs'!$D$8:$D$10,MATCH($D114,'Your Inputs'!$B$8:$B$10,0))</f>
        <v>78</v>
      </c>
      <c r="J114" s="15" t="n">
        <f aca="false">ROUND($E114*$H114,2)</f>
        <v>45288</v>
      </c>
      <c r="K114" s="15" t="n">
        <f aca="false">ROUND($E114*$I114,2)</f>
        <v>23868</v>
      </c>
      <c r="L114" s="15" t="n">
        <f aca="false">ROUND($F114*'Your Inputs'!$C$31,2)</f>
        <v>828.95</v>
      </c>
      <c r="M114" s="15" t="n">
        <f aca="false">ROUND($G114-$K114-$L114,2)</f>
        <v>11445.34</v>
      </c>
      <c r="N114" s="15" t="n">
        <f aca="false">$G114/$E114</f>
        <v>118.112058823529</v>
      </c>
      <c r="O114" s="25" t="n">
        <f aca="false">$G114/$J114</f>
        <v>0.798054451510334</v>
      </c>
      <c r="P114" s="18" t="str">
        <f aca="false">$C114&amp;" | "&amp;$D114</f>
        <v>Distributors | Structural adhesives</v>
      </c>
      <c r="Q114" s="25" t="n">
        <f aca="false">INDEX('Your Floors'!$K$20:$K$31,MATCH($P114,'Your Floors'!$D$20:$D$31,0))</f>
        <v>0.781507876109447</v>
      </c>
      <c r="R114" s="18" t="str">
        <f aca="false">IF($O114&lt;$Q114,"below the floor","at or above it")</f>
        <v>at or above it</v>
      </c>
      <c r="S114" s="15" t="n">
        <f aca="false">IF($O114&lt;$Q114,$E114*ROUND($Q114*$H114,2),$G114)</f>
        <v>36142.29</v>
      </c>
      <c r="T114" s="15" t="n">
        <f aca="false">IF($O114&lt;$Q114,ROUND($L114*$S114/$G114,2),$L114)</f>
        <v>828.95</v>
      </c>
      <c r="U114" s="15" t="n">
        <f aca="false">ROUND(($S114-$G114)-($T114-$L114),2)</f>
        <v>0</v>
      </c>
      <c r="V114" s="15" t="n">
        <f aca="false">IF($O114&lt;$Q114,ROUND($S114-$K114-$T114,2),$M114)</f>
        <v>11445.34</v>
      </c>
    </row>
    <row r="115" customFormat="false" ht="15" hidden="false" customHeight="false" outlineLevel="0" collapsed="false">
      <c r="B115" s="13" t="s">
        <v>152</v>
      </c>
      <c r="C115" s="13" t="s">
        <v>128</v>
      </c>
      <c r="D115" s="13" t="s">
        <v>54</v>
      </c>
      <c r="E115" s="24" t="n">
        <v>12402</v>
      </c>
      <c r="F115" s="14" t="n">
        <v>682804.51</v>
      </c>
      <c r="G115" s="14" t="n">
        <v>595405.52</v>
      </c>
      <c r="H115" s="15" t="n">
        <f aca="false">INDEX('Your Inputs'!$C$8:$C$10,MATCH($D115,'Your Inputs'!$B$8:$B$10,0))</f>
        <v>62</v>
      </c>
      <c r="I115" s="15" t="n">
        <f aca="false">INDEX('Your Inputs'!$D$8:$D$10,MATCH($D115,'Your Inputs'!$B$8:$B$10,0))</f>
        <v>36</v>
      </c>
      <c r="J115" s="15" t="n">
        <f aca="false">ROUND($E115*$H115,2)</f>
        <v>768924</v>
      </c>
      <c r="K115" s="15" t="n">
        <f aca="false">ROUND($E115*$I115,2)</f>
        <v>446472</v>
      </c>
      <c r="L115" s="15" t="n">
        <f aca="false">ROUND($F115*'Your Inputs'!$C$31,2)</f>
        <v>13656.09</v>
      </c>
      <c r="M115" s="15" t="n">
        <f aca="false">ROUND($G115-$K115-$L115,2)</f>
        <v>135277.43</v>
      </c>
      <c r="N115" s="15" t="n">
        <f aca="false">$G115/$E115</f>
        <v>48.0088308337365</v>
      </c>
      <c r="O115" s="25" t="n">
        <f aca="false">$G115/$J115</f>
        <v>0.774335981189298</v>
      </c>
      <c r="P115" s="18" t="str">
        <f aca="false">$C115&amp;" | "&amp;$D115</f>
        <v>Distributors | Sealants</v>
      </c>
      <c r="Q115" s="25" t="n">
        <f aca="false">INDEX('Your Floors'!$K$20:$K$31,MATCH($P115,'Your Floors'!$D$20:$D$31,0))</f>
        <v>0.704282831281691</v>
      </c>
      <c r="R115" s="18" t="str">
        <f aca="false">IF($O115&lt;$Q115,"below the floor","at or above it")</f>
        <v>at or above it</v>
      </c>
      <c r="S115" s="15" t="n">
        <f aca="false">IF($O115&lt;$Q115,$E115*ROUND($Q115*$H115,2),$G115)</f>
        <v>595405.52</v>
      </c>
      <c r="T115" s="15" t="n">
        <f aca="false">IF($O115&lt;$Q115,ROUND($L115*$S115/$G115,2),$L115)</f>
        <v>13656.09</v>
      </c>
      <c r="U115" s="15" t="n">
        <f aca="false">ROUND(($S115-$G115)-($T115-$L115),2)</f>
        <v>0</v>
      </c>
      <c r="V115" s="15" t="n">
        <f aca="false">IF($O115&lt;$Q115,ROUND($S115-$K115-$T115,2),$M115)</f>
        <v>135277.43</v>
      </c>
    </row>
    <row r="116" customFormat="false" ht="15" hidden="false" customHeight="false" outlineLevel="0" collapsed="false">
      <c r="B116" s="13" t="s">
        <v>152</v>
      </c>
      <c r="C116" s="13" t="s">
        <v>128</v>
      </c>
      <c r="D116" s="13" t="s">
        <v>56</v>
      </c>
      <c r="E116" s="24" t="n">
        <v>871</v>
      </c>
      <c r="F116" s="14" t="n">
        <v>75388.19</v>
      </c>
      <c r="G116" s="14" t="n">
        <v>65738.51</v>
      </c>
      <c r="H116" s="15" t="n">
        <f aca="false">INDEX('Your Inputs'!$C$8:$C$10,MATCH($D116,'Your Inputs'!$B$8:$B$10,0))</f>
        <v>96</v>
      </c>
      <c r="I116" s="15" t="n">
        <f aca="false">INDEX('Your Inputs'!$D$8:$D$10,MATCH($D116,'Your Inputs'!$B$8:$B$10,0))</f>
        <v>58</v>
      </c>
      <c r="J116" s="15" t="n">
        <f aca="false">ROUND($E116*$H116,2)</f>
        <v>83616</v>
      </c>
      <c r="K116" s="15" t="n">
        <f aca="false">ROUND($E116*$I116,2)</f>
        <v>50518</v>
      </c>
      <c r="L116" s="15" t="n">
        <f aca="false">ROUND($F116*'Your Inputs'!$C$31,2)</f>
        <v>1507.76</v>
      </c>
      <c r="M116" s="15" t="n">
        <f aca="false">ROUND($G116-$K116-$L116,2)</f>
        <v>13712.75</v>
      </c>
      <c r="N116" s="15" t="n">
        <f aca="false">$G116/$E116</f>
        <v>75.4747531572905</v>
      </c>
      <c r="O116" s="25" t="n">
        <f aca="false">$G116/$J116</f>
        <v>0.786195345388442</v>
      </c>
      <c r="P116" s="18" t="str">
        <f aca="false">$C116&amp;" | "&amp;$D116</f>
        <v>Distributors | Protective coatings</v>
      </c>
      <c r="Q116" s="25" t="n">
        <f aca="false">INDEX('Your Floors'!$K$20:$K$31,MATCH($P116,'Your Floors'!$D$20:$D$31,0))</f>
        <v>0.741797996122263</v>
      </c>
      <c r="R116" s="18" t="str">
        <f aca="false">IF($O116&lt;$Q116,"below the floor","at or above it")</f>
        <v>at or above it</v>
      </c>
      <c r="S116" s="15" t="n">
        <f aca="false">IF($O116&lt;$Q116,$E116*ROUND($Q116*$H116,2),$G116)</f>
        <v>65738.51</v>
      </c>
      <c r="T116" s="15" t="n">
        <f aca="false">IF($O116&lt;$Q116,ROUND($L116*$S116/$G116,2),$L116)</f>
        <v>1507.76</v>
      </c>
      <c r="U116" s="15" t="n">
        <f aca="false">ROUND(($S116-$G116)-($T116-$L116),2)</f>
        <v>0</v>
      </c>
      <c r="V116" s="15" t="n">
        <f aca="false">IF($O116&lt;$Q116,ROUND($S116-$K116-$T116,2),$M116)</f>
        <v>13712.75</v>
      </c>
    </row>
    <row r="117" customFormat="false" ht="15" hidden="false" customHeight="false" outlineLevel="0" collapsed="false">
      <c r="B117" s="13" t="s">
        <v>153</v>
      </c>
      <c r="C117" s="13" t="s">
        <v>128</v>
      </c>
      <c r="D117" s="13" t="s">
        <v>52</v>
      </c>
      <c r="E117" s="24" t="n">
        <v>364</v>
      </c>
      <c r="F117" s="14" t="n">
        <v>47876.05</v>
      </c>
      <c r="G117" s="14" t="n">
        <v>44141.72</v>
      </c>
      <c r="H117" s="15" t="n">
        <f aca="false">INDEX('Your Inputs'!$C$8:$C$10,MATCH($D117,'Your Inputs'!$B$8:$B$10,0))</f>
        <v>148</v>
      </c>
      <c r="I117" s="15" t="n">
        <f aca="false">INDEX('Your Inputs'!$D$8:$D$10,MATCH($D117,'Your Inputs'!$B$8:$B$10,0))</f>
        <v>78</v>
      </c>
      <c r="J117" s="15" t="n">
        <f aca="false">ROUND($E117*$H117,2)</f>
        <v>53872</v>
      </c>
      <c r="K117" s="15" t="n">
        <f aca="false">ROUND($E117*$I117,2)</f>
        <v>28392</v>
      </c>
      <c r="L117" s="15" t="n">
        <f aca="false">ROUND($F117*'Your Inputs'!$C$31,2)</f>
        <v>957.52</v>
      </c>
      <c r="M117" s="15" t="n">
        <f aca="false">ROUND($G117-$K117-$L117,2)</f>
        <v>14792.2</v>
      </c>
      <c r="N117" s="15" t="n">
        <f aca="false">$G117/$E117</f>
        <v>121.268461538462</v>
      </c>
      <c r="O117" s="25" t="n">
        <f aca="false">$G117/$J117</f>
        <v>0.819381496881497</v>
      </c>
      <c r="P117" s="18" t="str">
        <f aca="false">$C117&amp;" | "&amp;$D117</f>
        <v>Distributors | Structural adhesives</v>
      </c>
      <c r="Q117" s="25" t="n">
        <f aca="false">INDEX('Your Floors'!$K$20:$K$31,MATCH($P117,'Your Floors'!$D$20:$D$31,0))</f>
        <v>0.781507876109447</v>
      </c>
      <c r="R117" s="18" t="str">
        <f aca="false">IF($O117&lt;$Q117,"below the floor","at or above it")</f>
        <v>at or above it</v>
      </c>
      <c r="S117" s="15" t="n">
        <f aca="false">IF($O117&lt;$Q117,$E117*ROUND($Q117*$H117,2),$G117)</f>
        <v>44141.72</v>
      </c>
      <c r="T117" s="15" t="n">
        <f aca="false">IF($O117&lt;$Q117,ROUND($L117*$S117/$G117,2),$L117)</f>
        <v>957.52</v>
      </c>
      <c r="U117" s="15" t="n">
        <f aca="false">ROUND(($S117-$G117)-($T117-$L117),2)</f>
        <v>0</v>
      </c>
      <c r="V117" s="15" t="n">
        <f aca="false">IF($O117&lt;$Q117,ROUND($S117-$K117-$T117,2),$M117)</f>
        <v>14792.2</v>
      </c>
    </row>
    <row r="118" customFormat="false" ht="15" hidden="false" customHeight="false" outlineLevel="0" collapsed="false">
      <c r="B118" s="13" t="s">
        <v>153</v>
      </c>
      <c r="C118" s="13" t="s">
        <v>128</v>
      </c>
      <c r="D118" s="13" t="s">
        <v>54</v>
      </c>
      <c r="E118" s="24" t="n">
        <v>3576</v>
      </c>
      <c r="F118" s="14" t="n">
        <v>179697.58</v>
      </c>
      <c r="G118" s="14" t="n">
        <v>165681.18</v>
      </c>
      <c r="H118" s="15" t="n">
        <f aca="false">INDEX('Your Inputs'!$C$8:$C$10,MATCH($D118,'Your Inputs'!$B$8:$B$10,0))</f>
        <v>62</v>
      </c>
      <c r="I118" s="15" t="n">
        <f aca="false">INDEX('Your Inputs'!$D$8:$D$10,MATCH($D118,'Your Inputs'!$B$8:$B$10,0))</f>
        <v>36</v>
      </c>
      <c r="J118" s="15" t="n">
        <f aca="false">ROUND($E118*$H118,2)</f>
        <v>221712</v>
      </c>
      <c r="K118" s="15" t="n">
        <f aca="false">ROUND($E118*$I118,2)</f>
        <v>128736</v>
      </c>
      <c r="L118" s="15" t="n">
        <f aca="false">ROUND($F118*'Your Inputs'!$C$31,2)</f>
        <v>3593.95</v>
      </c>
      <c r="M118" s="15" t="n">
        <f aca="false">ROUND($G118-$K118-$L118,2)</f>
        <v>33351.23</v>
      </c>
      <c r="N118" s="15" t="n">
        <f aca="false">$G118/$E118</f>
        <v>46.3314261744966</v>
      </c>
      <c r="O118" s="25" t="n">
        <f aca="false">$G118/$J118</f>
        <v>0.747281067330591</v>
      </c>
      <c r="P118" s="18" t="str">
        <f aca="false">$C118&amp;" | "&amp;$D118</f>
        <v>Distributors | Sealants</v>
      </c>
      <c r="Q118" s="25" t="n">
        <f aca="false">INDEX('Your Floors'!$K$20:$K$31,MATCH($P118,'Your Floors'!$D$20:$D$31,0))</f>
        <v>0.704282831281691</v>
      </c>
      <c r="R118" s="18" t="str">
        <f aca="false">IF($O118&lt;$Q118,"below the floor","at or above it")</f>
        <v>at or above it</v>
      </c>
      <c r="S118" s="15" t="n">
        <f aca="false">IF($O118&lt;$Q118,$E118*ROUND($Q118*$H118,2),$G118)</f>
        <v>165681.18</v>
      </c>
      <c r="T118" s="15" t="n">
        <f aca="false">IF($O118&lt;$Q118,ROUND($L118*$S118/$G118,2),$L118)</f>
        <v>3593.95</v>
      </c>
      <c r="U118" s="15" t="n">
        <f aca="false">ROUND(($S118-$G118)-($T118-$L118),2)</f>
        <v>0</v>
      </c>
      <c r="V118" s="15" t="n">
        <f aca="false">IF($O118&lt;$Q118,ROUND($S118-$K118-$T118,2),$M118)</f>
        <v>33351.23</v>
      </c>
    </row>
    <row r="119" customFormat="false" ht="15" hidden="false" customHeight="false" outlineLevel="0" collapsed="false">
      <c r="B119" s="13" t="s">
        <v>153</v>
      </c>
      <c r="C119" s="13" t="s">
        <v>128</v>
      </c>
      <c r="D119" s="13" t="s">
        <v>56</v>
      </c>
      <c r="E119" s="24" t="n">
        <v>896</v>
      </c>
      <c r="F119" s="14" t="n">
        <v>73079.19</v>
      </c>
      <c r="G119" s="14" t="n">
        <v>67379.02</v>
      </c>
      <c r="H119" s="15" t="n">
        <f aca="false">INDEX('Your Inputs'!$C$8:$C$10,MATCH($D119,'Your Inputs'!$B$8:$B$10,0))</f>
        <v>96</v>
      </c>
      <c r="I119" s="15" t="n">
        <f aca="false">INDEX('Your Inputs'!$D$8:$D$10,MATCH($D119,'Your Inputs'!$B$8:$B$10,0))</f>
        <v>58</v>
      </c>
      <c r="J119" s="15" t="n">
        <f aca="false">ROUND($E119*$H119,2)</f>
        <v>86016</v>
      </c>
      <c r="K119" s="15" t="n">
        <f aca="false">ROUND($E119*$I119,2)</f>
        <v>51968</v>
      </c>
      <c r="L119" s="15" t="n">
        <f aca="false">ROUND($F119*'Your Inputs'!$C$31,2)</f>
        <v>1461.58</v>
      </c>
      <c r="M119" s="15" t="n">
        <f aca="false">ROUND($G119-$K119-$L119,2)</f>
        <v>13949.44</v>
      </c>
      <c r="N119" s="15" t="n">
        <f aca="false">$G119/$E119</f>
        <v>75.1997991071429</v>
      </c>
      <c r="O119" s="25" t="n">
        <f aca="false">$G119/$J119</f>
        <v>0.783331240699405</v>
      </c>
      <c r="P119" s="18" t="str">
        <f aca="false">$C119&amp;" | "&amp;$D119</f>
        <v>Distributors | Protective coatings</v>
      </c>
      <c r="Q119" s="25" t="n">
        <f aca="false">INDEX('Your Floors'!$K$20:$K$31,MATCH($P119,'Your Floors'!$D$20:$D$31,0))</f>
        <v>0.741797996122263</v>
      </c>
      <c r="R119" s="18" t="str">
        <f aca="false">IF($O119&lt;$Q119,"below the floor","at or above it")</f>
        <v>at or above it</v>
      </c>
      <c r="S119" s="15" t="n">
        <f aca="false">IF($O119&lt;$Q119,$E119*ROUND($Q119*$H119,2),$G119)</f>
        <v>67379.02</v>
      </c>
      <c r="T119" s="15" t="n">
        <f aca="false">IF($O119&lt;$Q119,ROUND($L119*$S119/$G119,2),$L119)</f>
        <v>1461.58</v>
      </c>
      <c r="U119" s="15" t="n">
        <f aca="false">ROUND(($S119-$G119)-($T119-$L119),2)</f>
        <v>0</v>
      </c>
      <c r="V119" s="15" t="n">
        <f aca="false">IF($O119&lt;$Q119,ROUND($S119-$K119-$T119,2),$M119)</f>
        <v>13949.44</v>
      </c>
    </row>
    <row r="120" customFormat="false" ht="15" hidden="false" customHeight="false" outlineLevel="0" collapsed="false">
      <c r="B120" s="13" t="s">
        <v>154</v>
      </c>
      <c r="C120" s="13" t="s">
        <v>128</v>
      </c>
      <c r="D120" s="13" t="s">
        <v>52</v>
      </c>
      <c r="E120" s="24" t="n">
        <v>1192</v>
      </c>
      <c r="F120" s="14" t="n">
        <v>159515.35</v>
      </c>
      <c r="G120" s="14" t="n">
        <v>143882.85</v>
      </c>
      <c r="H120" s="15" t="n">
        <f aca="false">INDEX('Your Inputs'!$C$8:$C$10,MATCH($D120,'Your Inputs'!$B$8:$B$10,0))</f>
        <v>148</v>
      </c>
      <c r="I120" s="15" t="n">
        <f aca="false">INDEX('Your Inputs'!$D$8:$D$10,MATCH($D120,'Your Inputs'!$B$8:$B$10,0))</f>
        <v>78</v>
      </c>
      <c r="J120" s="15" t="n">
        <f aca="false">ROUND($E120*$H120,2)</f>
        <v>176416</v>
      </c>
      <c r="K120" s="15" t="n">
        <f aca="false">ROUND($E120*$I120,2)</f>
        <v>92976</v>
      </c>
      <c r="L120" s="15" t="n">
        <f aca="false">ROUND($F120*'Your Inputs'!$C$31,2)</f>
        <v>3190.31</v>
      </c>
      <c r="M120" s="15" t="n">
        <f aca="false">ROUND($G120-$K120-$L120,2)</f>
        <v>47716.54</v>
      </c>
      <c r="N120" s="15" t="n">
        <f aca="false">$G120/$E120</f>
        <v>120.707088926175</v>
      </c>
      <c r="O120" s="25" t="n">
        <f aca="false">$G120/$J120</f>
        <v>0.815588438690368</v>
      </c>
      <c r="P120" s="18" t="str">
        <f aca="false">$C120&amp;" | "&amp;$D120</f>
        <v>Distributors | Structural adhesives</v>
      </c>
      <c r="Q120" s="25" t="n">
        <f aca="false">INDEX('Your Floors'!$K$20:$K$31,MATCH($P120,'Your Floors'!$D$20:$D$31,0))</f>
        <v>0.781507876109447</v>
      </c>
      <c r="R120" s="18" t="str">
        <f aca="false">IF($O120&lt;$Q120,"below the floor","at or above it")</f>
        <v>at or above it</v>
      </c>
      <c r="S120" s="15" t="n">
        <f aca="false">IF($O120&lt;$Q120,$E120*ROUND($Q120*$H120,2),$G120)</f>
        <v>143882.85</v>
      </c>
      <c r="T120" s="15" t="n">
        <f aca="false">IF($O120&lt;$Q120,ROUND($L120*$S120/$G120,2),$L120)</f>
        <v>3190.31</v>
      </c>
      <c r="U120" s="15" t="n">
        <f aca="false">ROUND(($S120-$G120)-($T120-$L120),2)</f>
        <v>0</v>
      </c>
      <c r="V120" s="15" t="n">
        <f aca="false">IF($O120&lt;$Q120,ROUND($S120-$K120-$T120,2),$M120)</f>
        <v>47716.54</v>
      </c>
    </row>
    <row r="121" customFormat="false" ht="15" hidden="false" customHeight="false" outlineLevel="0" collapsed="false">
      <c r="B121" s="13" t="s">
        <v>154</v>
      </c>
      <c r="C121" s="13" t="s">
        <v>128</v>
      </c>
      <c r="D121" s="13" t="s">
        <v>54</v>
      </c>
      <c r="E121" s="24" t="n">
        <v>4628</v>
      </c>
      <c r="F121" s="14" t="n">
        <v>241887.05</v>
      </c>
      <c r="G121" s="14" t="n">
        <v>218182.11</v>
      </c>
      <c r="H121" s="15" t="n">
        <f aca="false">INDEX('Your Inputs'!$C$8:$C$10,MATCH($D121,'Your Inputs'!$B$8:$B$10,0))</f>
        <v>62</v>
      </c>
      <c r="I121" s="15" t="n">
        <f aca="false">INDEX('Your Inputs'!$D$8:$D$10,MATCH($D121,'Your Inputs'!$B$8:$B$10,0))</f>
        <v>36</v>
      </c>
      <c r="J121" s="15" t="n">
        <f aca="false">ROUND($E121*$H121,2)</f>
        <v>286936</v>
      </c>
      <c r="K121" s="15" t="n">
        <f aca="false">ROUND($E121*$I121,2)</f>
        <v>166608</v>
      </c>
      <c r="L121" s="15" t="n">
        <f aca="false">ROUND($F121*'Your Inputs'!$C$31,2)</f>
        <v>4837.74</v>
      </c>
      <c r="M121" s="15" t="n">
        <f aca="false">ROUND($G121-$K121-$L121,2)</f>
        <v>46736.37</v>
      </c>
      <c r="N121" s="15" t="n">
        <f aca="false">$G121/$E121</f>
        <v>47.1439304235091</v>
      </c>
      <c r="O121" s="25" t="n">
        <f aca="false">$G121/$J121</f>
        <v>0.760385974572727</v>
      </c>
      <c r="P121" s="18" t="str">
        <f aca="false">$C121&amp;" | "&amp;$D121</f>
        <v>Distributors | Sealants</v>
      </c>
      <c r="Q121" s="25" t="n">
        <f aca="false">INDEX('Your Floors'!$K$20:$K$31,MATCH($P121,'Your Floors'!$D$20:$D$31,0))</f>
        <v>0.704282831281691</v>
      </c>
      <c r="R121" s="18" t="str">
        <f aca="false">IF($O121&lt;$Q121,"below the floor","at or above it")</f>
        <v>at or above it</v>
      </c>
      <c r="S121" s="15" t="n">
        <f aca="false">IF($O121&lt;$Q121,$E121*ROUND($Q121*$H121,2),$G121)</f>
        <v>218182.11</v>
      </c>
      <c r="T121" s="15" t="n">
        <f aca="false">IF($O121&lt;$Q121,ROUND($L121*$S121/$G121,2),$L121)</f>
        <v>4837.74</v>
      </c>
      <c r="U121" s="15" t="n">
        <f aca="false">ROUND(($S121-$G121)-($T121-$L121),2)</f>
        <v>0</v>
      </c>
      <c r="V121" s="15" t="n">
        <f aca="false">IF($O121&lt;$Q121,ROUND($S121-$K121-$T121,2),$M121)</f>
        <v>46736.37</v>
      </c>
    </row>
    <row r="122" customFormat="false" ht="15" hidden="false" customHeight="false" outlineLevel="0" collapsed="false">
      <c r="B122" s="13" t="s">
        <v>154</v>
      </c>
      <c r="C122" s="13" t="s">
        <v>128</v>
      </c>
      <c r="D122" s="13" t="s">
        <v>56</v>
      </c>
      <c r="E122" s="24" t="n">
        <v>2110</v>
      </c>
      <c r="F122" s="14" t="n">
        <v>176956.42</v>
      </c>
      <c r="G122" s="14" t="n">
        <v>159614.69</v>
      </c>
      <c r="H122" s="15" t="n">
        <f aca="false">INDEX('Your Inputs'!$C$8:$C$10,MATCH($D122,'Your Inputs'!$B$8:$B$10,0))</f>
        <v>96</v>
      </c>
      <c r="I122" s="15" t="n">
        <f aca="false">INDEX('Your Inputs'!$D$8:$D$10,MATCH($D122,'Your Inputs'!$B$8:$B$10,0))</f>
        <v>58</v>
      </c>
      <c r="J122" s="15" t="n">
        <f aca="false">ROUND($E122*$H122,2)</f>
        <v>202560</v>
      </c>
      <c r="K122" s="15" t="n">
        <f aca="false">ROUND($E122*$I122,2)</f>
        <v>122380</v>
      </c>
      <c r="L122" s="15" t="n">
        <f aca="false">ROUND($F122*'Your Inputs'!$C$31,2)</f>
        <v>3539.13</v>
      </c>
      <c r="M122" s="15" t="n">
        <f aca="false">ROUND($G122-$K122-$L122,2)</f>
        <v>33695.56</v>
      </c>
      <c r="N122" s="15" t="n">
        <f aca="false">$G122/$E122</f>
        <v>75.6467725118483</v>
      </c>
      <c r="O122" s="25" t="n">
        <f aca="false">$G122/$J122</f>
        <v>0.787987213665087</v>
      </c>
      <c r="P122" s="18" t="str">
        <f aca="false">$C122&amp;" | "&amp;$D122</f>
        <v>Distributors | Protective coatings</v>
      </c>
      <c r="Q122" s="25" t="n">
        <f aca="false">INDEX('Your Floors'!$K$20:$K$31,MATCH($P122,'Your Floors'!$D$20:$D$31,0))</f>
        <v>0.741797996122263</v>
      </c>
      <c r="R122" s="18" t="str">
        <f aca="false">IF($O122&lt;$Q122,"below the floor","at or above it")</f>
        <v>at or above it</v>
      </c>
      <c r="S122" s="15" t="n">
        <f aca="false">IF($O122&lt;$Q122,$E122*ROUND($Q122*$H122,2),$G122)</f>
        <v>159614.69</v>
      </c>
      <c r="T122" s="15" t="n">
        <f aca="false">IF($O122&lt;$Q122,ROUND($L122*$S122/$G122,2),$L122)</f>
        <v>3539.13</v>
      </c>
      <c r="U122" s="15" t="n">
        <f aca="false">ROUND(($S122-$G122)-($T122-$L122),2)</f>
        <v>0</v>
      </c>
      <c r="V122" s="15" t="n">
        <f aca="false">IF($O122&lt;$Q122,ROUND($S122-$K122-$T122,2),$M122)</f>
        <v>33695.56</v>
      </c>
    </row>
    <row r="123" customFormat="false" ht="15" hidden="false" customHeight="false" outlineLevel="0" collapsed="false">
      <c r="B123" s="13" t="s">
        <v>155</v>
      </c>
      <c r="C123" s="13" t="s">
        <v>128</v>
      </c>
      <c r="D123" s="13" t="s">
        <v>52</v>
      </c>
      <c r="E123" s="24" t="n">
        <v>122</v>
      </c>
      <c r="F123" s="14" t="n">
        <v>15710.53</v>
      </c>
      <c r="G123" s="14" t="n">
        <v>13935.24</v>
      </c>
      <c r="H123" s="15" t="n">
        <f aca="false">INDEX('Your Inputs'!$C$8:$C$10,MATCH($D123,'Your Inputs'!$B$8:$B$10,0))</f>
        <v>148</v>
      </c>
      <c r="I123" s="15" t="n">
        <f aca="false">INDEX('Your Inputs'!$D$8:$D$10,MATCH($D123,'Your Inputs'!$B$8:$B$10,0))</f>
        <v>78</v>
      </c>
      <c r="J123" s="15" t="n">
        <f aca="false">ROUND($E123*$H123,2)</f>
        <v>18056</v>
      </c>
      <c r="K123" s="15" t="n">
        <f aca="false">ROUND($E123*$I123,2)</f>
        <v>9516</v>
      </c>
      <c r="L123" s="15" t="n">
        <f aca="false">ROUND($F123*'Your Inputs'!$C$31,2)</f>
        <v>314.21</v>
      </c>
      <c r="M123" s="15" t="n">
        <f aca="false">ROUND($G123-$K123-$L123,2)</f>
        <v>4105.03</v>
      </c>
      <c r="N123" s="15" t="n">
        <f aca="false">$G123/$E123</f>
        <v>114.223278688525</v>
      </c>
      <c r="O123" s="25" t="n">
        <f aca="false">$G123/$J123</f>
        <v>0.771778910057599</v>
      </c>
      <c r="P123" s="18" t="str">
        <f aca="false">$C123&amp;" | "&amp;$D123</f>
        <v>Distributors | Structural adhesives</v>
      </c>
      <c r="Q123" s="25" t="n">
        <f aca="false">INDEX('Your Floors'!$K$20:$K$31,MATCH($P123,'Your Floors'!$D$20:$D$31,0))</f>
        <v>0.781507876109447</v>
      </c>
      <c r="R123" s="18" t="str">
        <f aca="false">IF($O123&lt;$Q123,"below the floor","at or above it")</f>
        <v>below the floor</v>
      </c>
      <c r="S123" s="15" t="n">
        <f aca="false">IF($O123&lt;$Q123,$E123*ROUND($Q123*$H123,2),$G123)</f>
        <v>14110.52</v>
      </c>
      <c r="T123" s="15" t="n">
        <f aca="false">IF($O123&lt;$Q123,ROUND($L123*$S123/$G123,2),$L123)</f>
        <v>318.16</v>
      </c>
      <c r="U123" s="15" t="n">
        <f aca="false">ROUND(($S123-$G123)-($T123-$L123),2)</f>
        <v>171.33</v>
      </c>
      <c r="V123" s="15" t="n">
        <f aca="false">IF($O123&lt;$Q123,ROUND($S123-$K123-$T123,2),$M123)</f>
        <v>4276.36</v>
      </c>
    </row>
    <row r="124" customFormat="false" ht="15" hidden="false" customHeight="false" outlineLevel="0" collapsed="false">
      <c r="B124" s="13" t="s">
        <v>155</v>
      </c>
      <c r="C124" s="13" t="s">
        <v>128</v>
      </c>
      <c r="D124" s="13" t="s">
        <v>54</v>
      </c>
      <c r="E124" s="24" t="n">
        <v>5532</v>
      </c>
      <c r="F124" s="14" t="n">
        <v>264612.16</v>
      </c>
      <c r="G124" s="14" t="n">
        <v>234711</v>
      </c>
      <c r="H124" s="15" t="n">
        <f aca="false">INDEX('Your Inputs'!$C$8:$C$10,MATCH($D124,'Your Inputs'!$B$8:$B$10,0))</f>
        <v>62</v>
      </c>
      <c r="I124" s="15" t="n">
        <f aca="false">INDEX('Your Inputs'!$D$8:$D$10,MATCH($D124,'Your Inputs'!$B$8:$B$10,0))</f>
        <v>36</v>
      </c>
      <c r="J124" s="15" t="n">
        <f aca="false">ROUND($E124*$H124,2)</f>
        <v>342984</v>
      </c>
      <c r="K124" s="15" t="n">
        <f aca="false">ROUND($E124*$I124,2)</f>
        <v>199152</v>
      </c>
      <c r="L124" s="15" t="n">
        <f aca="false">ROUND($F124*'Your Inputs'!$C$31,2)</f>
        <v>5292.24</v>
      </c>
      <c r="M124" s="15" t="n">
        <f aca="false">ROUND($G124-$K124-$L124,2)</f>
        <v>30266.76</v>
      </c>
      <c r="N124" s="15" t="n">
        <f aca="false">$G124/$E124</f>
        <v>42.427874186551</v>
      </c>
      <c r="O124" s="25" t="n">
        <f aca="false">$G124/$J124</f>
        <v>0.684320551395984</v>
      </c>
      <c r="P124" s="18" t="str">
        <f aca="false">$C124&amp;" | "&amp;$D124</f>
        <v>Distributors | Sealants</v>
      </c>
      <c r="Q124" s="25" t="n">
        <f aca="false">INDEX('Your Floors'!$K$20:$K$31,MATCH($P124,'Your Floors'!$D$20:$D$31,0))</f>
        <v>0.704282831281691</v>
      </c>
      <c r="R124" s="18" t="str">
        <f aca="false">IF($O124&lt;$Q124,"below the floor","at or above it")</f>
        <v>below the floor</v>
      </c>
      <c r="S124" s="15" t="n">
        <f aca="false">IF($O124&lt;$Q124,$E124*ROUND($Q124*$H124,2),$G124)</f>
        <v>241582.44</v>
      </c>
      <c r="T124" s="15" t="n">
        <f aca="false">IF($O124&lt;$Q124,ROUND($L124*$S124/$G124,2),$L124)</f>
        <v>5447.18</v>
      </c>
      <c r="U124" s="15" t="n">
        <f aca="false">ROUND(($S124-$G124)-($T124-$L124),2)</f>
        <v>6716.5</v>
      </c>
      <c r="V124" s="15" t="n">
        <f aca="false">IF($O124&lt;$Q124,ROUND($S124-$K124-$T124,2),$M124)</f>
        <v>36983.26</v>
      </c>
    </row>
    <row r="125" customFormat="false" ht="15" hidden="false" customHeight="false" outlineLevel="0" collapsed="false">
      <c r="B125" s="13" t="s">
        <v>155</v>
      </c>
      <c r="C125" s="13" t="s">
        <v>128</v>
      </c>
      <c r="D125" s="13" t="s">
        <v>56</v>
      </c>
      <c r="E125" s="24" t="n">
        <v>2490</v>
      </c>
      <c r="F125" s="14" t="n">
        <v>196204.03</v>
      </c>
      <c r="G125" s="14" t="n">
        <v>174032.98</v>
      </c>
      <c r="H125" s="15" t="n">
        <f aca="false">INDEX('Your Inputs'!$C$8:$C$10,MATCH($D125,'Your Inputs'!$B$8:$B$10,0))</f>
        <v>96</v>
      </c>
      <c r="I125" s="15" t="n">
        <f aca="false">INDEX('Your Inputs'!$D$8:$D$10,MATCH($D125,'Your Inputs'!$B$8:$B$10,0))</f>
        <v>58</v>
      </c>
      <c r="J125" s="15" t="n">
        <f aca="false">ROUND($E125*$H125,2)</f>
        <v>239040</v>
      </c>
      <c r="K125" s="15" t="n">
        <f aca="false">ROUND($E125*$I125,2)</f>
        <v>144420</v>
      </c>
      <c r="L125" s="15" t="n">
        <f aca="false">ROUND($F125*'Your Inputs'!$C$31,2)</f>
        <v>3924.08</v>
      </c>
      <c r="M125" s="15" t="n">
        <f aca="false">ROUND($G125-$K125-$L125,2)</f>
        <v>25688.9</v>
      </c>
      <c r="N125" s="15" t="n">
        <f aca="false">$G125/$E125</f>
        <v>69.8927630522088</v>
      </c>
      <c r="O125" s="25" t="n">
        <f aca="false">$G125/$J125</f>
        <v>0.728049615127175</v>
      </c>
      <c r="P125" s="18" t="str">
        <f aca="false">$C125&amp;" | "&amp;$D125</f>
        <v>Distributors | Protective coatings</v>
      </c>
      <c r="Q125" s="25" t="n">
        <f aca="false">INDEX('Your Floors'!$K$20:$K$31,MATCH($P125,'Your Floors'!$D$20:$D$31,0))</f>
        <v>0.741797996122263</v>
      </c>
      <c r="R125" s="18" t="str">
        <f aca="false">IF($O125&lt;$Q125,"below the floor","at or above it")</f>
        <v>below the floor</v>
      </c>
      <c r="S125" s="15" t="n">
        <f aca="false">IF($O125&lt;$Q125,$E125*ROUND($Q125*$H125,2),$G125)</f>
        <v>177312.9</v>
      </c>
      <c r="T125" s="15" t="n">
        <f aca="false">IF($O125&lt;$Q125,ROUND($L125*$S125/$G125,2),$L125)</f>
        <v>3998.04</v>
      </c>
      <c r="U125" s="15" t="n">
        <f aca="false">ROUND(($S125-$G125)-($T125-$L125),2)</f>
        <v>3205.96</v>
      </c>
      <c r="V125" s="15" t="n">
        <f aca="false">IF($O125&lt;$Q125,ROUND($S125-$K125-$T125,2),$M125)</f>
        <v>28894.86</v>
      </c>
    </row>
    <row r="126" customFormat="false" ht="15" hidden="false" customHeight="false" outlineLevel="0" collapsed="false">
      <c r="B126" s="13" t="s">
        <v>156</v>
      </c>
      <c r="C126" s="13" t="s">
        <v>157</v>
      </c>
      <c r="D126" s="13" t="s">
        <v>52</v>
      </c>
      <c r="E126" s="24" t="n">
        <v>1375</v>
      </c>
      <c r="F126" s="14" t="n">
        <v>180850.45</v>
      </c>
      <c r="G126" s="14" t="n">
        <v>172531.33</v>
      </c>
      <c r="H126" s="15" t="n">
        <f aca="false">INDEX('Your Inputs'!$C$8:$C$10,MATCH($D126,'Your Inputs'!$B$8:$B$10,0))</f>
        <v>148</v>
      </c>
      <c r="I126" s="15" t="n">
        <f aca="false">INDEX('Your Inputs'!$D$8:$D$10,MATCH($D126,'Your Inputs'!$B$8:$B$10,0))</f>
        <v>78</v>
      </c>
      <c r="J126" s="15" t="n">
        <f aca="false">ROUND($E126*$H126,2)</f>
        <v>203500</v>
      </c>
      <c r="K126" s="15" t="n">
        <f aca="false">ROUND($E126*$I126,2)</f>
        <v>107250</v>
      </c>
      <c r="L126" s="15" t="n">
        <f aca="false">ROUND($F126*'Your Inputs'!$C$31,2)</f>
        <v>3617.01</v>
      </c>
      <c r="M126" s="15" t="n">
        <f aca="false">ROUND($G126-$K126-$L126,2)</f>
        <v>61664.32</v>
      </c>
      <c r="N126" s="15" t="n">
        <f aca="false">$G126/$E126</f>
        <v>125.477330909091</v>
      </c>
      <c r="O126" s="25" t="n">
        <f aca="false">$G126/$J126</f>
        <v>0.847819803439803</v>
      </c>
      <c r="P126" s="18" t="str">
        <f aca="false">$C126&amp;" | "&amp;$D126</f>
        <v>Direct industrial | Structural adhesives</v>
      </c>
      <c r="Q126" s="25" t="n">
        <f aca="false">INDEX('Your Floors'!$K$20:$K$31,MATCH($P126,'Your Floors'!$D$20:$D$31,0))</f>
        <v>0.874622624783014</v>
      </c>
      <c r="R126" s="18" t="str">
        <f aca="false">IF($O126&lt;$Q126,"below the floor","at or above it")</f>
        <v>below the floor</v>
      </c>
      <c r="S126" s="15" t="n">
        <f aca="false">IF($O126&lt;$Q126,$E126*ROUND($Q126*$H126,2),$G126)</f>
        <v>177980</v>
      </c>
      <c r="T126" s="15" t="n">
        <f aca="false">IF($O126&lt;$Q126,ROUND($L126*$S126/$G126,2),$L126)</f>
        <v>3731.24</v>
      </c>
      <c r="U126" s="15" t="n">
        <f aca="false">ROUND(($S126-$G126)-($T126-$L126),2)</f>
        <v>5334.44</v>
      </c>
      <c r="V126" s="15" t="n">
        <f aca="false">IF($O126&lt;$Q126,ROUND($S126-$K126-$T126,2),$M126)</f>
        <v>66998.76</v>
      </c>
    </row>
    <row r="127" customFormat="false" ht="15" hidden="false" customHeight="false" outlineLevel="0" collapsed="false">
      <c r="B127" s="13" t="s">
        <v>156</v>
      </c>
      <c r="C127" s="13" t="s">
        <v>157</v>
      </c>
      <c r="D127" s="13" t="s">
        <v>54</v>
      </c>
      <c r="E127" s="24" t="n">
        <v>3772</v>
      </c>
      <c r="F127" s="14" t="n">
        <v>189546.77</v>
      </c>
      <c r="G127" s="14" t="n">
        <v>180827.61</v>
      </c>
      <c r="H127" s="15" t="n">
        <f aca="false">INDEX('Your Inputs'!$C$8:$C$10,MATCH($D127,'Your Inputs'!$B$8:$B$10,0))</f>
        <v>62</v>
      </c>
      <c r="I127" s="15" t="n">
        <f aca="false">INDEX('Your Inputs'!$D$8:$D$10,MATCH($D127,'Your Inputs'!$B$8:$B$10,0))</f>
        <v>36</v>
      </c>
      <c r="J127" s="15" t="n">
        <f aca="false">ROUND($E127*$H127,2)</f>
        <v>233864</v>
      </c>
      <c r="K127" s="15" t="n">
        <f aca="false">ROUND($E127*$I127,2)</f>
        <v>135792</v>
      </c>
      <c r="L127" s="15" t="n">
        <f aca="false">ROUND($F127*'Your Inputs'!$C$31,2)</f>
        <v>3790.94</v>
      </c>
      <c r="M127" s="15" t="n">
        <f aca="false">ROUND($G127-$K127-$L127,2)</f>
        <v>41244.67</v>
      </c>
      <c r="N127" s="15" t="n">
        <f aca="false">$G127/$E127</f>
        <v>47.9394512195122</v>
      </c>
      <c r="O127" s="25" t="n">
        <f aca="false">$G127/$J127</f>
        <v>0.773216955153423</v>
      </c>
      <c r="P127" s="18" t="str">
        <f aca="false">$C127&amp;" | "&amp;$D127</f>
        <v>Direct industrial | Sealants</v>
      </c>
      <c r="Q127" s="25" t="n">
        <f aca="false">INDEX('Your Floors'!$K$20:$K$31,MATCH($P127,'Your Floors'!$D$20:$D$31,0))</f>
        <v>0.834035886176071</v>
      </c>
      <c r="R127" s="18" t="str">
        <f aca="false">IF($O127&lt;$Q127,"below the floor","at or above it")</f>
        <v>below the floor</v>
      </c>
      <c r="S127" s="15" t="n">
        <f aca="false">IF($O127&lt;$Q127,$E127*ROUND($Q127*$H127,2),$G127)</f>
        <v>195050.12</v>
      </c>
      <c r="T127" s="15" t="n">
        <f aca="false">IF($O127&lt;$Q127,ROUND($L127*$S127/$G127,2),$L127)</f>
        <v>4089.11</v>
      </c>
      <c r="U127" s="15" t="n">
        <f aca="false">ROUND(($S127-$G127)-($T127-$L127),2)</f>
        <v>13924.34</v>
      </c>
      <c r="V127" s="15" t="n">
        <f aca="false">IF($O127&lt;$Q127,ROUND($S127-$K127-$T127,2),$M127)</f>
        <v>55169.01</v>
      </c>
    </row>
    <row r="128" customFormat="false" ht="15" hidden="false" customHeight="false" outlineLevel="0" collapsed="false">
      <c r="B128" s="13" t="s">
        <v>156</v>
      </c>
      <c r="C128" s="13" t="s">
        <v>157</v>
      </c>
      <c r="D128" s="13" t="s">
        <v>56</v>
      </c>
      <c r="E128" s="24" t="n">
        <v>2251</v>
      </c>
      <c r="F128" s="14" t="n">
        <v>183595.16</v>
      </c>
      <c r="G128" s="14" t="n">
        <v>175149.79</v>
      </c>
      <c r="H128" s="15" t="n">
        <f aca="false">INDEX('Your Inputs'!$C$8:$C$10,MATCH($D128,'Your Inputs'!$B$8:$B$10,0))</f>
        <v>96</v>
      </c>
      <c r="I128" s="15" t="n">
        <f aca="false">INDEX('Your Inputs'!$D$8:$D$10,MATCH($D128,'Your Inputs'!$B$8:$B$10,0))</f>
        <v>58</v>
      </c>
      <c r="J128" s="15" t="n">
        <f aca="false">ROUND($E128*$H128,2)</f>
        <v>216096</v>
      </c>
      <c r="K128" s="15" t="n">
        <f aca="false">ROUND($E128*$I128,2)</f>
        <v>130558</v>
      </c>
      <c r="L128" s="15" t="n">
        <f aca="false">ROUND($F128*'Your Inputs'!$C$31,2)</f>
        <v>3671.9</v>
      </c>
      <c r="M128" s="15" t="n">
        <f aca="false">ROUND($G128-$K128-$L128,2)</f>
        <v>40919.89</v>
      </c>
      <c r="N128" s="15" t="n">
        <f aca="false">$G128/$E128</f>
        <v>77.8097689915593</v>
      </c>
      <c r="O128" s="25" t="n">
        <f aca="false">$G128/$J128</f>
        <v>0.810518426995409</v>
      </c>
      <c r="P128" s="18" t="str">
        <f aca="false">$C128&amp;" | "&amp;$D128</f>
        <v>Direct industrial | Protective coatings</v>
      </c>
      <c r="Q128" s="25" t="n">
        <f aca="false">INDEX('Your Floors'!$K$20:$K$31,MATCH($P128,'Your Floors'!$D$20:$D$31,0))</f>
        <v>0.853768804407086</v>
      </c>
      <c r="R128" s="18" t="str">
        <f aca="false">IF($O128&lt;$Q128,"below the floor","at or above it")</f>
        <v>below the floor</v>
      </c>
      <c r="S128" s="15" t="n">
        <f aca="false">IF($O128&lt;$Q128,$E128*ROUND($Q128*$H128,2),$G128)</f>
        <v>184491.96</v>
      </c>
      <c r="T128" s="15" t="n">
        <f aca="false">IF($O128&lt;$Q128,ROUND($L128*$S128/$G128,2),$L128)</f>
        <v>3867.75</v>
      </c>
      <c r="U128" s="15" t="n">
        <f aca="false">ROUND(($S128-$G128)-($T128-$L128),2)</f>
        <v>9146.32</v>
      </c>
      <c r="V128" s="15" t="n">
        <f aca="false">IF($O128&lt;$Q128,ROUND($S128-$K128-$T128,2),$M128)</f>
        <v>50066.21</v>
      </c>
    </row>
    <row r="129" customFormat="false" ht="15" hidden="false" customHeight="false" outlineLevel="0" collapsed="false">
      <c r="B129" s="13" t="s">
        <v>158</v>
      </c>
      <c r="C129" s="13" t="s">
        <v>157</v>
      </c>
      <c r="D129" s="13" t="s">
        <v>54</v>
      </c>
      <c r="E129" s="24" t="n">
        <v>1099</v>
      </c>
      <c r="F129" s="14" t="n">
        <v>65412.48</v>
      </c>
      <c r="G129" s="14" t="n">
        <v>62403.51</v>
      </c>
      <c r="H129" s="15" t="n">
        <f aca="false">INDEX('Your Inputs'!$C$8:$C$10,MATCH($D129,'Your Inputs'!$B$8:$B$10,0))</f>
        <v>62</v>
      </c>
      <c r="I129" s="15" t="n">
        <f aca="false">INDEX('Your Inputs'!$D$8:$D$10,MATCH($D129,'Your Inputs'!$B$8:$B$10,0))</f>
        <v>36</v>
      </c>
      <c r="J129" s="15" t="n">
        <f aca="false">ROUND($E129*$H129,2)</f>
        <v>68138</v>
      </c>
      <c r="K129" s="15" t="n">
        <f aca="false">ROUND($E129*$I129,2)</f>
        <v>39564</v>
      </c>
      <c r="L129" s="15" t="n">
        <f aca="false">ROUND($F129*'Your Inputs'!$C$31,2)</f>
        <v>1308.25</v>
      </c>
      <c r="M129" s="15" t="n">
        <f aca="false">ROUND($G129-$K129-$L129,2)</f>
        <v>21531.26</v>
      </c>
      <c r="N129" s="15" t="n">
        <f aca="false">$G129/$E129</f>
        <v>56.7820837124659</v>
      </c>
      <c r="O129" s="25" t="n">
        <f aca="false">$G129/$J129</f>
        <v>0.915840059878482</v>
      </c>
      <c r="P129" s="18" t="str">
        <f aca="false">$C129&amp;" | "&amp;$D129</f>
        <v>Direct industrial | Sealants</v>
      </c>
      <c r="Q129" s="25" t="n">
        <f aca="false">INDEX('Your Floors'!$K$20:$K$31,MATCH($P129,'Your Floors'!$D$20:$D$31,0))</f>
        <v>0.834035886176071</v>
      </c>
      <c r="R129" s="18" t="str">
        <f aca="false">IF($O129&lt;$Q129,"below the floor","at or above it")</f>
        <v>at or above it</v>
      </c>
      <c r="S129" s="15" t="n">
        <f aca="false">IF($O129&lt;$Q129,$E129*ROUND($Q129*$H129,2),$G129)</f>
        <v>62403.51</v>
      </c>
      <c r="T129" s="15" t="n">
        <f aca="false">IF($O129&lt;$Q129,ROUND($L129*$S129/$G129,2),$L129)</f>
        <v>1308.25</v>
      </c>
      <c r="U129" s="15" t="n">
        <f aca="false">ROUND(($S129-$G129)-($T129-$L129),2)</f>
        <v>0</v>
      </c>
      <c r="V129" s="15" t="n">
        <f aca="false">IF($O129&lt;$Q129,ROUND($S129-$K129-$T129,2),$M129)</f>
        <v>21531.26</v>
      </c>
    </row>
    <row r="130" customFormat="false" ht="15" hidden="false" customHeight="false" outlineLevel="0" collapsed="false">
      <c r="B130" s="13" t="s">
        <v>158</v>
      </c>
      <c r="C130" s="13" t="s">
        <v>157</v>
      </c>
      <c r="D130" s="13" t="s">
        <v>56</v>
      </c>
      <c r="E130" s="24" t="n">
        <v>404</v>
      </c>
      <c r="F130" s="14" t="n">
        <v>37232.64</v>
      </c>
      <c r="G130" s="14" t="n">
        <v>35519.94</v>
      </c>
      <c r="H130" s="15" t="n">
        <f aca="false">INDEX('Your Inputs'!$C$8:$C$10,MATCH($D130,'Your Inputs'!$B$8:$B$10,0))</f>
        <v>96</v>
      </c>
      <c r="I130" s="15" t="n">
        <f aca="false">INDEX('Your Inputs'!$D$8:$D$10,MATCH($D130,'Your Inputs'!$B$8:$B$10,0))</f>
        <v>58</v>
      </c>
      <c r="J130" s="15" t="n">
        <f aca="false">ROUND($E130*$H130,2)</f>
        <v>38784</v>
      </c>
      <c r="K130" s="15" t="n">
        <f aca="false">ROUND($E130*$I130,2)</f>
        <v>23432</v>
      </c>
      <c r="L130" s="15" t="n">
        <f aca="false">ROUND($F130*'Your Inputs'!$C$31,2)</f>
        <v>744.65</v>
      </c>
      <c r="M130" s="15" t="n">
        <f aca="false">ROUND($G130-$K130-$L130,2)</f>
        <v>11343.29</v>
      </c>
      <c r="N130" s="15" t="n">
        <f aca="false">$G130/$E130</f>
        <v>87.9206435643564</v>
      </c>
      <c r="O130" s="25" t="n">
        <f aca="false">$G130/$J130</f>
        <v>0.915840037128713</v>
      </c>
      <c r="P130" s="18" t="str">
        <f aca="false">$C130&amp;" | "&amp;$D130</f>
        <v>Direct industrial | Protective coatings</v>
      </c>
      <c r="Q130" s="25" t="n">
        <f aca="false">INDEX('Your Floors'!$K$20:$K$31,MATCH($P130,'Your Floors'!$D$20:$D$31,0))</f>
        <v>0.853768804407086</v>
      </c>
      <c r="R130" s="18" t="str">
        <f aca="false">IF($O130&lt;$Q130,"below the floor","at or above it")</f>
        <v>at or above it</v>
      </c>
      <c r="S130" s="15" t="n">
        <f aca="false">IF($O130&lt;$Q130,$E130*ROUND($Q130*$H130,2),$G130)</f>
        <v>35519.94</v>
      </c>
      <c r="T130" s="15" t="n">
        <f aca="false">IF($O130&lt;$Q130,ROUND($L130*$S130/$G130,2),$L130)</f>
        <v>744.65</v>
      </c>
      <c r="U130" s="15" t="n">
        <f aca="false">ROUND(($S130-$G130)-($T130-$L130),2)</f>
        <v>0</v>
      </c>
      <c r="V130" s="15" t="n">
        <f aca="false">IF($O130&lt;$Q130,ROUND($S130-$K130-$T130,2),$M130)</f>
        <v>11343.29</v>
      </c>
    </row>
    <row r="131" customFormat="false" ht="15" hidden="false" customHeight="false" outlineLevel="0" collapsed="false">
      <c r="B131" s="13" t="s">
        <v>159</v>
      </c>
      <c r="C131" s="13" t="s">
        <v>157</v>
      </c>
      <c r="D131" s="13" t="s">
        <v>52</v>
      </c>
      <c r="E131" s="24" t="n">
        <v>516</v>
      </c>
      <c r="F131" s="14" t="n">
        <v>72129.58</v>
      </c>
      <c r="G131" s="14" t="n">
        <v>71696.8</v>
      </c>
      <c r="H131" s="15" t="n">
        <f aca="false">INDEX('Your Inputs'!$C$8:$C$10,MATCH($D131,'Your Inputs'!$B$8:$B$10,0))</f>
        <v>148</v>
      </c>
      <c r="I131" s="15" t="n">
        <f aca="false">INDEX('Your Inputs'!$D$8:$D$10,MATCH($D131,'Your Inputs'!$B$8:$B$10,0))</f>
        <v>78</v>
      </c>
      <c r="J131" s="15" t="n">
        <f aca="false">ROUND($E131*$H131,2)</f>
        <v>76368</v>
      </c>
      <c r="K131" s="15" t="n">
        <f aca="false">ROUND($E131*$I131,2)</f>
        <v>40248</v>
      </c>
      <c r="L131" s="15" t="n">
        <f aca="false">ROUND($F131*'Your Inputs'!$C$31,2)</f>
        <v>1442.59</v>
      </c>
      <c r="M131" s="15" t="n">
        <f aca="false">ROUND($G131-$K131-$L131,2)</f>
        <v>30006.21</v>
      </c>
      <c r="N131" s="15" t="n">
        <f aca="false">$G131/$E131</f>
        <v>138.947286821705</v>
      </c>
      <c r="O131" s="25" t="n">
        <f aca="false">$G131/$J131</f>
        <v>0.938833019065577</v>
      </c>
      <c r="P131" s="18" t="str">
        <f aca="false">$C131&amp;" | "&amp;$D131</f>
        <v>Direct industrial | Structural adhesives</v>
      </c>
      <c r="Q131" s="25" t="n">
        <f aca="false">INDEX('Your Floors'!$K$20:$K$31,MATCH($P131,'Your Floors'!$D$20:$D$31,0))</f>
        <v>0.874622624783014</v>
      </c>
      <c r="R131" s="18" t="str">
        <f aca="false">IF($O131&lt;$Q131,"below the floor","at or above it")</f>
        <v>at or above it</v>
      </c>
      <c r="S131" s="15" t="n">
        <f aca="false">IF($O131&lt;$Q131,$E131*ROUND($Q131*$H131,2),$G131)</f>
        <v>71696.8</v>
      </c>
      <c r="T131" s="15" t="n">
        <f aca="false">IF($O131&lt;$Q131,ROUND($L131*$S131/$G131,2),$L131)</f>
        <v>1442.59</v>
      </c>
      <c r="U131" s="15" t="n">
        <f aca="false">ROUND(($S131-$G131)-($T131-$L131),2)</f>
        <v>0</v>
      </c>
      <c r="V131" s="15" t="n">
        <f aca="false">IF($O131&lt;$Q131,ROUND($S131-$K131-$T131,2),$M131)</f>
        <v>30006.21</v>
      </c>
    </row>
    <row r="132" customFormat="false" ht="15" hidden="false" customHeight="false" outlineLevel="0" collapsed="false">
      <c r="B132" s="13" t="s">
        <v>159</v>
      </c>
      <c r="C132" s="13" t="s">
        <v>157</v>
      </c>
      <c r="D132" s="13" t="s">
        <v>54</v>
      </c>
      <c r="E132" s="24" t="n">
        <v>1002</v>
      </c>
      <c r="F132" s="14" t="n">
        <v>57620.01</v>
      </c>
      <c r="G132" s="14" t="n">
        <v>57274.29</v>
      </c>
      <c r="H132" s="15" t="n">
        <f aca="false">INDEX('Your Inputs'!$C$8:$C$10,MATCH($D132,'Your Inputs'!$B$8:$B$10,0))</f>
        <v>62</v>
      </c>
      <c r="I132" s="15" t="n">
        <f aca="false">INDEX('Your Inputs'!$D$8:$D$10,MATCH($D132,'Your Inputs'!$B$8:$B$10,0))</f>
        <v>36</v>
      </c>
      <c r="J132" s="15" t="n">
        <f aca="false">ROUND($E132*$H132,2)</f>
        <v>62124</v>
      </c>
      <c r="K132" s="15" t="n">
        <f aca="false">ROUND($E132*$I132,2)</f>
        <v>36072</v>
      </c>
      <c r="L132" s="15" t="n">
        <f aca="false">ROUND($F132*'Your Inputs'!$C$31,2)</f>
        <v>1152.4</v>
      </c>
      <c r="M132" s="15" t="n">
        <f aca="false">ROUND($G132-$K132-$L132,2)</f>
        <v>20049.89</v>
      </c>
      <c r="N132" s="15" t="n">
        <f aca="false">$G132/$E132</f>
        <v>57.1599700598802</v>
      </c>
      <c r="O132" s="25" t="n">
        <f aca="false">$G132/$J132</f>
        <v>0.92193500096581</v>
      </c>
      <c r="P132" s="18" t="str">
        <f aca="false">$C132&amp;" | "&amp;$D132</f>
        <v>Direct industrial | Sealants</v>
      </c>
      <c r="Q132" s="25" t="n">
        <f aca="false">INDEX('Your Floors'!$K$20:$K$31,MATCH($P132,'Your Floors'!$D$20:$D$31,0))</f>
        <v>0.834035886176071</v>
      </c>
      <c r="R132" s="18" t="str">
        <f aca="false">IF($O132&lt;$Q132,"below the floor","at or above it")</f>
        <v>at or above it</v>
      </c>
      <c r="S132" s="15" t="n">
        <f aca="false">IF($O132&lt;$Q132,$E132*ROUND($Q132*$H132,2),$G132)</f>
        <v>57274.29</v>
      </c>
      <c r="T132" s="15" t="n">
        <f aca="false">IF($O132&lt;$Q132,ROUND($L132*$S132/$G132,2),$L132)</f>
        <v>1152.4</v>
      </c>
      <c r="U132" s="15" t="n">
        <f aca="false">ROUND(($S132-$G132)-($T132-$L132),2)</f>
        <v>0</v>
      </c>
      <c r="V132" s="15" t="n">
        <f aca="false">IF($O132&lt;$Q132,ROUND($S132-$K132-$T132,2),$M132)</f>
        <v>20049.89</v>
      </c>
    </row>
    <row r="133" customFormat="false" ht="15" hidden="false" customHeight="false" outlineLevel="0" collapsed="false">
      <c r="B133" s="13" t="s">
        <v>159</v>
      </c>
      <c r="C133" s="13" t="s">
        <v>157</v>
      </c>
      <c r="D133" s="13" t="s">
        <v>56</v>
      </c>
      <c r="E133" s="24" t="n">
        <v>481</v>
      </c>
      <c r="F133" s="14" t="n">
        <v>43220.74</v>
      </c>
      <c r="G133" s="14" t="n">
        <v>42961.42</v>
      </c>
      <c r="H133" s="15" t="n">
        <f aca="false">INDEX('Your Inputs'!$C$8:$C$10,MATCH($D133,'Your Inputs'!$B$8:$B$10,0))</f>
        <v>96</v>
      </c>
      <c r="I133" s="15" t="n">
        <f aca="false">INDEX('Your Inputs'!$D$8:$D$10,MATCH($D133,'Your Inputs'!$B$8:$B$10,0))</f>
        <v>58</v>
      </c>
      <c r="J133" s="15" t="n">
        <f aca="false">ROUND($E133*$H133,2)</f>
        <v>46176</v>
      </c>
      <c r="K133" s="15" t="n">
        <f aca="false">ROUND($E133*$I133,2)</f>
        <v>27898</v>
      </c>
      <c r="L133" s="15" t="n">
        <f aca="false">ROUND($F133*'Your Inputs'!$C$31,2)</f>
        <v>864.41</v>
      </c>
      <c r="M133" s="15" t="n">
        <f aca="false">ROUND($G133-$K133-$L133,2)</f>
        <v>14199.01</v>
      </c>
      <c r="N133" s="15" t="n">
        <f aca="false">$G133/$E133</f>
        <v>89.3168814968815</v>
      </c>
      <c r="O133" s="25" t="n">
        <f aca="false">$G133/$J133</f>
        <v>0.930384182259182</v>
      </c>
      <c r="P133" s="18" t="str">
        <f aca="false">$C133&amp;" | "&amp;$D133</f>
        <v>Direct industrial | Protective coatings</v>
      </c>
      <c r="Q133" s="25" t="n">
        <f aca="false">INDEX('Your Floors'!$K$20:$K$31,MATCH($P133,'Your Floors'!$D$20:$D$31,0))</f>
        <v>0.853768804407086</v>
      </c>
      <c r="R133" s="18" t="str">
        <f aca="false">IF($O133&lt;$Q133,"below the floor","at or above it")</f>
        <v>at or above it</v>
      </c>
      <c r="S133" s="15" t="n">
        <f aca="false">IF($O133&lt;$Q133,$E133*ROUND($Q133*$H133,2),$G133)</f>
        <v>42961.42</v>
      </c>
      <c r="T133" s="15" t="n">
        <f aca="false">IF($O133&lt;$Q133,ROUND($L133*$S133/$G133,2),$L133)</f>
        <v>864.41</v>
      </c>
      <c r="U133" s="15" t="n">
        <f aca="false">ROUND(($S133-$G133)-($T133-$L133),2)</f>
        <v>0</v>
      </c>
      <c r="V133" s="15" t="n">
        <f aca="false">IF($O133&lt;$Q133,ROUND($S133-$K133-$T133,2),$M133)</f>
        <v>14199.01</v>
      </c>
    </row>
    <row r="134" customFormat="false" ht="15" hidden="false" customHeight="false" outlineLevel="0" collapsed="false">
      <c r="B134" s="13" t="s">
        <v>160</v>
      </c>
      <c r="C134" s="13" t="s">
        <v>157</v>
      </c>
      <c r="D134" s="13" t="s">
        <v>52</v>
      </c>
      <c r="E134" s="24" t="n">
        <v>975</v>
      </c>
      <c r="F134" s="14" t="n">
        <v>136493.37</v>
      </c>
      <c r="G134" s="14" t="n">
        <v>130214.67</v>
      </c>
      <c r="H134" s="15" t="n">
        <f aca="false">INDEX('Your Inputs'!$C$8:$C$10,MATCH($D134,'Your Inputs'!$B$8:$B$10,0))</f>
        <v>148</v>
      </c>
      <c r="I134" s="15" t="n">
        <f aca="false">INDEX('Your Inputs'!$D$8:$D$10,MATCH($D134,'Your Inputs'!$B$8:$B$10,0))</f>
        <v>78</v>
      </c>
      <c r="J134" s="15" t="n">
        <f aca="false">ROUND($E134*$H134,2)</f>
        <v>144300</v>
      </c>
      <c r="K134" s="15" t="n">
        <f aca="false">ROUND($E134*$I134,2)</f>
        <v>76050</v>
      </c>
      <c r="L134" s="15" t="n">
        <f aca="false">ROUND($F134*'Your Inputs'!$C$31,2)</f>
        <v>2729.87</v>
      </c>
      <c r="M134" s="15" t="n">
        <f aca="false">ROUND($G134-$K134-$L134,2)</f>
        <v>51434.8</v>
      </c>
      <c r="N134" s="15" t="n">
        <f aca="false">$G134/$E134</f>
        <v>133.553507692308</v>
      </c>
      <c r="O134" s="25" t="n">
        <f aca="false">$G134/$J134</f>
        <v>0.902388565488566</v>
      </c>
      <c r="P134" s="18" t="str">
        <f aca="false">$C134&amp;" | "&amp;$D134</f>
        <v>Direct industrial | Structural adhesives</v>
      </c>
      <c r="Q134" s="25" t="n">
        <f aca="false">INDEX('Your Floors'!$K$20:$K$31,MATCH($P134,'Your Floors'!$D$20:$D$31,0))</f>
        <v>0.874622624783014</v>
      </c>
      <c r="R134" s="18" t="str">
        <f aca="false">IF($O134&lt;$Q134,"below the floor","at or above it")</f>
        <v>at or above it</v>
      </c>
      <c r="S134" s="15" t="n">
        <f aca="false">IF($O134&lt;$Q134,$E134*ROUND($Q134*$H134,2),$G134)</f>
        <v>130214.67</v>
      </c>
      <c r="T134" s="15" t="n">
        <f aca="false">IF($O134&lt;$Q134,ROUND($L134*$S134/$G134,2),$L134)</f>
        <v>2729.87</v>
      </c>
      <c r="U134" s="15" t="n">
        <f aca="false">ROUND(($S134-$G134)-($T134-$L134),2)</f>
        <v>0</v>
      </c>
      <c r="V134" s="15" t="n">
        <f aca="false">IF($O134&lt;$Q134,ROUND($S134-$K134-$T134,2),$M134)</f>
        <v>51434.8</v>
      </c>
    </row>
    <row r="135" customFormat="false" ht="15" hidden="false" customHeight="false" outlineLevel="0" collapsed="false">
      <c r="B135" s="13" t="s">
        <v>160</v>
      </c>
      <c r="C135" s="13" t="s">
        <v>157</v>
      </c>
      <c r="D135" s="13" t="s">
        <v>54</v>
      </c>
      <c r="E135" s="24" t="n">
        <v>3085</v>
      </c>
      <c r="F135" s="14" t="n">
        <v>173768.79</v>
      </c>
      <c r="G135" s="14" t="n">
        <v>165775.43</v>
      </c>
      <c r="H135" s="15" t="n">
        <f aca="false">INDEX('Your Inputs'!$C$8:$C$10,MATCH($D135,'Your Inputs'!$B$8:$B$10,0))</f>
        <v>62</v>
      </c>
      <c r="I135" s="15" t="n">
        <f aca="false">INDEX('Your Inputs'!$D$8:$D$10,MATCH($D135,'Your Inputs'!$B$8:$B$10,0))</f>
        <v>36</v>
      </c>
      <c r="J135" s="15" t="n">
        <f aca="false">ROUND($E135*$H135,2)</f>
        <v>191270</v>
      </c>
      <c r="K135" s="15" t="n">
        <f aca="false">ROUND($E135*$I135,2)</f>
        <v>111060</v>
      </c>
      <c r="L135" s="15" t="n">
        <f aca="false">ROUND($F135*'Your Inputs'!$C$31,2)</f>
        <v>3475.38</v>
      </c>
      <c r="M135" s="15" t="n">
        <f aca="false">ROUND($G135-$K135-$L135,2)</f>
        <v>51240.05</v>
      </c>
      <c r="N135" s="15" t="n">
        <f aca="false">$G135/$E135</f>
        <v>53.7359578606159</v>
      </c>
      <c r="O135" s="25" t="n">
        <f aca="false">$G135/$J135</f>
        <v>0.866708997751869</v>
      </c>
      <c r="P135" s="18" t="str">
        <f aca="false">$C135&amp;" | "&amp;$D135</f>
        <v>Direct industrial | Sealants</v>
      </c>
      <c r="Q135" s="25" t="n">
        <f aca="false">INDEX('Your Floors'!$K$20:$K$31,MATCH($P135,'Your Floors'!$D$20:$D$31,0))</f>
        <v>0.834035886176071</v>
      </c>
      <c r="R135" s="18" t="str">
        <f aca="false">IF($O135&lt;$Q135,"below the floor","at or above it")</f>
        <v>at or above it</v>
      </c>
      <c r="S135" s="15" t="n">
        <f aca="false">IF($O135&lt;$Q135,$E135*ROUND($Q135*$H135,2),$G135)</f>
        <v>165775.43</v>
      </c>
      <c r="T135" s="15" t="n">
        <f aca="false">IF($O135&lt;$Q135,ROUND($L135*$S135/$G135,2),$L135)</f>
        <v>3475.38</v>
      </c>
      <c r="U135" s="15" t="n">
        <f aca="false">ROUND(($S135-$G135)-($T135-$L135),2)</f>
        <v>0</v>
      </c>
      <c r="V135" s="15" t="n">
        <f aca="false">IF($O135&lt;$Q135,ROUND($S135-$K135-$T135,2),$M135)</f>
        <v>51240.05</v>
      </c>
    </row>
    <row r="136" customFormat="false" ht="15" hidden="false" customHeight="false" outlineLevel="0" collapsed="false">
      <c r="B136" s="13" t="s">
        <v>160</v>
      </c>
      <c r="C136" s="13" t="s">
        <v>157</v>
      </c>
      <c r="D136" s="13" t="s">
        <v>56</v>
      </c>
      <c r="E136" s="24" t="n">
        <v>1568</v>
      </c>
      <c r="F136" s="14" t="n">
        <v>139569.56</v>
      </c>
      <c r="G136" s="14" t="n">
        <v>133149.36</v>
      </c>
      <c r="H136" s="15" t="n">
        <f aca="false">INDEX('Your Inputs'!$C$8:$C$10,MATCH($D136,'Your Inputs'!$B$8:$B$10,0))</f>
        <v>96</v>
      </c>
      <c r="I136" s="15" t="n">
        <f aca="false">INDEX('Your Inputs'!$D$8:$D$10,MATCH($D136,'Your Inputs'!$B$8:$B$10,0))</f>
        <v>58</v>
      </c>
      <c r="J136" s="15" t="n">
        <f aca="false">ROUND($E136*$H136,2)</f>
        <v>150528</v>
      </c>
      <c r="K136" s="15" t="n">
        <f aca="false">ROUND($E136*$I136,2)</f>
        <v>90944</v>
      </c>
      <c r="L136" s="15" t="n">
        <f aca="false">ROUND($F136*'Your Inputs'!$C$31,2)</f>
        <v>2791.39</v>
      </c>
      <c r="M136" s="15" t="n">
        <f aca="false">ROUND($G136-$K136-$L136,2)</f>
        <v>39413.97</v>
      </c>
      <c r="N136" s="15" t="n">
        <f aca="false">$G136/$E136</f>
        <v>84.9166836734694</v>
      </c>
      <c r="O136" s="25" t="n">
        <f aca="false">$G136/$J136</f>
        <v>0.884548788265306</v>
      </c>
      <c r="P136" s="18" t="str">
        <f aca="false">$C136&amp;" | "&amp;$D136</f>
        <v>Direct industrial | Protective coatings</v>
      </c>
      <c r="Q136" s="25" t="n">
        <f aca="false">INDEX('Your Floors'!$K$20:$K$31,MATCH($P136,'Your Floors'!$D$20:$D$31,0))</f>
        <v>0.853768804407086</v>
      </c>
      <c r="R136" s="18" t="str">
        <f aca="false">IF($O136&lt;$Q136,"below the floor","at or above it")</f>
        <v>at or above it</v>
      </c>
      <c r="S136" s="15" t="n">
        <f aca="false">IF($O136&lt;$Q136,$E136*ROUND($Q136*$H136,2),$G136)</f>
        <v>133149.36</v>
      </c>
      <c r="T136" s="15" t="n">
        <f aca="false">IF($O136&lt;$Q136,ROUND($L136*$S136/$G136,2),$L136)</f>
        <v>2791.39</v>
      </c>
      <c r="U136" s="15" t="n">
        <f aca="false">ROUND(($S136-$G136)-($T136-$L136),2)</f>
        <v>0</v>
      </c>
      <c r="V136" s="15" t="n">
        <f aca="false">IF($O136&lt;$Q136,ROUND($S136-$K136-$T136,2),$M136)</f>
        <v>39413.97</v>
      </c>
    </row>
    <row r="137" customFormat="false" ht="15" hidden="false" customHeight="false" outlineLevel="0" collapsed="false">
      <c r="B137" s="13" t="s">
        <v>161</v>
      </c>
      <c r="C137" s="13" t="s">
        <v>157</v>
      </c>
      <c r="D137" s="13" t="s">
        <v>52</v>
      </c>
      <c r="E137" s="24" t="n">
        <v>496</v>
      </c>
      <c r="F137" s="14" t="n">
        <v>64885.33</v>
      </c>
      <c r="G137" s="14" t="n">
        <v>62225.03</v>
      </c>
      <c r="H137" s="15" t="n">
        <f aca="false">INDEX('Your Inputs'!$C$8:$C$10,MATCH($D137,'Your Inputs'!$B$8:$B$10,0))</f>
        <v>148</v>
      </c>
      <c r="I137" s="15" t="n">
        <f aca="false">INDEX('Your Inputs'!$D$8:$D$10,MATCH($D137,'Your Inputs'!$B$8:$B$10,0))</f>
        <v>78</v>
      </c>
      <c r="J137" s="15" t="n">
        <f aca="false">ROUND($E137*$H137,2)</f>
        <v>73408</v>
      </c>
      <c r="K137" s="15" t="n">
        <f aca="false">ROUND($E137*$I137,2)</f>
        <v>38688</v>
      </c>
      <c r="L137" s="15" t="n">
        <f aca="false">ROUND($F137*'Your Inputs'!$C$31,2)</f>
        <v>1297.71</v>
      </c>
      <c r="M137" s="15" t="n">
        <f aca="false">ROUND($G137-$K137-$L137,2)</f>
        <v>22239.32</v>
      </c>
      <c r="N137" s="15" t="n">
        <f aca="false">$G137/$E137</f>
        <v>125.453689516129</v>
      </c>
      <c r="O137" s="25" t="n">
        <f aca="false">$G137/$J137</f>
        <v>0.847660064298169</v>
      </c>
      <c r="P137" s="18" t="str">
        <f aca="false">$C137&amp;" | "&amp;$D137</f>
        <v>Direct industrial | Structural adhesives</v>
      </c>
      <c r="Q137" s="25" t="n">
        <f aca="false">INDEX('Your Floors'!$K$20:$K$31,MATCH($P137,'Your Floors'!$D$20:$D$31,0))</f>
        <v>0.874622624783014</v>
      </c>
      <c r="R137" s="18" t="str">
        <f aca="false">IF($O137&lt;$Q137,"below the floor","at or above it")</f>
        <v>below the floor</v>
      </c>
      <c r="S137" s="15" t="n">
        <f aca="false">IF($O137&lt;$Q137,$E137*ROUND($Q137*$H137,2),$G137)</f>
        <v>64202.24</v>
      </c>
      <c r="T137" s="15" t="n">
        <f aca="false">IF($O137&lt;$Q137,ROUND($L137*$S137/$G137,2),$L137)</f>
        <v>1338.94</v>
      </c>
      <c r="U137" s="15" t="n">
        <f aca="false">ROUND(($S137-$G137)-($T137-$L137),2)</f>
        <v>1935.98</v>
      </c>
      <c r="V137" s="15" t="n">
        <f aca="false">IF($O137&lt;$Q137,ROUND($S137-$K137-$T137,2),$M137)</f>
        <v>24175.3</v>
      </c>
    </row>
    <row r="138" customFormat="false" ht="15" hidden="false" customHeight="false" outlineLevel="0" collapsed="false">
      <c r="B138" s="13" t="s">
        <v>161</v>
      </c>
      <c r="C138" s="13" t="s">
        <v>157</v>
      </c>
      <c r="D138" s="13" t="s">
        <v>54</v>
      </c>
      <c r="E138" s="24" t="n">
        <v>1399</v>
      </c>
      <c r="F138" s="14" t="n">
        <v>67525.53</v>
      </c>
      <c r="G138" s="14" t="n">
        <v>64756.99</v>
      </c>
      <c r="H138" s="15" t="n">
        <f aca="false">INDEX('Your Inputs'!$C$8:$C$10,MATCH($D138,'Your Inputs'!$B$8:$B$10,0))</f>
        <v>62</v>
      </c>
      <c r="I138" s="15" t="n">
        <f aca="false">INDEX('Your Inputs'!$D$8:$D$10,MATCH($D138,'Your Inputs'!$B$8:$B$10,0))</f>
        <v>36</v>
      </c>
      <c r="J138" s="15" t="n">
        <f aca="false">ROUND($E138*$H138,2)</f>
        <v>86738</v>
      </c>
      <c r="K138" s="15" t="n">
        <f aca="false">ROUND($E138*$I138,2)</f>
        <v>50364</v>
      </c>
      <c r="L138" s="15" t="n">
        <f aca="false">ROUND($F138*'Your Inputs'!$C$31,2)</f>
        <v>1350.51</v>
      </c>
      <c r="M138" s="15" t="n">
        <f aca="false">ROUND($G138-$K138-$L138,2)</f>
        <v>13042.48</v>
      </c>
      <c r="N138" s="15" t="n">
        <f aca="false">$G138/$E138</f>
        <v>46.2880557541101</v>
      </c>
      <c r="O138" s="25" t="n">
        <f aca="false">$G138/$J138</f>
        <v>0.74658154442113</v>
      </c>
      <c r="P138" s="18" t="str">
        <f aca="false">$C138&amp;" | "&amp;$D138</f>
        <v>Direct industrial | Sealants</v>
      </c>
      <c r="Q138" s="25" t="n">
        <f aca="false">INDEX('Your Floors'!$K$20:$K$31,MATCH($P138,'Your Floors'!$D$20:$D$31,0))</f>
        <v>0.834035886176071</v>
      </c>
      <c r="R138" s="18" t="str">
        <f aca="false">IF($O138&lt;$Q138,"below the floor","at or above it")</f>
        <v>below the floor</v>
      </c>
      <c r="S138" s="15" t="n">
        <f aca="false">IF($O138&lt;$Q138,$E138*ROUND($Q138*$H138,2),$G138)</f>
        <v>72342.29</v>
      </c>
      <c r="T138" s="15" t="n">
        <f aca="false">IF($O138&lt;$Q138,ROUND($L138*$S138/$G138,2),$L138)</f>
        <v>1508.7</v>
      </c>
      <c r="U138" s="15" t="n">
        <f aca="false">ROUND(($S138-$G138)-($T138-$L138),2)</f>
        <v>7427.11</v>
      </c>
      <c r="V138" s="15" t="n">
        <f aca="false">IF($O138&lt;$Q138,ROUND($S138-$K138-$T138,2),$M138)</f>
        <v>20469.59</v>
      </c>
    </row>
    <row r="139" customFormat="false" ht="15" hidden="false" customHeight="false" outlineLevel="0" collapsed="false">
      <c r="B139" s="13" t="s">
        <v>161</v>
      </c>
      <c r="C139" s="13" t="s">
        <v>157</v>
      </c>
      <c r="D139" s="13" t="s">
        <v>56</v>
      </c>
      <c r="E139" s="24" t="n">
        <v>752</v>
      </c>
      <c r="F139" s="14" t="n">
        <v>60005.99</v>
      </c>
      <c r="G139" s="14" t="n">
        <v>57545.74</v>
      </c>
      <c r="H139" s="15" t="n">
        <f aca="false">INDEX('Your Inputs'!$C$8:$C$10,MATCH($D139,'Your Inputs'!$B$8:$B$10,0))</f>
        <v>96</v>
      </c>
      <c r="I139" s="15" t="n">
        <f aca="false">INDEX('Your Inputs'!$D$8:$D$10,MATCH($D139,'Your Inputs'!$B$8:$B$10,0))</f>
        <v>58</v>
      </c>
      <c r="J139" s="15" t="n">
        <f aca="false">ROUND($E139*$H139,2)</f>
        <v>72192</v>
      </c>
      <c r="K139" s="15" t="n">
        <f aca="false">ROUND($E139*$I139,2)</f>
        <v>43616</v>
      </c>
      <c r="L139" s="15" t="n">
        <f aca="false">ROUND($F139*'Your Inputs'!$C$31,2)</f>
        <v>1200.12</v>
      </c>
      <c r="M139" s="15" t="n">
        <f aca="false">ROUND($G139-$K139-$L139,2)</f>
        <v>12729.62</v>
      </c>
      <c r="N139" s="15" t="n">
        <f aca="false">$G139/$E139</f>
        <v>76.5235904255319</v>
      </c>
      <c r="O139" s="25" t="n">
        <f aca="false">$G139/$J139</f>
        <v>0.797120733599291</v>
      </c>
      <c r="P139" s="18" t="str">
        <f aca="false">$C139&amp;" | "&amp;$D139</f>
        <v>Direct industrial | Protective coatings</v>
      </c>
      <c r="Q139" s="25" t="n">
        <f aca="false">INDEX('Your Floors'!$K$20:$K$31,MATCH($P139,'Your Floors'!$D$20:$D$31,0))</f>
        <v>0.853768804407086</v>
      </c>
      <c r="R139" s="18" t="str">
        <f aca="false">IF($O139&lt;$Q139,"below the floor","at or above it")</f>
        <v>below the floor</v>
      </c>
      <c r="S139" s="15" t="n">
        <f aca="false">IF($O139&lt;$Q139,$E139*ROUND($Q139*$H139,2),$G139)</f>
        <v>61633.92</v>
      </c>
      <c r="T139" s="15" t="n">
        <f aca="false">IF($O139&lt;$Q139,ROUND($L139*$S139/$G139,2),$L139)</f>
        <v>1285.38</v>
      </c>
      <c r="U139" s="15" t="n">
        <f aca="false">ROUND(($S139-$G139)-($T139-$L139),2)</f>
        <v>4002.92</v>
      </c>
      <c r="V139" s="15" t="n">
        <f aca="false">IF($O139&lt;$Q139,ROUND($S139-$K139-$T139,2),$M139)</f>
        <v>16732.54</v>
      </c>
    </row>
    <row r="140" customFormat="false" ht="15" hidden="false" customHeight="false" outlineLevel="0" collapsed="false">
      <c r="B140" s="13" t="s">
        <v>162</v>
      </c>
      <c r="C140" s="13" t="s">
        <v>157</v>
      </c>
      <c r="D140" s="13" t="s">
        <v>52</v>
      </c>
      <c r="E140" s="24" t="n">
        <v>596</v>
      </c>
      <c r="F140" s="14" t="n">
        <v>84679.68</v>
      </c>
      <c r="G140" s="14" t="n">
        <v>82054.61</v>
      </c>
      <c r="H140" s="15" t="n">
        <f aca="false">INDEX('Your Inputs'!$C$8:$C$10,MATCH($D140,'Your Inputs'!$B$8:$B$10,0))</f>
        <v>148</v>
      </c>
      <c r="I140" s="15" t="n">
        <f aca="false">INDEX('Your Inputs'!$D$8:$D$10,MATCH($D140,'Your Inputs'!$B$8:$B$10,0))</f>
        <v>78</v>
      </c>
      <c r="J140" s="15" t="n">
        <f aca="false">ROUND($E140*$H140,2)</f>
        <v>88208</v>
      </c>
      <c r="K140" s="15" t="n">
        <f aca="false">ROUND($E140*$I140,2)</f>
        <v>46488</v>
      </c>
      <c r="L140" s="15" t="n">
        <f aca="false">ROUND($F140*'Your Inputs'!$C$31,2)</f>
        <v>1693.59</v>
      </c>
      <c r="M140" s="15" t="n">
        <f aca="false">ROUND($G140-$K140-$L140,2)</f>
        <v>33873.02</v>
      </c>
      <c r="N140" s="15" t="n">
        <f aca="false">$G140/$E140</f>
        <v>137.675520134228</v>
      </c>
      <c r="O140" s="25" t="n">
        <f aca="false">$G140/$J140</f>
        <v>0.930240000906947</v>
      </c>
      <c r="P140" s="18" t="str">
        <f aca="false">$C140&amp;" | "&amp;$D140</f>
        <v>Direct industrial | Structural adhesives</v>
      </c>
      <c r="Q140" s="25" t="n">
        <f aca="false">INDEX('Your Floors'!$K$20:$K$31,MATCH($P140,'Your Floors'!$D$20:$D$31,0))</f>
        <v>0.874622624783014</v>
      </c>
      <c r="R140" s="18" t="str">
        <f aca="false">IF($O140&lt;$Q140,"below the floor","at or above it")</f>
        <v>at or above it</v>
      </c>
      <c r="S140" s="15" t="n">
        <f aca="false">IF($O140&lt;$Q140,$E140*ROUND($Q140*$H140,2),$G140)</f>
        <v>82054.61</v>
      </c>
      <c r="T140" s="15" t="n">
        <f aca="false">IF($O140&lt;$Q140,ROUND($L140*$S140/$G140,2),$L140)</f>
        <v>1693.59</v>
      </c>
      <c r="U140" s="15" t="n">
        <f aca="false">ROUND(($S140-$G140)-($T140-$L140),2)</f>
        <v>0</v>
      </c>
      <c r="V140" s="15" t="n">
        <f aca="false">IF($O140&lt;$Q140,ROUND($S140-$K140-$T140,2),$M140)</f>
        <v>33873.02</v>
      </c>
    </row>
    <row r="141" customFormat="false" ht="15" hidden="false" customHeight="false" outlineLevel="0" collapsed="false">
      <c r="B141" s="13" t="s">
        <v>162</v>
      </c>
      <c r="C141" s="13" t="s">
        <v>157</v>
      </c>
      <c r="D141" s="13" t="s">
        <v>54</v>
      </c>
      <c r="E141" s="24" t="n">
        <v>1781</v>
      </c>
      <c r="F141" s="14" t="n">
        <v>106005.12</v>
      </c>
      <c r="G141" s="14" t="n">
        <v>102718.96</v>
      </c>
      <c r="H141" s="15" t="n">
        <f aca="false">INDEX('Your Inputs'!$C$8:$C$10,MATCH($D141,'Your Inputs'!$B$8:$B$10,0))</f>
        <v>62</v>
      </c>
      <c r="I141" s="15" t="n">
        <f aca="false">INDEX('Your Inputs'!$D$8:$D$10,MATCH($D141,'Your Inputs'!$B$8:$B$10,0))</f>
        <v>36</v>
      </c>
      <c r="J141" s="15" t="n">
        <f aca="false">ROUND($E141*$H141,2)</f>
        <v>110422</v>
      </c>
      <c r="K141" s="15" t="n">
        <f aca="false">ROUND($E141*$I141,2)</f>
        <v>64116</v>
      </c>
      <c r="L141" s="15" t="n">
        <f aca="false">ROUND($F141*'Your Inputs'!$C$31,2)</f>
        <v>2120.1</v>
      </c>
      <c r="M141" s="15" t="n">
        <f aca="false">ROUND($G141-$K141-$L141,2)</f>
        <v>36482.86</v>
      </c>
      <c r="N141" s="15" t="n">
        <f aca="false">$G141/$E141</f>
        <v>57.6748792813026</v>
      </c>
      <c r="O141" s="25" t="n">
        <f aca="false">$G141/$J141</f>
        <v>0.930239988408107</v>
      </c>
      <c r="P141" s="18" t="str">
        <f aca="false">$C141&amp;" | "&amp;$D141</f>
        <v>Direct industrial | Sealants</v>
      </c>
      <c r="Q141" s="25" t="n">
        <f aca="false">INDEX('Your Floors'!$K$20:$K$31,MATCH($P141,'Your Floors'!$D$20:$D$31,0))</f>
        <v>0.834035886176071</v>
      </c>
      <c r="R141" s="18" t="str">
        <f aca="false">IF($O141&lt;$Q141,"below the floor","at or above it")</f>
        <v>at or above it</v>
      </c>
      <c r="S141" s="15" t="n">
        <f aca="false">IF($O141&lt;$Q141,$E141*ROUND($Q141*$H141,2),$G141)</f>
        <v>102718.96</v>
      </c>
      <c r="T141" s="15" t="n">
        <f aca="false">IF($O141&lt;$Q141,ROUND($L141*$S141/$G141,2),$L141)</f>
        <v>2120.1</v>
      </c>
      <c r="U141" s="15" t="n">
        <f aca="false">ROUND(($S141-$G141)-($T141-$L141),2)</f>
        <v>0</v>
      </c>
      <c r="V141" s="15" t="n">
        <f aca="false">IF($O141&lt;$Q141,ROUND($S141-$K141-$T141,2),$M141)</f>
        <v>36482.86</v>
      </c>
    </row>
    <row r="142" customFormat="false" ht="15" hidden="false" customHeight="false" outlineLevel="0" collapsed="false">
      <c r="B142" s="13" t="s">
        <v>162</v>
      </c>
      <c r="C142" s="13" t="s">
        <v>157</v>
      </c>
      <c r="D142" s="13" t="s">
        <v>56</v>
      </c>
      <c r="E142" s="24" t="n">
        <v>921</v>
      </c>
      <c r="F142" s="14" t="n">
        <v>84879.36</v>
      </c>
      <c r="G142" s="14" t="n">
        <v>82248.09</v>
      </c>
      <c r="H142" s="15" t="n">
        <f aca="false">INDEX('Your Inputs'!$C$8:$C$10,MATCH($D142,'Your Inputs'!$B$8:$B$10,0))</f>
        <v>96</v>
      </c>
      <c r="I142" s="15" t="n">
        <f aca="false">INDEX('Your Inputs'!$D$8:$D$10,MATCH($D142,'Your Inputs'!$B$8:$B$10,0))</f>
        <v>58</v>
      </c>
      <c r="J142" s="15" t="n">
        <f aca="false">ROUND($E142*$H142,2)</f>
        <v>88416</v>
      </c>
      <c r="K142" s="15" t="n">
        <f aca="false">ROUND($E142*$I142,2)</f>
        <v>53418</v>
      </c>
      <c r="L142" s="15" t="n">
        <f aca="false">ROUND($F142*'Your Inputs'!$C$31,2)</f>
        <v>1697.59</v>
      </c>
      <c r="M142" s="15" t="n">
        <f aca="false">ROUND($G142-$K142-$L142,2)</f>
        <v>27132.5</v>
      </c>
      <c r="N142" s="15" t="n">
        <f aca="false">$G142/$E142</f>
        <v>89.3030293159609</v>
      </c>
      <c r="O142" s="25" t="n">
        <f aca="false">$G142/$J142</f>
        <v>0.930239888707926</v>
      </c>
      <c r="P142" s="18" t="str">
        <f aca="false">$C142&amp;" | "&amp;$D142</f>
        <v>Direct industrial | Protective coatings</v>
      </c>
      <c r="Q142" s="25" t="n">
        <f aca="false">INDEX('Your Floors'!$K$20:$K$31,MATCH($P142,'Your Floors'!$D$20:$D$31,0))</f>
        <v>0.853768804407086</v>
      </c>
      <c r="R142" s="18" t="str">
        <f aca="false">IF($O142&lt;$Q142,"below the floor","at or above it")</f>
        <v>at or above it</v>
      </c>
      <c r="S142" s="15" t="n">
        <f aca="false">IF($O142&lt;$Q142,$E142*ROUND($Q142*$H142,2),$G142)</f>
        <v>82248.09</v>
      </c>
      <c r="T142" s="15" t="n">
        <f aca="false">IF($O142&lt;$Q142,ROUND($L142*$S142/$G142,2),$L142)</f>
        <v>1697.59</v>
      </c>
      <c r="U142" s="15" t="n">
        <f aca="false">ROUND(($S142-$G142)-($T142-$L142),2)</f>
        <v>0</v>
      </c>
      <c r="V142" s="15" t="n">
        <f aca="false">IF($O142&lt;$Q142,ROUND($S142-$K142-$T142,2),$M142)</f>
        <v>27132.5</v>
      </c>
    </row>
    <row r="143" customFormat="false" ht="15" hidden="false" customHeight="false" outlineLevel="0" collapsed="false">
      <c r="B143" s="13" t="s">
        <v>163</v>
      </c>
      <c r="C143" s="13" t="s">
        <v>157</v>
      </c>
      <c r="D143" s="13" t="s">
        <v>52</v>
      </c>
      <c r="E143" s="24" t="n">
        <v>627</v>
      </c>
      <c r="F143" s="14" t="n">
        <v>89084.16</v>
      </c>
      <c r="G143" s="14" t="n">
        <v>86767.98</v>
      </c>
      <c r="H143" s="15" t="n">
        <f aca="false">INDEX('Your Inputs'!$C$8:$C$10,MATCH($D143,'Your Inputs'!$B$8:$B$10,0))</f>
        <v>148</v>
      </c>
      <c r="I143" s="15" t="n">
        <f aca="false">INDEX('Your Inputs'!$D$8:$D$10,MATCH($D143,'Your Inputs'!$B$8:$B$10,0))</f>
        <v>78</v>
      </c>
      <c r="J143" s="15" t="n">
        <f aca="false">ROUND($E143*$H143,2)</f>
        <v>92796</v>
      </c>
      <c r="K143" s="15" t="n">
        <f aca="false">ROUND($E143*$I143,2)</f>
        <v>48906</v>
      </c>
      <c r="L143" s="15" t="n">
        <f aca="false">ROUND($F143*'Your Inputs'!$C$31,2)</f>
        <v>1781.68</v>
      </c>
      <c r="M143" s="15" t="n">
        <f aca="false">ROUND($G143-$K143-$L143,2)</f>
        <v>36080.3</v>
      </c>
      <c r="N143" s="15" t="n">
        <f aca="false">$G143/$E143</f>
        <v>138.385933014354</v>
      </c>
      <c r="O143" s="25" t="n">
        <f aca="false">$G143/$J143</f>
        <v>0.935040087934825</v>
      </c>
      <c r="P143" s="18" t="str">
        <f aca="false">$C143&amp;" | "&amp;$D143</f>
        <v>Direct industrial | Structural adhesives</v>
      </c>
      <c r="Q143" s="25" t="n">
        <f aca="false">INDEX('Your Floors'!$K$20:$K$31,MATCH($P143,'Your Floors'!$D$20:$D$31,0))</f>
        <v>0.874622624783014</v>
      </c>
      <c r="R143" s="18" t="str">
        <f aca="false">IF($O143&lt;$Q143,"below the floor","at or above it")</f>
        <v>at or above it</v>
      </c>
      <c r="S143" s="15" t="n">
        <f aca="false">IF($O143&lt;$Q143,$E143*ROUND($Q143*$H143,2),$G143)</f>
        <v>86767.98</v>
      </c>
      <c r="T143" s="15" t="n">
        <f aca="false">IF($O143&lt;$Q143,ROUND($L143*$S143/$G143,2),$L143)</f>
        <v>1781.68</v>
      </c>
      <c r="U143" s="15" t="n">
        <f aca="false">ROUND(($S143-$G143)-($T143-$L143),2)</f>
        <v>0</v>
      </c>
      <c r="V143" s="15" t="n">
        <f aca="false">IF($O143&lt;$Q143,ROUND($S143-$K143-$T143,2),$M143)</f>
        <v>36080.3</v>
      </c>
    </row>
    <row r="144" customFormat="false" ht="15" hidden="false" customHeight="false" outlineLevel="0" collapsed="false">
      <c r="B144" s="13" t="s">
        <v>163</v>
      </c>
      <c r="C144" s="13" t="s">
        <v>157</v>
      </c>
      <c r="D144" s="13" t="s">
        <v>56</v>
      </c>
      <c r="E144" s="24" t="n">
        <v>651</v>
      </c>
      <c r="F144" s="14" t="n">
        <v>59996.16</v>
      </c>
      <c r="G144" s="14" t="n">
        <v>58436.26</v>
      </c>
      <c r="H144" s="15" t="n">
        <f aca="false">INDEX('Your Inputs'!$C$8:$C$10,MATCH($D144,'Your Inputs'!$B$8:$B$10,0))</f>
        <v>96</v>
      </c>
      <c r="I144" s="15" t="n">
        <f aca="false">INDEX('Your Inputs'!$D$8:$D$10,MATCH($D144,'Your Inputs'!$B$8:$B$10,0))</f>
        <v>58</v>
      </c>
      <c r="J144" s="15" t="n">
        <f aca="false">ROUND($E144*$H144,2)</f>
        <v>62496</v>
      </c>
      <c r="K144" s="15" t="n">
        <f aca="false">ROUND($E144*$I144,2)</f>
        <v>37758</v>
      </c>
      <c r="L144" s="15" t="n">
        <f aca="false">ROUND($F144*'Your Inputs'!$C$31,2)</f>
        <v>1199.92</v>
      </c>
      <c r="M144" s="15" t="n">
        <f aca="false">ROUND($G144-$K144-$L144,2)</f>
        <v>19478.34</v>
      </c>
      <c r="N144" s="15" t="n">
        <f aca="false">$G144/$E144</f>
        <v>89.7638402457757</v>
      </c>
      <c r="O144" s="25" t="n">
        <f aca="false">$G144/$J144</f>
        <v>0.935040002560164</v>
      </c>
      <c r="P144" s="18" t="str">
        <f aca="false">$C144&amp;" | "&amp;$D144</f>
        <v>Direct industrial | Protective coatings</v>
      </c>
      <c r="Q144" s="25" t="n">
        <f aca="false">INDEX('Your Floors'!$K$20:$K$31,MATCH($P144,'Your Floors'!$D$20:$D$31,0))</f>
        <v>0.853768804407086</v>
      </c>
      <c r="R144" s="18" t="str">
        <f aca="false">IF($O144&lt;$Q144,"below the floor","at or above it")</f>
        <v>at or above it</v>
      </c>
      <c r="S144" s="15" t="n">
        <f aca="false">IF($O144&lt;$Q144,$E144*ROUND($Q144*$H144,2),$G144)</f>
        <v>58436.26</v>
      </c>
      <c r="T144" s="15" t="n">
        <f aca="false">IF($O144&lt;$Q144,ROUND($L144*$S144/$G144,2),$L144)</f>
        <v>1199.92</v>
      </c>
      <c r="U144" s="15" t="n">
        <f aca="false">ROUND(($S144-$G144)-($T144-$L144),2)</f>
        <v>0</v>
      </c>
      <c r="V144" s="15" t="n">
        <f aca="false">IF($O144&lt;$Q144,ROUND($S144-$K144-$T144,2),$M144)</f>
        <v>19478.34</v>
      </c>
    </row>
    <row r="145" customFormat="false" ht="15" hidden="false" customHeight="false" outlineLevel="0" collapsed="false">
      <c r="B145" s="13" t="s">
        <v>164</v>
      </c>
      <c r="C145" s="13" t="s">
        <v>157</v>
      </c>
      <c r="D145" s="13" t="s">
        <v>52</v>
      </c>
      <c r="E145" s="24" t="n">
        <v>276</v>
      </c>
      <c r="F145" s="14" t="n">
        <v>37878.35</v>
      </c>
      <c r="G145" s="14" t="n">
        <v>36325.33</v>
      </c>
      <c r="H145" s="15" t="n">
        <f aca="false">INDEX('Your Inputs'!$C$8:$C$10,MATCH($D145,'Your Inputs'!$B$8:$B$10,0))</f>
        <v>148</v>
      </c>
      <c r="I145" s="15" t="n">
        <f aca="false">INDEX('Your Inputs'!$D$8:$D$10,MATCH($D145,'Your Inputs'!$B$8:$B$10,0))</f>
        <v>78</v>
      </c>
      <c r="J145" s="15" t="n">
        <f aca="false">ROUND($E145*$H145,2)</f>
        <v>40848</v>
      </c>
      <c r="K145" s="15" t="n">
        <f aca="false">ROUND($E145*$I145,2)</f>
        <v>21528</v>
      </c>
      <c r="L145" s="15" t="n">
        <f aca="false">ROUND($F145*'Your Inputs'!$C$31,2)</f>
        <v>757.57</v>
      </c>
      <c r="M145" s="15" t="n">
        <f aca="false">ROUND($G145-$K145-$L145,2)</f>
        <v>14039.76</v>
      </c>
      <c r="N145" s="15" t="n">
        <f aca="false">$G145/$E145</f>
        <v>131.613514492754</v>
      </c>
      <c r="O145" s="25" t="n">
        <f aca="false">$G145/$J145</f>
        <v>0.889280503329416</v>
      </c>
      <c r="P145" s="18" t="str">
        <f aca="false">$C145&amp;" | "&amp;$D145</f>
        <v>Direct industrial | Structural adhesives</v>
      </c>
      <c r="Q145" s="25" t="n">
        <f aca="false">INDEX('Your Floors'!$K$20:$K$31,MATCH($P145,'Your Floors'!$D$20:$D$31,0))</f>
        <v>0.874622624783014</v>
      </c>
      <c r="R145" s="18" t="str">
        <f aca="false">IF($O145&lt;$Q145,"below the floor","at or above it")</f>
        <v>at or above it</v>
      </c>
      <c r="S145" s="15" t="n">
        <f aca="false">IF($O145&lt;$Q145,$E145*ROUND($Q145*$H145,2),$G145)</f>
        <v>36325.33</v>
      </c>
      <c r="T145" s="15" t="n">
        <f aca="false">IF($O145&lt;$Q145,ROUND($L145*$S145/$G145,2),$L145)</f>
        <v>757.57</v>
      </c>
      <c r="U145" s="15" t="n">
        <f aca="false">ROUND(($S145-$G145)-($T145-$L145),2)</f>
        <v>0</v>
      </c>
      <c r="V145" s="15" t="n">
        <f aca="false">IF($O145&lt;$Q145,ROUND($S145-$K145-$T145,2),$M145)</f>
        <v>14039.76</v>
      </c>
    </row>
    <row r="146" customFormat="false" ht="15" hidden="false" customHeight="false" outlineLevel="0" collapsed="false">
      <c r="B146" s="13" t="s">
        <v>164</v>
      </c>
      <c r="C146" s="13" t="s">
        <v>157</v>
      </c>
      <c r="D146" s="13" t="s">
        <v>54</v>
      </c>
      <c r="E146" s="24" t="n">
        <v>665</v>
      </c>
      <c r="F146" s="14" t="n">
        <v>35849.48</v>
      </c>
      <c r="G146" s="14" t="n">
        <v>34379.65</v>
      </c>
      <c r="H146" s="15" t="n">
        <f aca="false">INDEX('Your Inputs'!$C$8:$C$10,MATCH($D146,'Your Inputs'!$B$8:$B$10,0))</f>
        <v>62</v>
      </c>
      <c r="I146" s="15" t="n">
        <f aca="false">INDEX('Your Inputs'!$D$8:$D$10,MATCH($D146,'Your Inputs'!$B$8:$B$10,0))</f>
        <v>36</v>
      </c>
      <c r="J146" s="15" t="n">
        <f aca="false">ROUND($E146*$H146,2)</f>
        <v>41230</v>
      </c>
      <c r="K146" s="15" t="n">
        <f aca="false">ROUND($E146*$I146,2)</f>
        <v>23940</v>
      </c>
      <c r="L146" s="15" t="n">
        <f aca="false">ROUND($F146*'Your Inputs'!$C$31,2)</f>
        <v>716.99</v>
      </c>
      <c r="M146" s="15" t="n">
        <f aca="false">ROUND($G146-$K146-$L146,2)</f>
        <v>9722.66</v>
      </c>
      <c r="N146" s="15" t="n">
        <f aca="false">$G146/$E146</f>
        <v>51.6987218045113</v>
      </c>
      <c r="O146" s="25" t="n">
        <f aca="false">$G146/$J146</f>
        <v>0.833850351685666</v>
      </c>
      <c r="P146" s="18" t="str">
        <f aca="false">$C146&amp;" | "&amp;$D146</f>
        <v>Direct industrial | Sealants</v>
      </c>
      <c r="Q146" s="25" t="n">
        <f aca="false">INDEX('Your Floors'!$K$20:$K$31,MATCH($P146,'Your Floors'!$D$20:$D$31,0))</f>
        <v>0.834035886176071</v>
      </c>
      <c r="R146" s="18" t="str">
        <f aca="false">IF($O146&lt;$Q146,"below the floor","at or above it")</f>
        <v>below the floor</v>
      </c>
      <c r="S146" s="15" t="n">
        <f aca="false">IF($O146&lt;$Q146,$E146*ROUND($Q146*$H146,2),$G146)</f>
        <v>34387.15</v>
      </c>
      <c r="T146" s="15" t="n">
        <f aca="false">IF($O146&lt;$Q146,ROUND($L146*$S146/$G146,2),$L146)</f>
        <v>717.15</v>
      </c>
      <c r="U146" s="15" t="n">
        <f aca="false">ROUND(($S146-$G146)-($T146-$L146),2)</f>
        <v>7.34</v>
      </c>
      <c r="V146" s="15" t="n">
        <f aca="false">IF($O146&lt;$Q146,ROUND($S146-$K146-$T146,2),$M146)</f>
        <v>9730</v>
      </c>
    </row>
    <row r="147" customFormat="false" ht="15" hidden="false" customHeight="false" outlineLevel="0" collapsed="false">
      <c r="B147" s="13" t="s">
        <v>164</v>
      </c>
      <c r="C147" s="13" t="s">
        <v>157</v>
      </c>
      <c r="D147" s="13" t="s">
        <v>56</v>
      </c>
      <c r="E147" s="24" t="n">
        <v>394</v>
      </c>
      <c r="F147" s="14" t="n">
        <v>33981.08</v>
      </c>
      <c r="G147" s="14" t="n">
        <v>32587.85</v>
      </c>
      <c r="H147" s="15" t="n">
        <f aca="false">INDEX('Your Inputs'!$C$8:$C$10,MATCH($D147,'Your Inputs'!$B$8:$B$10,0))</f>
        <v>96</v>
      </c>
      <c r="I147" s="15" t="n">
        <f aca="false">INDEX('Your Inputs'!$D$8:$D$10,MATCH($D147,'Your Inputs'!$B$8:$B$10,0))</f>
        <v>58</v>
      </c>
      <c r="J147" s="15" t="n">
        <f aca="false">ROUND($E147*$H147,2)</f>
        <v>37824</v>
      </c>
      <c r="K147" s="15" t="n">
        <f aca="false">ROUND($E147*$I147,2)</f>
        <v>22852</v>
      </c>
      <c r="L147" s="15" t="n">
        <f aca="false">ROUND($F147*'Your Inputs'!$C$31,2)</f>
        <v>679.62</v>
      </c>
      <c r="M147" s="15" t="n">
        <f aca="false">ROUND($G147-$K147-$L147,2)</f>
        <v>9056.23</v>
      </c>
      <c r="N147" s="15" t="n">
        <f aca="false">$G147/$E147</f>
        <v>82.7102791878173</v>
      </c>
      <c r="O147" s="25" t="n">
        <f aca="false">$G147/$J147</f>
        <v>0.86156540820643</v>
      </c>
      <c r="P147" s="18" t="str">
        <f aca="false">$C147&amp;" | "&amp;$D147</f>
        <v>Direct industrial | Protective coatings</v>
      </c>
      <c r="Q147" s="25" t="n">
        <f aca="false">INDEX('Your Floors'!$K$20:$K$31,MATCH($P147,'Your Floors'!$D$20:$D$31,0))</f>
        <v>0.853768804407086</v>
      </c>
      <c r="R147" s="18" t="str">
        <f aca="false">IF($O147&lt;$Q147,"below the floor","at or above it")</f>
        <v>at or above it</v>
      </c>
      <c r="S147" s="15" t="n">
        <f aca="false">IF($O147&lt;$Q147,$E147*ROUND($Q147*$H147,2),$G147)</f>
        <v>32587.85</v>
      </c>
      <c r="T147" s="15" t="n">
        <f aca="false">IF($O147&lt;$Q147,ROUND($L147*$S147/$G147,2),$L147)</f>
        <v>679.62</v>
      </c>
      <c r="U147" s="15" t="n">
        <f aca="false">ROUND(($S147-$G147)-($T147-$L147),2)</f>
        <v>0</v>
      </c>
      <c r="V147" s="15" t="n">
        <f aca="false">IF($O147&lt;$Q147,ROUND($S147-$K147-$T147,2),$M147)</f>
        <v>9056.23</v>
      </c>
    </row>
    <row r="148" customFormat="false" ht="15" hidden="false" customHeight="false" outlineLevel="0" collapsed="false">
      <c r="B148" s="13" t="s">
        <v>165</v>
      </c>
      <c r="C148" s="13" t="s">
        <v>157</v>
      </c>
      <c r="D148" s="13" t="s">
        <v>54</v>
      </c>
      <c r="E148" s="24" t="n">
        <v>986</v>
      </c>
      <c r="F148" s="14" t="n">
        <v>55141.06</v>
      </c>
      <c r="G148" s="14" t="n">
        <v>53707.39</v>
      </c>
      <c r="H148" s="15" t="n">
        <f aca="false">INDEX('Your Inputs'!$C$8:$C$10,MATCH($D148,'Your Inputs'!$B$8:$B$10,0))</f>
        <v>62</v>
      </c>
      <c r="I148" s="15" t="n">
        <f aca="false">INDEX('Your Inputs'!$D$8:$D$10,MATCH($D148,'Your Inputs'!$B$8:$B$10,0))</f>
        <v>36</v>
      </c>
      <c r="J148" s="15" t="n">
        <f aca="false">ROUND($E148*$H148,2)</f>
        <v>61132</v>
      </c>
      <c r="K148" s="15" t="n">
        <f aca="false">ROUND($E148*$I148,2)</f>
        <v>35496</v>
      </c>
      <c r="L148" s="15" t="n">
        <f aca="false">ROUND($F148*'Your Inputs'!$C$31,2)</f>
        <v>1102.82</v>
      </c>
      <c r="M148" s="15" t="n">
        <f aca="false">ROUND($G148-$K148-$L148,2)</f>
        <v>17108.57</v>
      </c>
      <c r="N148" s="15" t="n">
        <f aca="false">$G148/$E148</f>
        <v>54.4699695740365</v>
      </c>
      <c r="O148" s="25" t="n">
        <f aca="false">$G148/$J148</f>
        <v>0.878547896355428</v>
      </c>
      <c r="P148" s="18" t="str">
        <f aca="false">$C148&amp;" | "&amp;$D148</f>
        <v>Direct industrial | Sealants</v>
      </c>
      <c r="Q148" s="25" t="n">
        <f aca="false">INDEX('Your Floors'!$K$20:$K$31,MATCH($P148,'Your Floors'!$D$20:$D$31,0))</f>
        <v>0.834035886176071</v>
      </c>
      <c r="R148" s="18" t="str">
        <f aca="false">IF($O148&lt;$Q148,"below the floor","at or above it")</f>
        <v>at or above it</v>
      </c>
      <c r="S148" s="15" t="n">
        <f aca="false">IF($O148&lt;$Q148,$E148*ROUND($Q148*$H148,2),$G148)</f>
        <v>53707.39</v>
      </c>
      <c r="T148" s="15" t="n">
        <f aca="false">IF($O148&lt;$Q148,ROUND($L148*$S148/$G148,2),$L148)</f>
        <v>1102.82</v>
      </c>
      <c r="U148" s="15" t="n">
        <f aca="false">ROUND(($S148-$G148)-($T148-$L148),2)</f>
        <v>0</v>
      </c>
      <c r="V148" s="15" t="n">
        <f aca="false">IF($O148&lt;$Q148,ROUND($S148-$K148-$T148,2),$M148)</f>
        <v>17108.57</v>
      </c>
    </row>
    <row r="149" customFormat="false" ht="15" hidden="false" customHeight="false" outlineLevel="0" collapsed="false">
      <c r="B149" s="13" t="s">
        <v>165</v>
      </c>
      <c r="C149" s="13" t="s">
        <v>157</v>
      </c>
      <c r="D149" s="13" t="s">
        <v>56</v>
      </c>
      <c r="E149" s="24" t="n">
        <v>521</v>
      </c>
      <c r="F149" s="14" t="n">
        <v>46134.76</v>
      </c>
      <c r="G149" s="14" t="n">
        <v>44935.25</v>
      </c>
      <c r="H149" s="15" t="n">
        <f aca="false">INDEX('Your Inputs'!$C$8:$C$10,MATCH($D149,'Your Inputs'!$B$8:$B$10,0))</f>
        <v>96</v>
      </c>
      <c r="I149" s="15" t="n">
        <f aca="false">INDEX('Your Inputs'!$D$8:$D$10,MATCH($D149,'Your Inputs'!$B$8:$B$10,0))</f>
        <v>58</v>
      </c>
      <c r="J149" s="15" t="n">
        <f aca="false">ROUND($E149*$H149,2)</f>
        <v>50016</v>
      </c>
      <c r="K149" s="15" t="n">
        <f aca="false">ROUND($E149*$I149,2)</f>
        <v>30218</v>
      </c>
      <c r="L149" s="15" t="n">
        <f aca="false">ROUND($F149*'Your Inputs'!$C$31,2)</f>
        <v>922.7</v>
      </c>
      <c r="M149" s="15" t="n">
        <f aca="false">ROUND($G149-$K149-$L149,2)</f>
        <v>13794.55</v>
      </c>
      <c r="N149" s="15" t="n">
        <f aca="false">$G149/$E149</f>
        <v>86.2480806142035</v>
      </c>
      <c r="O149" s="25" t="n">
        <f aca="false">$G149/$J149</f>
        <v>0.898417506397953</v>
      </c>
      <c r="P149" s="18" t="str">
        <f aca="false">$C149&amp;" | "&amp;$D149</f>
        <v>Direct industrial | Protective coatings</v>
      </c>
      <c r="Q149" s="25" t="n">
        <f aca="false">INDEX('Your Floors'!$K$20:$K$31,MATCH($P149,'Your Floors'!$D$20:$D$31,0))</f>
        <v>0.853768804407086</v>
      </c>
      <c r="R149" s="18" t="str">
        <f aca="false">IF($O149&lt;$Q149,"below the floor","at or above it")</f>
        <v>at or above it</v>
      </c>
      <c r="S149" s="15" t="n">
        <f aca="false">IF($O149&lt;$Q149,$E149*ROUND($Q149*$H149,2),$G149)</f>
        <v>44935.25</v>
      </c>
      <c r="T149" s="15" t="n">
        <f aca="false">IF($O149&lt;$Q149,ROUND($L149*$S149/$G149,2),$L149)</f>
        <v>922.7</v>
      </c>
      <c r="U149" s="15" t="n">
        <f aca="false">ROUND(($S149-$G149)-($T149-$L149),2)</f>
        <v>0</v>
      </c>
      <c r="V149" s="15" t="n">
        <f aca="false">IF($O149&lt;$Q149,ROUND($S149-$K149-$T149,2),$M149)</f>
        <v>13794.55</v>
      </c>
    </row>
    <row r="150" customFormat="false" ht="15" hidden="false" customHeight="false" outlineLevel="0" collapsed="false">
      <c r="B150" s="13" t="s">
        <v>166</v>
      </c>
      <c r="C150" s="13" t="s">
        <v>157</v>
      </c>
      <c r="D150" s="13" t="s">
        <v>52</v>
      </c>
      <c r="E150" s="24" t="n">
        <v>893</v>
      </c>
      <c r="F150" s="14" t="n">
        <v>126877.44</v>
      </c>
      <c r="G150" s="14" t="n">
        <v>120406.69</v>
      </c>
      <c r="H150" s="15" t="n">
        <f aca="false">INDEX('Your Inputs'!$C$8:$C$10,MATCH($D150,'Your Inputs'!$B$8:$B$10,0))</f>
        <v>148</v>
      </c>
      <c r="I150" s="15" t="n">
        <f aca="false">INDEX('Your Inputs'!$D$8:$D$10,MATCH($D150,'Your Inputs'!$B$8:$B$10,0))</f>
        <v>78</v>
      </c>
      <c r="J150" s="15" t="n">
        <f aca="false">ROUND($E150*$H150,2)</f>
        <v>132164</v>
      </c>
      <c r="K150" s="15" t="n">
        <f aca="false">ROUND($E150*$I150,2)</f>
        <v>69654</v>
      </c>
      <c r="L150" s="15" t="n">
        <f aca="false">ROUND($F150*'Your Inputs'!$C$31,2)</f>
        <v>2537.55</v>
      </c>
      <c r="M150" s="15" t="n">
        <f aca="false">ROUND($G150-$K150-$L150,2)</f>
        <v>48215.14</v>
      </c>
      <c r="N150" s="15" t="n">
        <f aca="false">$G150/$E150</f>
        <v>134.8339193729</v>
      </c>
      <c r="O150" s="25" t="n">
        <f aca="false">$G150/$J150</f>
        <v>0.91103999576284</v>
      </c>
      <c r="P150" s="18" t="str">
        <f aca="false">$C150&amp;" | "&amp;$D150</f>
        <v>Direct industrial | Structural adhesives</v>
      </c>
      <c r="Q150" s="25" t="n">
        <f aca="false">INDEX('Your Floors'!$K$20:$K$31,MATCH($P150,'Your Floors'!$D$20:$D$31,0))</f>
        <v>0.874622624783014</v>
      </c>
      <c r="R150" s="18" t="str">
        <f aca="false">IF($O150&lt;$Q150,"below the floor","at or above it")</f>
        <v>at or above it</v>
      </c>
      <c r="S150" s="15" t="n">
        <f aca="false">IF($O150&lt;$Q150,$E150*ROUND($Q150*$H150,2),$G150)</f>
        <v>120406.69</v>
      </c>
      <c r="T150" s="15" t="n">
        <f aca="false">IF($O150&lt;$Q150,ROUND($L150*$S150/$G150,2),$L150)</f>
        <v>2537.55</v>
      </c>
      <c r="U150" s="15" t="n">
        <f aca="false">ROUND(($S150-$G150)-($T150-$L150),2)</f>
        <v>0</v>
      </c>
      <c r="V150" s="15" t="n">
        <f aca="false">IF($O150&lt;$Q150,ROUND($S150-$K150-$T150,2),$M150)</f>
        <v>48215.14</v>
      </c>
    </row>
    <row r="151" customFormat="false" ht="15" hidden="false" customHeight="false" outlineLevel="0" collapsed="false">
      <c r="B151" s="13" t="s">
        <v>166</v>
      </c>
      <c r="C151" s="13" t="s">
        <v>157</v>
      </c>
      <c r="D151" s="13" t="s">
        <v>54</v>
      </c>
      <c r="E151" s="24" t="n">
        <v>2266</v>
      </c>
      <c r="F151" s="14" t="n">
        <v>134872.32</v>
      </c>
      <c r="G151" s="14" t="n">
        <v>127993.83</v>
      </c>
      <c r="H151" s="15" t="n">
        <f aca="false">INDEX('Your Inputs'!$C$8:$C$10,MATCH($D151,'Your Inputs'!$B$8:$B$10,0))</f>
        <v>62</v>
      </c>
      <c r="I151" s="15" t="n">
        <f aca="false">INDEX('Your Inputs'!$D$8:$D$10,MATCH($D151,'Your Inputs'!$B$8:$B$10,0))</f>
        <v>36</v>
      </c>
      <c r="J151" s="15" t="n">
        <f aca="false">ROUND($E151*$H151,2)</f>
        <v>140492</v>
      </c>
      <c r="K151" s="15" t="n">
        <f aca="false">ROUND($E151*$I151,2)</f>
        <v>81576</v>
      </c>
      <c r="L151" s="15" t="n">
        <f aca="false">ROUND($F151*'Your Inputs'!$C$31,2)</f>
        <v>2697.45</v>
      </c>
      <c r="M151" s="15" t="n">
        <f aca="false">ROUND($G151-$K151-$L151,2)</f>
        <v>43720.38</v>
      </c>
      <c r="N151" s="15" t="n">
        <f aca="false">$G151/$E151</f>
        <v>56.4844792586055</v>
      </c>
      <c r="O151" s="25" t="n">
        <f aca="false">$G151/$J151</f>
        <v>0.911039988042024</v>
      </c>
      <c r="P151" s="18" t="str">
        <f aca="false">$C151&amp;" | "&amp;$D151</f>
        <v>Direct industrial | Sealants</v>
      </c>
      <c r="Q151" s="25" t="n">
        <f aca="false">INDEX('Your Floors'!$K$20:$K$31,MATCH($P151,'Your Floors'!$D$20:$D$31,0))</f>
        <v>0.834035886176071</v>
      </c>
      <c r="R151" s="18" t="str">
        <f aca="false">IF($O151&lt;$Q151,"below the floor","at or above it")</f>
        <v>at or above it</v>
      </c>
      <c r="S151" s="15" t="n">
        <f aca="false">IF($O151&lt;$Q151,$E151*ROUND($Q151*$H151,2),$G151)</f>
        <v>127993.83</v>
      </c>
      <c r="T151" s="15" t="n">
        <f aca="false">IF($O151&lt;$Q151,ROUND($L151*$S151/$G151,2),$L151)</f>
        <v>2697.45</v>
      </c>
      <c r="U151" s="15" t="n">
        <f aca="false">ROUND(($S151-$G151)-($T151-$L151),2)</f>
        <v>0</v>
      </c>
      <c r="V151" s="15" t="n">
        <f aca="false">IF($O151&lt;$Q151,ROUND($S151-$K151-$T151,2),$M151)</f>
        <v>43720.38</v>
      </c>
    </row>
    <row r="152" customFormat="false" ht="15" hidden="false" customHeight="false" outlineLevel="0" collapsed="false">
      <c r="B152" s="13" t="s">
        <v>166</v>
      </c>
      <c r="C152" s="13" t="s">
        <v>157</v>
      </c>
      <c r="D152" s="13" t="s">
        <v>56</v>
      </c>
      <c r="E152" s="24" t="n">
        <v>1076</v>
      </c>
      <c r="F152" s="14" t="n">
        <v>99164.16</v>
      </c>
      <c r="G152" s="14" t="n">
        <v>94106.8</v>
      </c>
      <c r="H152" s="15" t="n">
        <f aca="false">INDEX('Your Inputs'!$C$8:$C$10,MATCH($D152,'Your Inputs'!$B$8:$B$10,0))</f>
        <v>96</v>
      </c>
      <c r="I152" s="15" t="n">
        <f aca="false">INDEX('Your Inputs'!$D$8:$D$10,MATCH($D152,'Your Inputs'!$B$8:$B$10,0))</f>
        <v>58</v>
      </c>
      <c r="J152" s="15" t="n">
        <f aca="false">ROUND($E152*$H152,2)</f>
        <v>103296</v>
      </c>
      <c r="K152" s="15" t="n">
        <f aca="false">ROUND($E152*$I152,2)</f>
        <v>62408</v>
      </c>
      <c r="L152" s="15" t="n">
        <f aca="false">ROUND($F152*'Your Inputs'!$C$31,2)</f>
        <v>1983.28</v>
      </c>
      <c r="M152" s="15" t="n">
        <f aca="false">ROUND($G152-$K152-$L152,2)</f>
        <v>29715.52</v>
      </c>
      <c r="N152" s="15" t="n">
        <f aca="false">$G152/$E152</f>
        <v>87.4598513011153</v>
      </c>
      <c r="O152" s="25" t="n">
        <f aca="false">$G152/$J152</f>
        <v>0.91104011771995</v>
      </c>
      <c r="P152" s="18" t="str">
        <f aca="false">$C152&amp;" | "&amp;$D152</f>
        <v>Direct industrial | Protective coatings</v>
      </c>
      <c r="Q152" s="25" t="n">
        <f aca="false">INDEX('Your Floors'!$K$20:$K$31,MATCH($P152,'Your Floors'!$D$20:$D$31,0))</f>
        <v>0.853768804407086</v>
      </c>
      <c r="R152" s="18" t="str">
        <f aca="false">IF($O152&lt;$Q152,"below the floor","at or above it")</f>
        <v>at or above it</v>
      </c>
      <c r="S152" s="15" t="n">
        <f aca="false">IF($O152&lt;$Q152,$E152*ROUND($Q152*$H152,2),$G152)</f>
        <v>94106.8</v>
      </c>
      <c r="T152" s="15" t="n">
        <f aca="false">IF($O152&lt;$Q152,ROUND($L152*$S152/$G152,2),$L152)</f>
        <v>1983.28</v>
      </c>
      <c r="U152" s="15" t="n">
        <f aca="false">ROUND(($S152-$G152)-($T152-$L152),2)</f>
        <v>0</v>
      </c>
      <c r="V152" s="15" t="n">
        <f aca="false">IF($O152&lt;$Q152,ROUND($S152-$K152-$T152,2),$M152)</f>
        <v>29715.52</v>
      </c>
    </row>
    <row r="153" customFormat="false" ht="15" hidden="false" customHeight="false" outlineLevel="0" collapsed="false">
      <c r="B153" s="13" t="s">
        <v>167</v>
      </c>
      <c r="C153" s="13" t="s">
        <v>157</v>
      </c>
      <c r="D153" s="13" t="s">
        <v>52</v>
      </c>
      <c r="E153" s="24" t="n">
        <v>765</v>
      </c>
      <c r="F153" s="14" t="n">
        <v>107638.25</v>
      </c>
      <c r="G153" s="14" t="n">
        <v>104839.65</v>
      </c>
      <c r="H153" s="15" t="n">
        <f aca="false">INDEX('Your Inputs'!$C$8:$C$10,MATCH($D153,'Your Inputs'!$B$8:$B$10,0))</f>
        <v>148</v>
      </c>
      <c r="I153" s="15" t="n">
        <f aca="false">INDEX('Your Inputs'!$D$8:$D$10,MATCH($D153,'Your Inputs'!$B$8:$B$10,0))</f>
        <v>78</v>
      </c>
      <c r="J153" s="15" t="n">
        <f aca="false">ROUND($E153*$H153,2)</f>
        <v>113220</v>
      </c>
      <c r="K153" s="15" t="n">
        <f aca="false">ROUND($E153*$I153,2)</f>
        <v>59670</v>
      </c>
      <c r="L153" s="15" t="n">
        <f aca="false">ROUND($F153*'Your Inputs'!$C$31,2)</f>
        <v>2152.77</v>
      </c>
      <c r="M153" s="15" t="n">
        <f aca="false">ROUND($G153-$K153-$L153,2)</f>
        <v>43016.88</v>
      </c>
      <c r="N153" s="15" t="n">
        <f aca="false">$G153/$E153</f>
        <v>137.045294117647</v>
      </c>
      <c r="O153" s="25" t="n">
        <f aca="false">$G153/$J153</f>
        <v>0.925981717011129</v>
      </c>
      <c r="P153" s="18" t="str">
        <f aca="false">$C153&amp;" | "&amp;$D153</f>
        <v>Direct industrial | Structural adhesives</v>
      </c>
      <c r="Q153" s="25" t="n">
        <f aca="false">INDEX('Your Floors'!$K$20:$K$31,MATCH($P153,'Your Floors'!$D$20:$D$31,0))</f>
        <v>0.874622624783014</v>
      </c>
      <c r="R153" s="18" t="str">
        <f aca="false">IF($O153&lt;$Q153,"below the floor","at or above it")</f>
        <v>at or above it</v>
      </c>
      <c r="S153" s="15" t="n">
        <f aca="false">IF($O153&lt;$Q153,$E153*ROUND($Q153*$H153,2),$G153)</f>
        <v>104839.65</v>
      </c>
      <c r="T153" s="15" t="n">
        <f aca="false">IF($O153&lt;$Q153,ROUND($L153*$S153/$G153,2),$L153)</f>
        <v>2152.77</v>
      </c>
      <c r="U153" s="15" t="n">
        <f aca="false">ROUND(($S153-$G153)-($T153-$L153),2)</f>
        <v>0</v>
      </c>
      <c r="V153" s="15" t="n">
        <f aca="false">IF($O153&lt;$Q153,ROUND($S153-$K153-$T153,2),$M153)</f>
        <v>43016.88</v>
      </c>
    </row>
    <row r="154" customFormat="false" ht="15" hidden="false" customHeight="false" outlineLevel="0" collapsed="false">
      <c r="B154" s="13" t="s">
        <v>167</v>
      </c>
      <c r="C154" s="13" t="s">
        <v>157</v>
      </c>
      <c r="D154" s="13" t="s">
        <v>54</v>
      </c>
      <c r="E154" s="24" t="n">
        <v>2312</v>
      </c>
      <c r="F154" s="14" t="n">
        <v>134815.03</v>
      </c>
      <c r="G154" s="14" t="n">
        <v>131309.84</v>
      </c>
      <c r="H154" s="15" t="n">
        <f aca="false">INDEX('Your Inputs'!$C$8:$C$10,MATCH($D154,'Your Inputs'!$B$8:$B$10,0))</f>
        <v>62</v>
      </c>
      <c r="I154" s="15" t="n">
        <f aca="false">INDEX('Your Inputs'!$D$8:$D$10,MATCH($D154,'Your Inputs'!$B$8:$B$10,0))</f>
        <v>36</v>
      </c>
      <c r="J154" s="15" t="n">
        <f aca="false">ROUND($E154*$H154,2)</f>
        <v>143344</v>
      </c>
      <c r="K154" s="15" t="n">
        <f aca="false">ROUND($E154*$I154,2)</f>
        <v>83232</v>
      </c>
      <c r="L154" s="15" t="n">
        <f aca="false">ROUND($F154*'Your Inputs'!$C$31,2)</f>
        <v>2696.3</v>
      </c>
      <c r="M154" s="15" t="n">
        <f aca="false">ROUND($G154-$K154-$L154,2)</f>
        <v>45381.54</v>
      </c>
      <c r="N154" s="15" t="n">
        <f aca="false">$G154/$E154</f>
        <v>56.7949134948097</v>
      </c>
      <c r="O154" s="25" t="n">
        <f aca="false">$G154/$J154</f>
        <v>0.916046991851769</v>
      </c>
      <c r="P154" s="18" t="str">
        <f aca="false">$C154&amp;" | "&amp;$D154</f>
        <v>Direct industrial | Sealants</v>
      </c>
      <c r="Q154" s="25" t="n">
        <f aca="false">INDEX('Your Floors'!$K$20:$K$31,MATCH($P154,'Your Floors'!$D$20:$D$31,0))</f>
        <v>0.834035886176071</v>
      </c>
      <c r="R154" s="18" t="str">
        <f aca="false">IF($O154&lt;$Q154,"below the floor","at or above it")</f>
        <v>at or above it</v>
      </c>
      <c r="S154" s="15" t="n">
        <f aca="false">IF($O154&lt;$Q154,$E154*ROUND($Q154*$H154,2),$G154)</f>
        <v>131309.84</v>
      </c>
      <c r="T154" s="15" t="n">
        <f aca="false">IF($O154&lt;$Q154,ROUND($L154*$S154/$G154,2),$L154)</f>
        <v>2696.3</v>
      </c>
      <c r="U154" s="15" t="n">
        <f aca="false">ROUND(($S154-$G154)-($T154-$L154),2)</f>
        <v>0</v>
      </c>
      <c r="V154" s="15" t="n">
        <f aca="false">IF($O154&lt;$Q154,ROUND($S154-$K154-$T154,2),$M154)</f>
        <v>45381.54</v>
      </c>
    </row>
    <row r="155" customFormat="false" ht="15" hidden="false" customHeight="false" outlineLevel="0" collapsed="false">
      <c r="B155" s="13" t="s">
        <v>167</v>
      </c>
      <c r="C155" s="13" t="s">
        <v>157</v>
      </c>
      <c r="D155" s="13" t="s">
        <v>56</v>
      </c>
      <c r="E155" s="24" t="n">
        <v>1368</v>
      </c>
      <c r="F155" s="14" t="n">
        <v>124183.76</v>
      </c>
      <c r="G155" s="14" t="n">
        <v>120954.98</v>
      </c>
      <c r="H155" s="15" t="n">
        <f aca="false">INDEX('Your Inputs'!$C$8:$C$10,MATCH($D155,'Your Inputs'!$B$8:$B$10,0))</f>
        <v>96</v>
      </c>
      <c r="I155" s="15" t="n">
        <f aca="false">INDEX('Your Inputs'!$D$8:$D$10,MATCH($D155,'Your Inputs'!$B$8:$B$10,0))</f>
        <v>58</v>
      </c>
      <c r="J155" s="15" t="n">
        <f aca="false">ROUND($E155*$H155,2)</f>
        <v>131328</v>
      </c>
      <c r="K155" s="15" t="n">
        <f aca="false">ROUND($E155*$I155,2)</f>
        <v>79344</v>
      </c>
      <c r="L155" s="15" t="n">
        <f aca="false">ROUND($F155*'Your Inputs'!$C$31,2)</f>
        <v>2483.68</v>
      </c>
      <c r="M155" s="15" t="n">
        <f aca="false">ROUND($G155-$K155-$L155,2)</f>
        <v>39127.3</v>
      </c>
      <c r="N155" s="15" t="n">
        <f aca="false">$G155/$E155</f>
        <v>88.4173830409357</v>
      </c>
      <c r="O155" s="25" t="n">
        <f aca="false">$G155/$J155</f>
        <v>0.921014406676413</v>
      </c>
      <c r="P155" s="18" t="str">
        <f aca="false">$C155&amp;" | "&amp;$D155</f>
        <v>Direct industrial | Protective coatings</v>
      </c>
      <c r="Q155" s="25" t="n">
        <f aca="false">INDEX('Your Floors'!$K$20:$K$31,MATCH($P155,'Your Floors'!$D$20:$D$31,0))</f>
        <v>0.853768804407086</v>
      </c>
      <c r="R155" s="18" t="str">
        <f aca="false">IF($O155&lt;$Q155,"below the floor","at or above it")</f>
        <v>at or above it</v>
      </c>
      <c r="S155" s="15" t="n">
        <f aca="false">IF($O155&lt;$Q155,$E155*ROUND($Q155*$H155,2),$G155)</f>
        <v>120954.98</v>
      </c>
      <c r="T155" s="15" t="n">
        <f aca="false">IF($O155&lt;$Q155,ROUND($L155*$S155/$G155,2),$L155)</f>
        <v>2483.68</v>
      </c>
      <c r="U155" s="15" t="n">
        <f aca="false">ROUND(($S155-$G155)-($T155-$L155),2)</f>
        <v>0</v>
      </c>
      <c r="V155" s="15" t="n">
        <f aca="false">IF($O155&lt;$Q155,ROUND($S155-$K155-$T155,2),$M155)</f>
        <v>39127.3</v>
      </c>
    </row>
    <row r="156" customFormat="false" ht="15" hidden="false" customHeight="false" outlineLevel="0" collapsed="false">
      <c r="B156" s="13" t="s">
        <v>168</v>
      </c>
      <c r="C156" s="13" t="s">
        <v>157</v>
      </c>
      <c r="D156" s="13" t="s">
        <v>54</v>
      </c>
      <c r="E156" s="24" t="n">
        <v>2002</v>
      </c>
      <c r="F156" s="14" t="n">
        <v>118414.3</v>
      </c>
      <c r="G156" s="14" t="n">
        <v>112967.24</v>
      </c>
      <c r="H156" s="15" t="n">
        <f aca="false">INDEX('Your Inputs'!$C$8:$C$10,MATCH($D156,'Your Inputs'!$B$8:$B$10,0))</f>
        <v>62</v>
      </c>
      <c r="I156" s="15" t="n">
        <f aca="false">INDEX('Your Inputs'!$D$8:$D$10,MATCH($D156,'Your Inputs'!$B$8:$B$10,0))</f>
        <v>36</v>
      </c>
      <c r="J156" s="15" t="n">
        <f aca="false">ROUND($E156*$H156,2)</f>
        <v>124124</v>
      </c>
      <c r="K156" s="15" t="n">
        <f aca="false">ROUND($E156*$I156,2)</f>
        <v>72072</v>
      </c>
      <c r="L156" s="15" t="n">
        <f aca="false">ROUND($F156*'Your Inputs'!$C$31,2)</f>
        <v>2368.29</v>
      </c>
      <c r="M156" s="15" t="n">
        <f aca="false">ROUND($G156-$K156-$L156,2)</f>
        <v>38526.95</v>
      </c>
      <c r="N156" s="15" t="n">
        <f aca="false">$G156/$E156</f>
        <v>56.4271928071928</v>
      </c>
      <c r="O156" s="25" t="n">
        <f aca="false">$G156/$J156</f>
        <v>0.910116013019239</v>
      </c>
      <c r="P156" s="18" t="str">
        <f aca="false">$C156&amp;" | "&amp;$D156</f>
        <v>Direct industrial | Sealants</v>
      </c>
      <c r="Q156" s="25" t="n">
        <f aca="false">INDEX('Your Floors'!$K$20:$K$31,MATCH($P156,'Your Floors'!$D$20:$D$31,0))</f>
        <v>0.834035886176071</v>
      </c>
      <c r="R156" s="18" t="str">
        <f aca="false">IF($O156&lt;$Q156,"below the floor","at or above it")</f>
        <v>at or above it</v>
      </c>
      <c r="S156" s="15" t="n">
        <f aca="false">IF($O156&lt;$Q156,$E156*ROUND($Q156*$H156,2),$G156)</f>
        <v>112967.24</v>
      </c>
      <c r="T156" s="15" t="n">
        <f aca="false">IF($O156&lt;$Q156,ROUND($L156*$S156/$G156,2),$L156)</f>
        <v>2368.29</v>
      </c>
      <c r="U156" s="15" t="n">
        <f aca="false">ROUND(($S156-$G156)-($T156-$L156),2)</f>
        <v>0</v>
      </c>
      <c r="V156" s="15" t="n">
        <f aca="false">IF($O156&lt;$Q156,ROUND($S156-$K156-$T156,2),$M156)</f>
        <v>38526.95</v>
      </c>
    </row>
    <row r="157" customFormat="false" ht="15" hidden="false" customHeight="false" outlineLevel="0" collapsed="false">
      <c r="B157" s="13" t="s">
        <v>168</v>
      </c>
      <c r="C157" s="13" t="s">
        <v>157</v>
      </c>
      <c r="D157" s="13" t="s">
        <v>56</v>
      </c>
      <c r="E157" s="24" t="n">
        <v>1118</v>
      </c>
      <c r="F157" s="14" t="n">
        <v>103120.74</v>
      </c>
      <c r="G157" s="14" t="n">
        <v>98377.2</v>
      </c>
      <c r="H157" s="15" t="n">
        <f aca="false">INDEX('Your Inputs'!$C$8:$C$10,MATCH($D157,'Your Inputs'!$B$8:$B$10,0))</f>
        <v>96</v>
      </c>
      <c r="I157" s="15" t="n">
        <f aca="false">INDEX('Your Inputs'!$D$8:$D$10,MATCH($D157,'Your Inputs'!$B$8:$B$10,0))</f>
        <v>58</v>
      </c>
      <c r="J157" s="15" t="n">
        <f aca="false">ROUND($E157*$H157,2)</f>
        <v>107328</v>
      </c>
      <c r="K157" s="15" t="n">
        <f aca="false">ROUND($E157*$I157,2)</f>
        <v>64844</v>
      </c>
      <c r="L157" s="15" t="n">
        <f aca="false">ROUND($F157*'Your Inputs'!$C$31,2)</f>
        <v>2062.41</v>
      </c>
      <c r="M157" s="15" t="n">
        <f aca="false">ROUND($G157-$K157-$L157,2)</f>
        <v>31470.79</v>
      </c>
      <c r="N157" s="15" t="n">
        <f aca="false">$G157/$E157</f>
        <v>87.9939177101968</v>
      </c>
      <c r="O157" s="25" t="n">
        <f aca="false">$G157/$J157</f>
        <v>0.916603309481216</v>
      </c>
      <c r="P157" s="18" t="str">
        <f aca="false">$C157&amp;" | "&amp;$D157</f>
        <v>Direct industrial | Protective coatings</v>
      </c>
      <c r="Q157" s="25" t="n">
        <f aca="false">INDEX('Your Floors'!$K$20:$K$31,MATCH($P157,'Your Floors'!$D$20:$D$31,0))</f>
        <v>0.853768804407086</v>
      </c>
      <c r="R157" s="18" t="str">
        <f aca="false">IF($O157&lt;$Q157,"below the floor","at or above it")</f>
        <v>at or above it</v>
      </c>
      <c r="S157" s="15" t="n">
        <f aca="false">IF($O157&lt;$Q157,$E157*ROUND($Q157*$H157,2),$G157)</f>
        <v>98377.2</v>
      </c>
      <c r="T157" s="15" t="n">
        <f aca="false">IF($O157&lt;$Q157,ROUND($L157*$S157/$G157,2),$L157)</f>
        <v>2062.41</v>
      </c>
      <c r="U157" s="15" t="n">
        <f aca="false">ROUND(($S157-$G157)-($T157-$L157),2)</f>
        <v>0</v>
      </c>
      <c r="V157" s="15" t="n">
        <f aca="false">IF($O157&lt;$Q157,ROUND($S157-$K157-$T157,2),$M157)</f>
        <v>31470.79</v>
      </c>
    </row>
    <row r="158" customFormat="false" ht="15" hidden="false" customHeight="false" outlineLevel="0" collapsed="false">
      <c r="B158" s="13" t="s">
        <v>169</v>
      </c>
      <c r="C158" s="13" t="s">
        <v>157</v>
      </c>
      <c r="D158" s="13" t="s">
        <v>52</v>
      </c>
      <c r="E158" s="24" t="n">
        <v>328</v>
      </c>
      <c r="F158" s="14" t="n">
        <v>45315.82</v>
      </c>
      <c r="G158" s="14" t="n">
        <v>43911.03</v>
      </c>
      <c r="H158" s="15" t="n">
        <f aca="false">INDEX('Your Inputs'!$C$8:$C$10,MATCH($D158,'Your Inputs'!$B$8:$B$10,0))</f>
        <v>148</v>
      </c>
      <c r="I158" s="15" t="n">
        <f aca="false">INDEX('Your Inputs'!$D$8:$D$10,MATCH($D158,'Your Inputs'!$B$8:$B$10,0))</f>
        <v>78</v>
      </c>
      <c r="J158" s="15" t="n">
        <f aca="false">ROUND($E158*$H158,2)</f>
        <v>48544</v>
      </c>
      <c r="K158" s="15" t="n">
        <f aca="false">ROUND($E158*$I158,2)</f>
        <v>25584</v>
      </c>
      <c r="L158" s="15" t="n">
        <f aca="false">ROUND($F158*'Your Inputs'!$C$31,2)</f>
        <v>906.32</v>
      </c>
      <c r="M158" s="15" t="n">
        <f aca="false">ROUND($G158-$K158-$L158,2)</f>
        <v>17420.71</v>
      </c>
      <c r="N158" s="15" t="n">
        <f aca="false">$G158/$E158</f>
        <v>133.875091463415</v>
      </c>
      <c r="O158" s="25" t="n">
        <f aca="false">$G158/$J158</f>
        <v>0.904561428806856</v>
      </c>
      <c r="P158" s="18" t="str">
        <f aca="false">$C158&amp;" | "&amp;$D158</f>
        <v>Direct industrial | Structural adhesives</v>
      </c>
      <c r="Q158" s="25" t="n">
        <f aca="false">INDEX('Your Floors'!$K$20:$K$31,MATCH($P158,'Your Floors'!$D$20:$D$31,0))</f>
        <v>0.874622624783014</v>
      </c>
      <c r="R158" s="18" t="str">
        <f aca="false">IF($O158&lt;$Q158,"below the floor","at or above it")</f>
        <v>at or above it</v>
      </c>
      <c r="S158" s="15" t="n">
        <f aca="false">IF($O158&lt;$Q158,$E158*ROUND($Q158*$H158,2),$G158)</f>
        <v>43911.03</v>
      </c>
      <c r="T158" s="15" t="n">
        <f aca="false">IF($O158&lt;$Q158,ROUND($L158*$S158/$G158,2),$L158)</f>
        <v>906.32</v>
      </c>
      <c r="U158" s="15" t="n">
        <f aca="false">ROUND(($S158-$G158)-($T158-$L158),2)</f>
        <v>0</v>
      </c>
      <c r="V158" s="15" t="n">
        <f aca="false">IF($O158&lt;$Q158,ROUND($S158-$K158-$T158,2),$M158)</f>
        <v>17420.71</v>
      </c>
    </row>
    <row r="159" customFormat="false" ht="15" hidden="false" customHeight="false" outlineLevel="0" collapsed="false">
      <c r="B159" s="13" t="s">
        <v>169</v>
      </c>
      <c r="C159" s="13" t="s">
        <v>157</v>
      </c>
      <c r="D159" s="13" t="s">
        <v>54</v>
      </c>
      <c r="E159" s="24" t="n">
        <v>1500</v>
      </c>
      <c r="F159" s="14" t="n">
        <v>82072.5</v>
      </c>
      <c r="G159" s="14" t="n">
        <v>79528.25</v>
      </c>
      <c r="H159" s="15" t="n">
        <f aca="false">INDEX('Your Inputs'!$C$8:$C$10,MATCH($D159,'Your Inputs'!$B$8:$B$10,0))</f>
        <v>62</v>
      </c>
      <c r="I159" s="15" t="n">
        <f aca="false">INDEX('Your Inputs'!$D$8:$D$10,MATCH($D159,'Your Inputs'!$B$8:$B$10,0))</f>
        <v>36</v>
      </c>
      <c r="J159" s="15" t="n">
        <f aca="false">ROUND($E159*$H159,2)</f>
        <v>93000</v>
      </c>
      <c r="K159" s="15" t="n">
        <f aca="false">ROUND($E159*$I159,2)</f>
        <v>54000</v>
      </c>
      <c r="L159" s="15" t="n">
        <f aca="false">ROUND($F159*'Your Inputs'!$C$31,2)</f>
        <v>1641.45</v>
      </c>
      <c r="M159" s="15" t="n">
        <f aca="false">ROUND($G159-$K159-$L159,2)</f>
        <v>23886.8</v>
      </c>
      <c r="N159" s="15" t="n">
        <f aca="false">$G159/$E159</f>
        <v>53.0188333333333</v>
      </c>
      <c r="O159" s="25" t="n">
        <f aca="false">$G159/$J159</f>
        <v>0.85514247311828</v>
      </c>
      <c r="P159" s="18" t="str">
        <f aca="false">$C159&amp;" | "&amp;$D159</f>
        <v>Direct industrial | Sealants</v>
      </c>
      <c r="Q159" s="25" t="n">
        <f aca="false">INDEX('Your Floors'!$K$20:$K$31,MATCH($P159,'Your Floors'!$D$20:$D$31,0))</f>
        <v>0.834035886176071</v>
      </c>
      <c r="R159" s="18" t="str">
        <f aca="false">IF($O159&lt;$Q159,"below the floor","at or above it")</f>
        <v>at or above it</v>
      </c>
      <c r="S159" s="15" t="n">
        <f aca="false">IF($O159&lt;$Q159,$E159*ROUND($Q159*$H159,2),$G159)</f>
        <v>79528.25</v>
      </c>
      <c r="T159" s="15" t="n">
        <f aca="false">IF($O159&lt;$Q159,ROUND($L159*$S159/$G159,2),$L159)</f>
        <v>1641.45</v>
      </c>
      <c r="U159" s="15" t="n">
        <f aca="false">ROUND(($S159-$G159)-($T159-$L159),2)</f>
        <v>0</v>
      </c>
      <c r="V159" s="15" t="n">
        <f aca="false">IF($O159&lt;$Q159,ROUND($S159-$K159-$T159,2),$M159)</f>
        <v>23886.8</v>
      </c>
    </row>
    <row r="160" customFormat="false" ht="15" hidden="false" customHeight="false" outlineLevel="0" collapsed="false">
      <c r="B160" s="13" t="s">
        <v>169</v>
      </c>
      <c r="C160" s="13" t="s">
        <v>157</v>
      </c>
      <c r="D160" s="13" t="s">
        <v>56</v>
      </c>
      <c r="E160" s="24" t="n">
        <v>866</v>
      </c>
      <c r="F160" s="14" t="n">
        <v>75487.49</v>
      </c>
      <c r="G160" s="14" t="n">
        <v>73147.38</v>
      </c>
      <c r="H160" s="15" t="n">
        <f aca="false">INDEX('Your Inputs'!$C$8:$C$10,MATCH($D160,'Your Inputs'!$B$8:$B$10,0))</f>
        <v>96</v>
      </c>
      <c r="I160" s="15" t="n">
        <f aca="false">INDEX('Your Inputs'!$D$8:$D$10,MATCH($D160,'Your Inputs'!$B$8:$B$10,0))</f>
        <v>58</v>
      </c>
      <c r="J160" s="15" t="n">
        <f aca="false">ROUND($E160*$H160,2)</f>
        <v>83136</v>
      </c>
      <c r="K160" s="15" t="n">
        <f aca="false">ROUND($E160*$I160,2)</f>
        <v>50228</v>
      </c>
      <c r="L160" s="15" t="n">
        <f aca="false">ROUND($F160*'Your Inputs'!$C$31,2)</f>
        <v>1509.75</v>
      </c>
      <c r="M160" s="15" t="n">
        <f aca="false">ROUND($G160-$K160-$L160,2)</f>
        <v>21409.63</v>
      </c>
      <c r="N160" s="15" t="n">
        <f aca="false">$G160/$E160</f>
        <v>84.4657967667437</v>
      </c>
      <c r="O160" s="25" t="n">
        <f aca="false">$G160/$J160</f>
        <v>0.87985204965358</v>
      </c>
      <c r="P160" s="18" t="str">
        <f aca="false">$C160&amp;" | "&amp;$D160</f>
        <v>Direct industrial | Protective coatings</v>
      </c>
      <c r="Q160" s="25" t="n">
        <f aca="false">INDEX('Your Floors'!$K$20:$K$31,MATCH($P160,'Your Floors'!$D$20:$D$31,0))</f>
        <v>0.853768804407086</v>
      </c>
      <c r="R160" s="18" t="str">
        <f aca="false">IF($O160&lt;$Q160,"below the floor","at or above it")</f>
        <v>at or above it</v>
      </c>
      <c r="S160" s="15" t="n">
        <f aca="false">IF($O160&lt;$Q160,$E160*ROUND($Q160*$H160,2),$G160)</f>
        <v>73147.38</v>
      </c>
      <c r="T160" s="15" t="n">
        <f aca="false">IF($O160&lt;$Q160,ROUND($L160*$S160/$G160,2),$L160)</f>
        <v>1509.75</v>
      </c>
      <c r="U160" s="15" t="n">
        <f aca="false">ROUND(($S160-$G160)-($T160-$L160),2)</f>
        <v>0</v>
      </c>
      <c r="V160" s="15" t="n">
        <f aca="false">IF($O160&lt;$Q160,ROUND($S160-$K160-$T160,2),$M160)</f>
        <v>21409.63</v>
      </c>
    </row>
    <row r="161" customFormat="false" ht="15" hidden="false" customHeight="false" outlineLevel="0" collapsed="false">
      <c r="B161" s="13" t="s">
        <v>170</v>
      </c>
      <c r="C161" s="13" t="s">
        <v>157</v>
      </c>
      <c r="D161" s="13" t="s">
        <v>52</v>
      </c>
      <c r="E161" s="24" t="n">
        <v>269</v>
      </c>
      <c r="F161" s="14" t="n">
        <v>36491.68</v>
      </c>
      <c r="G161" s="14" t="n">
        <v>35542.9</v>
      </c>
      <c r="H161" s="15" t="n">
        <f aca="false">INDEX('Your Inputs'!$C$8:$C$10,MATCH($D161,'Your Inputs'!$B$8:$B$10,0))</f>
        <v>148</v>
      </c>
      <c r="I161" s="15" t="n">
        <f aca="false">INDEX('Your Inputs'!$D$8:$D$10,MATCH($D161,'Your Inputs'!$B$8:$B$10,0))</f>
        <v>78</v>
      </c>
      <c r="J161" s="15" t="n">
        <f aca="false">ROUND($E161*$H161,2)</f>
        <v>39812</v>
      </c>
      <c r="K161" s="15" t="n">
        <f aca="false">ROUND($E161*$I161,2)</f>
        <v>20982</v>
      </c>
      <c r="L161" s="15" t="n">
        <f aca="false">ROUND($F161*'Your Inputs'!$C$31,2)</f>
        <v>729.83</v>
      </c>
      <c r="M161" s="15" t="n">
        <f aca="false">ROUND($G161-$K161-$L161,2)</f>
        <v>13831.07</v>
      </c>
      <c r="N161" s="15" t="n">
        <f aca="false">$G161/$E161</f>
        <v>132.129739776952</v>
      </c>
      <c r="O161" s="25" t="n">
        <f aca="false">$G161/$J161</f>
        <v>0.89276851200643</v>
      </c>
      <c r="P161" s="18" t="str">
        <f aca="false">$C161&amp;" | "&amp;$D161</f>
        <v>Direct industrial | Structural adhesives</v>
      </c>
      <c r="Q161" s="25" t="n">
        <f aca="false">INDEX('Your Floors'!$K$20:$K$31,MATCH($P161,'Your Floors'!$D$20:$D$31,0))</f>
        <v>0.874622624783014</v>
      </c>
      <c r="R161" s="18" t="str">
        <f aca="false">IF($O161&lt;$Q161,"below the floor","at or above it")</f>
        <v>at or above it</v>
      </c>
      <c r="S161" s="15" t="n">
        <f aca="false">IF($O161&lt;$Q161,$E161*ROUND($Q161*$H161,2),$G161)</f>
        <v>35542.9</v>
      </c>
      <c r="T161" s="15" t="n">
        <f aca="false">IF($O161&lt;$Q161,ROUND($L161*$S161/$G161,2),$L161)</f>
        <v>729.83</v>
      </c>
      <c r="U161" s="15" t="n">
        <f aca="false">ROUND(($S161-$G161)-($T161-$L161),2)</f>
        <v>0</v>
      </c>
      <c r="V161" s="15" t="n">
        <f aca="false">IF($O161&lt;$Q161,ROUND($S161-$K161-$T161,2),$M161)</f>
        <v>13831.07</v>
      </c>
    </row>
    <row r="162" customFormat="false" ht="15" hidden="false" customHeight="false" outlineLevel="0" collapsed="false">
      <c r="B162" s="13" t="s">
        <v>170</v>
      </c>
      <c r="C162" s="13" t="s">
        <v>157</v>
      </c>
      <c r="D162" s="13" t="s">
        <v>54</v>
      </c>
      <c r="E162" s="24" t="n">
        <v>871</v>
      </c>
      <c r="F162" s="14" t="n">
        <v>46927.74</v>
      </c>
      <c r="G162" s="14" t="n">
        <v>45707.62</v>
      </c>
      <c r="H162" s="15" t="n">
        <f aca="false">INDEX('Your Inputs'!$C$8:$C$10,MATCH($D162,'Your Inputs'!$B$8:$B$10,0))</f>
        <v>62</v>
      </c>
      <c r="I162" s="15" t="n">
        <f aca="false">INDEX('Your Inputs'!$D$8:$D$10,MATCH($D162,'Your Inputs'!$B$8:$B$10,0))</f>
        <v>36</v>
      </c>
      <c r="J162" s="15" t="n">
        <f aca="false">ROUND($E162*$H162,2)</f>
        <v>54002</v>
      </c>
      <c r="K162" s="15" t="n">
        <f aca="false">ROUND($E162*$I162,2)</f>
        <v>31356</v>
      </c>
      <c r="L162" s="15" t="n">
        <f aca="false">ROUND($F162*'Your Inputs'!$C$31,2)</f>
        <v>938.55</v>
      </c>
      <c r="M162" s="15" t="n">
        <f aca="false">ROUND($G162-$K162-$L162,2)</f>
        <v>13413.07</v>
      </c>
      <c r="N162" s="15" t="n">
        <f aca="false">$G162/$E162</f>
        <v>52.4771756601607</v>
      </c>
      <c r="O162" s="25" t="n">
        <f aca="false">$G162/$J162</f>
        <v>0.846406059034851</v>
      </c>
      <c r="P162" s="18" t="str">
        <f aca="false">$C162&amp;" | "&amp;$D162</f>
        <v>Direct industrial | Sealants</v>
      </c>
      <c r="Q162" s="25" t="n">
        <f aca="false">INDEX('Your Floors'!$K$20:$K$31,MATCH($P162,'Your Floors'!$D$20:$D$31,0))</f>
        <v>0.834035886176071</v>
      </c>
      <c r="R162" s="18" t="str">
        <f aca="false">IF($O162&lt;$Q162,"below the floor","at or above it")</f>
        <v>at or above it</v>
      </c>
      <c r="S162" s="15" t="n">
        <f aca="false">IF($O162&lt;$Q162,$E162*ROUND($Q162*$H162,2),$G162)</f>
        <v>45707.62</v>
      </c>
      <c r="T162" s="15" t="n">
        <f aca="false">IF($O162&lt;$Q162,ROUND($L162*$S162/$G162,2),$L162)</f>
        <v>938.55</v>
      </c>
      <c r="U162" s="15" t="n">
        <f aca="false">ROUND(($S162-$G162)-($T162-$L162),2)</f>
        <v>0</v>
      </c>
      <c r="V162" s="15" t="n">
        <f aca="false">IF($O162&lt;$Q162,ROUND($S162-$K162-$T162,2),$M162)</f>
        <v>13413.07</v>
      </c>
    </row>
    <row r="163" customFormat="false" ht="15" hidden="false" customHeight="false" outlineLevel="0" collapsed="false">
      <c r="B163" s="13" t="s">
        <v>170</v>
      </c>
      <c r="C163" s="13" t="s">
        <v>157</v>
      </c>
      <c r="D163" s="13" t="s">
        <v>56</v>
      </c>
      <c r="E163" s="24" t="n">
        <v>634</v>
      </c>
      <c r="F163" s="14" t="n">
        <v>54339.38</v>
      </c>
      <c r="G163" s="14" t="n">
        <v>52926.55</v>
      </c>
      <c r="H163" s="15" t="n">
        <f aca="false">INDEX('Your Inputs'!$C$8:$C$10,MATCH($D163,'Your Inputs'!$B$8:$B$10,0))</f>
        <v>96</v>
      </c>
      <c r="I163" s="15" t="n">
        <f aca="false">INDEX('Your Inputs'!$D$8:$D$10,MATCH($D163,'Your Inputs'!$B$8:$B$10,0))</f>
        <v>58</v>
      </c>
      <c r="J163" s="15" t="n">
        <f aca="false">ROUND($E163*$H163,2)</f>
        <v>60864</v>
      </c>
      <c r="K163" s="15" t="n">
        <f aca="false">ROUND($E163*$I163,2)</f>
        <v>36772</v>
      </c>
      <c r="L163" s="15" t="n">
        <f aca="false">ROUND($F163*'Your Inputs'!$C$31,2)</f>
        <v>1086.79</v>
      </c>
      <c r="M163" s="15" t="n">
        <f aca="false">ROUND($G163-$K163-$L163,2)</f>
        <v>15067.76</v>
      </c>
      <c r="N163" s="15" t="n">
        <f aca="false">$G163/$E163</f>
        <v>83.4803627760253</v>
      </c>
      <c r="O163" s="25" t="n">
        <f aca="false">$G163/$J163</f>
        <v>0.869587112250263</v>
      </c>
      <c r="P163" s="18" t="str">
        <f aca="false">$C163&amp;" | "&amp;$D163</f>
        <v>Direct industrial | Protective coatings</v>
      </c>
      <c r="Q163" s="25" t="n">
        <f aca="false">INDEX('Your Floors'!$K$20:$K$31,MATCH($P163,'Your Floors'!$D$20:$D$31,0))</f>
        <v>0.853768804407086</v>
      </c>
      <c r="R163" s="18" t="str">
        <f aca="false">IF($O163&lt;$Q163,"below the floor","at or above it")</f>
        <v>at or above it</v>
      </c>
      <c r="S163" s="15" t="n">
        <f aca="false">IF($O163&lt;$Q163,$E163*ROUND($Q163*$H163,2),$G163)</f>
        <v>52926.55</v>
      </c>
      <c r="T163" s="15" t="n">
        <f aca="false">IF($O163&lt;$Q163,ROUND($L163*$S163/$G163,2),$L163)</f>
        <v>1086.79</v>
      </c>
      <c r="U163" s="15" t="n">
        <f aca="false">ROUND(($S163-$G163)-($T163-$L163),2)</f>
        <v>0</v>
      </c>
      <c r="V163" s="15" t="n">
        <f aca="false">IF($O163&lt;$Q163,ROUND($S163-$K163-$T163,2),$M163)</f>
        <v>15067.76</v>
      </c>
    </row>
    <row r="164" customFormat="false" ht="15" hidden="false" customHeight="false" outlineLevel="0" collapsed="false">
      <c r="B164" s="13" t="s">
        <v>171</v>
      </c>
      <c r="C164" s="13" t="s">
        <v>157</v>
      </c>
      <c r="D164" s="13" t="s">
        <v>52</v>
      </c>
      <c r="E164" s="24" t="n">
        <v>383</v>
      </c>
      <c r="F164" s="14" t="n">
        <v>49320.75</v>
      </c>
      <c r="G164" s="14" t="n">
        <v>48778.23</v>
      </c>
      <c r="H164" s="15" t="n">
        <f aca="false">INDEX('Your Inputs'!$C$8:$C$10,MATCH($D164,'Your Inputs'!$B$8:$B$10,0))</f>
        <v>148</v>
      </c>
      <c r="I164" s="15" t="n">
        <f aca="false">INDEX('Your Inputs'!$D$8:$D$10,MATCH($D164,'Your Inputs'!$B$8:$B$10,0))</f>
        <v>78</v>
      </c>
      <c r="J164" s="15" t="n">
        <f aca="false">ROUND($E164*$H164,2)</f>
        <v>56684</v>
      </c>
      <c r="K164" s="15" t="n">
        <f aca="false">ROUND($E164*$I164,2)</f>
        <v>29874</v>
      </c>
      <c r="L164" s="15" t="n">
        <f aca="false">ROUND($F164*'Your Inputs'!$C$31,2)</f>
        <v>986.42</v>
      </c>
      <c r="M164" s="15" t="n">
        <f aca="false">ROUND($G164-$K164-$L164,2)</f>
        <v>17917.81</v>
      </c>
      <c r="N164" s="15" t="n">
        <f aca="false">$G164/$E164</f>
        <v>127.358302872063</v>
      </c>
      <c r="O164" s="25" t="n">
        <f aca="false">$G164/$J164</f>
        <v>0.860529073459883</v>
      </c>
      <c r="P164" s="18" t="str">
        <f aca="false">$C164&amp;" | "&amp;$D164</f>
        <v>Direct industrial | Structural adhesives</v>
      </c>
      <c r="Q164" s="25" t="n">
        <f aca="false">INDEX('Your Floors'!$K$20:$K$31,MATCH($P164,'Your Floors'!$D$20:$D$31,0))</f>
        <v>0.874622624783014</v>
      </c>
      <c r="R164" s="18" t="str">
        <f aca="false">IF($O164&lt;$Q164,"below the floor","at or above it")</f>
        <v>below the floor</v>
      </c>
      <c r="S164" s="15" t="n">
        <f aca="false">IF($O164&lt;$Q164,$E164*ROUND($Q164*$H164,2),$G164)</f>
        <v>49575.52</v>
      </c>
      <c r="T164" s="15" t="n">
        <f aca="false">IF($O164&lt;$Q164,ROUND($L164*$S164/$G164,2),$L164)</f>
        <v>1002.54</v>
      </c>
      <c r="U164" s="15" t="n">
        <f aca="false">ROUND(($S164-$G164)-($T164-$L164),2)</f>
        <v>781.17</v>
      </c>
      <c r="V164" s="15" t="n">
        <f aca="false">IF($O164&lt;$Q164,ROUND($S164-$K164-$T164,2),$M164)</f>
        <v>18698.98</v>
      </c>
    </row>
    <row r="165" customFormat="false" ht="15" hidden="false" customHeight="false" outlineLevel="0" collapsed="false">
      <c r="B165" s="13" t="s">
        <v>171</v>
      </c>
      <c r="C165" s="13" t="s">
        <v>157</v>
      </c>
      <c r="D165" s="13" t="s">
        <v>54</v>
      </c>
      <c r="E165" s="24" t="n">
        <v>987</v>
      </c>
      <c r="F165" s="14" t="n">
        <v>47211.17</v>
      </c>
      <c r="G165" s="14" t="n">
        <v>46691.84</v>
      </c>
      <c r="H165" s="15" t="n">
        <f aca="false">INDEX('Your Inputs'!$C$8:$C$10,MATCH($D165,'Your Inputs'!$B$8:$B$10,0))</f>
        <v>62</v>
      </c>
      <c r="I165" s="15" t="n">
        <f aca="false">INDEX('Your Inputs'!$D$8:$D$10,MATCH($D165,'Your Inputs'!$B$8:$B$10,0))</f>
        <v>36</v>
      </c>
      <c r="J165" s="15" t="n">
        <f aca="false">ROUND($E165*$H165,2)</f>
        <v>61194</v>
      </c>
      <c r="K165" s="15" t="n">
        <f aca="false">ROUND($E165*$I165,2)</f>
        <v>35532</v>
      </c>
      <c r="L165" s="15" t="n">
        <f aca="false">ROUND($F165*'Your Inputs'!$C$31,2)</f>
        <v>944.22</v>
      </c>
      <c r="M165" s="15" t="n">
        <f aca="false">ROUND($G165-$K165-$L165,2)</f>
        <v>10215.62</v>
      </c>
      <c r="N165" s="15" t="n">
        <f aca="false">$G165/$E165</f>
        <v>47.3068287740628</v>
      </c>
      <c r="O165" s="25" t="n">
        <f aca="false">$G165/$J165</f>
        <v>0.763013367323594</v>
      </c>
      <c r="P165" s="18" t="str">
        <f aca="false">$C165&amp;" | "&amp;$D165</f>
        <v>Direct industrial | Sealants</v>
      </c>
      <c r="Q165" s="25" t="n">
        <f aca="false">INDEX('Your Floors'!$K$20:$K$31,MATCH($P165,'Your Floors'!$D$20:$D$31,0))</f>
        <v>0.834035886176071</v>
      </c>
      <c r="R165" s="18" t="str">
        <f aca="false">IF($O165&lt;$Q165,"below the floor","at or above it")</f>
        <v>below the floor</v>
      </c>
      <c r="S165" s="15" t="n">
        <f aca="false">IF($O165&lt;$Q165,$E165*ROUND($Q165*$H165,2),$G165)</f>
        <v>51037.77</v>
      </c>
      <c r="T165" s="15" t="n">
        <f aca="false">IF($O165&lt;$Q165,ROUND($L165*$S165/$G165,2),$L165)</f>
        <v>1032.11</v>
      </c>
      <c r="U165" s="15" t="n">
        <f aca="false">ROUND(($S165-$G165)-($T165-$L165),2)</f>
        <v>4258.04</v>
      </c>
      <c r="V165" s="15" t="n">
        <f aca="false">IF($O165&lt;$Q165,ROUND($S165-$K165-$T165,2),$M165)</f>
        <v>14473.66</v>
      </c>
    </row>
    <row r="166" customFormat="false" ht="15" hidden="false" customHeight="false" outlineLevel="0" collapsed="false">
      <c r="B166" s="13" t="s">
        <v>171</v>
      </c>
      <c r="C166" s="13" t="s">
        <v>157</v>
      </c>
      <c r="D166" s="13" t="s">
        <v>56</v>
      </c>
      <c r="E166" s="24" t="n">
        <v>542</v>
      </c>
      <c r="F166" s="14" t="n">
        <v>42707.87</v>
      </c>
      <c r="G166" s="14" t="n">
        <v>42238.08</v>
      </c>
      <c r="H166" s="15" t="n">
        <f aca="false">INDEX('Your Inputs'!$C$8:$C$10,MATCH($D166,'Your Inputs'!$B$8:$B$10,0))</f>
        <v>96</v>
      </c>
      <c r="I166" s="15" t="n">
        <f aca="false">INDEX('Your Inputs'!$D$8:$D$10,MATCH($D166,'Your Inputs'!$B$8:$B$10,0))</f>
        <v>58</v>
      </c>
      <c r="J166" s="15" t="n">
        <f aca="false">ROUND($E166*$H166,2)</f>
        <v>52032</v>
      </c>
      <c r="K166" s="15" t="n">
        <f aca="false">ROUND($E166*$I166,2)</f>
        <v>31436</v>
      </c>
      <c r="L166" s="15" t="n">
        <f aca="false">ROUND($F166*'Your Inputs'!$C$31,2)</f>
        <v>854.16</v>
      </c>
      <c r="M166" s="15" t="n">
        <f aca="false">ROUND($G166-$K166-$L166,2)</f>
        <v>9947.92</v>
      </c>
      <c r="N166" s="15" t="n">
        <f aca="false">$G166/$E166</f>
        <v>77.930036900369</v>
      </c>
      <c r="O166" s="25" t="n">
        <f aca="false">$G166/$J166</f>
        <v>0.811771217712177</v>
      </c>
      <c r="P166" s="18" t="str">
        <f aca="false">$C166&amp;" | "&amp;$D166</f>
        <v>Direct industrial | Protective coatings</v>
      </c>
      <c r="Q166" s="25" t="n">
        <f aca="false">INDEX('Your Floors'!$K$20:$K$31,MATCH($P166,'Your Floors'!$D$20:$D$31,0))</f>
        <v>0.853768804407086</v>
      </c>
      <c r="R166" s="18" t="str">
        <f aca="false">IF($O166&lt;$Q166,"below the floor","at or above it")</f>
        <v>below the floor</v>
      </c>
      <c r="S166" s="15" t="n">
        <f aca="false">IF($O166&lt;$Q166,$E166*ROUND($Q166*$H166,2),$G166)</f>
        <v>44422.32</v>
      </c>
      <c r="T166" s="15" t="n">
        <f aca="false">IF($O166&lt;$Q166,ROUND($L166*$S166/$G166,2),$L166)</f>
        <v>898.33</v>
      </c>
      <c r="U166" s="15" t="n">
        <f aca="false">ROUND(($S166-$G166)-($T166-$L166),2)</f>
        <v>2140.07</v>
      </c>
      <c r="V166" s="15" t="n">
        <f aca="false">IF($O166&lt;$Q166,ROUND($S166-$K166-$T166,2),$M166)</f>
        <v>12087.99</v>
      </c>
    </row>
    <row r="167" customFormat="false" ht="15" hidden="false" customHeight="false" outlineLevel="0" collapsed="false">
      <c r="B167" s="13" t="s">
        <v>172</v>
      </c>
      <c r="C167" s="13" t="s">
        <v>157</v>
      </c>
      <c r="D167" s="13" t="s">
        <v>52</v>
      </c>
      <c r="E167" s="24" t="n">
        <v>177</v>
      </c>
      <c r="F167" s="14" t="n">
        <v>23966.72</v>
      </c>
      <c r="G167" s="14" t="n">
        <v>23703.09</v>
      </c>
      <c r="H167" s="15" t="n">
        <f aca="false">INDEX('Your Inputs'!$C$8:$C$10,MATCH($D167,'Your Inputs'!$B$8:$B$10,0))</f>
        <v>148</v>
      </c>
      <c r="I167" s="15" t="n">
        <f aca="false">INDEX('Your Inputs'!$D$8:$D$10,MATCH($D167,'Your Inputs'!$B$8:$B$10,0))</f>
        <v>78</v>
      </c>
      <c r="J167" s="15" t="n">
        <f aca="false">ROUND($E167*$H167,2)</f>
        <v>26196</v>
      </c>
      <c r="K167" s="15" t="n">
        <f aca="false">ROUND($E167*$I167,2)</f>
        <v>13806</v>
      </c>
      <c r="L167" s="15" t="n">
        <f aca="false">ROUND($F167*'Your Inputs'!$C$31,2)</f>
        <v>479.33</v>
      </c>
      <c r="M167" s="15" t="n">
        <f aca="false">ROUND($G167-$K167-$L167,2)</f>
        <v>9417.76</v>
      </c>
      <c r="N167" s="15" t="n">
        <f aca="false">$G167/$E167</f>
        <v>133.915762711864</v>
      </c>
      <c r="O167" s="25" t="n">
        <f aca="false">$G167/$J167</f>
        <v>0.904836234539624</v>
      </c>
      <c r="P167" s="18" t="str">
        <f aca="false">$C167&amp;" | "&amp;$D167</f>
        <v>Direct industrial | Structural adhesives</v>
      </c>
      <c r="Q167" s="25" t="n">
        <f aca="false">INDEX('Your Floors'!$K$20:$K$31,MATCH($P167,'Your Floors'!$D$20:$D$31,0))</f>
        <v>0.874622624783014</v>
      </c>
      <c r="R167" s="18" t="str">
        <f aca="false">IF($O167&lt;$Q167,"below the floor","at or above it")</f>
        <v>at or above it</v>
      </c>
      <c r="S167" s="15" t="n">
        <f aca="false">IF($O167&lt;$Q167,$E167*ROUND($Q167*$H167,2),$G167)</f>
        <v>23703.09</v>
      </c>
      <c r="T167" s="15" t="n">
        <f aca="false">IF($O167&lt;$Q167,ROUND($L167*$S167/$G167,2),$L167)</f>
        <v>479.33</v>
      </c>
      <c r="U167" s="15" t="n">
        <f aca="false">ROUND(($S167-$G167)-($T167-$L167),2)</f>
        <v>0</v>
      </c>
      <c r="V167" s="15" t="n">
        <f aca="false">IF($O167&lt;$Q167,ROUND($S167-$K167-$T167,2),$M167)</f>
        <v>9417.76</v>
      </c>
    </row>
    <row r="168" customFormat="false" ht="15" hidden="false" customHeight="false" outlineLevel="0" collapsed="false">
      <c r="B168" s="13" t="s">
        <v>172</v>
      </c>
      <c r="C168" s="13" t="s">
        <v>157</v>
      </c>
      <c r="D168" s="13" t="s">
        <v>54</v>
      </c>
      <c r="E168" s="24" t="n">
        <v>787</v>
      </c>
      <c r="F168" s="14" t="n">
        <v>41157.74</v>
      </c>
      <c r="G168" s="14" t="n">
        <v>40705</v>
      </c>
      <c r="H168" s="15" t="n">
        <f aca="false">INDEX('Your Inputs'!$C$8:$C$10,MATCH($D168,'Your Inputs'!$B$8:$B$10,0))</f>
        <v>62</v>
      </c>
      <c r="I168" s="15" t="n">
        <f aca="false">INDEX('Your Inputs'!$D$8:$D$10,MATCH($D168,'Your Inputs'!$B$8:$B$10,0))</f>
        <v>36</v>
      </c>
      <c r="J168" s="15" t="n">
        <f aca="false">ROUND($E168*$H168,2)</f>
        <v>48794</v>
      </c>
      <c r="K168" s="15" t="n">
        <f aca="false">ROUND($E168*$I168,2)</f>
        <v>28332</v>
      </c>
      <c r="L168" s="15" t="n">
        <f aca="false">ROUND($F168*'Your Inputs'!$C$31,2)</f>
        <v>823.15</v>
      </c>
      <c r="M168" s="15" t="n">
        <f aca="false">ROUND($G168-$K168-$L168,2)</f>
        <v>11549.85</v>
      </c>
      <c r="N168" s="15" t="n">
        <f aca="false">$G168/$E168</f>
        <v>51.7217280813215</v>
      </c>
      <c r="O168" s="25" t="n">
        <f aca="false">$G168/$J168</f>
        <v>0.834221420666475</v>
      </c>
      <c r="P168" s="18" t="str">
        <f aca="false">$C168&amp;" | "&amp;$D168</f>
        <v>Direct industrial | Sealants</v>
      </c>
      <c r="Q168" s="25" t="n">
        <f aca="false">INDEX('Your Floors'!$K$20:$K$31,MATCH($P168,'Your Floors'!$D$20:$D$31,0))</f>
        <v>0.834035886176071</v>
      </c>
      <c r="R168" s="18" t="str">
        <f aca="false">IF($O168&lt;$Q168,"below the floor","at or above it")</f>
        <v>at or above it</v>
      </c>
      <c r="S168" s="15" t="n">
        <f aca="false">IF($O168&lt;$Q168,$E168*ROUND($Q168*$H168,2),$G168)</f>
        <v>40705</v>
      </c>
      <c r="T168" s="15" t="n">
        <f aca="false">IF($O168&lt;$Q168,ROUND($L168*$S168/$G168,2),$L168)</f>
        <v>823.15</v>
      </c>
      <c r="U168" s="15" t="n">
        <f aca="false">ROUND(($S168-$G168)-($T168-$L168),2)</f>
        <v>0</v>
      </c>
      <c r="V168" s="15" t="n">
        <f aca="false">IF($O168&lt;$Q168,ROUND($S168-$K168-$T168,2),$M168)</f>
        <v>11549.85</v>
      </c>
    </row>
    <row r="169" customFormat="false" ht="15" hidden="false" customHeight="false" outlineLevel="0" collapsed="false">
      <c r="B169" s="13" t="s">
        <v>172</v>
      </c>
      <c r="C169" s="13" t="s">
        <v>157</v>
      </c>
      <c r="D169" s="13" t="s">
        <v>56</v>
      </c>
      <c r="E169" s="24" t="n">
        <v>367</v>
      </c>
      <c r="F169" s="14" t="n">
        <v>30975.97</v>
      </c>
      <c r="G169" s="14" t="n">
        <v>30635.23</v>
      </c>
      <c r="H169" s="15" t="n">
        <f aca="false">INDEX('Your Inputs'!$C$8:$C$10,MATCH($D169,'Your Inputs'!$B$8:$B$10,0))</f>
        <v>96</v>
      </c>
      <c r="I169" s="15" t="n">
        <f aca="false">INDEX('Your Inputs'!$D$8:$D$10,MATCH($D169,'Your Inputs'!$B$8:$B$10,0))</f>
        <v>58</v>
      </c>
      <c r="J169" s="15" t="n">
        <f aca="false">ROUND($E169*$H169,2)</f>
        <v>35232</v>
      </c>
      <c r="K169" s="15" t="n">
        <f aca="false">ROUND($E169*$I169,2)</f>
        <v>21286</v>
      </c>
      <c r="L169" s="15" t="n">
        <f aca="false">ROUND($F169*'Your Inputs'!$C$31,2)</f>
        <v>619.52</v>
      </c>
      <c r="M169" s="15" t="n">
        <f aca="false">ROUND($G169-$K169-$L169,2)</f>
        <v>8729.71</v>
      </c>
      <c r="N169" s="15" t="n">
        <f aca="false">$G169/$E169</f>
        <v>83.4747411444142</v>
      </c>
      <c r="O169" s="25" t="n">
        <f aca="false">$G169/$J169</f>
        <v>0.869528553587648</v>
      </c>
      <c r="P169" s="18" t="str">
        <f aca="false">$C169&amp;" | "&amp;$D169</f>
        <v>Direct industrial | Protective coatings</v>
      </c>
      <c r="Q169" s="25" t="n">
        <f aca="false">INDEX('Your Floors'!$K$20:$K$31,MATCH($P169,'Your Floors'!$D$20:$D$31,0))</f>
        <v>0.853768804407086</v>
      </c>
      <c r="R169" s="18" t="str">
        <f aca="false">IF($O169&lt;$Q169,"below the floor","at or above it")</f>
        <v>at or above it</v>
      </c>
      <c r="S169" s="15" t="n">
        <f aca="false">IF($O169&lt;$Q169,$E169*ROUND($Q169*$H169,2),$G169)</f>
        <v>30635.23</v>
      </c>
      <c r="T169" s="15" t="n">
        <f aca="false">IF($O169&lt;$Q169,ROUND($L169*$S169/$G169,2),$L169)</f>
        <v>619.52</v>
      </c>
      <c r="U169" s="15" t="n">
        <f aca="false">ROUND(($S169-$G169)-($T169-$L169),2)</f>
        <v>0</v>
      </c>
      <c r="V169" s="15" t="n">
        <f aca="false">IF($O169&lt;$Q169,ROUND($S169-$K169-$T169,2),$M169)</f>
        <v>8729.71</v>
      </c>
    </row>
    <row r="170" customFormat="false" ht="15" hidden="false" customHeight="false" outlineLevel="0" collapsed="false">
      <c r="B170" s="13" t="s">
        <v>173</v>
      </c>
      <c r="C170" s="13" t="s">
        <v>157</v>
      </c>
      <c r="D170" s="13" t="s">
        <v>52</v>
      </c>
      <c r="E170" s="24" t="n">
        <v>1553</v>
      </c>
      <c r="F170" s="14" t="n">
        <v>199274.75</v>
      </c>
      <c r="G170" s="14" t="n">
        <v>190108.11</v>
      </c>
      <c r="H170" s="15" t="n">
        <f aca="false">INDEX('Your Inputs'!$C$8:$C$10,MATCH($D170,'Your Inputs'!$B$8:$B$10,0))</f>
        <v>148</v>
      </c>
      <c r="I170" s="15" t="n">
        <f aca="false">INDEX('Your Inputs'!$D$8:$D$10,MATCH($D170,'Your Inputs'!$B$8:$B$10,0))</f>
        <v>78</v>
      </c>
      <c r="J170" s="15" t="n">
        <f aca="false">ROUND($E170*$H170,2)</f>
        <v>229844</v>
      </c>
      <c r="K170" s="15" t="n">
        <f aca="false">ROUND($E170*$I170,2)</f>
        <v>121134</v>
      </c>
      <c r="L170" s="15" t="n">
        <f aca="false">ROUND($F170*'Your Inputs'!$C$31,2)</f>
        <v>3985.5</v>
      </c>
      <c r="M170" s="15" t="n">
        <f aca="false">ROUND($G170-$K170-$L170,2)</f>
        <v>64988.61</v>
      </c>
      <c r="N170" s="15" t="n">
        <f aca="false">$G170/$E170</f>
        <v>122.413464262717</v>
      </c>
      <c r="O170" s="25" t="n">
        <f aca="false">$G170/$J170</f>
        <v>0.827118001775117</v>
      </c>
      <c r="P170" s="18" t="str">
        <f aca="false">$C170&amp;" | "&amp;$D170</f>
        <v>Direct industrial | Structural adhesives</v>
      </c>
      <c r="Q170" s="25" t="n">
        <f aca="false">INDEX('Your Floors'!$K$20:$K$31,MATCH($P170,'Your Floors'!$D$20:$D$31,0))</f>
        <v>0.874622624783014</v>
      </c>
      <c r="R170" s="18" t="str">
        <f aca="false">IF($O170&lt;$Q170,"below the floor","at or above it")</f>
        <v>below the floor</v>
      </c>
      <c r="S170" s="15" t="n">
        <f aca="false">IF($O170&lt;$Q170,$E170*ROUND($Q170*$H170,2),$G170)</f>
        <v>201020.32</v>
      </c>
      <c r="T170" s="15" t="n">
        <f aca="false">IF($O170&lt;$Q170,ROUND($L170*$S170/$G170,2),$L170)</f>
        <v>4214.27</v>
      </c>
      <c r="U170" s="15" t="n">
        <f aca="false">ROUND(($S170-$G170)-($T170-$L170),2)</f>
        <v>10683.44</v>
      </c>
      <c r="V170" s="15" t="n">
        <f aca="false">IF($O170&lt;$Q170,ROUND($S170-$K170-$T170,2),$M170)</f>
        <v>75672.05</v>
      </c>
    </row>
    <row r="171" customFormat="false" ht="15" hidden="false" customHeight="false" outlineLevel="0" collapsed="false">
      <c r="B171" s="13" t="s">
        <v>173</v>
      </c>
      <c r="C171" s="13" t="s">
        <v>157</v>
      </c>
      <c r="D171" s="13" t="s">
        <v>56</v>
      </c>
      <c r="E171" s="24" t="n">
        <v>2133</v>
      </c>
      <c r="F171" s="14" t="n">
        <v>167090.69</v>
      </c>
      <c r="G171" s="14" t="n">
        <v>159404.53</v>
      </c>
      <c r="H171" s="15" t="n">
        <f aca="false">INDEX('Your Inputs'!$C$8:$C$10,MATCH($D171,'Your Inputs'!$B$8:$B$10,0))</f>
        <v>96</v>
      </c>
      <c r="I171" s="15" t="n">
        <f aca="false">INDEX('Your Inputs'!$D$8:$D$10,MATCH($D171,'Your Inputs'!$B$8:$B$10,0))</f>
        <v>58</v>
      </c>
      <c r="J171" s="15" t="n">
        <f aca="false">ROUND($E171*$H171,2)</f>
        <v>204768</v>
      </c>
      <c r="K171" s="15" t="n">
        <f aca="false">ROUND($E171*$I171,2)</f>
        <v>123714</v>
      </c>
      <c r="L171" s="15" t="n">
        <f aca="false">ROUND($F171*'Your Inputs'!$C$31,2)</f>
        <v>3341.81</v>
      </c>
      <c r="M171" s="15" t="n">
        <f aca="false">ROUND($G171-$K171-$L171,2)</f>
        <v>32348.72</v>
      </c>
      <c r="N171" s="15" t="n">
        <f aca="false">$G171/$E171</f>
        <v>74.7325503984998</v>
      </c>
      <c r="O171" s="25" t="n">
        <f aca="false">$G171/$J171</f>
        <v>0.778464066651039</v>
      </c>
      <c r="P171" s="18" t="str">
        <f aca="false">$C171&amp;" | "&amp;$D171</f>
        <v>Direct industrial | Protective coatings</v>
      </c>
      <c r="Q171" s="25" t="n">
        <f aca="false">INDEX('Your Floors'!$K$20:$K$31,MATCH($P171,'Your Floors'!$D$20:$D$31,0))</f>
        <v>0.853768804407086</v>
      </c>
      <c r="R171" s="18" t="str">
        <f aca="false">IF($O171&lt;$Q171,"below the floor","at or above it")</f>
        <v>below the floor</v>
      </c>
      <c r="S171" s="15" t="n">
        <f aca="false">IF($O171&lt;$Q171,$E171*ROUND($Q171*$H171,2),$G171)</f>
        <v>174820.68</v>
      </c>
      <c r="T171" s="15" t="n">
        <f aca="false">IF($O171&lt;$Q171,ROUND($L171*$S171/$G171,2),$L171)</f>
        <v>3665</v>
      </c>
      <c r="U171" s="15" t="n">
        <f aca="false">ROUND(($S171-$G171)-($T171-$L171),2)</f>
        <v>15092.96</v>
      </c>
      <c r="V171" s="15" t="n">
        <f aca="false">IF($O171&lt;$Q171,ROUND($S171-$K171-$T171,2),$M171)</f>
        <v>47441.68</v>
      </c>
    </row>
    <row r="172" customFormat="false" ht="15" hidden="false" customHeight="false" outlineLevel="0" collapsed="false">
      <c r="B172" s="13" t="s">
        <v>174</v>
      </c>
      <c r="C172" s="13" t="s">
        <v>157</v>
      </c>
      <c r="D172" s="13" t="s">
        <v>54</v>
      </c>
      <c r="E172" s="24" t="n">
        <v>3002</v>
      </c>
      <c r="F172" s="14" t="n">
        <v>172630.01</v>
      </c>
      <c r="G172" s="14" t="n">
        <v>163825.88</v>
      </c>
      <c r="H172" s="15" t="n">
        <f aca="false">INDEX('Your Inputs'!$C$8:$C$10,MATCH($D172,'Your Inputs'!$B$8:$B$10,0))</f>
        <v>62</v>
      </c>
      <c r="I172" s="15" t="n">
        <f aca="false">INDEX('Your Inputs'!$D$8:$D$10,MATCH($D172,'Your Inputs'!$B$8:$B$10,0))</f>
        <v>36</v>
      </c>
      <c r="J172" s="15" t="n">
        <f aca="false">ROUND($E172*$H172,2)</f>
        <v>186124</v>
      </c>
      <c r="K172" s="15" t="n">
        <f aca="false">ROUND($E172*$I172,2)</f>
        <v>108072</v>
      </c>
      <c r="L172" s="15" t="n">
        <f aca="false">ROUND($F172*'Your Inputs'!$C$31,2)</f>
        <v>3452.6</v>
      </c>
      <c r="M172" s="15" t="n">
        <f aca="false">ROUND($G172-$K172-$L172,2)</f>
        <v>52301.28</v>
      </c>
      <c r="N172" s="15" t="n">
        <f aca="false">$G172/$E172</f>
        <v>54.5722451698867</v>
      </c>
      <c r="O172" s="25" t="n">
        <f aca="false">$G172/$J172</f>
        <v>0.880197502740109</v>
      </c>
      <c r="P172" s="18" t="str">
        <f aca="false">$C172&amp;" | "&amp;$D172</f>
        <v>Direct industrial | Sealants</v>
      </c>
      <c r="Q172" s="25" t="n">
        <f aca="false">INDEX('Your Floors'!$K$20:$K$31,MATCH($P172,'Your Floors'!$D$20:$D$31,0))</f>
        <v>0.834035886176071</v>
      </c>
      <c r="R172" s="18" t="str">
        <f aca="false">IF($O172&lt;$Q172,"below the floor","at or above it")</f>
        <v>at or above it</v>
      </c>
      <c r="S172" s="15" t="n">
        <f aca="false">IF($O172&lt;$Q172,$E172*ROUND($Q172*$H172,2),$G172)</f>
        <v>163825.88</v>
      </c>
      <c r="T172" s="15" t="n">
        <f aca="false">IF($O172&lt;$Q172,ROUND($L172*$S172/$G172,2),$L172)</f>
        <v>3452.6</v>
      </c>
      <c r="U172" s="15" t="n">
        <f aca="false">ROUND(($S172-$G172)-($T172-$L172),2)</f>
        <v>0</v>
      </c>
      <c r="V172" s="15" t="n">
        <f aca="false">IF($O172&lt;$Q172,ROUND($S172-$K172-$T172,2),$M172)</f>
        <v>52301.28</v>
      </c>
    </row>
    <row r="173" customFormat="false" ht="15" hidden="false" customHeight="false" outlineLevel="0" collapsed="false">
      <c r="B173" s="13" t="s">
        <v>174</v>
      </c>
      <c r="C173" s="13" t="s">
        <v>157</v>
      </c>
      <c r="D173" s="13" t="s">
        <v>56</v>
      </c>
      <c r="E173" s="24" t="n">
        <v>1094</v>
      </c>
      <c r="F173" s="14" t="n">
        <v>98302.46</v>
      </c>
      <c r="G173" s="14" t="n">
        <v>93289.04</v>
      </c>
      <c r="H173" s="15" t="n">
        <f aca="false">INDEX('Your Inputs'!$C$8:$C$10,MATCH($D173,'Your Inputs'!$B$8:$B$10,0))</f>
        <v>96</v>
      </c>
      <c r="I173" s="15" t="n">
        <f aca="false">INDEX('Your Inputs'!$D$8:$D$10,MATCH($D173,'Your Inputs'!$B$8:$B$10,0))</f>
        <v>58</v>
      </c>
      <c r="J173" s="15" t="n">
        <f aca="false">ROUND($E173*$H173,2)</f>
        <v>105024</v>
      </c>
      <c r="K173" s="15" t="n">
        <f aca="false">ROUND($E173*$I173,2)</f>
        <v>63452</v>
      </c>
      <c r="L173" s="15" t="n">
        <f aca="false">ROUND($F173*'Your Inputs'!$C$31,2)</f>
        <v>1966.05</v>
      </c>
      <c r="M173" s="15" t="n">
        <f aca="false">ROUND($G173-$K173-$L173,2)</f>
        <v>27870.99</v>
      </c>
      <c r="N173" s="15" t="n">
        <f aca="false">$G173/$E173</f>
        <v>85.2733455210238</v>
      </c>
      <c r="O173" s="25" t="n">
        <f aca="false">$G173/$J173</f>
        <v>0.888264015843998</v>
      </c>
      <c r="P173" s="18" t="str">
        <f aca="false">$C173&amp;" | "&amp;$D173</f>
        <v>Direct industrial | Protective coatings</v>
      </c>
      <c r="Q173" s="25" t="n">
        <f aca="false">INDEX('Your Floors'!$K$20:$K$31,MATCH($P173,'Your Floors'!$D$20:$D$31,0))</f>
        <v>0.853768804407086</v>
      </c>
      <c r="R173" s="18" t="str">
        <f aca="false">IF($O173&lt;$Q173,"below the floor","at or above it")</f>
        <v>at or above it</v>
      </c>
      <c r="S173" s="15" t="n">
        <f aca="false">IF($O173&lt;$Q173,$E173*ROUND($Q173*$H173,2),$G173)</f>
        <v>93289.04</v>
      </c>
      <c r="T173" s="15" t="n">
        <f aca="false">IF($O173&lt;$Q173,ROUND($L173*$S173/$G173,2),$L173)</f>
        <v>1966.05</v>
      </c>
      <c r="U173" s="15" t="n">
        <f aca="false">ROUND(($S173-$G173)-($T173-$L173),2)</f>
        <v>0</v>
      </c>
      <c r="V173" s="15" t="n">
        <f aca="false">IF($O173&lt;$Q173,ROUND($S173-$K173-$T173,2),$M173)</f>
        <v>27870.99</v>
      </c>
    </row>
    <row r="174" customFormat="false" ht="15" hidden="false" customHeight="false" outlineLevel="0" collapsed="false">
      <c r="B174" s="13" t="s">
        <v>175</v>
      </c>
      <c r="C174" s="13" t="s">
        <v>157</v>
      </c>
      <c r="D174" s="13" t="s">
        <v>52</v>
      </c>
      <c r="E174" s="24" t="n">
        <v>397</v>
      </c>
      <c r="F174" s="14" t="n">
        <v>54584.32</v>
      </c>
      <c r="G174" s="14" t="n">
        <v>53165.13</v>
      </c>
      <c r="H174" s="15" t="n">
        <f aca="false">INDEX('Your Inputs'!$C$8:$C$10,MATCH($D174,'Your Inputs'!$B$8:$B$10,0))</f>
        <v>148</v>
      </c>
      <c r="I174" s="15" t="n">
        <f aca="false">INDEX('Your Inputs'!$D$8:$D$10,MATCH($D174,'Your Inputs'!$B$8:$B$10,0))</f>
        <v>78</v>
      </c>
      <c r="J174" s="15" t="n">
        <f aca="false">ROUND($E174*$H174,2)</f>
        <v>58756</v>
      </c>
      <c r="K174" s="15" t="n">
        <f aca="false">ROUND($E174*$I174,2)</f>
        <v>30966</v>
      </c>
      <c r="L174" s="15" t="n">
        <f aca="false">ROUND($F174*'Your Inputs'!$C$31,2)</f>
        <v>1091.69</v>
      </c>
      <c r="M174" s="15" t="n">
        <f aca="false">ROUND($G174-$K174-$L174,2)</f>
        <v>21107.44</v>
      </c>
      <c r="N174" s="15" t="n">
        <f aca="false">$G174/$E174</f>
        <v>133.917204030227</v>
      </c>
      <c r="O174" s="25" t="n">
        <f aca="false">$G174/$J174</f>
        <v>0.904845973177207</v>
      </c>
      <c r="P174" s="18" t="str">
        <f aca="false">$C174&amp;" | "&amp;$D174</f>
        <v>Direct industrial | Structural adhesives</v>
      </c>
      <c r="Q174" s="25" t="n">
        <f aca="false">INDEX('Your Floors'!$K$20:$K$31,MATCH($P174,'Your Floors'!$D$20:$D$31,0))</f>
        <v>0.874622624783014</v>
      </c>
      <c r="R174" s="18" t="str">
        <f aca="false">IF($O174&lt;$Q174,"below the floor","at or above it")</f>
        <v>at or above it</v>
      </c>
      <c r="S174" s="15" t="n">
        <f aca="false">IF($O174&lt;$Q174,$E174*ROUND($Q174*$H174,2),$G174)</f>
        <v>53165.13</v>
      </c>
      <c r="T174" s="15" t="n">
        <f aca="false">IF($O174&lt;$Q174,ROUND($L174*$S174/$G174,2),$L174)</f>
        <v>1091.69</v>
      </c>
      <c r="U174" s="15" t="n">
        <f aca="false">ROUND(($S174-$G174)-($T174-$L174),2)</f>
        <v>0</v>
      </c>
      <c r="V174" s="15" t="n">
        <f aca="false">IF($O174&lt;$Q174,ROUND($S174-$K174-$T174,2),$M174)</f>
        <v>21107.44</v>
      </c>
    </row>
    <row r="175" customFormat="false" ht="15" hidden="false" customHeight="false" outlineLevel="0" collapsed="false">
      <c r="B175" s="13" t="s">
        <v>175</v>
      </c>
      <c r="C175" s="13" t="s">
        <v>157</v>
      </c>
      <c r="D175" s="13" t="s">
        <v>54</v>
      </c>
      <c r="E175" s="24" t="n">
        <v>1506</v>
      </c>
      <c r="F175" s="14" t="n">
        <v>83567.94</v>
      </c>
      <c r="G175" s="14" t="n">
        <v>81395.17</v>
      </c>
      <c r="H175" s="15" t="n">
        <f aca="false">INDEX('Your Inputs'!$C$8:$C$10,MATCH($D175,'Your Inputs'!$B$8:$B$10,0))</f>
        <v>62</v>
      </c>
      <c r="I175" s="15" t="n">
        <f aca="false">INDEX('Your Inputs'!$D$8:$D$10,MATCH($D175,'Your Inputs'!$B$8:$B$10,0))</f>
        <v>36</v>
      </c>
      <c r="J175" s="15" t="n">
        <f aca="false">ROUND($E175*$H175,2)</f>
        <v>93372</v>
      </c>
      <c r="K175" s="15" t="n">
        <f aca="false">ROUND($E175*$I175,2)</f>
        <v>54216</v>
      </c>
      <c r="L175" s="15" t="n">
        <f aca="false">ROUND($F175*'Your Inputs'!$C$31,2)</f>
        <v>1671.36</v>
      </c>
      <c r="M175" s="15" t="n">
        <f aca="false">ROUND($G175-$K175-$L175,2)</f>
        <v>25507.81</v>
      </c>
      <c r="N175" s="15" t="n">
        <f aca="false">$G175/$E175</f>
        <v>54.0472576361222</v>
      </c>
      <c r="O175" s="25" t="n">
        <f aca="false">$G175/$J175</f>
        <v>0.871729961872938</v>
      </c>
      <c r="P175" s="18" t="str">
        <f aca="false">$C175&amp;" | "&amp;$D175</f>
        <v>Direct industrial | Sealants</v>
      </c>
      <c r="Q175" s="25" t="n">
        <f aca="false">INDEX('Your Floors'!$K$20:$K$31,MATCH($P175,'Your Floors'!$D$20:$D$31,0))</f>
        <v>0.834035886176071</v>
      </c>
      <c r="R175" s="18" t="str">
        <f aca="false">IF($O175&lt;$Q175,"below the floor","at or above it")</f>
        <v>at or above it</v>
      </c>
      <c r="S175" s="15" t="n">
        <f aca="false">IF($O175&lt;$Q175,$E175*ROUND($Q175*$H175,2),$G175)</f>
        <v>81395.17</v>
      </c>
      <c r="T175" s="15" t="n">
        <f aca="false">IF($O175&lt;$Q175,ROUND($L175*$S175/$G175,2),$L175)</f>
        <v>1671.36</v>
      </c>
      <c r="U175" s="15" t="n">
        <f aca="false">ROUND(($S175-$G175)-($T175-$L175),2)</f>
        <v>0</v>
      </c>
      <c r="V175" s="15" t="n">
        <f aca="false">IF($O175&lt;$Q175,ROUND($S175-$K175-$T175,2),$M175)</f>
        <v>25507.81</v>
      </c>
    </row>
    <row r="176" customFormat="false" ht="15" hidden="false" customHeight="false" outlineLevel="0" collapsed="false">
      <c r="B176" s="13" t="s">
        <v>175</v>
      </c>
      <c r="C176" s="13" t="s">
        <v>157</v>
      </c>
      <c r="D176" s="13" t="s">
        <v>56</v>
      </c>
      <c r="E176" s="24" t="n">
        <v>625</v>
      </c>
      <c r="F176" s="14" t="n">
        <v>54720</v>
      </c>
      <c r="G176" s="14" t="n">
        <v>53297.28</v>
      </c>
      <c r="H176" s="15" t="n">
        <f aca="false">INDEX('Your Inputs'!$C$8:$C$10,MATCH($D176,'Your Inputs'!$B$8:$B$10,0))</f>
        <v>96</v>
      </c>
      <c r="I176" s="15" t="n">
        <f aca="false">INDEX('Your Inputs'!$D$8:$D$10,MATCH($D176,'Your Inputs'!$B$8:$B$10,0))</f>
        <v>58</v>
      </c>
      <c r="J176" s="15" t="n">
        <f aca="false">ROUND($E176*$H176,2)</f>
        <v>60000</v>
      </c>
      <c r="K176" s="15" t="n">
        <f aca="false">ROUND($E176*$I176,2)</f>
        <v>36250</v>
      </c>
      <c r="L176" s="15" t="n">
        <f aca="false">ROUND($F176*'Your Inputs'!$C$31,2)</f>
        <v>1094.4</v>
      </c>
      <c r="M176" s="15" t="n">
        <f aca="false">ROUND($G176-$K176-$L176,2)</f>
        <v>15952.88</v>
      </c>
      <c r="N176" s="15" t="n">
        <f aca="false">$G176/$E176</f>
        <v>85.275648</v>
      </c>
      <c r="O176" s="25" t="n">
        <f aca="false">$G176/$J176</f>
        <v>0.888288</v>
      </c>
      <c r="P176" s="18" t="str">
        <f aca="false">$C176&amp;" | "&amp;$D176</f>
        <v>Direct industrial | Protective coatings</v>
      </c>
      <c r="Q176" s="25" t="n">
        <f aca="false">INDEX('Your Floors'!$K$20:$K$31,MATCH($P176,'Your Floors'!$D$20:$D$31,0))</f>
        <v>0.853768804407086</v>
      </c>
      <c r="R176" s="18" t="str">
        <f aca="false">IF($O176&lt;$Q176,"below the floor","at or above it")</f>
        <v>at or above it</v>
      </c>
      <c r="S176" s="15" t="n">
        <f aca="false">IF($O176&lt;$Q176,$E176*ROUND($Q176*$H176,2),$G176)</f>
        <v>53297.28</v>
      </c>
      <c r="T176" s="15" t="n">
        <f aca="false">IF($O176&lt;$Q176,ROUND($L176*$S176/$G176,2),$L176)</f>
        <v>1094.4</v>
      </c>
      <c r="U176" s="15" t="n">
        <f aca="false">ROUND(($S176-$G176)-($T176-$L176),2)</f>
        <v>0</v>
      </c>
      <c r="V176" s="15" t="n">
        <f aca="false">IF($O176&lt;$Q176,ROUND($S176-$K176-$T176,2),$M176)</f>
        <v>15952.88</v>
      </c>
    </row>
    <row r="177" customFormat="false" ht="15" hidden="false" customHeight="false" outlineLevel="0" collapsed="false">
      <c r="B177" s="13" t="s">
        <v>176</v>
      </c>
      <c r="C177" s="13" t="s">
        <v>157</v>
      </c>
      <c r="D177" s="13" t="s">
        <v>52</v>
      </c>
      <c r="E177" s="24" t="n">
        <v>541</v>
      </c>
      <c r="F177" s="14" t="n">
        <v>76865.28</v>
      </c>
      <c r="G177" s="14" t="n">
        <v>76404.09</v>
      </c>
      <c r="H177" s="15" t="n">
        <f aca="false">INDEX('Your Inputs'!$C$8:$C$10,MATCH($D177,'Your Inputs'!$B$8:$B$10,0))</f>
        <v>148</v>
      </c>
      <c r="I177" s="15" t="n">
        <f aca="false">INDEX('Your Inputs'!$D$8:$D$10,MATCH($D177,'Your Inputs'!$B$8:$B$10,0))</f>
        <v>78</v>
      </c>
      <c r="J177" s="15" t="n">
        <f aca="false">ROUND($E177*$H177,2)</f>
        <v>80068</v>
      </c>
      <c r="K177" s="15" t="n">
        <f aca="false">ROUND($E177*$I177,2)</f>
        <v>42198</v>
      </c>
      <c r="L177" s="15" t="n">
        <f aca="false">ROUND($F177*'Your Inputs'!$C$31,2)</f>
        <v>1537.31</v>
      </c>
      <c r="M177" s="15" t="n">
        <f aca="false">ROUND($G177-$K177-$L177,2)</f>
        <v>32668.78</v>
      </c>
      <c r="N177" s="15" t="n">
        <f aca="false">$G177/$E177</f>
        <v>141.22752310536</v>
      </c>
      <c r="O177" s="25" t="n">
        <f aca="false">$G177/$J177</f>
        <v>0.954240020982165</v>
      </c>
      <c r="P177" s="18" t="str">
        <f aca="false">$C177&amp;" | "&amp;$D177</f>
        <v>Direct industrial | Structural adhesives</v>
      </c>
      <c r="Q177" s="25" t="n">
        <f aca="false">INDEX('Your Floors'!$K$20:$K$31,MATCH($P177,'Your Floors'!$D$20:$D$31,0))</f>
        <v>0.874622624783014</v>
      </c>
      <c r="R177" s="18" t="str">
        <f aca="false">IF($O177&lt;$Q177,"below the floor","at or above it")</f>
        <v>at or above it</v>
      </c>
      <c r="S177" s="15" t="n">
        <f aca="false">IF($O177&lt;$Q177,$E177*ROUND($Q177*$H177,2),$G177)</f>
        <v>76404.09</v>
      </c>
      <c r="T177" s="15" t="n">
        <f aca="false">IF($O177&lt;$Q177,ROUND($L177*$S177/$G177,2),$L177)</f>
        <v>1537.31</v>
      </c>
      <c r="U177" s="15" t="n">
        <f aca="false">ROUND(($S177-$G177)-($T177-$L177),2)</f>
        <v>0</v>
      </c>
      <c r="V177" s="15" t="n">
        <f aca="false">IF($O177&lt;$Q177,ROUND($S177-$K177-$T177,2),$M177)</f>
        <v>32668.78</v>
      </c>
    </row>
    <row r="178" customFormat="false" ht="15" hidden="false" customHeight="false" outlineLevel="0" collapsed="false">
      <c r="B178" s="13" t="s">
        <v>176</v>
      </c>
      <c r="C178" s="13" t="s">
        <v>157</v>
      </c>
      <c r="D178" s="13" t="s">
        <v>54</v>
      </c>
      <c r="E178" s="24" t="n">
        <v>1075</v>
      </c>
      <c r="F178" s="14" t="n">
        <v>63984</v>
      </c>
      <c r="G178" s="14" t="n">
        <v>63600.1</v>
      </c>
      <c r="H178" s="15" t="n">
        <f aca="false">INDEX('Your Inputs'!$C$8:$C$10,MATCH($D178,'Your Inputs'!$B$8:$B$10,0))</f>
        <v>62</v>
      </c>
      <c r="I178" s="15" t="n">
        <f aca="false">INDEX('Your Inputs'!$D$8:$D$10,MATCH($D178,'Your Inputs'!$B$8:$B$10,0))</f>
        <v>36</v>
      </c>
      <c r="J178" s="15" t="n">
        <f aca="false">ROUND($E178*$H178,2)</f>
        <v>66650</v>
      </c>
      <c r="K178" s="15" t="n">
        <f aca="false">ROUND($E178*$I178,2)</f>
        <v>38700</v>
      </c>
      <c r="L178" s="15" t="n">
        <f aca="false">ROUND($F178*'Your Inputs'!$C$31,2)</f>
        <v>1279.68</v>
      </c>
      <c r="M178" s="15" t="n">
        <f aca="false">ROUND($G178-$K178-$L178,2)</f>
        <v>23620.42</v>
      </c>
      <c r="N178" s="15" t="n">
        <f aca="false">$G178/$E178</f>
        <v>59.1628837209302</v>
      </c>
      <c r="O178" s="25" t="n">
        <f aca="false">$G178/$J178</f>
        <v>0.954240060015004</v>
      </c>
      <c r="P178" s="18" t="str">
        <f aca="false">$C178&amp;" | "&amp;$D178</f>
        <v>Direct industrial | Sealants</v>
      </c>
      <c r="Q178" s="25" t="n">
        <f aca="false">INDEX('Your Floors'!$K$20:$K$31,MATCH($P178,'Your Floors'!$D$20:$D$31,0))</f>
        <v>0.834035886176071</v>
      </c>
      <c r="R178" s="18" t="str">
        <f aca="false">IF($O178&lt;$Q178,"below the floor","at or above it")</f>
        <v>at or above it</v>
      </c>
      <c r="S178" s="15" t="n">
        <f aca="false">IF($O178&lt;$Q178,$E178*ROUND($Q178*$H178,2),$G178)</f>
        <v>63600.1</v>
      </c>
      <c r="T178" s="15" t="n">
        <f aca="false">IF($O178&lt;$Q178,ROUND($L178*$S178/$G178,2),$L178)</f>
        <v>1279.68</v>
      </c>
      <c r="U178" s="15" t="n">
        <f aca="false">ROUND(($S178-$G178)-($T178-$L178),2)</f>
        <v>0</v>
      </c>
      <c r="V178" s="15" t="n">
        <f aca="false">IF($O178&lt;$Q178,ROUND($S178-$K178-$T178,2),$M178)</f>
        <v>23620.42</v>
      </c>
    </row>
    <row r="179" customFormat="false" ht="15" hidden="false" customHeight="false" outlineLevel="0" collapsed="false">
      <c r="B179" s="13" t="s">
        <v>177</v>
      </c>
      <c r="C179" s="13" t="s">
        <v>157</v>
      </c>
      <c r="D179" s="13" t="s">
        <v>52</v>
      </c>
      <c r="E179" s="24" t="n">
        <v>331</v>
      </c>
      <c r="F179" s="14" t="n">
        <v>43383.77</v>
      </c>
      <c r="G179" s="14" t="n">
        <v>42472.71</v>
      </c>
      <c r="H179" s="15" t="n">
        <f aca="false">INDEX('Your Inputs'!$C$8:$C$10,MATCH($D179,'Your Inputs'!$B$8:$B$10,0))</f>
        <v>148</v>
      </c>
      <c r="I179" s="15" t="n">
        <f aca="false">INDEX('Your Inputs'!$D$8:$D$10,MATCH($D179,'Your Inputs'!$B$8:$B$10,0))</f>
        <v>78</v>
      </c>
      <c r="J179" s="15" t="n">
        <f aca="false">ROUND($E179*$H179,2)</f>
        <v>48988</v>
      </c>
      <c r="K179" s="15" t="n">
        <f aca="false">ROUND($E179*$I179,2)</f>
        <v>25818</v>
      </c>
      <c r="L179" s="15" t="n">
        <f aca="false">ROUND($F179*'Your Inputs'!$C$31,2)</f>
        <v>867.68</v>
      </c>
      <c r="M179" s="15" t="n">
        <f aca="false">ROUND($G179-$K179-$L179,2)</f>
        <v>15787.03</v>
      </c>
      <c r="N179" s="15" t="n">
        <f aca="false">$G179/$E179</f>
        <v>128.316344410876</v>
      </c>
      <c r="O179" s="25" t="n">
        <f aca="false">$G179/$J179</f>
        <v>0.867002327100514</v>
      </c>
      <c r="P179" s="18" t="str">
        <f aca="false">$C179&amp;" | "&amp;$D179</f>
        <v>Direct industrial | Structural adhesives</v>
      </c>
      <c r="Q179" s="25" t="n">
        <f aca="false">INDEX('Your Floors'!$K$20:$K$31,MATCH($P179,'Your Floors'!$D$20:$D$31,0))</f>
        <v>0.874622624783014</v>
      </c>
      <c r="R179" s="18" t="str">
        <f aca="false">IF($O179&lt;$Q179,"below the floor","at or above it")</f>
        <v>below the floor</v>
      </c>
      <c r="S179" s="15" t="n">
        <f aca="false">IF($O179&lt;$Q179,$E179*ROUND($Q179*$H179,2),$G179)</f>
        <v>42844.64</v>
      </c>
      <c r="T179" s="15" t="n">
        <f aca="false">IF($O179&lt;$Q179,ROUND($L179*$S179/$G179,2),$L179)</f>
        <v>875.28</v>
      </c>
      <c r="U179" s="15" t="n">
        <f aca="false">ROUND(($S179-$G179)-($T179-$L179),2)</f>
        <v>364.33</v>
      </c>
      <c r="V179" s="15" t="n">
        <f aca="false">IF($O179&lt;$Q179,ROUND($S179-$K179-$T179,2),$M179)</f>
        <v>16151.36</v>
      </c>
    </row>
    <row r="180" customFormat="false" ht="15" hidden="false" customHeight="false" outlineLevel="0" collapsed="false">
      <c r="B180" s="13" t="s">
        <v>177</v>
      </c>
      <c r="C180" s="13" t="s">
        <v>157</v>
      </c>
      <c r="D180" s="13" t="s">
        <v>54</v>
      </c>
      <c r="E180" s="24" t="n">
        <v>2174</v>
      </c>
      <c r="F180" s="14" t="n">
        <v>108369.55</v>
      </c>
      <c r="G180" s="14" t="n">
        <v>106093.79</v>
      </c>
      <c r="H180" s="15" t="n">
        <f aca="false">INDEX('Your Inputs'!$C$8:$C$10,MATCH($D180,'Your Inputs'!$B$8:$B$10,0))</f>
        <v>62</v>
      </c>
      <c r="I180" s="15" t="n">
        <f aca="false">INDEX('Your Inputs'!$D$8:$D$10,MATCH($D180,'Your Inputs'!$B$8:$B$10,0))</f>
        <v>36</v>
      </c>
      <c r="J180" s="15" t="n">
        <f aca="false">ROUND($E180*$H180,2)</f>
        <v>134788</v>
      </c>
      <c r="K180" s="15" t="n">
        <f aca="false">ROUND($E180*$I180,2)</f>
        <v>78264</v>
      </c>
      <c r="L180" s="15" t="n">
        <f aca="false">ROUND($F180*'Your Inputs'!$C$31,2)</f>
        <v>2167.39</v>
      </c>
      <c r="M180" s="15" t="n">
        <f aca="false">ROUND($G180-$K180-$L180,2)</f>
        <v>25662.4</v>
      </c>
      <c r="N180" s="15" t="n">
        <f aca="false">$G180/$E180</f>
        <v>48.8011913523459</v>
      </c>
      <c r="O180" s="25" t="n">
        <f aca="false">$G180/$J180</f>
        <v>0.787115989553966</v>
      </c>
      <c r="P180" s="18" t="str">
        <f aca="false">$C180&amp;" | "&amp;$D180</f>
        <v>Direct industrial | Sealants</v>
      </c>
      <c r="Q180" s="25" t="n">
        <f aca="false">INDEX('Your Floors'!$K$20:$K$31,MATCH($P180,'Your Floors'!$D$20:$D$31,0))</f>
        <v>0.834035886176071</v>
      </c>
      <c r="R180" s="18" t="str">
        <f aca="false">IF($O180&lt;$Q180,"below the floor","at or above it")</f>
        <v>below the floor</v>
      </c>
      <c r="S180" s="15" t="n">
        <f aca="false">IF($O180&lt;$Q180,$E180*ROUND($Q180*$H180,2),$G180)</f>
        <v>112417.54</v>
      </c>
      <c r="T180" s="15" t="n">
        <f aca="false">IF($O180&lt;$Q180,ROUND($L180*$S180/$G180,2),$L180)</f>
        <v>2296.58</v>
      </c>
      <c r="U180" s="15" t="n">
        <f aca="false">ROUND(($S180-$G180)-($T180-$L180),2)</f>
        <v>6194.56</v>
      </c>
      <c r="V180" s="15" t="n">
        <f aca="false">IF($O180&lt;$Q180,ROUND($S180-$K180-$T180,2),$M180)</f>
        <v>31856.96</v>
      </c>
    </row>
    <row r="181" customFormat="false" ht="15" hidden="false" customHeight="false" outlineLevel="0" collapsed="false">
      <c r="B181" s="13" t="s">
        <v>178</v>
      </c>
      <c r="C181" s="13" t="s">
        <v>157</v>
      </c>
      <c r="D181" s="13" t="s">
        <v>52</v>
      </c>
      <c r="E181" s="24" t="n">
        <v>567</v>
      </c>
      <c r="F181" s="14" t="n">
        <v>76514.61</v>
      </c>
      <c r="G181" s="14" t="n">
        <v>73377.51</v>
      </c>
      <c r="H181" s="15" t="n">
        <f aca="false">INDEX('Your Inputs'!$C$8:$C$10,MATCH($D181,'Your Inputs'!$B$8:$B$10,0))</f>
        <v>148</v>
      </c>
      <c r="I181" s="15" t="n">
        <f aca="false">INDEX('Your Inputs'!$D$8:$D$10,MATCH($D181,'Your Inputs'!$B$8:$B$10,0))</f>
        <v>78</v>
      </c>
      <c r="J181" s="15" t="n">
        <f aca="false">ROUND($E181*$H181,2)</f>
        <v>83916</v>
      </c>
      <c r="K181" s="15" t="n">
        <f aca="false">ROUND($E181*$I181,2)</f>
        <v>44226</v>
      </c>
      <c r="L181" s="15" t="n">
        <f aca="false">ROUND($F181*'Your Inputs'!$C$31,2)</f>
        <v>1530.29</v>
      </c>
      <c r="M181" s="15" t="n">
        <f aca="false">ROUND($G181-$K181-$L181,2)</f>
        <v>27621.22</v>
      </c>
      <c r="N181" s="15" t="n">
        <f aca="false">$G181/$E181</f>
        <v>129.413597883598</v>
      </c>
      <c r="O181" s="25" t="n">
        <f aca="false">$G181/$J181</f>
        <v>0.874416201916202</v>
      </c>
      <c r="P181" s="18" t="str">
        <f aca="false">$C181&amp;" | "&amp;$D181</f>
        <v>Direct industrial | Structural adhesives</v>
      </c>
      <c r="Q181" s="25" t="n">
        <f aca="false">INDEX('Your Floors'!$K$20:$K$31,MATCH($P181,'Your Floors'!$D$20:$D$31,0))</f>
        <v>0.874622624783014</v>
      </c>
      <c r="R181" s="18" t="str">
        <f aca="false">IF($O181&lt;$Q181,"below the floor","at or above it")</f>
        <v>below the floor</v>
      </c>
      <c r="S181" s="15" t="n">
        <f aca="false">IF($O181&lt;$Q181,$E181*ROUND($Q181*$H181,2),$G181)</f>
        <v>73392.48</v>
      </c>
      <c r="T181" s="15" t="n">
        <f aca="false">IF($O181&lt;$Q181,ROUND($L181*$S181/$G181,2),$L181)</f>
        <v>1530.6</v>
      </c>
      <c r="U181" s="15" t="n">
        <f aca="false">ROUND(($S181-$G181)-($T181-$L181),2)</f>
        <v>14.66</v>
      </c>
      <c r="V181" s="15" t="n">
        <f aca="false">IF($O181&lt;$Q181,ROUND($S181-$K181-$T181,2),$M181)</f>
        <v>27635.88</v>
      </c>
    </row>
    <row r="182" customFormat="false" ht="15" hidden="false" customHeight="false" outlineLevel="0" collapsed="false">
      <c r="B182" s="13" t="s">
        <v>178</v>
      </c>
      <c r="C182" s="13" t="s">
        <v>157</v>
      </c>
      <c r="D182" s="13" t="s">
        <v>54</v>
      </c>
      <c r="E182" s="24" t="n">
        <v>1990</v>
      </c>
      <c r="F182" s="14" t="n">
        <v>103269.06</v>
      </c>
      <c r="G182" s="14" t="n">
        <v>99035.03</v>
      </c>
      <c r="H182" s="15" t="n">
        <f aca="false">INDEX('Your Inputs'!$C$8:$C$10,MATCH($D182,'Your Inputs'!$B$8:$B$10,0))</f>
        <v>62</v>
      </c>
      <c r="I182" s="15" t="n">
        <f aca="false">INDEX('Your Inputs'!$D$8:$D$10,MATCH($D182,'Your Inputs'!$B$8:$B$10,0))</f>
        <v>36</v>
      </c>
      <c r="J182" s="15" t="n">
        <f aca="false">ROUND($E182*$H182,2)</f>
        <v>123380</v>
      </c>
      <c r="K182" s="15" t="n">
        <f aca="false">ROUND($E182*$I182,2)</f>
        <v>71640</v>
      </c>
      <c r="L182" s="15" t="n">
        <f aca="false">ROUND($F182*'Your Inputs'!$C$31,2)</f>
        <v>2065.38</v>
      </c>
      <c r="M182" s="15" t="n">
        <f aca="false">ROUND($G182-$K182-$L182,2)</f>
        <v>25329.65</v>
      </c>
      <c r="N182" s="15" t="n">
        <f aca="false">$G182/$E182</f>
        <v>49.7663467336683</v>
      </c>
      <c r="O182" s="25" t="n">
        <f aca="false">$G182/$J182</f>
        <v>0.80268301183336</v>
      </c>
      <c r="P182" s="18" t="str">
        <f aca="false">$C182&amp;" | "&amp;$D182</f>
        <v>Direct industrial | Sealants</v>
      </c>
      <c r="Q182" s="25" t="n">
        <f aca="false">INDEX('Your Floors'!$K$20:$K$31,MATCH($P182,'Your Floors'!$D$20:$D$31,0))</f>
        <v>0.834035886176071</v>
      </c>
      <c r="R182" s="18" t="str">
        <f aca="false">IF($O182&lt;$Q182,"below the floor","at or above it")</f>
        <v>below the floor</v>
      </c>
      <c r="S182" s="15" t="n">
        <f aca="false">IF($O182&lt;$Q182,$E182*ROUND($Q182*$H182,2),$G182)</f>
        <v>102902.9</v>
      </c>
      <c r="T182" s="15" t="n">
        <f aca="false">IF($O182&lt;$Q182,ROUND($L182*$S182/$G182,2),$L182)</f>
        <v>2146.04</v>
      </c>
      <c r="U182" s="15" t="n">
        <f aca="false">ROUND(($S182-$G182)-($T182-$L182),2)</f>
        <v>3787.21</v>
      </c>
      <c r="V182" s="15" t="n">
        <f aca="false">IF($O182&lt;$Q182,ROUND($S182-$K182-$T182,2),$M182)</f>
        <v>29116.86</v>
      </c>
    </row>
    <row r="183" customFormat="false" ht="15" hidden="false" customHeight="false" outlineLevel="0" collapsed="false">
      <c r="B183" s="13" t="s">
        <v>178</v>
      </c>
      <c r="C183" s="13" t="s">
        <v>157</v>
      </c>
      <c r="D183" s="13" t="s">
        <v>56</v>
      </c>
      <c r="E183" s="24" t="n">
        <v>837</v>
      </c>
      <c r="F183" s="14" t="n">
        <v>70259.79</v>
      </c>
      <c r="G183" s="14" t="n">
        <v>67379.13</v>
      </c>
      <c r="H183" s="15" t="n">
        <f aca="false">INDEX('Your Inputs'!$C$8:$C$10,MATCH($D183,'Your Inputs'!$B$8:$B$10,0))</f>
        <v>96</v>
      </c>
      <c r="I183" s="15" t="n">
        <f aca="false">INDEX('Your Inputs'!$D$8:$D$10,MATCH($D183,'Your Inputs'!$B$8:$B$10,0))</f>
        <v>58</v>
      </c>
      <c r="J183" s="15" t="n">
        <f aca="false">ROUND($E183*$H183,2)</f>
        <v>80352</v>
      </c>
      <c r="K183" s="15" t="n">
        <f aca="false">ROUND($E183*$I183,2)</f>
        <v>48546</v>
      </c>
      <c r="L183" s="15" t="n">
        <f aca="false">ROUND($F183*'Your Inputs'!$C$31,2)</f>
        <v>1405.2</v>
      </c>
      <c r="M183" s="15" t="n">
        <f aca="false">ROUND($G183-$K183-$L183,2)</f>
        <v>17427.93</v>
      </c>
      <c r="N183" s="15" t="n">
        <f aca="false">$G183/$E183</f>
        <v>80.500752688172</v>
      </c>
      <c r="O183" s="25" t="n">
        <f aca="false">$G183/$J183</f>
        <v>0.838549507168459</v>
      </c>
      <c r="P183" s="18" t="str">
        <f aca="false">$C183&amp;" | "&amp;$D183</f>
        <v>Direct industrial | Protective coatings</v>
      </c>
      <c r="Q183" s="25" t="n">
        <f aca="false">INDEX('Your Floors'!$K$20:$K$31,MATCH($P183,'Your Floors'!$D$20:$D$31,0))</f>
        <v>0.853768804407086</v>
      </c>
      <c r="R183" s="18" t="str">
        <f aca="false">IF($O183&lt;$Q183,"below the floor","at or above it")</f>
        <v>below the floor</v>
      </c>
      <c r="S183" s="15" t="n">
        <f aca="false">IF($O183&lt;$Q183,$E183*ROUND($Q183*$H183,2),$G183)</f>
        <v>68600.52</v>
      </c>
      <c r="T183" s="15" t="n">
        <f aca="false">IF($O183&lt;$Q183,ROUND($L183*$S183/$G183,2),$L183)</f>
        <v>1430.67</v>
      </c>
      <c r="U183" s="15" t="n">
        <f aca="false">ROUND(($S183-$G183)-($T183-$L183),2)</f>
        <v>1195.92</v>
      </c>
      <c r="V183" s="15" t="n">
        <f aca="false">IF($O183&lt;$Q183,ROUND($S183-$K183-$T183,2),$M183)</f>
        <v>18623.85</v>
      </c>
    </row>
    <row r="184" customFormat="false" ht="15" hidden="false" customHeight="false" outlineLevel="0" collapsed="false">
      <c r="B184" s="13" t="s">
        <v>179</v>
      </c>
      <c r="C184" s="13" t="s">
        <v>157</v>
      </c>
      <c r="D184" s="13" t="s">
        <v>52</v>
      </c>
      <c r="E184" s="24" t="n">
        <v>230</v>
      </c>
      <c r="F184" s="14" t="n">
        <v>32515.01</v>
      </c>
      <c r="G184" s="14" t="n">
        <v>31019.31</v>
      </c>
      <c r="H184" s="15" t="n">
        <f aca="false">INDEX('Your Inputs'!$C$8:$C$10,MATCH($D184,'Your Inputs'!$B$8:$B$10,0))</f>
        <v>148</v>
      </c>
      <c r="I184" s="15" t="n">
        <f aca="false">INDEX('Your Inputs'!$D$8:$D$10,MATCH($D184,'Your Inputs'!$B$8:$B$10,0))</f>
        <v>78</v>
      </c>
      <c r="J184" s="15" t="n">
        <f aca="false">ROUND($E184*$H184,2)</f>
        <v>34040</v>
      </c>
      <c r="K184" s="15" t="n">
        <f aca="false">ROUND($E184*$I184,2)</f>
        <v>17940</v>
      </c>
      <c r="L184" s="15" t="n">
        <f aca="false">ROUND($F184*'Your Inputs'!$C$31,2)</f>
        <v>650.3</v>
      </c>
      <c r="M184" s="15" t="n">
        <f aca="false">ROUND($G184-$K184-$L184,2)</f>
        <v>12429.01</v>
      </c>
      <c r="N184" s="15" t="n">
        <f aca="false">$G184/$E184</f>
        <v>134.866565217391</v>
      </c>
      <c r="O184" s="25" t="n">
        <f aca="false">$G184/$J184</f>
        <v>0.911260575793185</v>
      </c>
      <c r="P184" s="18" t="str">
        <f aca="false">$C184&amp;" | "&amp;$D184</f>
        <v>Direct industrial | Structural adhesives</v>
      </c>
      <c r="Q184" s="25" t="n">
        <f aca="false">INDEX('Your Floors'!$K$20:$K$31,MATCH($P184,'Your Floors'!$D$20:$D$31,0))</f>
        <v>0.874622624783014</v>
      </c>
      <c r="R184" s="18" t="str">
        <f aca="false">IF($O184&lt;$Q184,"below the floor","at or above it")</f>
        <v>at or above it</v>
      </c>
      <c r="S184" s="15" t="n">
        <f aca="false">IF($O184&lt;$Q184,$E184*ROUND($Q184*$H184,2),$G184)</f>
        <v>31019.31</v>
      </c>
      <c r="T184" s="15" t="n">
        <f aca="false">IF($O184&lt;$Q184,ROUND($L184*$S184/$G184,2),$L184)</f>
        <v>650.3</v>
      </c>
      <c r="U184" s="15" t="n">
        <f aca="false">ROUND(($S184-$G184)-($T184-$L184),2)</f>
        <v>0</v>
      </c>
      <c r="V184" s="15" t="n">
        <f aca="false">IF($O184&lt;$Q184,ROUND($S184-$K184-$T184,2),$M184)</f>
        <v>12429.01</v>
      </c>
    </row>
    <row r="185" customFormat="false" ht="15" hidden="false" customHeight="false" outlineLevel="0" collapsed="false">
      <c r="B185" s="13" t="s">
        <v>179</v>
      </c>
      <c r="C185" s="13" t="s">
        <v>157</v>
      </c>
      <c r="D185" s="13" t="s">
        <v>54</v>
      </c>
      <c r="E185" s="24" t="n">
        <v>652</v>
      </c>
      <c r="F185" s="14" t="n">
        <v>37513.47</v>
      </c>
      <c r="G185" s="14" t="n">
        <v>35787.85</v>
      </c>
      <c r="H185" s="15" t="n">
        <f aca="false">INDEX('Your Inputs'!$C$8:$C$10,MATCH($D185,'Your Inputs'!$B$8:$B$10,0))</f>
        <v>62</v>
      </c>
      <c r="I185" s="15" t="n">
        <f aca="false">INDEX('Your Inputs'!$D$8:$D$10,MATCH($D185,'Your Inputs'!$B$8:$B$10,0))</f>
        <v>36</v>
      </c>
      <c r="J185" s="15" t="n">
        <f aca="false">ROUND($E185*$H185,2)</f>
        <v>40424</v>
      </c>
      <c r="K185" s="15" t="n">
        <f aca="false">ROUND($E185*$I185,2)</f>
        <v>23472</v>
      </c>
      <c r="L185" s="15" t="n">
        <f aca="false">ROUND($F185*'Your Inputs'!$C$31,2)</f>
        <v>750.27</v>
      </c>
      <c r="M185" s="15" t="n">
        <f aca="false">ROUND($G185-$K185-$L185,2)</f>
        <v>11565.58</v>
      </c>
      <c r="N185" s="15" t="n">
        <f aca="false">$G185/$E185</f>
        <v>54.8893404907975</v>
      </c>
      <c r="O185" s="25" t="n">
        <f aca="false">$G185/$J185</f>
        <v>0.88531194339996</v>
      </c>
      <c r="P185" s="18" t="str">
        <f aca="false">$C185&amp;" | "&amp;$D185</f>
        <v>Direct industrial | Sealants</v>
      </c>
      <c r="Q185" s="25" t="n">
        <f aca="false">INDEX('Your Floors'!$K$20:$K$31,MATCH($P185,'Your Floors'!$D$20:$D$31,0))</f>
        <v>0.834035886176071</v>
      </c>
      <c r="R185" s="18" t="str">
        <f aca="false">IF($O185&lt;$Q185,"below the floor","at or above it")</f>
        <v>at or above it</v>
      </c>
      <c r="S185" s="15" t="n">
        <f aca="false">IF($O185&lt;$Q185,$E185*ROUND($Q185*$H185,2),$G185)</f>
        <v>35787.85</v>
      </c>
      <c r="T185" s="15" t="n">
        <f aca="false">IF($O185&lt;$Q185,ROUND($L185*$S185/$G185,2),$L185)</f>
        <v>750.27</v>
      </c>
      <c r="U185" s="15" t="n">
        <f aca="false">ROUND(($S185-$G185)-($T185-$L185),2)</f>
        <v>0</v>
      </c>
      <c r="V185" s="15" t="n">
        <f aca="false">IF($O185&lt;$Q185,ROUND($S185-$K185-$T185,2),$M185)</f>
        <v>11565.58</v>
      </c>
    </row>
    <row r="186" customFormat="false" ht="15" hidden="false" customHeight="false" outlineLevel="0" collapsed="false">
      <c r="B186" s="13" t="s">
        <v>179</v>
      </c>
      <c r="C186" s="13" t="s">
        <v>157</v>
      </c>
      <c r="D186" s="13" t="s">
        <v>56</v>
      </c>
      <c r="E186" s="24" t="n">
        <v>347</v>
      </c>
      <c r="F186" s="14" t="n">
        <v>31366.58</v>
      </c>
      <c r="G186" s="14" t="n">
        <v>29923.72</v>
      </c>
      <c r="H186" s="15" t="n">
        <f aca="false">INDEX('Your Inputs'!$C$8:$C$10,MATCH($D186,'Your Inputs'!$B$8:$B$10,0))</f>
        <v>96</v>
      </c>
      <c r="I186" s="15" t="n">
        <f aca="false">INDEX('Your Inputs'!$D$8:$D$10,MATCH($D186,'Your Inputs'!$B$8:$B$10,0))</f>
        <v>58</v>
      </c>
      <c r="J186" s="15" t="n">
        <f aca="false">ROUND($E186*$H186,2)</f>
        <v>33312</v>
      </c>
      <c r="K186" s="15" t="n">
        <f aca="false">ROUND($E186*$I186,2)</f>
        <v>20126</v>
      </c>
      <c r="L186" s="15" t="n">
        <f aca="false">ROUND($F186*'Your Inputs'!$C$31,2)</f>
        <v>627.33</v>
      </c>
      <c r="M186" s="15" t="n">
        <f aca="false">ROUND($G186-$K186-$L186,2)</f>
        <v>9170.39</v>
      </c>
      <c r="N186" s="15" t="n">
        <f aca="false">$G186/$E186</f>
        <v>86.2355043227666</v>
      </c>
      <c r="O186" s="25" t="n">
        <f aca="false">$G186/$J186</f>
        <v>0.898286503362152</v>
      </c>
      <c r="P186" s="18" t="str">
        <f aca="false">$C186&amp;" | "&amp;$D186</f>
        <v>Direct industrial | Protective coatings</v>
      </c>
      <c r="Q186" s="25" t="n">
        <f aca="false">INDEX('Your Floors'!$K$20:$K$31,MATCH($P186,'Your Floors'!$D$20:$D$31,0))</f>
        <v>0.853768804407086</v>
      </c>
      <c r="R186" s="18" t="str">
        <f aca="false">IF($O186&lt;$Q186,"below the floor","at or above it")</f>
        <v>at or above it</v>
      </c>
      <c r="S186" s="15" t="n">
        <f aca="false">IF($O186&lt;$Q186,$E186*ROUND($Q186*$H186,2),$G186)</f>
        <v>29923.72</v>
      </c>
      <c r="T186" s="15" t="n">
        <f aca="false">IF($O186&lt;$Q186,ROUND($L186*$S186/$G186,2),$L186)</f>
        <v>627.33</v>
      </c>
      <c r="U186" s="15" t="n">
        <f aca="false">ROUND(($S186-$G186)-($T186-$L186),2)</f>
        <v>0</v>
      </c>
      <c r="V186" s="15" t="n">
        <f aca="false">IF($O186&lt;$Q186,ROUND($S186-$K186-$T186,2),$M186)</f>
        <v>9170.39</v>
      </c>
    </row>
    <row r="187" customFormat="false" ht="15" hidden="false" customHeight="false" outlineLevel="0" collapsed="false">
      <c r="B187" s="13" t="s">
        <v>180</v>
      </c>
      <c r="C187" s="13" t="s">
        <v>157</v>
      </c>
      <c r="D187" s="13" t="s">
        <v>52</v>
      </c>
      <c r="E187" s="24" t="n">
        <v>273</v>
      </c>
      <c r="F187" s="14" t="n">
        <v>34779.76</v>
      </c>
      <c r="G187" s="14" t="n">
        <v>33701.58</v>
      </c>
      <c r="H187" s="15" t="n">
        <f aca="false">INDEX('Your Inputs'!$C$8:$C$10,MATCH($D187,'Your Inputs'!$B$8:$B$10,0))</f>
        <v>148</v>
      </c>
      <c r="I187" s="15" t="n">
        <f aca="false">INDEX('Your Inputs'!$D$8:$D$10,MATCH($D187,'Your Inputs'!$B$8:$B$10,0))</f>
        <v>78</v>
      </c>
      <c r="J187" s="15" t="n">
        <f aca="false">ROUND($E187*$H187,2)</f>
        <v>40404</v>
      </c>
      <c r="K187" s="15" t="n">
        <f aca="false">ROUND($E187*$I187,2)</f>
        <v>21294</v>
      </c>
      <c r="L187" s="15" t="n">
        <f aca="false">ROUND($F187*'Your Inputs'!$C$31,2)</f>
        <v>695.6</v>
      </c>
      <c r="M187" s="15" t="n">
        <f aca="false">ROUND($G187-$K187-$L187,2)</f>
        <v>11711.98</v>
      </c>
      <c r="N187" s="15" t="n">
        <f aca="false">$G187/$E187</f>
        <v>123.449010989011</v>
      </c>
      <c r="O187" s="25" t="n">
        <f aca="false">$G187/$J187</f>
        <v>0.834114939114939</v>
      </c>
      <c r="P187" s="18" t="str">
        <f aca="false">$C187&amp;" | "&amp;$D187</f>
        <v>Direct industrial | Structural adhesives</v>
      </c>
      <c r="Q187" s="25" t="n">
        <f aca="false">INDEX('Your Floors'!$K$20:$K$31,MATCH($P187,'Your Floors'!$D$20:$D$31,0))</f>
        <v>0.874622624783014</v>
      </c>
      <c r="R187" s="18" t="str">
        <f aca="false">IF($O187&lt;$Q187,"below the floor","at or above it")</f>
        <v>below the floor</v>
      </c>
      <c r="S187" s="15" t="n">
        <f aca="false">IF($O187&lt;$Q187,$E187*ROUND($Q187*$H187,2),$G187)</f>
        <v>35337.12</v>
      </c>
      <c r="T187" s="15" t="n">
        <f aca="false">IF($O187&lt;$Q187,ROUND($L187*$S187/$G187,2),$L187)</f>
        <v>729.36</v>
      </c>
      <c r="U187" s="15" t="n">
        <f aca="false">ROUND(($S187-$G187)-($T187-$L187),2)</f>
        <v>1601.78</v>
      </c>
      <c r="V187" s="15" t="n">
        <f aca="false">IF($O187&lt;$Q187,ROUND($S187-$K187-$T187,2),$M187)</f>
        <v>13313.76</v>
      </c>
    </row>
    <row r="188" customFormat="false" ht="15" hidden="false" customHeight="false" outlineLevel="0" collapsed="false">
      <c r="B188" s="13" t="s">
        <v>180</v>
      </c>
      <c r="C188" s="13" t="s">
        <v>157</v>
      </c>
      <c r="D188" s="13" t="s">
        <v>54</v>
      </c>
      <c r="E188" s="24" t="n">
        <v>1865</v>
      </c>
      <c r="F188" s="14" t="n">
        <v>86953.76</v>
      </c>
      <c r="G188" s="14" t="n">
        <v>84258.19</v>
      </c>
      <c r="H188" s="15" t="n">
        <f aca="false">INDEX('Your Inputs'!$C$8:$C$10,MATCH($D188,'Your Inputs'!$B$8:$B$10,0))</f>
        <v>62</v>
      </c>
      <c r="I188" s="15" t="n">
        <f aca="false">INDEX('Your Inputs'!$D$8:$D$10,MATCH($D188,'Your Inputs'!$B$8:$B$10,0))</f>
        <v>36</v>
      </c>
      <c r="J188" s="15" t="n">
        <f aca="false">ROUND($E188*$H188,2)</f>
        <v>115630</v>
      </c>
      <c r="K188" s="15" t="n">
        <f aca="false">ROUND($E188*$I188,2)</f>
        <v>67140</v>
      </c>
      <c r="L188" s="15" t="n">
        <f aca="false">ROUND($F188*'Your Inputs'!$C$31,2)</f>
        <v>1739.08</v>
      </c>
      <c r="M188" s="15" t="n">
        <f aca="false">ROUND($G188-$K188-$L188,2)</f>
        <v>15379.11</v>
      </c>
      <c r="N188" s="15" t="n">
        <f aca="false">$G188/$E188</f>
        <v>45.178654155496</v>
      </c>
      <c r="O188" s="25" t="n">
        <f aca="false">$G188/$J188</f>
        <v>0.728687970249935</v>
      </c>
      <c r="P188" s="18" t="str">
        <f aca="false">$C188&amp;" | "&amp;$D188</f>
        <v>Direct industrial | Sealants</v>
      </c>
      <c r="Q188" s="25" t="n">
        <f aca="false">INDEX('Your Floors'!$K$20:$K$31,MATCH($P188,'Your Floors'!$D$20:$D$31,0))</f>
        <v>0.834035886176071</v>
      </c>
      <c r="R188" s="18" t="str">
        <f aca="false">IF($O188&lt;$Q188,"below the floor","at or above it")</f>
        <v>below the floor</v>
      </c>
      <c r="S188" s="15" t="n">
        <f aca="false">IF($O188&lt;$Q188,$E188*ROUND($Q188*$H188,2),$G188)</f>
        <v>96439.15</v>
      </c>
      <c r="T188" s="15" t="n">
        <f aca="false">IF($O188&lt;$Q188,ROUND($L188*$S188/$G188,2),$L188)</f>
        <v>1990.49</v>
      </c>
      <c r="U188" s="15" t="n">
        <f aca="false">ROUND(($S188-$G188)-($T188-$L188),2)</f>
        <v>11929.55</v>
      </c>
      <c r="V188" s="15" t="n">
        <f aca="false">IF($O188&lt;$Q188,ROUND($S188-$K188-$T188,2),$M188)</f>
        <v>27308.66</v>
      </c>
    </row>
    <row r="189" customFormat="false" ht="15" hidden="false" customHeight="false" outlineLevel="0" collapsed="false">
      <c r="B189" s="13" t="s">
        <v>180</v>
      </c>
      <c r="C189" s="13" t="s">
        <v>157</v>
      </c>
      <c r="D189" s="13" t="s">
        <v>56</v>
      </c>
      <c r="E189" s="24" t="n">
        <v>1113</v>
      </c>
      <c r="F189" s="14" t="n">
        <v>86162.23</v>
      </c>
      <c r="G189" s="14" t="n">
        <v>83491.21</v>
      </c>
      <c r="H189" s="15" t="n">
        <f aca="false">INDEX('Your Inputs'!$C$8:$C$10,MATCH($D189,'Your Inputs'!$B$8:$B$10,0))</f>
        <v>96</v>
      </c>
      <c r="I189" s="15" t="n">
        <f aca="false">INDEX('Your Inputs'!$D$8:$D$10,MATCH($D189,'Your Inputs'!$B$8:$B$10,0))</f>
        <v>58</v>
      </c>
      <c r="J189" s="15" t="n">
        <f aca="false">ROUND($E189*$H189,2)</f>
        <v>106848</v>
      </c>
      <c r="K189" s="15" t="n">
        <f aca="false">ROUND($E189*$I189,2)</f>
        <v>64554</v>
      </c>
      <c r="L189" s="15" t="n">
        <f aca="false">ROUND($F189*'Your Inputs'!$C$31,2)</f>
        <v>1723.24</v>
      </c>
      <c r="M189" s="15" t="n">
        <f aca="false">ROUND($G189-$K189-$L189,2)</f>
        <v>17213.97</v>
      </c>
      <c r="N189" s="15" t="n">
        <f aca="false">$G189/$E189</f>
        <v>75.0145642407907</v>
      </c>
      <c r="O189" s="25" t="n">
        <f aca="false">$G189/$J189</f>
        <v>0.781401710841569</v>
      </c>
      <c r="P189" s="18" t="str">
        <f aca="false">$C189&amp;" | "&amp;$D189</f>
        <v>Direct industrial | Protective coatings</v>
      </c>
      <c r="Q189" s="25" t="n">
        <f aca="false">INDEX('Your Floors'!$K$20:$K$31,MATCH($P189,'Your Floors'!$D$20:$D$31,0))</f>
        <v>0.853768804407086</v>
      </c>
      <c r="R189" s="18" t="str">
        <f aca="false">IF($O189&lt;$Q189,"below the floor","at or above it")</f>
        <v>below the floor</v>
      </c>
      <c r="S189" s="15" t="n">
        <f aca="false">IF($O189&lt;$Q189,$E189*ROUND($Q189*$H189,2),$G189)</f>
        <v>91221.48</v>
      </c>
      <c r="T189" s="15" t="n">
        <f aca="false">IF($O189&lt;$Q189,ROUND($L189*$S189/$G189,2),$L189)</f>
        <v>1882.79</v>
      </c>
      <c r="U189" s="15" t="n">
        <f aca="false">ROUND(($S189-$G189)-($T189-$L189),2)</f>
        <v>7570.72</v>
      </c>
      <c r="V189" s="15" t="n">
        <f aca="false">IF($O189&lt;$Q189,ROUND($S189-$K189-$T189,2),$M189)</f>
        <v>24784.69</v>
      </c>
    </row>
    <row r="190" customFormat="false" ht="15" hidden="false" customHeight="false" outlineLevel="0" collapsed="false">
      <c r="B190" s="13" t="s">
        <v>181</v>
      </c>
      <c r="C190" s="13" t="s">
        <v>157</v>
      </c>
      <c r="D190" s="13" t="s">
        <v>52</v>
      </c>
      <c r="E190" s="24" t="n">
        <v>171</v>
      </c>
      <c r="F190" s="14" t="n">
        <v>24644.93</v>
      </c>
      <c r="G190" s="14" t="n">
        <v>24004.16</v>
      </c>
      <c r="H190" s="15" t="n">
        <f aca="false">INDEX('Your Inputs'!$C$8:$C$10,MATCH($D190,'Your Inputs'!$B$8:$B$10,0))</f>
        <v>148</v>
      </c>
      <c r="I190" s="15" t="n">
        <f aca="false">INDEX('Your Inputs'!$D$8:$D$10,MATCH($D190,'Your Inputs'!$B$8:$B$10,0))</f>
        <v>78</v>
      </c>
      <c r="J190" s="15" t="n">
        <f aca="false">ROUND($E190*$H190,2)</f>
        <v>25308</v>
      </c>
      <c r="K190" s="15" t="n">
        <f aca="false">ROUND($E190*$I190,2)</f>
        <v>13338</v>
      </c>
      <c r="L190" s="15" t="n">
        <f aca="false">ROUND($F190*'Your Inputs'!$C$31,2)</f>
        <v>492.9</v>
      </c>
      <c r="M190" s="15" t="n">
        <f aca="false">ROUND($G190-$K190-$L190,2)</f>
        <v>10173.26</v>
      </c>
      <c r="N190" s="15" t="n">
        <f aca="false">$G190/$E190</f>
        <v>140.375204678363</v>
      </c>
      <c r="O190" s="25" t="n">
        <f aca="false">$G190/$J190</f>
        <v>0.948481112691639</v>
      </c>
      <c r="P190" s="18" t="str">
        <f aca="false">$C190&amp;" | "&amp;$D190</f>
        <v>Direct industrial | Structural adhesives</v>
      </c>
      <c r="Q190" s="25" t="n">
        <f aca="false">INDEX('Your Floors'!$K$20:$K$31,MATCH($P190,'Your Floors'!$D$20:$D$31,0))</f>
        <v>0.874622624783014</v>
      </c>
      <c r="R190" s="18" t="str">
        <f aca="false">IF($O190&lt;$Q190,"below the floor","at or above it")</f>
        <v>at or above it</v>
      </c>
      <c r="S190" s="15" t="n">
        <f aca="false">IF($O190&lt;$Q190,$E190*ROUND($Q190*$H190,2),$G190)</f>
        <v>24004.16</v>
      </c>
      <c r="T190" s="15" t="n">
        <f aca="false">IF($O190&lt;$Q190,ROUND($L190*$S190/$G190,2),$L190)</f>
        <v>492.9</v>
      </c>
      <c r="U190" s="15" t="n">
        <f aca="false">ROUND(($S190-$G190)-($T190-$L190),2)</f>
        <v>0</v>
      </c>
      <c r="V190" s="15" t="n">
        <f aca="false">IF($O190&lt;$Q190,ROUND($S190-$K190-$T190,2),$M190)</f>
        <v>10173.26</v>
      </c>
    </row>
    <row r="191" customFormat="false" ht="15" hidden="false" customHeight="false" outlineLevel="0" collapsed="false">
      <c r="B191" s="13" t="s">
        <v>181</v>
      </c>
      <c r="C191" s="13" t="s">
        <v>157</v>
      </c>
      <c r="D191" s="13" t="s">
        <v>56</v>
      </c>
      <c r="E191" s="24" t="n">
        <v>680</v>
      </c>
      <c r="F191" s="14" t="n">
        <v>63347.71</v>
      </c>
      <c r="G191" s="14" t="n">
        <v>61700.67</v>
      </c>
      <c r="H191" s="15" t="n">
        <f aca="false">INDEX('Your Inputs'!$C$8:$C$10,MATCH($D191,'Your Inputs'!$B$8:$B$10,0))</f>
        <v>96</v>
      </c>
      <c r="I191" s="15" t="n">
        <f aca="false">INDEX('Your Inputs'!$D$8:$D$10,MATCH($D191,'Your Inputs'!$B$8:$B$10,0))</f>
        <v>58</v>
      </c>
      <c r="J191" s="15" t="n">
        <f aca="false">ROUND($E191*$H191,2)</f>
        <v>65280</v>
      </c>
      <c r="K191" s="15" t="n">
        <f aca="false">ROUND($E191*$I191,2)</f>
        <v>39440</v>
      </c>
      <c r="L191" s="15" t="n">
        <f aca="false">ROUND($F191*'Your Inputs'!$C$31,2)</f>
        <v>1266.95</v>
      </c>
      <c r="M191" s="15" t="n">
        <f aca="false">ROUND($G191-$K191-$L191,2)</f>
        <v>20993.72</v>
      </c>
      <c r="N191" s="15" t="n">
        <f aca="false">$G191/$E191</f>
        <v>90.7362794117647</v>
      </c>
      <c r="O191" s="25" t="n">
        <f aca="false">$G191/$J191</f>
        <v>0.945169577205882</v>
      </c>
      <c r="P191" s="18" t="str">
        <f aca="false">$C191&amp;" | "&amp;$D191</f>
        <v>Direct industrial | Protective coatings</v>
      </c>
      <c r="Q191" s="25" t="n">
        <f aca="false">INDEX('Your Floors'!$K$20:$K$31,MATCH($P191,'Your Floors'!$D$20:$D$31,0))</f>
        <v>0.853768804407086</v>
      </c>
      <c r="R191" s="18" t="str">
        <f aca="false">IF($O191&lt;$Q191,"below the floor","at or above it")</f>
        <v>at or above it</v>
      </c>
      <c r="S191" s="15" t="n">
        <f aca="false">IF($O191&lt;$Q191,$E191*ROUND($Q191*$H191,2),$G191)</f>
        <v>61700.67</v>
      </c>
      <c r="T191" s="15" t="n">
        <f aca="false">IF($O191&lt;$Q191,ROUND($L191*$S191/$G191,2),$L191)</f>
        <v>1266.95</v>
      </c>
      <c r="U191" s="15" t="n">
        <f aca="false">ROUND(($S191-$G191)-($T191-$L191),2)</f>
        <v>0</v>
      </c>
      <c r="V191" s="15" t="n">
        <f aca="false">IF($O191&lt;$Q191,ROUND($S191-$K191-$T191,2),$M191)</f>
        <v>20993.72</v>
      </c>
    </row>
    <row r="192" customFormat="false" ht="15" hidden="false" customHeight="false" outlineLevel="0" collapsed="false">
      <c r="B192" s="13" t="s">
        <v>182</v>
      </c>
      <c r="C192" s="13" t="s">
        <v>157</v>
      </c>
      <c r="D192" s="13" t="s">
        <v>54</v>
      </c>
      <c r="E192" s="24" t="n">
        <v>1500</v>
      </c>
      <c r="F192" s="14" t="n">
        <v>81421.5</v>
      </c>
      <c r="G192" s="14" t="n">
        <v>77676.11</v>
      </c>
      <c r="H192" s="15" t="n">
        <f aca="false">INDEX('Your Inputs'!$C$8:$C$10,MATCH($D192,'Your Inputs'!$B$8:$B$10,0))</f>
        <v>62</v>
      </c>
      <c r="I192" s="15" t="n">
        <f aca="false">INDEX('Your Inputs'!$D$8:$D$10,MATCH($D192,'Your Inputs'!$B$8:$B$10,0))</f>
        <v>36</v>
      </c>
      <c r="J192" s="15" t="n">
        <f aca="false">ROUND($E192*$H192,2)</f>
        <v>93000</v>
      </c>
      <c r="K192" s="15" t="n">
        <f aca="false">ROUND($E192*$I192,2)</f>
        <v>54000</v>
      </c>
      <c r="L192" s="15" t="n">
        <f aca="false">ROUND($F192*'Your Inputs'!$C$31,2)</f>
        <v>1628.43</v>
      </c>
      <c r="M192" s="15" t="n">
        <f aca="false">ROUND($G192-$K192-$L192,2)</f>
        <v>22047.68</v>
      </c>
      <c r="N192" s="15" t="n">
        <f aca="false">$G192/$E192</f>
        <v>51.7840733333333</v>
      </c>
      <c r="O192" s="25" t="n">
        <f aca="false">$G192/$J192</f>
        <v>0.835226989247312</v>
      </c>
      <c r="P192" s="18" t="str">
        <f aca="false">$C192&amp;" | "&amp;$D192</f>
        <v>Direct industrial | Sealants</v>
      </c>
      <c r="Q192" s="25" t="n">
        <f aca="false">INDEX('Your Floors'!$K$20:$K$31,MATCH($P192,'Your Floors'!$D$20:$D$31,0))</f>
        <v>0.834035886176071</v>
      </c>
      <c r="R192" s="18" t="str">
        <f aca="false">IF($O192&lt;$Q192,"below the floor","at or above it")</f>
        <v>at or above it</v>
      </c>
      <c r="S192" s="15" t="n">
        <f aca="false">IF($O192&lt;$Q192,$E192*ROUND($Q192*$H192,2),$G192)</f>
        <v>77676.11</v>
      </c>
      <c r="T192" s="15" t="n">
        <f aca="false">IF($O192&lt;$Q192,ROUND($L192*$S192/$G192,2),$L192)</f>
        <v>1628.43</v>
      </c>
      <c r="U192" s="15" t="n">
        <f aca="false">ROUND(($S192-$G192)-($T192-$L192),2)</f>
        <v>0</v>
      </c>
      <c r="V192" s="15" t="n">
        <f aca="false">IF($O192&lt;$Q192,ROUND($S192-$K192-$T192,2),$M192)</f>
        <v>22047.68</v>
      </c>
    </row>
    <row r="193" customFormat="false" ht="15" hidden="false" customHeight="false" outlineLevel="0" collapsed="false">
      <c r="B193" s="13" t="s">
        <v>183</v>
      </c>
      <c r="C193" s="13" t="s">
        <v>157</v>
      </c>
      <c r="D193" s="13" t="s">
        <v>52</v>
      </c>
      <c r="E193" s="24" t="n">
        <v>643</v>
      </c>
      <c r="F193" s="14" t="n">
        <v>93260.72</v>
      </c>
      <c r="G193" s="14" t="n">
        <v>90835.95</v>
      </c>
      <c r="H193" s="15" t="n">
        <f aca="false">INDEX('Your Inputs'!$C$8:$C$10,MATCH($D193,'Your Inputs'!$B$8:$B$10,0))</f>
        <v>148</v>
      </c>
      <c r="I193" s="15" t="n">
        <f aca="false">INDEX('Your Inputs'!$D$8:$D$10,MATCH($D193,'Your Inputs'!$B$8:$B$10,0))</f>
        <v>78</v>
      </c>
      <c r="J193" s="15" t="n">
        <f aca="false">ROUND($E193*$H193,2)</f>
        <v>95164</v>
      </c>
      <c r="K193" s="15" t="n">
        <f aca="false">ROUND($E193*$I193,2)</f>
        <v>50154</v>
      </c>
      <c r="L193" s="15" t="n">
        <f aca="false">ROUND($F193*'Your Inputs'!$C$31,2)</f>
        <v>1865.21</v>
      </c>
      <c r="M193" s="15" t="n">
        <f aca="false">ROUND($G193-$K193-$L193,2)</f>
        <v>38816.74</v>
      </c>
      <c r="N193" s="15" t="n">
        <f aca="false">$G193/$E193</f>
        <v>141.268973561431</v>
      </c>
      <c r="O193" s="25" t="n">
        <f aca="false">$G193/$J193</f>
        <v>0.954520091631289</v>
      </c>
      <c r="P193" s="18" t="str">
        <f aca="false">$C193&amp;" | "&amp;$D193</f>
        <v>Direct industrial | Structural adhesives</v>
      </c>
      <c r="Q193" s="25" t="n">
        <f aca="false">INDEX('Your Floors'!$K$20:$K$31,MATCH($P193,'Your Floors'!$D$20:$D$31,0))</f>
        <v>0.874622624783014</v>
      </c>
      <c r="R193" s="18" t="str">
        <f aca="false">IF($O193&lt;$Q193,"below the floor","at or above it")</f>
        <v>at or above it</v>
      </c>
      <c r="S193" s="15" t="n">
        <f aca="false">IF($O193&lt;$Q193,$E193*ROUND($Q193*$H193,2),$G193)</f>
        <v>90835.95</v>
      </c>
      <c r="T193" s="15" t="n">
        <f aca="false">IF($O193&lt;$Q193,ROUND($L193*$S193/$G193,2),$L193)</f>
        <v>1865.21</v>
      </c>
      <c r="U193" s="15" t="n">
        <f aca="false">ROUND(($S193-$G193)-($T193-$L193),2)</f>
        <v>0</v>
      </c>
      <c r="V193" s="15" t="n">
        <f aca="false">IF($O193&lt;$Q193,ROUND($S193-$K193-$T193,2),$M193)</f>
        <v>38816.74</v>
      </c>
    </row>
    <row r="194" customFormat="false" ht="15" hidden="false" customHeight="false" outlineLevel="0" collapsed="false">
      <c r="B194" s="13" t="s">
        <v>183</v>
      </c>
      <c r="C194" s="13" t="s">
        <v>157</v>
      </c>
      <c r="D194" s="13" t="s">
        <v>54</v>
      </c>
      <c r="E194" s="24" t="n">
        <v>2035</v>
      </c>
      <c r="F194" s="14" t="n">
        <v>123646.6</v>
      </c>
      <c r="G194" s="14" t="n">
        <v>120431.79</v>
      </c>
      <c r="H194" s="15" t="n">
        <f aca="false">INDEX('Your Inputs'!$C$8:$C$10,MATCH($D194,'Your Inputs'!$B$8:$B$10,0))</f>
        <v>62</v>
      </c>
      <c r="I194" s="15" t="n">
        <f aca="false">INDEX('Your Inputs'!$D$8:$D$10,MATCH($D194,'Your Inputs'!$B$8:$B$10,0))</f>
        <v>36</v>
      </c>
      <c r="J194" s="15" t="n">
        <f aca="false">ROUND($E194*$H194,2)</f>
        <v>126170</v>
      </c>
      <c r="K194" s="15" t="n">
        <f aca="false">ROUND($E194*$I194,2)</f>
        <v>73260</v>
      </c>
      <c r="L194" s="15" t="n">
        <f aca="false">ROUND($F194*'Your Inputs'!$C$31,2)</f>
        <v>2472.93</v>
      </c>
      <c r="M194" s="15" t="n">
        <f aca="false">ROUND($G194-$K194-$L194,2)</f>
        <v>44698.86</v>
      </c>
      <c r="N194" s="15" t="n">
        <f aca="false">$G194/$E194</f>
        <v>59.1802407862408</v>
      </c>
      <c r="O194" s="25" t="n">
        <f aca="false">$G194/$J194</f>
        <v>0.954520012681303</v>
      </c>
      <c r="P194" s="18" t="str">
        <f aca="false">$C194&amp;" | "&amp;$D194</f>
        <v>Direct industrial | Sealants</v>
      </c>
      <c r="Q194" s="25" t="n">
        <f aca="false">INDEX('Your Floors'!$K$20:$K$31,MATCH($P194,'Your Floors'!$D$20:$D$31,0))</f>
        <v>0.834035886176071</v>
      </c>
      <c r="R194" s="18" t="str">
        <f aca="false">IF($O194&lt;$Q194,"below the floor","at or above it")</f>
        <v>at or above it</v>
      </c>
      <c r="S194" s="15" t="n">
        <f aca="false">IF($O194&lt;$Q194,$E194*ROUND($Q194*$H194,2),$G194)</f>
        <v>120431.79</v>
      </c>
      <c r="T194" s="15" t="n">
        <f aca="false">IF($O194&lt;$Q194,ROUND($L194*$S194/$G194,2),$L194)</f>
        <v>2472.93</v>
      </c>
      <c r="U194" s="15" t="n">
        <f aca="false">ROUND(($S194-$G194)-($T194-$L194),2)</f>
        <v>0</v>
      </c>
      <c r="V194" s="15" t="n">
        <f aca="false">IF($O194&lt;$Q194,ROUND($S194-$K194-$T194,2),$M194)</f>
        <v>44698.86</v>
      </c>
    </row>
    <row r="195" customFormat="false" ht="15" hidden="false" customHeight="false" outlineLevel="0" collapsed="false">
      <c r="B195" s="13" t="s">
        <v>183</v>
      </c>
      <c r="C195" s="13" t="s">
        <v>157</v>
      </c>
      <c r="D195" s="13" t="s">
        <v>56</v>
      </c>
      <c r="E195" s="24" t="n">
        <v>1054</v>
      </c>
      <c r="F195" s="14" t="n">
        <v>99160.32</v>
      </c>
      <c r="G195" s="14" t="n">
        <v>96582.15</v>
      </c>
      <c r="H195" s="15" t="n">
        <f aca="false">INDEX('Your Inputs'!$C$8:$C$10,MATCH($D195,'Your Inputs'!$B$8:$B$10,0))</f>
        <v>96</v>
      </c>
      <c r="I195" s="15" t="n">
        <f aca="false">INDEX('Your Inputs'!$D$8:$D$10,MATCH($D195,'Your Inputs'!$B$8:$B$10,0))</f>
        <v>58</v>
      </c>
      <c r="J195" s="15" t="n">
        <f aca="false">ROUND($E195*$H195,2)</f>
        <v>101184</v>
      </c>
      <c r="K195" s="15" t="n">
        <f aca="false">ROUND($E195*$I195,2)</f>
        <v>61132</v>
      </c>
      <c r="L195" s="15" t="n">
        <f aca="false">ROUND($F195*'Your Inputs'!$C$31,2)</f>
        <v>1983.21</v>
      </c>
      <c r="M195" s="15" t="n">
        <f aca="false">ROUND($G195-$K195-$L195,2)</f>
        <v>33466.94</v>
      </c>
      <c r="N195" s="15" t="n">
        <f aca="false">$G195/$E195</f>
        <v>91.6339184060721</v>
      </c>
      <c r="O195" s="25" t="n">
        <f aca="false">$G195/$J195</f>
        <v>0.954519983396584</v>
      </c>
      <c r="P195" s="18" t="str">
        <f aca="false">$C195&amp;" | "&amp;$D195</f>
        <v>Direct industrial | Protective coatings</v>
      </c>
      <c r="Q195" s="25" t="n">
        <f aca="false">INDEX('Your Floors'!$K$20:$K$31,MATCH($P195,'Your Floors'!$D$20:$D$31,0))</f>
        <v>0.853768804407086</v>
      </c>
      <c r="R195" s="18" t="str">
        <f aca="false">IF($O195&lt;$Q195,"below the floor","at or above it")</f>
        <v>at or above it</v>
      </c>
      <c r="S195" s="15" t="n">
        <f aca="false">IF($O195&lt;$Q195,$E195*ROUND($Q195*$H195,2),$G195)</f>
        <v>96582.15</v>
      </c>
      <c r="T195" s="15" t="n">
        <f aca="false">IF($O195&lt;$Q195,ROUND($L195*$S195/$G195,2),$L195)</f>
        <v>1983.21</v>
      </c>
      <c r="U195" s="15" t="n">
        <f aca="false">ROUND(($S195-$G195)-($T195-$L195),2)</f>
        <v>0</v>
      </c>
      <c r="V195" s="15" t="n">
        <f aca="false">IF($O195&lt;$Q195,ROUND($S195-$K195-$T195,2),$M195)</f>
        <v>33466.94</v>
      </c>
    </row>
    <row r="196" customFormat="false" ht="15" hidden="false" customHeight="false" outlineLevel="0" collapsed="false">
      <c r="B196" s="13" t="s">
        <v>184</v>
      </c>
      <c r="C196" s="13" t="s">
        <v>157</v>
      </c>
      <c r="D196" s="13" t="s">
        <v>52</v>
      </c>
      <c r="E196" s="24" t="n">
        <v>274</v>
      </c>
      <c r="F196" s="14" t="n">
        <v>38106.71</v>
      </c>
      <c r="G196" s="14" t="n">
        <v>37115.94</v>
      </c>
      <c r="H196" s="15" t="n">
        <f aca="false">INDEX('Your Inputs'!$C$8:$C$10,MATCH($D196,'Your Inputs'!$B$8:$B$10,0))</f>
        <v>148</v>
      </c>
      <c r="I196" s="15" t="n">
        <f aca="false">INDEX('Your Inputs'!$D$8:$D$10,MATCH($D196,'Your Inputs'!$B$8:$B$10,0))</f>
        <v>78</v>
      </c>
      <c r="J196" s="15" t="n">
        <f aca="false">ROUND($E196*$H196,2)</f>
        <v>40552</v>
      </c>
      <c r="K196" s="15" t="n">
        <f aca="false">ROUND($E196*$I196,2)</f>
        <v>21372</v>
      </c>
      <c r="L196" s="15" t="n">
        <f aca="false">ROUND($F196*'Your Inputs'!$C$31,2)</f>
        <v>762.13</v>
      </c>
      <c r="M196" s="15" t="n">
        <f aca="false">ROUND($G196-$K196-$L196,2)</f>
        <v>14981.81</v>
      </c>
      <c r="N196" s="15" t="n">
        <f aca="false">$G196/$E196</f>
        <v>135.459635036496</v>
      </c>
      <c r="O196" s="25" t="n">
        <f aca="false">$G196/$J196</f>
        <v>0.915267804300651</v>
      </c>
      <c r="P196" s="18" t="str">
        <f aca="false">$C196&amp;" | "&amp;$D196</f>
        <v>Direct industrial | Structural adhesives</v>
      </c>
      <c r="Q196" s="25" t="n">
        <f aca="false">INDEX('Your Floors'!$K$20:$K$31,MATCH($P196,'Your Floors'!$D$20:$D$31,0))</f>
        <v>0.874622624783014</v>
      </c>
      <c r="R196" s="18" t="str">
        <f aca="false">IF($O196&lt;$Q196,"below the floor","at or above it")</f>
        <v>at or above it</v>
      </c>
      <c r="S196" s="15" t="n">
        <f aca="false">IF($O196&lt;$Q196,$E196*ROUND($Q196*$H196,2),$G196)</f>
        <v>37115.94</v>
      </c>
      <c r="T196" s="15" t="n">
        <f aca="false">IF($O196&lt;$Q196,ROUND($L196*$S196/$G196,2),$L196)</f>
        <v>762.13</v>
      </c>
      <c r="U196" s="15" t="n">
        <f aca="false">ROUND(($S196-$G196)-($T196-$L196),2)</f>
        <v>0</v>
      </c>
      <c r="V196" s="15" t="n">
        <f aca="false">IF($O196&lt;$Q196,ROUND($S196-$K196-$T196,2),$M196)</f>
        <v>14981.81</v>
      </c>
    </row>
    <row r="197" customFormat="false" ht="15" hidden="false" customHeight="false" outlineLevel="0" collapsed="false">
      <c r="B197" s="13" t="s">
        <v>184</v>
      </c>
      <c r="C197" s="13" t="s">
        <v>157</v>
      </c>
      <c r="D197" s="13" t="s">
        <v>54</v>
      </c>
      <c r="E197" s="24" t="n">
        <v>1645</v>
      </c>
      <c r="F197" s="14" t="n">
        <v>91332.04</v>
      </c>
      <c r="G197" s="14" t="n">
        <v>88957.41</v>
      </c>
      <c r="H197" s="15" t="n">
        <f aca="false">INDEX('Your Inputs'!$C$8:$C$10,MATCH($D197,'Your Inputs'!$B$8:$B$10,0))</f>
        <v>62</v>
      </c>
      <c r="I197" s="15" t="n">
        <f aca="false">INDEX('Your Inputs'!$D$8:$D$10,MATCH($D197,'Your Inputs'!$B$8:$B$10,0))</f>
        <v>36</v>
      </c>
      <c r="J197" s="15" t="n">
        <f aca="false">ROUND($E197*$H197,2)</f>
        <v>101990</v>
      </c>
      <c r="K197" s="15" t="n">
        <f aca="false">ROUND($E197*$I197,2)</f>
        <v>59220</v>
      </c>
      <c r="L197" s="15" t="n">
        <f aca="false">ROUND($F197*'Your Inputs'!$C$31,2)</f>
        <v>1826.64</v>
      </c>
      <c r="M197" s="15" t="n">
        <f aca="false">ROUND($G197-$K197-$L197,2)</f>
        <v>27910.77</v>
      </c>
      <c r="N197" s="15" t="n">
        <f aca="false">$G197/$E197</f>
        <v>54.077452887538</v>
      </c>
      <c r="O197" s="25" t="n">
        <f aca="false">$G197/$J197</f>
        <v>0.872216982057064</v>
      </c>
      <c r="P197" s="18" t="str">
        <f aca="false">$C197&amp;" | "&amp;$D197</f>
        <v>Direct industrial | Sealants</v>
      </c>
      <c r="Q197" s="25" t="n">
        <f aca="false">INDEX('Your Floors'!$K$20:$K$31,MATCH($P197,'Your Floors'!$D$20:$D$31,0))</f>
        <v>0.834035886176071</v>
      </c>
      <c r="R197" s="18" t="str">
        <f aca="false">IF($O197&lt;$Q197,"below the floor","at or above it")</f>
        <v>at or above it</v>
      </c>
      <c r="S197" s="15" t="n">
        <f aca="false">IF($O197&lt;$Q197,$E197*ROUND($Q197*$H197,2),$G197)</f>
        <v>88957.41</v>
      </c>
      <c r="T197" s="15" t="n">
        <f aca="false">IF($O197&lt;$Q197,ROUND($L197*$S197/$G197,2),$L197)</f>
        <v>1826.64</v>
      </c>
      <c r="U197" s="15" t="n">
        <f aca="false">ROUND(($S197-$G197)-($T197-$L197),2)</f>
        <v>0</v>
      </c>
      <c r="V197" s="15" t="n">
        <f aca="false">IF($O197&lt;$Q197,ROUND($S197-$K197-$T197,2),$M197)</f>
        <v>27910.77</v>
      </c>
    </row>
    <row r="198" customFormat="false" ht="15" hidden="false" customHeight="false" outlineLevel="0" collapsed="false">
      <c r="B198" s="13" t="s">
        <v>184</v>
      </c>
      <c r="C198" s="13" t="s">
        <v>157</v>
      </c>
      <c r="D198" s="13" t="s">
        <v>56</v>
      </c>
      <c r="E198" s="24" t="n">
        <v>883</v>
      </c>
      <c r="F198" s="14" t="n">
        <v>77783.12</v>
      </c>
      <c r="G198" s="14" t="n">
        <v>75760.75</v>
      </c>
      <c r="H198" s="15" t="n">
        <f aca="false">INDEX('Your Inputs'!$C$8:$C$10,MATCH($D198,'Your Inputs'!$B$8:$B$10,0))</f>
        <v>96</v>
      </c>
      <c r="I198" s="15" t="n">
        <f aca="false">INDEX('Your Inputs'!$D$8:$D$10,MATCH($D198,'Your Inputs'!$B$8:$B$10,0))</f>
        <v>58</v>
      </c>
      <c r="J198" s="15" t="n">
        <f aca="false">ROUND($E198*$H198,2)</f>
        <v>84768</v>
      </c>
      <c r="K198" s="15" t="n">
        <f aca="false">ROUND($E198*$I198,2)</f>
        <v>51214</v>
      </c>
      <c r="L198" s="15" t="n">
        <f aca="false">ROUND($F198*'Your Inputs'!$C$31,2)</f>
        <v>1555.66</v>
      </c>
      <c r="M198" s="15" t="n">
        <f aca="false">ROUND($G198-$K198-$L198,2)</f>
        <v>22991.09</v>
      </c>
      <c r="N198" s="15" t="n">
        <f aca="false">$G198/$E198</f>
        <v>85.7992638731597</v>
      </c>
      <c r="O198" s="25" t="n">
        <f aca="false">$G198/$J198</f>
        <v>0.89374233201208</v>
      </c>
      <c r="P198" s="18" t="str">
        <f aca="false">$C198&amp;" | "&amp;$D198</f>
        <v>Direct industrial | Protective coatings</v>
      </c>
      <c r="Q198" s="25" t="n">
        <f aca="false">INDEX('Your Floors'!$K$20:$K$31,MATCH($P198,'Your Floors'!$D$20:$D$31,0))</f>
        <v>0.853768804407086</v>
      </c>
      <c r="R198" s="18" t="str">
        <f aca="false">IF($O198&lt;$Q198,"below the floor","at or above it")</f>
        <v>at or above it</v>
      </c>
      <c r="S198" s="15" t="n">
        <f aca="false">IF($O198&lt;$Q198,$E198*ROUND($Q198*$H198,2),$G198)</f>
        <v>75760.75</v>
      </c>
      <c r="T198" s="15" t="n">
        <f aca="false">IF($O198&lt;$Q198,ROUND($L198*$S198/$G198,2),$L198)</f>
        <v>1555.66</v>
      </c>
      <c r="U198" s="15" t="n">
        <f aca="false">ROUND(($S198-$G198)-($T198-$L198),2)</f>
        <v>0</v>
      </c>
      <c r="V198" s="15" t="n">
        <f aca="false">IF($O198&lt;$Q198,ROUND($S198-$K198-$T198,2),$M198)</f>
        <v>22991.09</v>
      </c>
    </row>
    <row r="199" customFormat="false" ht="15" hidden="false" customHeight="false" outlineLevel="0" collapsed="false">
      <c r="B199" s="13" t="s">
        <v>185</v>
      </c>
      <c r="C199" s="13" t="s">
        <v>157</v>
      </c>
      <c r="D199" s="13" t="s">
        <v>52</v>
      </c>
      <c r="E199" s="24" t="n">
        <v>600</v>
      </c>
      <c r="F199" s="14" t="n">
        <v>79467.12</v>
      </c>
      <c r="G199" s="14" t="n">
        <v>76208.97</v>
      </c>
      <c r="H199" s="15" t="n">
        <f aca="false">INDEX('Your Inputs'!$C$8:$C$10,MATCH($D199,'Your Inputs'!$B$8:$B$10,0))</f>
        <v>148</v>
      </c>
      <c r="I199" s="15" t="n">
        <f aca="false">INDEX('Your Inputs'!$D$8:$D$10,MATCH($D199,'Your Inputs'!$B$8:$B$10,0))</f>
        <v>78</v>
      </c>
      <c r="J199" s="15" t="n">
        <f aca="false">ROUND($E199*$H199,2)</f>
        <v>88800</v>
      </c>
      <c r="K199" s="15" t="n">
        <f aca="false">ROUND($E199*$I199,2)</f>
        <v>46800</v>
      </c>
      <c r="L199" s="15" t="n">
        <f aca="false">ROUND($F199*'Your Inputs'!$C$31,2)</f>
        <v>1589.34</v>
      </c>
      <c r="M199" s="15" t="n">
        <f aca="false">ROUND($G199-$K199-$L199,2)</f>
        <v>27819.63</v>
      </c>
      <c r="N199" s="15" t="n">
        <f aca="false">$G199/$E199</f>
        <v>127.01495</v>
      </c>
      <c r="O199" s="25" t="n">
        <f aca="false">$G199/$J199</f>
        <v>0.858209121621622</v>
      </c>
      <c r="P199" s="18" t="str">
        <f aca="false">$C199&amp;" | "&amp;$D199</f>
        <v>Direct industrial | Structural adhesives</v>
      </c>
      <c r="Q199" s="25" t="n">
        <f aca="false">INDEX('Your Floors'!$K$20:$K$31,MATCH($P199,'Your Floors'!$D$20:$D$31,0))</f>
        <v>0.874622624783014</v>
      </c>
      <c r="R199" s="18" t="str">
        <f aca="false">IF($O199&lt;$Q199,"below the floor","at or above it")</f>
        <v>below the floor</v>
      </c>
      <c r="S199" s="15" t="n">
        <f aca="false">IF($O199&lt;$Q199,$E199*ROUND($Q199*$H199,2),$G199)</f>
        <v>77664</v>
      </c>
      <c r="T199" s="15" t="n">
        <f aca="false">IF($O199&lt;$Q199,ROUND($L199*$S199/$G199,2),$L199)</f>
        <v>1619.68</v>
      </c>
      <c r="U199" s="15" t="n">
        <f aca="false">ROUND(($S199-$G199)-($T199-$L199),2)</f>
        <v>1424.69</v>
      </c>
      <c r="V199" s="15" t="n">
        <f aca="false">IF($O199&lt;$Q199,ROUND($S199-$K199-$T199,2),$M199)</f>
        <v>29244.32</v>
      </c>
    </row>
    <row r="200" customFormat="false" ht="15" hidden="false" customHeight="false" outlineLevel="0" collapsed="false">
      <c r="B200" s="13" t="s">
        <v>185</v>
      </c>
      <c r="C200" s="13" t="s">
        <v>157</v>
      </c>
      <c r="D200" s="13" t="s">
        <v>54</v>
      </c>
      <c r="E200" s="24" t="n">
        <v>2775</v>
      </c>
      <c r="F200" s="14" t="n">
        <v>141683.17</v>
      </c>
      <c r="G200" s="14" t="n">
        <v>135874.16</v>
      </c>
      <c r="H200" s="15" t="n">
        <f aca="false">INDEX('Your Inputs'!$C$8:$C$10,MATCH($D200,'Your Inputs'!$B$8:$B$10,0))</f>
        <v>62</v>
      </c>
      <c r="I200" s="15" t="n">
        <f aca="false">INDEX('Your Inputs'!$D$8:$D$10,MATCH($D200,'Your Inputs'!$B$8:$B$10,0))</f>
        <v>36</v>
      </c>
      <c r="J200" s="15" t="n">
        <f aca="false">ROUND($E200*$H200,2)</f>
        <v>172050</v>
      </c>
      <c r="K200" s="15" t="n">
        <f aca="false">ROUND($E200*$I200,2)</f>
        <v>99900</v>
      </c>
      <c r="L200" s="15" t="n">
        <f aca="false">ROUND($F200*'Your Inputs'!$C$31,2)</f>
        <v>2833.66</v>
      </c>
      <c r="M200" s="15" t="n">
        <f aca="false">ROUND($G200-$K200-$L200,2)</f>
        <v>33140.5</v>
      </c>
      <c r="N200" s="15" t="n">
        <f aca="false">$G200/$E200</f>
        <v>48.9636612612613</v>
      </c>
      <c r="O200" s="25" t="n">
        <f aca="false">$G200/$J200</f>
        <v>0.789736471955827</v>
      </c>
      <c r="P200" s="18" t="str">
        <f aca="false">$C200&amp;" | "&amp;$D200</f>
        <v>Direct industrial | Sealants</v>
      </c>
      <c r="Q200" s="25" t="n">
        <f aca="false">INDEX('Your Floors'!$K$20:$K$31,MATCH($P200,'Your Floors'!$D$20:$D$31,0))</f>
        <v>0.834035886176071</v>
      </c>
      <c r="R200" s="18" t="str">
        <f aca="false">IF($O200&lt;$Q200,"below the floor","at or above it")</f>
        <v>below the floor</v>
      </c>
      <c r="S200" s="15" t="n">
        <f aca="false">IF($O200&lt;$Q200,$E200*ROUND($Q200*$H200,2),$G200)</f>
        <v>143495.25</v>
      </c>
      <c r="T200" s="15" t="n">
        <f aca="false">IF($O200&lt;$Q200,ROUND($L200*$S200/$G200,2),$L200)</f>
        <v>2992.6</v>
      </c>
      <c r="U200" s="15" t="n">
        <f aca="false">ROUND(($S200-$G200)-($T200-$L200),2)</f>
        <v>7462.15</v>
      </c>
      <c r="V200" s="15" t="n">
        <f aca="false">IF($O200&lt;$Q200,ROUND($S200-$K200-$T200,2),$M200)</f>
        <v>40602.65</v>
      </c>
    </row>
    <row r="201" customFormat="false" ht="15" hidden="false" customHeight="false" outlineLevel="0" collapsed="false">
      <c r="B201" s="13" t="s">
        <v>185</v>
      </c>
      <c r="C201" s="13" t="s">
        <v>157</v>
      </c>
      <c r="D201" s="13" t="s">
        <v>56</v>
      </c>
      <c r="E201" s="24" t="n">
        <v>1323</v>
      </c>
      <c r="F201" s="14" t="n">
        <v>109125.27</v>
      </c>
      <c r="G201" s="14" t="n">
        <v>104651.13</v>
      </c>
      <c r="H201" s="15" t="n">
        <f aca="false">INDEX('Your Inputs'!$C$8:$C$10,MATCH($D201,'Your Inputs'!$B$8:$B$10,0))</f>
        <v>96</v>
      </c>
      <c r="I201" s="15" t="n">
        <f aca="false">INDEX('Your Inputs'!$D$8:$D$10,MATCH($D201,'Your Inputs'!$B$8:$B$10,0))</f>
        <v>58</v>
      </c>
      <c r="J201" s="15" t="n">
        <f aca="false">ROUND($E201*$H201,2)</f>
        <v>127008</v>
      </c>
      <c r="K201" s="15" t="n">
        <f aca="false">ROUND($E201*$I201,2)</f>
        <v>76734</v>
      </c>
      <c r="L201" s="15" t="n">
        <f aca="false">ROUND($F201*'Your Inputs'!$C$31,2)</f>
        <v>2182.51</v>
      </c>
      <c r="M201" s="15" t="n">
        <f aca="false">ROUND($G201-$K201-$L201,2)</f>
        <v>25734.62</v>
      </c>
      <c r="N201" s="15" t="n">
        <f aca="false">$G201/$E201</f>
        <v>79.1013832199547</v>
      </c>
      <c r="O201" s="25" t="n">
        <f aca="false">$G201/$J201</f>
        <v>0.823972741874528</v>
      </c>
      <c r="P201" s="18" t="str">
        <f aca="false">$C201&amp;" | "&amp;$D201</f>
        <v>Direct industrial | Protective coatings</v>
      </c>
      <c r="Q201" s="25" t="n">
        <f aca="false">INDEX('Your Floors'!$K$20:$K$31,MATCH($P201,'Your Floors'!$D$20:$D$31,0))</f>
        <v>0.853768804407086</v>
      </c>
      <c r="R201" s="18" t="str">
        <f aca="false">IF($O201&lt;$Q201,"below the floor","at or above it")</f>
        <v>below the floor</v>
      </c>
      <c r="S201" s="15" t="n">
        <f aca="false">IF($O201&lt;$Q201,$E201*ROUND($Q201*$H201,2),$G201)</f>
        <v>108433.08</v>
      </c>
      <c r="T201" s="15" t="n">
        <f aca="false">IF($O201&lt;$Q201,ROUND($L201*$S201/$G201,2),$L201)</f>
        <v>2261.38</v>
      </c>
      <c r="U201" s="15" t="n">
        <f aca="false">ROUND(($S201-$G201)-($T201-$L201),2)</f>
        <v>3703.08</v>
      </c>
      <c r="V201" s="15" t="n">
        <f aca="false">IF($O201&lt;$Q201,ROUND($S201-$K201-$T201,2),$M201)</f>
        <v>29437.7</v>
      </c>
    </row>
    <row r="202" customFormat="false" ht="15" hidden="false" customHeight="false" outlineLevel="0" collapsed="false">
      <c r="B202" s="13" t="s">
        <v>186</v>
      </c>
      <c r="C202" s="13" t="s">
        <v>157</v>
      </c>
      <c r="D202" s="13" t="s">
        <v>52</v>
      </c>
      <c r="E202" s="24" t="n">
        <v>885</v>
      </c>
      <c r="F202" s="14" t="n">
        <v>123304.57</v>
      </c>
      <c r="G202" s="14" t="n">
        <v>120715.17</v>
      </c>
      <c r="H202" s="15" t="n">
        <f aca="false">INDEX('Your Inputs'!$C$8:$C$10,MATCH($D202,'Your Inputs'!$B$8:$B$10,0))</f>
        <v>148</v>
      </c>
      <c r="I202" s="15" t="n">
        <f aca="false">INDEX('Your Inputs'!$D$8:$D$10,MATCH($D202,'Your Inputs'!$B$8:$B$10,0))</f>
        <v>78</v>
      </c>
      <c r="J202" s="15" t="n">
        <f aca="false">ROUND($E202*$H202,2)</f>
        <v>130980</v>
      </c>
      <c r="K202" s="15" t="n">
        <f aca="false">ROUND($E202*$I202,2)</f>
        <v>69030</v>
      </c>
      <c r="L202" s="15" t="n">
        <f aca="false">ROUND($F202*'Your Inputs'!$C$31,2)</f>
        <v>2466.09</v>
      </c>
      <c r="M202" s="15" t="n">
        <f aca="false">ROUND($G202-$K202-$L202,2)</f>
        <v>49219.08</v>
      </c>
      <c r="N202" s="15" t="n">
        <f aca="false">$G202/$E202</f>
        <v>136.401322033898</v>
      </c>
      <c r="O202" s="25" t="n">
        <f aca="false">$G202/$J202</f>
        <v>0.921630554283097</v>
      </c>
      <c r="P202" s="18" t="str">
        <f aca="false">$C202&amp;" | "&amp;$D202</f>
        <v>Direct industrial | Structural adhesives</v>
      </c>
      <c r="Q202" s="25" t="n">
        <f aca="false">INDEX('Your Floors'!$K$20:$K$31,MATCH($P202,'Your Floors'!$D$20:$D$31,0))</f>
        <v>0.874622624783014</v>
      </c>
      <c r="R202" s="18" t="str">
        <f aca="false">IF($O202&lt;$Q202,"below the floor","at or above it")</f>
        <v>at or above it</v>
      </c>
      <c r="S202" s="15" t="n">
        <f aca="false">IF($O202&lt;$Q202,$E202*ROUND($Q202*$H202,2),$G202)</f>
        <v>120715.17</v>
      </c>
      <c r="T202" s="15" t="n">
        <f aca="false">IF($O202&lt;$Q202,ROUND($L202*$S202/$G202,2),$L202)</f>
        <v>2466.09</v>
      </c>
      <c r="U202" s="15" t="n">
        <f aca="false">ROUND(($S202-$G202)-($T202-$L202),2)</f>
        <v>0</v>
      </c>
      <c r="V202" s="15" t="n">
        <f aca="false">IF($O202&lt;$Q202,ROUND($S202-$K202-$T202,2),$M202)</f>
        <v>49219.08</v>
      </c>
    </row>
    <row r="203" customFormat="false" ht="15" hidden="false" customHeight="false" outlineLevel="0" collapsed="false">
      <c r="B203" s="13" t="s">
        <v>186</v>
      </c>
      <c r="C203" s="13" t="s">
        <v>157</v>
      </c>
      <c r="D203" s="13" t="s">
        <v>54</v>
      </c>
      <c r="E203" s="24" t="n">
        <v>2047</v>
      </c>
      <c r="F203" s="14" t="n">
        <v>116887.79</v>
      </c>
      <c r="G203" s="14" t="n">
        <v>114433.14</v>
      </c>
      <c r="H203" s="15" t="n">
        <f aca="false">INDEX('Your Inputs'!$C$8:$C$10,MATCH($D203,'Your Inputs'!$B$8:$B$10,0))</f>
        <v>62</v>
      </c>
      <c r="I203" s="15" t="n">
        <f aca="false">INDEX('Your Inputs'!$D$8:$D$10,MATCH($D203,'Your Inputs'!$B$8:$B$10,0))</f>
        <v>36</v>
      </c>
      <c r="J203" s="15" t="n">
        <f aca="false">ROUND($E203*$H203,2)</f>
        <v>126914</v>
      </c>
      <c r="K203" s="15" t="n">
        <f aca="false">ROUND($E203*$I203,2)</f>
        <v>73692</v>
      </c>
      <c r="L203" s="15" t="n">
        <f aca="false">ROUND($F203*'Your Inputs'!$C$31,2)</f>
        <v>2337.76</v>
      </c>
      <c r="M203" s="15" t="n">
        <f aca="false">ROUND($G203-$K203-$L203,2)</f>
        <v>38403.38</v>
      </c>
      <c r="N203" s="15" t="n">
        <f aca="false">$G203/$E203</f>
        <v>55.9028529555447</v>
      </c>
      <c r="O203" s="25" t="n">
        <f aca="false">$G203/$J203</f>
        <v>0.901658918637818</v>
      </c>
      <c r="P203" s="18" t="str">
        <f aca="false">$C203&amp;" | "&amp;$D203</f>
        <v>Direct industrial | Sealants</v>
      </c>
      <c r="Q203" s="25" t="n">
        <f aca="false">INDEX('Your Floors'!$K$20:$K$31,MATCH($P203,'Your Floors'!$D$20:$D$31,0))</f>
        <v>0.834035886176071</v>
      </c>
      <c r="R203" s="18" t="str">
        <f aca="false">IF($O203&lt;$Q203,"below the floor","at or above it")</f>
        <v>at or above it</v>
      </c>
      <c r="S203" s="15" t="n">
        <f aca="false">IF($O203&lt;$Q203,$E203*ROUND($Q203*$H203,2),$G203)</f>
        <v>114433.14</v>
      </c>
      <c r="T203" s="15" t="n">
        <f aca="false">IF($O203&lt;$Q203,ROUND($L203*$S203/$G203,2),$L203)</f>
        <v>2337.76</v>
      </c>
      <c r="U203" s="15" t="n">
        <f aca="false">ROUND(($S203-$G203)-($T203-$L203),2)</f>
        <v>0</v>
      </c>
      <c r="V203" s="15" t="n">
        <f aca="false">IF($O203&lt;$Q203,ROUND($S203-$K203-$T203,2),$M203)</f>
        <v>38403.38</v>
      </c>
    </row>
    <row r="204" customFormat="false" ht="15" hidden="false" customHeight="false" outlineLevel="0" collapsed="false">
      <c r="B204" s="13" t="s">
        <v>187</v>
      </c>
      <c r="C204" s="13" t="s">
        <v>157</v>
      </c>
      <c r="D204" s="13" t="s">
        <v>52</v>
      </c>
      <c r="E204" s="24" t="n">
        <v>293</v>
      </c>
      <c r="F204" s="14" t="n">
        <v>40614.72</v>
      </c>
      <c r="G204" s="14" t="n">
        <v>40167.96</v>
      </c>
      <c r="H204" s="15" t="n">
        <f aca="false">INDEX('Your Inputs'!$C$8:$C$10,MATCH($D204,'Your Inputs'!$B$8:$B$10,0))</f>
        <v>148</v>
      </c>
      <c r="I204" s="15" t="n">
        <f aca="false">INDEX('Your Inputs'!$D$8:$D$10,MATCH($D204,'Your Inputs'!$B$8:$B$10,0))</f>
        <v>78</v>
      </c>
      <c r="J204" s="15" t="n">
        <f aca="false">ROUND($E204*$H204,2)</f>
        <v>43364</v>
      </c>
      <c r="K204" s="15" t="n">
        <f aca="false">ROUND($E204*$I204,2)</f>
        <v>22854</v>
      </c>
      <c r="L204" s="15" t="n">
        <f aca="false">ROUND($F204*'Your Inputs'!$C$31,2)</f>
        <v>812.29</v>
      </c>
      <c r="M204" s="15" t="n">
        <f aca="false">ROUND($G204-$K204-$L204,2)</f>
        <v>16501.67</v>
      </c>
      <c r="N204" s="15" t="n">
        <f aca="false">$G204/$E204</f>
        <v>137.092013651877</v>
      </c>
      <c r="O204" s="25" t="n">
        <f aca="false">$G204/$J204</f>
        <v>0.92629738953971</v>
      </c>
      <c r="P204" s="18" t="str">
        <f aca="false">$C204&amp;" | "&amp;$D204</f>
        <v>Direct industrial | Structural adhesives</v>
      </c>
      <c r="Q204" s="25" t="n">
        <f aca="false">INDEX('Your Floors'!$K$20:$K$31,MATCH($P204,'Your Floors'!$D$20:$D$31,0))</f>
        <v>0.874622624783014</v>
      </c>
      <c r="R204" s="18" t="str">
        <f aca="false">IF($O204&lt;$Q204,"below the floor","at or above it")</f>
        <v>at or above it</v>
      </c>
      <c r="S204" s="15" t="n">
        <f aca="false">IF($O204&lt;$Q204,$E204*ROUND($Q204*$H204,2),$G204)</f>
        <v>40167.96</v>
      </c>
      <c r="T204" s="15" t="n">
        <f aca="false">IF($O204&lt;$Q204,ROUND($L204*$S204/$G204,2),$L204)</f>
        <v>812.29</v>
      </c>
      <c r="U204" s="15" t="n">
        <f aca="false">ROUND(($S204-$G204)-($T204-$L204),2)</f>
        <v>0</v>
      </c>
      <c r="V204" s="15" t="n">
        <f aca="false">IF($O204&lt;$Q204,ROUND($S204-$K204-$T204,2),$M204)</f>
        <v>16501.67</v>
      </c>
    </row>
    <row r="205" customFormat="false" ht="15" hidden="false" customHeight="false" outlineLevel="0" collapsed="false">
      <c r="B205" s="13" t="s">
        <v>187</v>
      </c>
      <c r="C205" s="13" t="s">
        <v>157</v>
      </c>
      <c r="D205" s="13" t="s">
        <v>54</v>
      </c>
      <c r="E205" s="24" t="n">
        <v>850</v>
      </c>
      <c r="F205" s="14" t="n">
        <v>46850.3</v>
      </c>
      <c r="G205" s="14" t="n">
        <v>46334.95</v>
      </c>
      <c r="H205" s="15" t="n">
        <f aca="false">INDEX('Your Inputs'!$C$8:$C$10,MATCH($D205,'Your Inputs'!$B$8:$B$10,0))</f>
        <v>62</v>
      </c>
      <c r="I205" s="15" t="n">
        <f aca="false">INDEX('Your Inputs'!$D$8:$D$10,MATCH($D205,'Your Inputs'!$B$8:$B$10,0))</f>
        <v>36</v>
      </c>
      <c r="J205" s="15" t="n">
        <f aca="false">ROUND($E205*$H205,2)</f>
        <v>52700</v>
      </c>
      <c r="K205" s="15" t="n">
        <f aca="false">ROUND($E205*$I205,2)</f>
        <v>30600</v>
      </c>
      <c r="L205" s="15" t="n">
        <f aca="false">ROUND($F205*'Your Inputs'!$C$31,2)</f>
        <v>937.01</v>
      </c>
      <c r="M205" s="15" t="n">
        <f aca="false">ROUND($G205-$K205-$L205,2)</f>
        <v>14797.94</v>
      </c>
      <c r="N205" s="15" t="n">
        <f aca="false">$G205/$E205</f>
        <v>54.5117058823529</v>
      </c>
      <c r="O205" s="25" t="n">
        <f aca="false">$G205/$J205</f>
        <v>0.879221062618596</v>
      </c>
      <c r="P205" s="18" t="str">
        <f aca="false">$C205&amp;" | "&amp;$D205</f>
        <v>Direct industrial | Sealants</v>
      </c>
      <c r="Q205" s="25" t="n">
        <f aca="false">INDEX('Your Floors'!$K$20:$K$31,MATCH($P205,'Your Floors'!$D$20:$D$31,0))</f>
        <v>0.834035886176071</v>
      </c>
      <c r="R205" s="18" t="str">
        <f aca="false">IF($O205&lt;$Q205,"below the floor","at or above it")</f>
        <v>at or above it</v>
      </c>
      <c r="S205" s="15" t="n">
        <f aca="false">IF($O205&lt;$Q205,$E205*ROUND($Q205*$H205,2),$G205)</f>
        <v>46334.95</v>
      </c>
      <c r="T205" s="15" t="n">
        <f aca="false">IF($O205&lt;$Q205,ROUND($L205*$S205/$G205,2),$L205)</f>
        <v>937.01</v>
      </c>
      <c r="U205" s="15" t="n">
        <f aca="false">ROUND(($S205-$G205)-($T205-$L205),2)</f>
        <v>0</v>
      </c>
      <c r="V205" s="15" t="n">
        <f aca="false">IF($O205&lt;$Q205,ROUND($S205-$K205-$T205,2),$M205)</f>
        <v>14797.94</v>
      </c>
    </row>
    <row r="206" customFormat="false" ht="15" hidden="false" customHeight="false" outlineLevel="0" collapsed="false">
      <c r="B206" s="13" t="s">
        <v>188</v>
      </c>
      <c r="C206" s="13" t="s">
        <v>157</v>
      </c>
      <c r="D206" s="13" t="s">
        <v>52</v>
      </c>
      <c r="E206" s="24" t="n">
        <v>557</v>
      </c>
      <c r="F206" s="14" t="n">
        <v>78231.76</v>
      </c>
      <c r="G206" s="14" t="n">
        <v>75024.25</v>
      </c>
      <c r="H206" s="15" t="n">
        <f aca="false">INDEX('Your Inputs'!$C$8:$C$10,MATCH($D206,'Your Inputs'!$B$8:$B$10,0))</f>
        <v>148</v>
      </c>
      <c r="I206" s="15" t="n">
        <f aca="false">INDEX('Your Inputs'!$D$8:$D$10,MATCH($D206,'Your Inputs'!$B$8:$B$10,0))</f>
        <v>78</v>
      </c>
      <c r="J206" s="15" t="n">
        <f aca="false">ROUND($E206*$H206,2)</f>
        <v>82436</v>
      </c>
      <c r="K206" s="15" t="n">
        <f aca="false">ROUND($E206*$I206,2)</f>
        <v>43446</v>
      </c>
      <c r="L206" s="15" t="n">
        <f aca="false">ROUND($F206*'Your Inputs'!$C$31,2)</f>
        <v>1564.64</v>
      </c>
      <c r="M206" s="15" t="n">
        <f aca="false">ROUND($G206-$K206-$L206,2)</f>
        <v>30013.61</v>
      </c>
      <c r="N206" s="15" t="n">
        <f aca="false">$G206/$E206</f>
        <v>134.693447037702</v>
      </c>
      <c r="O206" s="25" t="n">
        <f aca="false">$G206/$J206</f>
        <v>0.910090858362851</v>
      </c>
      <c r="P206" s="18" t="str">
        <f aca="false">$C206&amp;" | "&amp;$D206</f>
        <v>Direct industrial | Structural adhesives</v>
      </c>
      <c r="Q206" s="25" t="n">
        <f aca="false">INDEX('Your Floors'!$K$20:$K$31,MATCH($P206,'Your Floors'!$D$20:$D$31,0))</f>
        <v>0.874622624783014</v>
      </c>
      <c r="R206" s="18" t="str">
        <f aca="false">IF($O206&lt;$Q206,"below the floor","at or above it")</f>
        <v>at or above it</v>
      </c>
      <c r="S206" s="15" t="n">
        <f aca="false">IF($O206&lt;$Q206,$E206*ROUND($Q206*$H206,2),$G206)</f>
        <v>75024.25</v>
      </c>
      <c r="T206" s="15" t="n">
        <f aca="false">IF($O206&lt;$Q206,ROUND($L206*$S206/$G206,2),$L206)</f>
        <v>1564.64</v>
      </c>
      <c r="U206" s="15" t="n">
        <f aca="false">ROUND(($S206-$G206)-($T206-$L206),2)</f>
        <v>0</v>
      </c>
      <c r="V206" s="15" t="n">
        <f aca="false">IF($O206&lt;$Q206,ROUND($S206-$K206-$T206,2),$M206)</f>
        <v>30013.61</v>
      </c>
    </row>
    <row r="207" customFormat="false" ht="15" hidden="false" customHeight="false" outlineLevel="0" collapsed="false">
      <c r="B207" s="13" t="s">
        <v>188</v>
      </c>
      <c r="C207" s="13" t="s">
        <v>157</v>
      </c>
      <c r="D207" s="13" t="s">
        <v>56</v>
      </c>
      <c r="E207" s="24" t="n">
        <v>829</v>
      </c>
      <c r="F207" s="14" t="n">
        <v>74172.29</v>
      </c>
      <c r="G207" s="14" t="n">
        <v>71131.23</v>
      </c>
      <c r="H207" s="15" t="n">
        <f aca="false">INDEX('Your Inputs'!$C$8:$C$10,MATCH($D207,'Your Inputs'!$B$8:$B$10,0))</f>
        <v>96</v>
      </c>
      <c r="I207" s="15" t="n">
        <f aca="false">INDEX('Your Inputs'!$D$8:$D$10,MATCH($D207,'Your Inputs'!$B$8:$B$10,0))</f>
        <v>58</v>
      </c>
      <c r="J207" s="15" t="n">
        <f aca="false">ROUND($E207*$H207,2)</f>
        <v>79584</v>
      </c>
      <c r="K207" s="15" t="n">
        <f aca="false">ROUND($E207*$I207,2)</f>
        <v>48082</v>
      </c>
      <c r="L207" s="15" t="n">
        <f aca="false">ROUND($F207*'Your Inputs'!$C$31,2)</f>
        <v>1483.45</v>
      </c>
      <c r="M207" s="15" t="n">
        <f aca="false">ROUND($G207-$K207-$L207,2)</f>
        <v>21565.78</v>
      </c>
      <c r="N207" s="15" t="n">
        <f aca="false">$G207/$E207</f>
        <v>85.8036550060314</v>
      </c>
      <c r="O207" s="25" t="n">
        <f aca="false">$G207/$J207</f>
        <v>0.893788072979493</v>
      </c>
      <c r="P207" s="18" t="str">
        <f aca="false">$C207&amp;" | "&amp;$D207</f>
        <v>Direct industrial | Protective coatings</v>
      </c>
      <c r="Q207" s="25" t="n">
        <f aca="false">INDEX('Your Floors'!$K$20:$K$31,MATCH($P207,'Your Floors'!$D$20:$D$31,0))</f>
        <v>0.853768804407086</v>
      </c>
      <c r="R207" s="18" t="str">
        <f aca="false">IF($O207&lt;$Q207,"below the floor","at or above it")</f>
        <v>at or above it</v>
      </c>
      <c r="S207" s="15" t="n">
        <f aca="false">IF($O207&lt;$Q207,$E207*ROUND($Q207*$H207,2),$G207)</f>
        <v>71131.23</v>
      </c>
      <c r="T207" s="15" t="n">
        <f aca="false">IF($O207&lt;$Q207,ROUND($L207*$S207/$G207,2),$L207)</f>
        <v>1483.45</v>
      </c>
      <c r="U207" s="15" t="n">
        <f aca="false">ROUND(($S207-$G207)-($T207-$L207),2)</f>
        <v>0</v>
      </c>
      <c r="V207" s="15" t="n">
        <f aca="false">IF($O207&lt;$Q207,ROUND($S207-$K207-$T207,2),$M207)</f>
        <v>21565.78</v>
      </c>
    </row>
    <row r="208" customFormat="false" ht="15" hidden="false" customHeight="false" outlineLevel="0" collapsed="false">
      <c r="B208" s="13" t="s">
        <v>189</v>
      </c>
      <c r="C208" s="13" t="s">
        <v>157</v>
      </c>
      <c r="D208" s="13" t="s">
        <v>52</v>
      </c>
      <c r="E208" s="24" t="n">
        <v>1812</v>
      </c>
      <c r="F208" s="14" t="n">
        <v>249966.85</v>
      </c>
      <c r="G208" s="14" t="n">
        <v>234718.87</v>
      </c>
      <c r="H208" s="15" t="n">
        <f aca="false">INDEX('Your Inputs'!$C$8:$C$10,MATCH($D208,'Your Inputs'!$B$8:$B$10,0))</f>
        <v>148</v>
      </c>
      <c r="I208" s="15" t="n">
        <f aca="false">INDEX('Your Inputs'!$D$8:$D$10,MATCH($D208,'Your Inputs'!$B$8:$B$10,0))</f>
        <v>78</v>
      </c>
      <c r="J208" s="15" t="n">
        <f aca="false">ROUND($E208*$H208,2)</f>
        <v>268176</v>
      </c>
      <c r="K208" s="15" t="n">
        <f aca="false">ROUND($E208*$I208,2)</f>
        <v>141336</v>
      </c>
      <c r="L208" s="15" t="n">
        <f aca="false">ROUND($F208*'Your Inputs'!$C$31,2)</f>
        <v>4999.34</v>
      </c>
      <c r="M208" s="15" t="n">
        <f aca="false">ROUND($G208-$K208-$L208,2)</f>
        <v>88383.53</v>
      </c>
      <c r="N208" s="15" t="n">
        <f aca="false">$G208/$E208</f>
        <v>129.535800220751</v>
      </c>
      <c r="O208" s="25" t="n">
        <f aca="false">$G208/$J208</f>
        <v>0.87524189338345</v>
      </c>
      <c r="P208" s="18" t="str">
        <f aca="false">$C208&amp;" | "&amp;$D208</f>
        <v>Direct industrial | Structural adhesives</v>
      </c>
      <c r="Q208" s="25" t="n">
        <f aca="false">INDEX('Your Floors'!$K$20:$K$31,MATCH($P208,'Your Floors'!$D$20:$D$31,0))</f>
        <v>0.874622624783014</v>
      </c>
      <c r="R208" s="18" t="str">
        <f aca="false">IF($O208&lt;$Q208,"below the floor","at or above it")</f>
        <v>at or above it</v>
      </c>
      <c r="S208" s="15" t="n">
        <f aca="false">IF($O208&lt;$Q208,$E208*ROUND($Q208*$H208,2),$G208)</f>
        <v>234718.87</v>
      </c>
      <c r="T208" s="15" t="n">
        <f aca="false">IF($O208&lt;$Q208,ROUND($L208*$S208/$G208,2),$L208)</f>
        <v>4999.34</v>
      </c>
      <c r="U208" s="15" t="n">
        <f aca="false">ROUND(($S208-$G208)-($T208-$L208),2)</f>
        <v>0</v>
      </c>
      <c r="V208" s="15" t="n">
        <f aca="false">IF($O208&lt;$Q208,ROUND($S208-$K208-$T208,2),$M208)</f>
        <v>88383.53</v>
      </c>
    </row>
    <row r="209" customFormat="false" ht="15" hidden="false" customHeight="false" outlineLevel="0" collapsed="false">
      <c r="B209" s="13" t="s">
        <v>189</v>
      </c>
      <c r="C209" s="13" t="s">
        <v>157</v>
      </c>
      <c r="D209" s="13" t="s">
        <v>54</v>
      </c>
      <c r="E209" s="24" t="n">
        <v>5773</v>
      </c>
      <c r="F209" s="14" t="n">
        <v>322670.29</v>
      </c>
      <c r="G209" s="14" t="n">
        <v>302987.4</v>
      </c>
      <c r="H209" s="15" t="n">
        <f aca="false">INDEX('Your Inputs'!$C$8:$C$10,MATCH($D209,'Your Inputs'!$B$8:$B$10,0))</f>
        <v>62</v>
      </c>
      <c r="I209" s="15" t="n">
        <f aca="false">INDEX('Your Inputs'!$D$8:$D$10,MATCH($D209,'Your Inputs'!$B$8:$B$10,0))</f>
        <v>36</v>
      </c>
      <c r="J209" s="15" t="n">
        <f aca="false">ROUND($E209*$H209,2)</f>
        <v>357926</v>
      </c>
      <c r="K209" s="15" t="n">
        <f aca="false">ROUND($E209*$I209,2)</f>
        <v>207828</v>
      </c>
      <c r="L209" s="15" t="n">
        <f aca="false">ROUND($F209*'Your Inputs'!$C$31,2)</f>
        <v>6453.41</v>
      </c>
      <c r="M209" s="15" t="n">
        <f aca="false">ROUND($G209-$K209-$L209,2)</f>
        <v>88705.99</v>
      </c>
      <c r="N209" s="15" t="n">
        <f aca="false">$G209/$E209</f>
        <v>52.4835267625152</v>
      </c>
      <c r="O209" s="25" t="n">
        <f aca="false">$G209/$J209</f>
        <v>0.846508496169599</v>
      </c>
      <c r="P209" s="18" t="str">
        <f aca="false">$C209&amp;" | "&amp;$D209</f>
        <v>Direct industrial | Sealants</v>
      </c>
      <c r="Q209" s="25" t="n">
        <f aca="false">INDEX('Your Floors'!$K$20:$K$31,MATCH($P209,'Your Floors'!$D$20:$D$31,0))</f>
        <v>0.834035886176071</v>
      </c>
      <c r="R209" s="18" t="str">
        <f aca="false">IF($O209&lt;$Q209,"below the floor","at or above it")</f>
        <v>at or above it</v>
      </c>
      <c r="S209" s="15" t="n">
        <f aca="false">IF($O209&lt;$Q209,$E209*ROUND($Q209*$H209,2),$G209)</f>
        <v>302987.4</v>
      </c>
      <c r="T209" s="15" t="n">
        <f aca="false">IF($O209&lt;$Q209,ROUND($L209*$S209/$G209,2),$L209)</f>
        <v>6453.41</v>
      </c>
      <c r="U209" s="15" t="n">
        <f aca="false">ROUND(($S209-$G209)-($T209-$L209),2)</f>
        <v>0</v>
      </c>
      <c r="V209" s="15" t="n">
        <f aca="false">IF($O209&lt;$Q209,ROUND($S209-$K209-$T209,2),$M209)</f>
        <v>88705.99</v>
      </c>
    </row>
    <row r="210" customFormat="false" ht="15" hidden="false" customHeight="false" outlineLevel="0" collapsed="false">
      <c r="B210" s="13" t="s">
        <v>189</v>
      </c>
      <c r="C210" s="13" t="s">
        <v>157</v>
      </c>
      <c r="D210" s="13" t="s">
        <v>56</v>
      </c>
      <c r="E210" s="24" t="n">
        <v>3260</v>
      </c>
      <c r="F210" s="14" t="n">
        <v>286921.73</v>
      </c>
      <c r="G210" s="14" t="n">
        <v>269419.51</v>
      </c>
      <c r="H210" s="15" t="n">
        <f aca="false">INDEX('Your Inputs'!$C$8:$C$10,MATCH($D210,'Your Inputs'!$B$8:$B$10,0))</f>
        <v>96</v>
      </c>
      <c r="I210" s="15" t="n">
        <f aca="false">INDEX('Your Inputs'!$D$8:$D$10,MATCH($D210,'Your Inputs'!$B$8:$B$10,0))</f>
        <v>58</v>
      </c>
      <c r="J210" s="15" t="n">
        <f aca="false">ROUND($E210*$H210,2)</f>
        <v>312960</v>
      </c>
      <c r="K210" s="15" t="n">
        <f aca="false">ROUND($E210*$I210,2)</f>
        <v>189080</v>
      </c>
      <c r="L210" s="15" t="n">
        <f aca="false">ROUND($F210*'Your Inputs'!$C$31,2)</f>
        <v>5738.43</v>
      </c>
      <c r="M210" s="15" t="n">
        <f aca="false">ROUND($G210-$K210-$L210,2)</f>
        <v>74601.08</v>
      </c>
      <c r="N210" s="15" t="n">
        <f aca="false">$G210/$E210</f>
        <v>82.6440214723926</v>
      </c>
      <c r="O210" s="25" t="n">
        <f aca="false">$G210/$J210</f>
        <v>0.860875223670757</v>
      </c>
      <c r="P210" s="18" t="str">
        <f aca="false">$C210&amp;" | "&amp;$D210</f>
        <v>Direct industrial | Protective coatings</v>
      </c>
      <c r="Q210" s="25" t="n">
        <f aca="false">INDEX('Your Floors'!$K$20:$K$31,MATCH($P210,'Your Floors'!$D$20:$D$31,0))</f>
        <v>0.853768804407086</v>
      </c>
      <c r="R210" s="18" t="str">
        <f aca="false">IF($O210&lt;$Q210,"below the floor","at or above it")</f>
        <v>at or above it</v>
      </c>
      <c r="S210" s="15" t="n">
        <f aca="false">IF($O210&lt;$Q210,$E210*ROUND($Q210*$H210,2),$G210)</f>
        <v>269419.51</v>
      </c>
      <c r="T210" s="15" t="n">
        <f aca="false">IF($O210&lt;$Q210,ROUND($L210*$S210/$G210,2),$L210)</f>
        <v>5738.43</v>
      </c>
      <c r="U210" s="15" t="n">
        <f aca="false">ROUND(($S210-$G210)-($T210-$L210),2)</f>
        <v>0</v>
      </c>
      <c r="V210" s="15" t="n">
        <f aca="false">IF($O210&lt;$Q210,ROUND($S210-$K210-$T210,2),$M210)</f>
        <v>74601.08</v>
      </c>
    </row>
    <row r="211" customFormat="false" ht="15" hidden="false" customHeight="false" outlineLevel="0" collapsed="false">
      <c r="B211" s="13" t="s">
        <v>190</v>
      </c>
      <c r="C211" s="13" t="s">
        <v>157</v>
      </c>
      <c r="D211" s="13" t="s">
        <v>52</v>
      </c>
      <c r="E211" s="24" t="n">
        <v>918</v>
      </c>
      <c r="F211" s="14" t="n">
        <v>120742.34</v>
      </c>
      <c r="G211" s="14" t="n">
        <v>117603.04</v>
      </c>
      <c r="H211" s="15" t="n">
        <f aca="false">INDEX('Your Inputs'!$C$8:$C$10,MATCH($D211,'Your Inputs'!$B$8:$B$10,0))</f>
        <v>148</v>
      </c>
      <c r="I211" s="15" t="n">
        <f aca="false">INDEX('Your Inputs'!$D$8:$D$10,MATCH($D211,'Your Inputs'!$B$8:$B$10,0))</f>
        <v>78</v>
      </c>
      <c r="J211" s="15" t="n">
        <f aca="false">ROUND($E211*$H211,2)</f>
        <v>135864</v>
      </c>
      <c r="K211" s="15" t="n">
        <f aca="false">ROUND($E211*$I211,2)</f>
        <v>71604</v>
      </c>
      <c r="L211" s="15" t="n">
        <f aca="false">ROUND($F211*'Your Inputs'!$C$31,2)</f>
        <v>2414.85</v>
      </c>
      <c r="M211" s="15" t="n">
        <f aca="false">ROUND($G211-$K211-$L211,2)</f>
        <v>43584.19</v>
      </c>
      <c r="N211" s="15" t="n">
        <f aca="false">$G211/$E211</f>
        <v>128.10788671024</v>
      </c>
      <c r="O211" s="25" t="n">
        <f aca="false">$G211/$J211</f>
        <v>0.865593829123241</v>
      </c>
      <c r="P211" s="18" t="str">
        <f aca="false">$C211&amp;" | "&amp;$D211</f>
        <v>Direct industrial | Structural adhesives</v>
      </c>
      <c r="Q211" s="25" t="n">
        <f aca="false">INDEX('Your Floors'!$K$20:$K$31,MATCH($P211,'Your Floors'!$D$20:$D$31,0))</f>
        <v>0.874622624783014</v>
      </c>
      <c r="R211" s="18" t="str">
        <f aca="false">IF($O211&lt;$Q211,"below the floor","at or above it")</f>
        <v>below the floor</v>
      </c>
      <c r="S211" s="15" t="n">
        <f aca="false">IF($O211&lt;$Q211,$E211*ROUND($Q211*$H211,2),$G211)</f>
        <v>118825.92</v>
      </c>
      <c r="T211" s="15" t="n">
        <f aca="false">IF($O211&lt;$Q211,ROUND($L211*$S211/$G211,2),$L211)</f>
        <v>2439.96</v>
      </c>
      <c r="U211" s="15" t="n">
        <f aca="false">ROUND(($S211-$G211)-($T211-$L211),2)</f>
        <v>1197.77</v>
      </c>
      <c r="V211" s="15" t="n">
        <f aca="false">IF($O211&lt;$Q211,ROUND($S211-$K211-$T211,2),$M211)</f>
        <v>44781.96</v>
      </c>
    </row>
    <row r="212" customFormat="false" ht="15" hidden="false" customHeight="false" outlineLevel="0" collapsed="false">
      <c r="B212" s="13" t="s">
        <v>190</v>
      </c>
      <c r="C212" s="13" t="s">
        <v>157</v>
      </c>
      <c r="D212" s="13" t="s">
        <v>54</v>
      </c>
      <c r="E212" s="24" t="n">
        <v>3348</v>
      </c>
      <c r="F212" s="14" t="n">
        <v>168240.35</v>
      </c>
      <c r="G212" s="14" t="n">
        <v>163866.1</v>
      </c>
      <c r="H212" s="15" t="n">
        <f aca="false">INDEX('Your Inputs'!$C$8:$C$10,MATCH($D212,'Your Inputs'!$B$8:$B$10,0))</f>
        <v>62</v>
      </c>
      <c r="I212" s="15" t="n">
        <f aca="false">INDEX('Your Inputs'!$D$8:$D$10,MATCH($D212,'Your Inputs'!$B$8:$B$10,0))</f>
        <v>36</v>
      </c>
      <c r="J212" s="15" t="n">
        <f aca="false">ROUND($E212*$H212,2)</f>
        <v>207576</v>
      </c>
      <c r="K212" s="15" t="n">
        <f aca="false">ROUND($E212*$I212,2)</f>
        <v>120528</v>
      </c>
      <c r="L212" s="15" t="n">
        <f aca="false">ROUND($F212*'Your Inputs'!$C$31,2)</f>
        <v>3364.81</v>
      </c>
      <c r="M212" s="15" t="n">
        <f aca="false">ROUND($G212-$K212-$L212,2)</f>
        <v>39973.29</v>
      </c>
      <c r="N212" s="15" t="n">
        <f aca="false">$G212/$E212</f>
        <v>48.9444743130227</v>
      </c>
      <c r="O212" s="25" t="n">
        <f aca="false">$G212/$J212</f>
        <v>0.789427005048753</v>
      </c>
      <c r="P212" s="18" t="str">
        <f aca="false">$C212&amp;" | "&amp;$D212</f>
        <v>Direct industrial | Sealants</v>
      </c>
      <c r="Q212" s="25" t="n">
        <f aca="false">INDEX('Your Floors'!$K$20:$K$31,MATCH($P212,'Your Floors'!$D$20:$D$31,0))</f>
        <v>0.834035886176071</v>
      </c>
      <c r="R212" s="18" t="str">
        <f aca="false">IF($O212&lt;$Q212,"below the floor","at or above it")</f>
        <v>below the floor</v>
      </c>
      <c r="S212" s="15" t="n">
        <f aca="false">IF($O212&lt;$Q212,$E212*ROUND($Q212*$H212,2),$G212)</f>
        <v>173125.08</v>
      </c>
      <c r="T212" s="15" t="n">
        <f aca="false">IF($O212&lt;$Q212,ROUND($L212*$S212/$G212,2),$L212)</f>
        <v>3554.93</v>
      </c>
      <c r="U212" s="15" t="n">
        <f aca="false">ROUND(($S212-$G212)-($T212-$L212),2)</f>
        <v>9068.86</v>
      </c>
      <c r="V212" s="15" t="n">
        <f aca="false">IF($O212&lt;$Q212,ROUND($S212-$K212-$T212,2),$M212)</f>
        <v>49042.15</v>
      </c>
    </row>
    <row r="213" customFormat="false" ht="15" hidden="false" customHeight="false" outlineLevel="0" collapsed="false">
      <c r="B213" s="13" t="s">
        <v>190</v>
      </c>
      <c r="C213" s="13" t="s">
        <v>157</v>
      </c>
      <c r="D213" s="13" t="s">
        <v>56</v>
      </c>
      <c r="E213" s="24" t="n">
        <v>1453</v>
      </c>
      <c r="F213" s="14" t="n">
        <v>118509</v>
      </c>
      <c r="G213" s="14" t="n">
        <v>115427.77</v>
      </c>
      <c r="H213" s="15" t="n">
        <f aca="false">INDEX('Your Inputs'!$C$8:$C$10,MATCH($D213,'Your Inputs'!$B$8:$B$10,0))</f>
        <v>96</v>
      </c>
      <c r="I213" s="15" t="n">
        <f aca="false">INDEX('Your Inputs'!$D$8:$D$10,MATCH($D213,'Your Inputs'!$B$8:$B$10,0))</f>
        <v>58</v>
      </c>
      <c r="J213" s="15" t="n">
        <f aca="false">ROUND($E213*$H213,2)</f>
        <v>139488</v>
      </c>
      <c r="K213" s="15" t="n">
        <f aca="false">ROUND($E213*$I213,2)</f>
        <v>84274</v>
      </c>
      <c r="L213" s="15" t="n">
        <f aca="false">ROUND($F213*'Your Inputs'!$C$31,2)</f>
        <v>2370.18</v>
      </c>
      <c r="M213" s="15" t="n">
        <f aca="false">ROUND($G213-$K213-$L213,2)</f>
        <v>28783.59</v>
      </c>
      <c r="N213" s="15" t="n">
        <f aca="false">$G213/$E213</f>
        <v>79.4409979353063</v>
      </c>
      <c r="O213" s="25" t="n">
        <f aca="false">$G213/$J213</f>
        <v>0.82751039515944</v>
      </c>
      <c r="P213" s="18" t="str">
        <f aca="false">$C213&amp;" | "&amp;$D213</f>
        <v>Direct industrial | Protective coatings</v>
      </c>
      <c r="Q213" s="25" t="n">
        <f aca="false">INDEX('Your Floors'!$K$20:$K$31,MATCH($P213,'Your Floors'!$D$20:$D$31,0))</f>
        <v>0.853768804407086</v>
      </c>
      <c r="R213" s="18" t="str">
        <f aca="false">IF($O213&lt;$Q213,"below the floor","at or above it")</f>
        <v>below the floor</v>
      </c>
      <c r="S213" s="15" t="n">
        <f aca="false">IF($O213&lt;$Q213,$E213*ROUND($Q213*$H213,2),$G213)</f>
        <v>119087.88</v>
      </c>
      <c r="T213" s="15" t="n">
        <f aca="false">IF($O213&lt;$Q213,ROUND($L213*$S213/$G213,2),$L213)</f>
        <v>2445.34</v>
      </c>
      <c r="U213" s="15" t="n">
        <f aca="false">ROUND(($S213-$G213)-($T213-$L213),2)</f>
        <v>3584.95</v>
      </c>
      <c r="V213" s="15" t="n">
        <f aca="false">IF($O213&lt;$Q213,ROUND($S213-$K213-$T213,2),$M213)</f>
        <v>32368.54</v>
      </c>
    </row>
    <row r="214" customFormat="false" ht="15" hidden="false" customHeight="false" outlineLevel="0" collapsed="false">
      <c r="B214" s="13" t="s">
        <v>191</v>
      </c>
      <c r="C214" s="13" t="s">
        <v>157</v>
      </c>
      <c r="D214" s="13" t="s">
        <v>52</v>
      </c>
      <c r="E214" s="24" t="n">
        <v>1945</v>
      </c>
      <c r="F214" s="14" t="n">
        <v>270991.4</v>
      </c>
      <c r="G214" s="14" t="n">
        <v>259880.75</v>
      </c>
      <c r="H214" s="15" t="n">
        <f aca="false">INDEX('Your Inputs'!$C$8:$C$10,MATCH($D214,'Your Inputs'!$B$8:$B$10,0))</f>
        <v>148</v>
      </c>
      <c r="I214" s="15" t="n">
        <f aca="false">INDEX('Your Inputs'!$D$8:$D$10,MATCH($D214,'Your Inputs'!$B$8:$B$10,0))</f>
        <v>78</v>
      </c>
      <c r="J214" s="15" t="n">
        <f aca="false">ROUND($E214*$H214,2)</f>
        <v>287860</v>
      </c>
      <c r="K214" s="15" t="n">
        <f aca="false">ROUND($E214*$I214,2)</f>
        <v>151710</v>
      </c>
      <c r="L214" s="15" t="n">
        <f aca="false">ROUND($F214*'Your Inputs'!$C$31,2)</f>
        <v>5419.83</v>
      </c>
      <c r="M214" s="15" t="n">
        <f aca="false">ROUND($G214-$K214-$L214,2)</f>
        <v>102750.92</v>
      </c>
      <c r="N214" s="15" t="n">
        <f aca="false">$G214/$E214</f>
        <v>133.614781491003</v>
      </c>
      <c r="O214" s="25" t="n">
        <f aca="false">$G214/$J214</f>
        <v>0.902802577641909</v>
      </c>
      <c r="P214" s="18" t="str">
        <f aca="false">$C214&amp;" | "&amp;$D214</f>
        <v>Direct industrial | Structural adhesives</v>
      </c>
      <c r="Q214" s="25" t="n">
        <f aca="false">INDEX('Your Floors'!$K$20:$K$31,MATCH($P214,'Your Floors'!$D$20:$D$31,0))</f>
        <v>0.874622624783014</v>
      </c>
      <c r="R214" s="18" t="str">
        <f aca="false">IF($O214&lt;$Q214,"below the floor","at or above it")</f>
        <v>at or above it</v>
      </c>
      <c r="S214" s="15" t="n">
        <f aca="false">IF($O214&lt;$Q214,$E214*ROUND($Q214*$H214,2),$G214)</f>
        <v>259880.75</v>
      </c>
      <c r="T214" s="15" t="n">
        <f aca="false">IF($O214&lt;$Q214,ROUND($L214*$S214/$G214,2),$L214)</f>
        <v>5419.83</v>
      </c>
      <c r="U214" s="15" t="n">
        <f aca="false">ROUND(($S214-$G214)-($T214-$L214),2)</f>
        <v>0</v>
      </c>
      <c r="V214" s="15" t="n">
        <f aca="false">IF($O214&lt;$Q214,ROUND($S214-$K214-$T214,2),$M214)</f>
        <v>102750.92</v>
      </c>
    </row>
    <row r="215" customFormat="false" ht="15" hidden="false" customHeight="false" outlineLevel="0" collapsed="false">
      <c r="B215" s="13" t="s">
        <v>191</v>
      </c>
      <c r="C215" s="13" t="s">
        <v>157</v>
      </c>
      <c r="D215" s="13" t="s">
        <v>54</v>
      </c>
      <c r="E215" s="24" t="n">
        <v>4756</v>
      </c>
      <c r="F215" s="14" t="n">
        <v>271577.11</v>
      </c>
      <c r="G215" s="14" t="n">
        <v>260442.45</v>
      </c>
      <c r="H215" s="15" t="n">
        <f aca="false">INDEX('Your Inputs'!$C$8:$C$10,MATCH($D215,'Your Inputs'!$B$8:$B$10,0))</f>
        <v>62</v>
      </c>
      <c r="I215" s="15" t="n">
        <f aca="false">INDEX('Your Inputs'!$D$8:$D$10,MATCH($D215,'Your Inputs'!$B$8:$B$10,0))</f>
        <v>36</v>
      </c>
      <c r="J215" s="15" t="n">
        <f aca="false">ROUND($E215*$H215,2)</f>
        <v>294872</v>
      </c>
      <c r="K215" s="15" t="n">
        <f aca="false">ROUND($E215*$I215,2)</f>
        <v>171216</v>
      </c>
      <c r="L215" s="15" t="n">
        <f aca="false">ROUND($F215*'Your Inputs'!$C$31,2)</f>
        <v>5431.54</v>
      </c>
      <c r="M215" s="15" t="n">
        <f aca="false">ROUND($G215-$K215-$L215,2)</f>
        <v>83794.91</v>
      </c>
      <c r="N215" s="15" t="n">
        <f aca="false">$G215/$E215</f>
        <v>54.7608179142136</v>
      </c>
      <c r="O215" s="25" t="n">
        <f aca="false">$G215/$J215</f>
        <v>0.883238998616349</v>
      </c>
      <c r="P215" s="18" t="str">
        <f aca="false">$C215&amp;" | "&amp;$D215</f>
        <v>Direct industrial | Sealants</v>
      </c>
      <c r="Q215" s="25" t="n">
        <f aca="false">INDEX('Your Floors'!$K$20:$K$31,MATCH($P215,'Your Floors'!$D$20:$D$31,0))</f>
        <v>0.834035886176071</v>
      </c>
      <c r="R215" s="18" t="str">
        <f aca="false">IF($O215&lt;$Q215,"below the floor","at or above it")</f>
        <v>at or above it</v>
      </c>
      <c r="S215" s="15" t="n">
        <f aca="false">IF($O215&lt;$Q215,$E215*ROUND($Q215*$H215,2),$G215)</f>
        <v>260442.45</v>
      </c>
      <c r="T215" s="15" t="n">
        <f aca="false">IF($O215&lt;$Q215,ROUND($L215*$S215/$G215,2),$L215)</f>
        <v>5431.54</v>
      </c>
      <c r="U215" s="15" t="n">
        <f aca="false">ROUND(($S215-$G215)-($T215-$L215),2)</f>
        <v>0</v>
      </c>
      <c r="V215" s="15" t="n">
        <f aca="false">IF($O215&lt;$Q215,ROUND($S215-$K215-$T215,2),$M215)</f>
        <v>83794.91</v>
      </c>
    </row>
    <row r="216" customFormat="false" ht="15" hidden="false" customHeight="false" outlineLevel="0" collapsed="false">
      <c r="B216" s="13" t="s">
        <v>191</v>
      </c>
      <c r="C216" s="13" t="s">
        <v>157</v>
      </c>
      <c r="D216" s="13" t="s">
        <v>56</v>
      </c>
      <c r="E216" s="24" t="n">
        <v>2659</v>
      </c>
      <c r="F216" s="14" t="n">
        <v>237701.84</v>
      </c>
      <c r="G216" s="14" t="n">
        <v>227956.06</v>
      </c>
      <c r="H216" s="15" t="n">
        <f aca="false">INDEX('Your Inputs'!$C$8:$C$10,MATCH($D216,'Your Inputs'!$B$8:$B$10,0))</f>
        <v>96</v>
      </c>
      <c r="I216" s="15" t="n">
        <f aca="false">INDEX('Your Inputs'!$D$8:$D$10,MATCH($D216,'Your Inputs'!$B$8:$B$10,0))</f>
        <v>58</v>
      </c>
      <c r="J216" s="15" t="n">
        <f aca="false">ROUND($E216*$H216,2)</f>
        <v>255264</v>
      </c>
      <c r="K216" s="15" t="n">
        <f aca="false">ROUND($E216*$I216,2)</f>
        <v>154222</v>
      </c>
      <c r="L216" s="15" t="n">
        <f aca="false">ROUND($F216*'Your Inputs'!$C$31,2)</f>
        <v>4754.04</v>
      </c>
      <c r="M216" s="15" t="n">
        <f aca="false">ROUND($G216-$K216-$L216,2)</f>
        <v>68980.02</v>
      </c>
      <c r="N216" s="15" t="n">
        <f aca="false">$G216/$E216</f>
        <v>85.7299962391877</v>
      </c>
      <c r="O216" s="25" t="n">
        <f aca="false">$G216/$J216</f>
        <v>0.893020794158205</v>
      </c>
      <c r="P216" s="18" t="str">
        <f aca="false">$C216&amp;" | "&amp;$D216</f>
        <v>Direct industrial | Protective coatings</v>
      </c>
      <c r="Q216" s="25" t="n">
        <f aca="false">INDEX('Your Floors'!$K$20:$K$31,MATCH($P216,'Your Floors'!$D$20:$D$31,0))</f>
        <v>0.853768804407086</v>
      </c>
      <c r="R216" s="18" t="str">
        <f aca="false">IF($O216&lt;$Q216,"below the floor","at or above it")</f>
        <v>at or above it</v>
      </c>
      <c r="S216" s="15" t="n">
        <f aca="false">IF($O216&lt;$Q216,$E216*ROUND($Q216*$H216,2),$G216)</f>
        <v>227956.06</v>
      </c>
      <c r="T216" s="15" t="n">
        <f aca="false">IF($O216&lt;$Q216,ROUND($L216*$S216/$G216,2),$L216)</f>
        <v>4754.04</v>
      </c>
      <c r="U216" s="15" t="n">
        <f aca="false">ROUND(($S216-$G216)-($T216-$L216),2)</f>
        <v>0</v>
      </c>
      <c r="V216" s="15" t="n">
        <f aca="false">IF($O216&lt;$Q216,ROUND($S216-$K216-$T216,2),$M216)</f>
        <v>68980.02</v>
      </c>
    </row>
    <row r="217" customFormat="false" ht="15" hidden="false" customHeight="false" outlineLevel="0" collapsed="false">
      <c r="B217" s="13" t="s">
        <v>192</v>
      </c>
      <c r="C217" s="13" t="s">
        <v>157</v>
      </c>
      <c r="D217" s="13" t="s">
        <v>54</v>
      </c>
      <c r="E217" s="24" t="n">
        <v>2107</v>
      </c>
      <c r="F217" s="14" t="n">
        <v>125408.64</v>
      </c>
      <c r="G217" s="14" t="n">
        <v>122775.06</v>
      </c>
      <c r="H217" s="15" t="n">
        <f aca="false">INDEX('Your Inputs'!$C$8:$C$10,MATCH($D217,'Your Inputs'!$B$8:$B$10,0))</f>
        <v>62</v>
      </c>
      <c r="I217" s="15" t="n">
        <f aca="false">INDEX('Your Inputs'!$D$8:$D$10,MATCH($D217,'Your Inputs'!$B$8:$B$10,0))</f>
        <v>36</v>
      </c>
      <c r="J217" s="15" t="n">
        <f aca="false">ROUND($E217*$H217,2)</f>
        <v>130634</v>
      </c>
      <c r="K217" s="15" t="n">
        <f aca="false">ROUND($E217*$I217,2)</f>
        <v>75852</v>
      </c>
      <c r="L217" s="15" t="n">
        <f aca="false">ROUND($F217*'Your Inputs'!$C$31,2)</f>
        <v>2508.17</v>
      </c>
      <c r="M217" s="15" t="n">
        <f aca="false">ROUND($G217-$K217-$L217,2)</f>
        <v>44414.89</v>
      </c>
      <c r="N217" s="15" t="n">
        <f aca="false">$G217/$E217</f>
        <v>58.2700806834362</v>
      </c>
      <c r="O217" s="25" t="n">
        <f aca="false">$G217/$J217</f>
        <v>0.939840011023164</v>
      </c>
      <c r="P217" s="18" t="str">
        <f aca="false">$C217&amp;" | "&amp;$D217</f>
        <v>Direct industrial | Sealants</v>
      </c>
      <c r="Q217" s="25" t="n">
        <f aca="false">INDEX('Your Floors'!$K$20:$K$31,MATCH($P217,'Your Floors'!$D$20:$D$31,0))</f>
        <v>0.834035886176071</v>
      </c>
      <c r="R217" s="18" t="str">
        <f aca="false">IF($O217&lt;$Q217,"below the floor","at or above it")</f>
        <v>at or above it</v>
      </c>
      <c r="S217" s="15" t="n">
        <f aca="false">IF($O217&lt;$Q217,$E217*ROUND($Q217*$H217,2),$G217)</f>
        <v>122775.06</v>
      </c>
      <c r="T217" s="15" t="n">
        <f aca="false">IF($O217&lt;$Q217,ROUND($L217*$S217/$G217,2),$L217)</f>
        <v>2508.17</v>
      </c>
      <c r="U217" s="15" t="n">
        <f aca="false">ROUND(($S217-$G217)-($T217-$L217),2)</f>
        <v>0</v>
      </c>
      <c r="V217" s="15" t="n">
        <f aca="false">IF($O217&lt;$Q217,ROUND($S217-$K217-$T217,2),$M217)</f>
        <v>44414.89</v>
      </c>
    </row>
    <row r="218" customFormat="false" ht="15" hidden="false" customHeight="false" outlineLevel="0" collapsed="false">
      <c r="B218" s="13" t="s">
        <v>193</v>
      </c>
      <c r="C218" s="13" t="s">
        <v>157</v>
      </c>
      <c r="D218" s="13" t="s">
        <v>52</v>
      </c>
      <c r="E218" s="24" t="n">
        <v>1283</v>
      </c>
      <c r="F218" s="14" t="n">
        <v>171693.11</v>
      </c>
      <c r="G218" s="14" t="n">
        <v>166370.62</v>
      </c>
      <c r="H218" s="15" t="n">
        <f aca="false">INDEX('Your Inputs'!$C$8:$C$10,MATCH($D218,'Your Inputs'!$B$8:$B$10,0))</f>
        <v>148</v>
      </c>
      <c r="I218" s="15" t="n">
        <f aca="false">INDEX('Your Inputs'!$D$8:$D$10,MATCH($D218,'Your Inputs'!$B$8:$B$10,0))</f>
        <v>78</v>
      </c>
      <c r="J218" s="15" t="n">
        <f aca="false">ROUND($E218*$H218,2)</f>
        <v>189884</v>
      </c>
      <c r="K218" s="15" t="n">
        <f aca="false">ROUND($E218*$I218,2)</f>
        <v>100074</v>
      </c>
      <c r="L218" s="15" t="n">
        <f aca="false">ROUND($F218*'Your Inputs'!$C$31,2)</f>
        <v>3433.86</v>
      </c>
      <c r="M218" s="15" t="n">
        <f aca="false">ROUND($G218-$K218-$L218,2)</f>
        <v>62862.76</v>
      </c>
      <c r="N218" s="15" t="n">
        <f aca="false">$G218/$E218</f>
        <v>129.67312548714</v>
      </c>
      <c r="O218" s="25" t="n">
        <f aca="false">$G218/$J218</f>
        <v>0.876169766804997</v>
      </c>
      <c r="P218" s="18" t="str">
        <f aca="false">$C218&amp;" | "&amp;$D218</f>
        <v>Direct industrial | Structural adhesives</v>
      </c>
      <c r="Q218" s="25" t="n">
        <f aca="false">INDEX('Your Floors'!$K$20:$K$31,MATCH($P218,'Your Floors'!$D$20:$D$31,0))</f>
        <v>0.874622624783014</v>
      </c>
      <c r="R218" s="18" t="str">
        <f aca="false">IF($O218&lt;$Q218,"below the floor","at or above it")</f>
        <v>at or above it</v>
      </c>
      <c r="S218" s="15" t="n">
        <f aca="false">IF($O218&lt;$Q218,$E218*ROUND($Q218*$H218,2),$G218)</f>
        <v>166370.62</v>
      </c>
      <c r="T218" s="15" t="n">
        <f aca="false">IF($O218&lt;$Q218,ROUND($L218*$S218/$G218,2),$L218)</f>
        <v>3433.86</v>
      </c>
      <c r="U218" s="15" t="n">
        <f aca="false">ROUND(($S218-$G218)-($T218-$L218),2)</f>
        <v>0</v>
      </c>
      <c r="V218" s="15" t="n">
        <f aca="false">IF($O218&lt;$Q218,ROUND($S218-$K218-$T218,2),$M218)</f>
        <v>62862.76</v>
      </c>
    </row>
    <row r="219" customFormat="false" ht="15" hidden="false" customHeight="false" outlineLevel="0" collapsed="false">
      <c r="B219" s="13" t="s">
        <v>193</v>
      </c>
      <c r="C219" s="13" t="s">
        <v>157</v>
      </c>
      <c r="D219" s="13" t="s">
        <v>56</v>
      </c>
      <c r="E219" s="24" t="n">
        <v>2009</v>
      </c>
      <c r="F219" s="14" t="n">
        <v>168485.99</v>
      </c>
      <c r="G219" s="14" t="n">
        <v>163262.92</v>
      </c>
      <c r="H219" s="15" t="n">
        <f aca="false">INDEX('Your Inputs'!$C$8:$C$10,MATCH($D219,'Your Inputs'!$B$8:$B$10,0))</f>
        <v>96</v>
      </c>
      <c r="I219" s="15" t="n">
        <f aca="false">INDEX('Your Inputs'!$D$8:$D$10,MATCH($D219,'Your Inputs'!$B$8:$B$10,0))</f>
        <v>58</v>
      </c>
      <c r="J219" s="15" t="n">
        <f aca="false">ROUND($E219*$H219,2)</f>
        <v>192864</v>
      </c>
      <c r="K219" s="15" t="n">
        <f aca="false">ROUND($E219*$I219,2)</f>
        <v>116522</v>
      </c>
      <c r="L219" s="15" t="n">
        <f aca="false">ROUND($F219*'Your Inputs'!$C$31,2)</f>
        <v>3369.72</v>
      </c>
      <c r="M219" s="15" t="n">
        <f aca="false">ROUND($G219-$K219-$L219,2)</f>
        <v>43371.2</v>
      </c>
      <c r="N219" s="15" t="n">
        <f aca="false">$G219/$E219</f>
        <v>81.2657640617223</v>
      </c>
      <c r="O219" s="25" t="n">
        <f aca="false">$G219/$J219</f>
        <v>0.84651837564294</v>
      </c>
      <c r="P219" s="18" t="str">
        <f aca="false">$C219&amp;" | "&amp;$D219</f>
        <v>Direct industrial | Protective coatings</v>
      </c>
      <c r="Q219" s="25" t="n">
        <f aca="false">INDEX('Your Floors'!$K$20:$K$31,MATCH($P219,'Your Floors'!$D$20:$D$31,0))</f>
        <v>0.853768804407086</v>
      </c>
      <c r="R219" s="18" t="str">
        <f aca="false">IF($O219&lt;$Q219,"below the floor","at or above it")</f>
        <v>below the floor</v>
      </c>
      <c r="S219" s="15" t="n">
        <f aca="false">IF($O219&lt;$Q219,$E219*ROUND($Q219*$H219,2),$G219)</f>
        <v>164657.64</v>
      </c>
      <c r="T219" s="15" t="n">
        <f aca="false">IF($O219&lt;$Q219,ROUND($L219*$S219/$G219,2),$L219)</f>
        <v>3398.51</v>
      </c>
      <c r="U219" s="15" t="n">
        <f aca="false">ROUND(($S219-$G219)-($T219-$L219),2)</f>
        <v>1365.93</v>
      </c>
      <c r="V219" s="15" t="n">
        <f aca="false">IF($O219&lt;$Q219,ROUND($S219-$K219-$T219,2),$M219)</f>
        <v>44737.13</v>
      </c>
    </row>
    <row r="220" customFormat="false" ht="15" hidden="false" customHeight="false" outlineLevel="0" collapsed="false">
      <c r="B220" s="13" t="s">
        <v>194</v>
      </c>
      <c r="C220" s="13" t="s">
        <v>157</v>
      </c>
      <c r="D220" s="13" t="s">
        <v>52</v>
      </c>
      <c r="E220" s="24" t="n">
        <v>535</v>
      </c>
      <c r="F220" s="14" t="n">
        <v>76123.65</v>
      </c>
      <c r="G220" s="14" t="n">
        <v>72621.97</v>
      </c>
      <c r="H220" s="15" t="n">
        <f aca="false">INDEX('Your Inputs'!$C$8:$C$10,MATCH($D220,'Your Inputs'!$B$8:$B$10,0))</f>
        <v>148</v>
      </c>
      <c r="I220" s="15" t="n">
        <f aca="false">INDEX('Your Inputs'!$D$8:$D$10,MATCH($D220,'Your Inputs'!$B$8:$B$10,0))</f>
        <v>78</v>
      </c>
      <c r="J220" s="15" t="n">
        <f aca="false">ROUND($E220*$H220,2)</f>
        <v>79180</v>
      </c>
      <c r="K220" s="15" t="n">
        <f aca="false">ROUND($E220*$I220,2)</f>
        <v>41730</v>
      </c>
      <c r="L220" s="15" t="n">
        <f aca="false">ROUND($F220*'Your Inputs'!$C$31,2)</f>
        <v>1522.47</v>
      </c>
      <c r="M220" s="15" t="n">
        <f aca="false">ROUND($G220-$K220-$L220,2)</f>
        <v>29369.5</v>
      </c>
      <c r="N220" s="15" t="n">
        <f aca="false">$G220/$E220</f>
        <v>135.742</v>
      </c>
      <c r="O220" s="25" t="n">
        <f aca="false">$G220/$J220</f>
        <v>0.917175675675676</v>
      </c>
      <c r="P220" s="18" t="str">
        <f aca="false">$C220&amp;" | "&amp;$D220</f>
        <v>Direct industrial | Structural adhesives</v>
      </c>
      <c r="Q220" s="25" t="n">
        <f aca="false">INDEX('Your Floors'!$K$20:$K$31,MATCH($P220,'Your Floors'!$D$20:$D$31,0))</f>
        <v>0.874622624783014</v>
      </c>
      <c r="R220" s="18" t="str">
        <f aca="false">IF($O220&lt;$Q220,"below the floor","at or above it")</f>
        <v>at or above it</v>
      </c>
      <c r="S220" s="15" t="n">
        <f aca="false">IF($O220&lt;$Q220,$E220*ROUND($Q220*$H220,2),$G220)</f>
        <v>72621.97</v>
      </c>
      <c r="T220" s="15" t="n">
        <f aca="false">IF($O220&lt;$Q220,ROUND($L220*$S220/$G220,2),$L220)</f>
        <v>1522.47</v>
      </c>
      <c r="U220" s="15" t="n">
        <f aca="false">ROUND(($S220-$G220)-($T220-$L220),2)</f>
        <v>0</v>
      </c>
      <c r="V220" s="15" t="n">
        <f aca="false">IF($O220&lt;$Q220,ROUND($S220-$K220-$T220,2),$M220)</f>
        <v>29369.5</v>
      </c>
    </row>
    <row r="221" customFormat="false" ht="15" hidden="false" customHeight="false" outlineLevel="0" collapsed="false">
      <c r="B221" s="13" t="s">
        <v>194</v>
      </c>
      <c r="C221" s="13" t="s">
        <v>157</v>
      </c>
      <c r="D221" s="13" t="s">
        <v>54</v>
      </c>
      <c r="E221" s="24" t="n">
        <v>1483</v>
      </c>
      <c r="F221" s="14" t="n">
        <v>86521.19</v>
      </c>
      <c r="G221" s="14" t="n">
        <v>82541.21</v>
      </c>
      <c r="H221" s="15" t="n">
        <f aca="false">INDEX('Your Inputs'!$C$8:$C$10,MATCH($D221,'Your Inputs'!$B$8:$B$10,0))</f>
        <v>62</v>
      </c>
      <c r="I221" s="15" t="n">
        <f aca="false">INDEX('Your Inputs'!$D$8:$D$10,MATCH($D221,'Your Inputs'!$B$8:$B$10,0))</f>
        <v>36</v>
      </c>
      <c r="J221" s="15" t="n">
        <f aca="false">ROUND($E221*$H221,2)</f>
        <v>91946</v>
      </c>
      <c r="K221" s="15" t="n">
        <f aca="false">ROUND($E221*$I221,2)</f>
        <v>53388</v>
      </c>
      <c r="L221" s="15" t="n">
        <f aca="false">ROUND($F221*'Your Inputs'!$C$31,2)</f>
        <v>1730.42</v>
      </c>
      <c r="M221" s="15" t="n">
        <f aca="false">ROUND($G221-$K221-$L221,2)</f>
        <v>27422.79</v>
      </c>
      <c r="N221" s="15" t="n">
        <f aca="false">$G221/$E221</f>
        <v>55.6582670262981</v>
      </c>
      <c r="O221" s="25" t="n">
        <f aca="false">$G221/$J221</f>
        <v>0.89771398429513</v>
      </c>
      <c r="P221" s="18" t="str">
        <f aca="false">$C221&amp;" | "&amp;$D221</f>
        <v>Direct industrial | Sealants</v>
      </c>
      <c r="Q221" s="25" t="n">
        <f aca="false">INDEX('Your Floors'!$K$20:$K$31,MATCH($P221,'Your Floors'!$D$20:$D$31,0))</f>
        <v>0.834035886176071</v>
      </c>
      <c r="R221" s="18" t="str">
        <f aca="false">IF($O221&lt;$Q221,"below the floor","at or above it")</f>
        <v>at or above it</v>
      </c>
      <c r="S221" s="15" t="n">
        <f aca="false">IF($O221&lt;$Q221,$E221*ROUND($Q221*$H221,2),$G221)</f>
        <v>82541.21</v>
      </c>
      <c r="T221" s="15" t="n">
        <f aca="false">IF($O221&lt;$Q221,ROUND($L221*$S221/$G221,2),$L221)</f>
        <v>1730.42</v>
      </c>
      <c r="U221" s="15" t="n">
        <f aca="false">ROUND(($S221-$G221)-($T221-$L221),2)</f>
        <v>0</v>
      </c>
      <c r="V221" s="15" t="n">
        <f aca="false">IF($O221&lt;$Q221,ROUND($S221-$K221-$T221,2),$M221)</f>
        <v>27422.79</v>
      </c>
    </row>
    <row r="222" customFormat="false" ht="15" hidden="false" customHeight="false" outlineLevel="0" collapsed="false">
      <c r="B222" s="13" t="s">
        <v>194</v>
      </c>
      <c r="C222" s="13" t="s">
        <v>157</v>
      </c>
      <c r="D222" s="13" t="s">
        <v>56</v>
      </c>
      <c r="E222" s="24" t="n">
        <v>631</v>
      </c>
      <c r="F222" s="14" t="n">
        <v>57619.89</v>
      </c>
      <c r="G222" s="14" t="n">
        <v>54969.37</v>
      </c>
      <c r="H222" s="15" t="n">
        <f aca="false">INDEX('Your Inputs'!$C$8:$C$10,MATCH($D222,'Your Inputs'!$B$8:$B$10,0))</f>
        <v>96</v>
      </c>
      <c r="I222" s="15" t="n">
        <f aca="false">INDEX('Your Inputs'!$D$8:$D$10,MATCH($D222,'Your Inputs'!$B$8:$B$10,0))</f>
        <v>58</v>
      </c>
      <c r="J222" s="15" t="n">
        <f aca="false">ROUND($E222*$H222,2)</f>
        <v>60576</v>
      </c>
      <c r="K222" s="15" t="n">
        <f aca="false">ROUND($E222*$I222,2)</f>
        <v>36598</v>
      </c>
      <c r="L222" s="15" t="n">
        <f aca="false">ROUND($F222*'Your Inputs'!$C$31,2)</f>
        <v>1152.4</v>
      </c>
      <c r="M222" s="15" t="n">
        <f aca="false">ROUND($G222-$K222-$L222,2)</f>
        <v>17218.97</v>
      </c>
      <c r="N222" s="15" t="n">
        <f aca="false">$G222/$E222</f>
        <v>87.1146909667195</v>
      </c>
      <c r="O222" s="25" t="n">
        <f aca="false">$G222/$J222</f>
        <v>0.907444697569995</v>
      </c>
      <c r="P222" s="18" t="str">
        <f aca="false">$C222&amp;" | "&amp;$D222</f>
        <v>Direct industrial | Protective coatings</v>
      </c>
      <c r="Q222" s="25" t="n">
        <f aca="false">INDEX('Your Floors'!$K$20:$K$31,MATCH($P222,'Your Floors'!$D$20:$D$31,0))</f>
        <v>0.853768804407086</v>
      </c>
      <c r="R222" s="18" t="str">
        <f aca="false">IF($O222&lt;$Q222,"below the floor","at or above it")</f>
        <v>at or above it</v>
      </c>
      <c r="S222" s="15" t="n">
        <f aca="false">IF($O222&lt;$Q222,$E222*ROUND($Q222*$H222,2),$G222)</f>
        <v>54969.37</v>
      </c>
      <c r="T222" s="15" t="n">
        <f aca="false">IF($O222&lt;$Q222,ROUND($L222*$S222/$G222,2),$L222)</f>
        <v>1152.4</v>
      </c>
      <c r="U222" s="15" t="n">
        <f aca="false">ROUND(($S222-$G222)-($T222-$L222),2)</f>
        <v>0</v>
      </c>
      <c r="V222" s="15" t="n">
        <f aca="false">IF($O222&lt;$Q222,ROUND($S222-$K222-$T222,2),$M222)</f>
        <v>17218.97</v>
      </c>
    </row>
    <row r="223" customFormat="false" ht="15" hidden="false" customHeight="false" outlineLevel="0" collapsed="false">
      <c r="B223" s="13" t="s">
        <v>195</v>
      </c>
      <c r="C223" s="13" t="s">
        <v>157</v>
      </c>
      <c r="D223" s="13" t="s">
        <v>52</v>
      </c>
      <c r="E223" s="24" t="n">
        <v>2776</v>
      </c>
      <c r="F223" s="14" t="n">
        <v>374036.02</v>
      </c>
      <c r="G223" s="14" t="n">
        <v>358700.54</v>
      </c>
      <c r="H223" s="15" t="n">
        <f aca="false">INDEX('Your Inputs'!$C$8:$C$10,MATCH($D223,'Your Inputs'!$B$8:$B$10,0))</f>
        <v>148</v>
      </c>
      <c r="I223" s="15" t="n">
        <f aca="false">INDEX('Your Inputs'!$D$8:$D$10,MATCH($D223,'Your Inputs'!$B$8:$B$10,0))</f>
        <v>78</v>
      </c>
      <c r="J223" s="15" t="n">
        <f aca="false">ROUND($E223*$H223,2)</f>
        <v>410848</v>
      </c>
      <c r="K223" s="15" t="n">
        <f aca="false">ROUND($E223*$I223,2)</f>
        <v>216528</v>
      </c>
      <c r="L223" s="15" t="n">
        <f aca="false">ROUND($F223*'Your Inputs'!$C$31,2)</f>
        <v>7480.72</v>
      </c>
      <c r="M223" s="15" t="n">
        <f aca="false">ROUND($G223-$K223-$L223,2)</f>
        <v>134691.82</v>
      </c>
      <c r="N223" s="15" t="n">
        <f aca="false">$G223/$E223</f>
        <v>129.214891930836</v>
      </c>
      <c r="O223" s="25" t="n">
        <f aca="false">$G223/$J223</f>
        <v>0.873073594127269</v>
      </c>
      <c r="P223" s="18" t="str">
        <f aca="false">$C223&amp;" | "&amp;$D223</f>
        <v>Direct industrial | Structural adhesives</v>
      </c>
      <c r="Q223" s="25" t="n">
        <f aca="false">INDEX('Your Floors'!$K$20:$K$31,MATCH($P223,'Your Floors'!$D$20:$D$31,0))</f>
        <v>0.874622624783014</v>
      </c>
      <c r="R223" s="18" t="str">
        <f aca="false">IF($O223&lt;$Q223,"below the floor","at or above it")</f>
        <v>below the floor</v>
      </c>
      <c r="S223" s="15" t="n">
        <f aca="false">IF($O223&lt;$Q223,$E223*ROUND($Q223*$H223,2),$G223)</f>
        <v>359325.44</v>
      </c>
      <c r="T223" s="15" t="n">
        <f aca="false">IF($O223&lt;$Q223,ROUND($L223*$S223/$G223,2),$L223)</f>
        <v>7493.75</v>
      </c>
      <c r="U223" s="15" t="n">
        <f aca="false">ROUND(($S223-$G223)-($T223-$L223),2)</f>
        <v>611.87</v>
      </c>
      <c r="V223" s="15" t="n">
        <f aca="false">IF($O223&lt;$Q223,ROUND($S223-$K223-$T223,2),$M223)</f>
        <v>135303.69</v>
      </c>
    </row>
    <row r="224" customFormat="false" ht="15" hidden="false" customHeight="false" outlineLevel="0" collapsed="false">
      <c r="B224" s="13" t="s">
        <v>195</v>
      </c>
      <c r="C224" s="13" t="s">
        <v>157</v>
      </c>
      <c r="D224" s="13" t="s">
        <v>54</v>
      </c>
      <c r="E224" s="24" t="n">
        <v>6039</v>
      </c>
      <c r="F224" s="14" t="n">
        <v>320501.81</v>
      </c>
      <c r="G224" s="14" t="n">
        <v>307361.24</v>
      </c>
      <c r="H224" s="15" t="n">
        <f aca="false">INDEX('Your Inputs'!$C$8:$C$10,MATCH($D224,'Your Inputs'!$B$8:$B$10,0))</f>
        <v>62</v>
      </c>
      <c r="I224" s="15" t="n">
        <f aca="false">INDEX('Your Inputs'!$D$8:$D$10,MATCH($D224,'Your Inputs'!$B$8:$B$10,0))</f>
        <v>36</v>
      </c>
      <c r="J224" s="15" t="n">
        <f aca="false">ROUND($E224*$H224,2)</f>
        <v>374418</v>
      </c>
      <c r="K224" s="15" t="n">
        <f aca="false">ROUND($E224*$I224,2)</f>
        <v>217404</v>
      </c>
      <c r="L224" s="15" t="n">
        <f aca="false">ROUND($F224*'Your Inputs'!$C$31,2)</f>
        <v>6410.04</v>
      </c>
      <c r="M224" s="15" t="n">
        <f aca="false">ROUND($G224-$K224-$L224,2)</f>
        <v>83547.2</v>
      </c>
      <c r="N224" s="15" t="n">
        <f aca="false">$G224/$E224</f>
        <v>50.8960490147375</v>
      </c>
      <c r="O224" s="25" t="n">
        <f aca="false">$G224/$J224</f>
        <v>0.820904016366735</v>
      </c>
      <c r="P224" s="18" t="str">
        <f aca="false">$C224&amp;" | "&amp;$D224</f>
        <v>Direct industrial | Sealants</v>
      </c>
      <c r="Q224" s="25" t="n">
        <f aca="false">INDEX('Your Floors'!$K$20:$K$31,MATCH($P224,'Your Floors'!$D$20:$D$31,0))</f>
        <v>0.834035886176071</v>
      </c>
      <c r="R224" s="18" t="str">
        <f aca="false">IF($O224&lt;$Q224,"below the floor","at or above it")</f>
        <v>below the floor</v>
      </c>
      <c r="S224" s="15" t="n">
        <f aca="false">IF($O224&lt;$Q224,$E224*ROUND($Q224*$H224,2),$G224)</f>
        <v>312276.69</v>
      </c>
      <c r="T224" s="15" t="n">
        <f aca="false">IF($O224&lt;$Q224,ROUND($L224*$S224/$G224,2),$L224)</f>
        <v>6512.55</v>
      </c>
      <c r="U224" s="15" t="n">
        <f aca="false">ROUND(($S224-$G224)-($T224-$L224),2)</f>
        <v>4812.94</v>
      </c>
      <c r="V224" s="15" t="n">
        <f aca="false">IF($O224&lt;$Q224,ROUND($S224-$K224-$T224,2),$M224)</f>
        <v>88360.14</v>
      </c>
    </row>
    <row r="225" customFormat="false" ht="15" hidden="false" customHeight="false" outlineLevel="0" collapsed="false">
      <c r="B225" s="13" t="s">
        <v>195</v>
      </c>
      <c r="C225" s="13" t="s">
        <v>157</v>
      </c>
      <c r="D225" s="13" t="s">
        <v>56</v>
      </c>
      <c r="E225" s="24" t="n">
        <v>5582</v>
      </c>
      <c r="F225" s="14" t="n">
        <v>473282.15</v>
      </c>
      <c r="G225" s="14" t="n">
        <v>453877.58</v>
      </c>
      <c r="H225" s="15" t="n">
        <f aca="false">INDEX('Your Inputs'!$C$8:$C$10,MATCH($D225,'Your Inputs'!$B$8:$B$10,0))</f>
        <v>96</v>
      </c>
      <c r="I225" s="15" t="n">
        <f aca="false">INDEX('Your Inputs'!$D$8:$D$10,MATCH($D225,'Your Inputs'!$B$8:$B$10,0))</f>
        <v>58</v>
      </c>
      <c r="J225" s="15" t="n">
        <f aca="false">ROUND($E225*$H225,2)</f>
        <v>535872</v>
      </c>
      <c r="K225" s="15" t="n">
        <f aca="false">ROUND($E225*$I225,2)</f>
        <v>323756</v>
      </c>
      <c r="L225" s="15" t="n">
        <f aca="false">ROUND($F225*'Your Inputs'!$C$31,2)</f>
        <v>9465.64</v>
      </c>
      <c r="M225" s="15" t="n">
        <f aca="false">ROUND($G225-$K225-$L225,2)</f>
        <v>120655.94</v>
      </c>
      <c r="N225" s="15" t="n">
        <f aca="false">$G225/$E225</f>
        <v>81.3109243998567</v>
      </c>
      <c r="O225" s="25" t="n">
        <f aca="false">$G225/$J225</f>
        <v>0.846988795831841</v>
      </c>
      <c r="P225" s="18" t="str">
        <f aca="false">$C225&amp;" | "&amp;$D225</f>
        <v>Direct industrial | Protective coatings</v>
      </c>
      <c r="Q225" s="25" t="n">
        <f aca="false">INDEX('Your Floors'!$K$20:$K$31,MATCH($P225,'Your Floors'!$D$20:$D$31,0))</f>
        <v>0.853768804407086</v>
      </c>
      <c r="R225" s="18" t="str">
        <f aca="false">IF($O225&lt;$Q225,"below the floor","at or above it")</f>
        <v>below the floor</v>
      </c>
      <c r="S225" s="15" t="n">
        <f aca="false">IF($O225&lt;$Q225,$E225*ROUND($Q225*$H225,2),$G225)</f>
        <v>457500.72</v>
      </c>
      <c r="T225" s="15" t="n">
        <f aca="false">IF($O225&lt;$Q225,ROUND($L225*$S225/$G225,2),$L225)</f>
        <v>9541.2</v>
      </c>
      <c r="U225" s="15" t="n">
        <f aca="false">ROUND(($S225-$G225)-($T225-$L225),2)</f>
        <v>3547.58</v>
      </c>
      <c r="V225" s="15" t="n">
        <f aca="false">IF($O225&lt;$Q225,ROUND($S225-$K225-$T225,2),$M225)</f>
        <v>124203.52</v>
      </c>
    </row>
    <row r="226" customFormat="false" ht="15" hidden="false" customHeight="false" outlineLevel="0" collapsed="false">
      <c r="B226" s="13" t="s">
        <v>196</v>
      </c>
      <c r="C226" s="13" t="s">
        <v>157</v>
      </c>
      <c r="D226" s="13" t="s">
        <v>52</v>
      </c>
      <c r="E226" s="24" t="n">
        <v>371</v>
      </c>
      <c r="F226" s="14" t="n">
        <v>52711.68</v>
      </c>
      <c r="G226" s="14" t="n">
        <v>52131.85</v>
      </c>
      <c r="H226" s="15" t="n">
        <f aca="false">INDEX('Your Inputs'!$C$8:$C$10,MATCH($D226,'Your Inputs'!$B$8:$B$10,0))</f>
        <v>148</v>
      </c>
      <c r="I226" s="15" t="n">
        <f aca="false">INDEX('Your Inputs'!$D$8:$D$10,MATCH($D226,'Your Inputs'!$B$8:$B$10,0))</f>
        <v>78</v>
      </c>
      <c r="J226" s="15" t="n">
        <f aca="false">ROUND($E226*$H226,2)</f>
        <v>54908</v>
      </c>
      <c r="K226" s="15" t="n">
        <f aca="false">ROUND($E226*$I226,2)</f>
        <v>28938</v>
      </c>
      <c r="L226" s="15" t="n">
        <f aca="false">ROUND($F226*'Your Inputs'!$C$31,2)</f>
        <v>1054.23</v>
      </c>
      <c r="M226" s="15" t="n">
        <f aca="false">ROUND($G226-$K226-$L226,2)</f>
        <v>22139.62</v>
      </c>
      <c r="N226" s="15" t="n">
        <f aca="false">$G226/$E226</f>
        <v>140.517115902965</v>
      </c>
      <c r="O226" s="25" t="n">
        <f aca="false">$G226/$J226</f>
        <v>0.949439972317331</v>
      </c>
      <c r="P226" s="18" t="str">
        <f aca="false">$C226&amp;" | "&amp;$D226</f>
        <v>Direct industrial | Structural adhesives</v>
      </c>
      <c r="Q226" s="25" t="n">
        <f aca="false">INDEX('Your Floors'!$K$20:$K$31,MATCH($P226,'Your Floors'!$D$20:$D$31,0))</f>
        <v>0.874622624783014</v>
      </c>
      <c r="R226" s="18" t="str">
        <f aca="false">IF($O226&lt;$Q226,"below the floor","at or above it")</f>
        <v>at or above it</v>
      </c>
      <c r="S226" s="15" t="n">
        <f aca="false">IF($O226&lt;$Q226,$E226*ROUND($Q226*$H226,2),$G226)</f>
        <v>52131.85</v>
      </c>
      <c r="T226" s="15" t="n">
        <f aca="false">IF($O226&lt;$Q226,ROUND($L226*$S226/$G226,2),$L226)</f>
        <v>1054.23</v>
      </c>
      <c r="U226" s="15" t="n">
        <f aca="false">ROUND(($S226-$G226)-($T226-$L226),2)</f>
        <v>0</v>
      </c>
      <c r="V226" s="15" t="n">
        <f aca="false">IF($O226&lt;$Q226,ROUND($S226-$K226-$T226,2),$M226)</f>
        <v>22139.62</v>
      </c>
    </row>
    <row r="227" customFormat="false" ht="15" hidden="false" customHeight="false" outlineLevel="0" collapsed="false">
      <c r="B227" s="13" t="s">
        <v>196</v>
      </c>
      <c r="C227" s="13" t="s">
        <v>157</v>
      </c>
      <c r="D227" s="13" t="s">
        <v>54</v>
      </c>
      <c r="E227" s="24" t="n">
        <v>1188</v>
      </c>
      <c r="F227" s="14" t="n">
        <v>70709.76</v>
      </c>
      <c r="G227" s="14" t="n">
        <v>69931.95</v>
      </c>
      <c r="H227" s="15" t="n">
        <f aca="false">INDEX('Your Inputs'!$C$8:$C$10,MATCH($D227,'Your Inputs'!$B$8:$B$10,0))</f>
        <v>62</v>
      </c>
      <c r="I227" s="15" t="n">
        <f aca="false">INDEX('Your Inputs'!$D$8:$D$10,MATCH($D227,'Your Inputs'!$B$8:$B$10,0))</f>
        <v>36</v>
      </c>
      <c r="J227" s="15" t="n">
        <f aca="false">ROUND($E227*$H227,2)</f>
        <v>73656</v>
      </c>
      <c r="K227" s="15" t="n">
        <f aca="false">ROUND($E227*$I227,2)</f>
        <v>42768</v>
      </c>
      <c r="L227" s="15" t="n">
        <f aca="false">ROUND($F227*'Your Inputs'!$C$31,2)</f>
        <v>1414.2</v>
      </c>
      <c r="M227" s="15" t="n">
        <f aca="false">ROUND($G227-$K227-$L227,2)</f>
        <v>25749.75</v>
      </c>
      <c r="N227" s="15" t="n">
        <f aca="false">$G227/$E227</f>
        <v>58.8652777777778</v>
      </c>
      <c r="O227" s="25" t="n">
        <f aca="false">$G227/$J227</f>
        <v>0.949439964157706</v>
      </c>
      <c r="P227" s="18" t="str">
        <f aca="false">$C227&amp;" | "&amp;$D227</f>
        <v>Direct industrial | Sealants</v>
      </c>
      <c r="Q227" s="25" t="n">
        <f aca="false">INDEX('Your Floors'!$K$20:$K$31,MATCH($P227,'Your Floors'!$D$20:$D$31,0))</f>
        <v>0.834035886176071</v>
      </c>
      <c r="R227" s="18" t="str">
        <f aca="false">IF($O227&lt;$Q227,"below the floor","at or above it")</f>
        <v>at or above it</v>
      </c>
      <c r="S227" s="15" t="n">
        <f aca="false">IF($O227&lt;$Q227,$E227*ROUND($Q227*$H227,2),$G227)</f>
        <v>69931.95</v>
      </c>
      <c r="T227" s="15" t="n">
        <f aca="false">IF($O227&lt;$Q227,ROUND($L227*$S227/$G227,2),$L227)</f>
        <v>1414.2</v>
      </c>
      <c r="U227" s="15" t="n">
        <f aca="false">ROUND(($S227-$G227)-($T227-$L227),2)</f>
        <v>0</v>
      </c>
      <c r="V227" s="15" t="n">
        <f aca="false">IF($O227&lt;$Q227,ROUND($S227-$K227-$T227,2),$M227)</f>
        <v>25749.75</v>
      </c>
    </row>
    <row r="228" customFormat="false" ht="15" hidden="false" customHeight="false" outlineLevel="0" collapsed="false">
      <c r="B228" s="13" t="s">
        <v>196</v>
      </c>
      <c r="C228" s="13" t="s">
        <v>157</v>
      </c>
      <c r="D228" s="13" t="s">
        <v>56</v>
      </c>
      <c r="E228" s="24" t="n">
        <v>525</v>
      </c>
      <c r="F228" s="14" t="n">
        <v>48384</v>
      </c>
      <c r="G228" s="14" t="n">
        <v>47851.78</v>
      </c>
      <c r="H228" s="15" t="n">
        <f aca="false">INDEX('Your Inputs'!$C$8:$C$10,MATCH($D228,'Your Inputs'!$B$8:$B$10,0))</f>
        <v>96</v>
      </c>
      <c r="I228" s="15" t="n">
        <f aca="false">INDEX('Your Inputs'!$D$8:$D$10,MATCH($D228,'Your Inputs'!$B$8:$B$10,0))</f>
        <v>58</v>
      </c>
      <c r="J228" s="15" t="n">
        <f aca="false">ROUND($E228*$H228,2)</f>
        <v>50400</v>
      </c>
      <c r="K228" s="15" t="n">
        <f aca="false">ROUND($E228*$I228,2)</f>
        <v>30450</v>
      </c>
      <c r="L228" s="15" t="n">
        <f aca="false">ROUND($F228*'Your Inputs'!$C$31,2)</f>
        <v>967.68</v>
      </c>
      <c r="M228" s="15" t="n">
        <f aca="false">ROUND($G228-$K228-$L228,2)</f>
        <v>16434.1</v>
      </c>
      <c r="N228" s="15" t="n">
        <f aca="false">$G228/$E228</f>
        <v>91.1462476190476</v>
      </c>
      <c r="O228" s="25" t="n">
        <f aca="false">$G228/$J228</f>
        <v>0.949440079365079</v>
      </c>
      <c r="P228" s="18" t="str">
        <f aca="false">$C228&amp;" | "&amp;$D228</f>
        <v>Direct industrial | Protective coatings</v>
      </c>
      <c r="Q228" s="25" t="n">
        <f aca="false">INDEX('Your Floors'!$K$20:$K$31,MATCH($P228,'Your Floors'!$D$20:$D$31,0))</f>
        <v>0.853768804407086</v>
      </c>
      <c r="R228" s="18" t="str">
        <f aca="false">IF($O228&lt;$Q228,"below the floor","at or above it")</f>
        <v>at or above it</v>
      </c>
      <c r="S228" s="15" t="n">
        <f aca="false">IF($O228&lt;$Q228,$E228*ROUND($Q228*$H228,2),$G228)</f>
        <v>47851.78</v>
      </c>
      <c r="T228" s="15" t="n">
        <f aca="false">IF($O228&lt;$Q228,ROUND($L228*$S228/$G228,2),$L228)</f>
        <v>967.68</v>
      </c>
      <c r="U228" s="15" t="n">
        <f aca="false">ROUND(($S228-$G228)-($T228-$L228),2)</f>
        <v>0</v>
      </c>
      <c r="V228" s="15" t="n">
        <f aca="false">IF($O228&lt;$Q228,ROUND($S228-$K228-$T228,2),$M228)</f>
        <v>16434.1</v>
      </c>
    </row>
    <row r="229" customFormat="false" ht="15" hidden="false" customHeight="false" outlineLevel="0" collapsed="false">
      <c r="B229" s="13" t="s">
        <v>197</v>
      </c>
      <c r="C229" s="13" t="s">
        <v>157</v>
      </c>
      <c r="D229" s="13" t="s">
        <v>52</v>
      </c>
      <c r="E229" s="24" t="n">
        <v>1271</v>
      </c>
      <c r="F229" s="14" t="n">
        <v>180583.68</v>
      </c>
      <c r="G229" s="14" t="n">
        <v>169568.07</v>
      </c>
      <c r="H229" s="15" t="n">
        <f aca="false">INDEX('Your Inputs'!$C$8:$C$10,MATCH($D229,'Your Inputs'!$B$8:$B$10,0))</f>
        <v>148</v>
      </c>
      <c r="I229" s="15" t="n">
        <f aca="false">INDEX('Your Inputs'!$D$8:$D$10,MATCH($D229,'Your Inputs'!$B$8:$B$10,0))</f>
        <v>78</v>
      </c>
      <c r="J229" s="15" t="n">
        <f aca="false">ROUND($E229*$H229,2)</f>
        <v>188108</v>
      </c>
      <c r="K229" s="15" t="n">
        <f aca="false">ROUND($E229*$I229,2)</f>
        <v>99138</v>
      </c>
      <c r="L229" s="15" t="n">
        <f aca="false">ROUND($F229*'Your Inputs'!$C$31,2)</f>
        <v>3611.67</v>
      </c>
      <c r="M229" s="15" t="n">
        <f aca="false">ROUND($G229-$K229-$L229,2)</f>
        <v>66818.4</v>
      </c>
      <c r="N229" s="15" t="n">
        <f aca="false">$G229/$E229</f>
        <v>133.413115656963</v>
      </c>
      <c r="O229" s="25" t="n">
        <f aca="false">$G229/$J229</f>
        <v>0.901439970655156</v>
      </c>
      <c r="P229" s="18" t="str">
        <f aca="false">$C229&amp;" | "&amp;$D229</f>
        <v>Direct industrial | Structural adhesives</v>
      </c>
      <c r="Q229" s="25" t="n">
        <f aca="false">INDEX('Your Floors'!$K$20:$K$31,MATCH($P229,'Your Floors'!$D$20:$D$31,0))</f>
        <v>0.874622624783014</v>
      </c>
      <c r="R229" s="18" t="str">
        <f aca="false">IF($O229&lt;$Q229,"below the floor","at or above it")</f>
        <v>at or above it</v>
      </c>
      <c r="S229" s="15" t="n">
        <f aca="false">IF($O229&lt;$Q229,$E229*ROUND($Q229*$H229,2),$G229)</f>
        <v>169568.07</v>
      </c>
      <c r="T229" s="15" t="n">
        <f aca="false">IF($O229&lt;$Q229,ROUND($L229*$S229/$G229,2),$L229)</f>
        <v>3611.67</v>
      </c>
      <c r="U229" s="15" t="n">
        <f aca="false">ROUND(($S229-$G229)-($T229-$L229),2)</f>
        <v>0</v>
      </c>
      <c r="V229" s="15" t="n">
        <f aca="false">IF($O229&lt;$Q229,ROUND($S229-$K229-$T229,2),$M229)</f>
        <v>66818.4</v>
      </c>
    </row>
    <row r="230" customFormat="false" ht="15" hidden="false" customHeight="false" outlineLevel="0" collapsed="false">
      <c r="B230" s="13" t="s">
        <v>197</v>
      </c>
      <c r="C230" s="13" t="s">
        <v>157</v>
      </c>
      <c r="D230" s="13" t="s">
        <v>54</v>
      </c>
      <c r="E230" s="24" t="n">
        <v>5806</v>
      </c>
      <c r="F230" s="14" t="n">
        <v>345573.12</v>
      </c>
      <c r="G230" s="14" t="n">
        <v>324493.15</v>
      </c>
      <c r="H230" s="15" t="n">
        <f aca="false">INDEX('Your Inputs'!$C$8:$C$10,MATCH($D230,'Your Inputs'!$B$8:$B$10,0))</f>
        <v>62</v>
      </c>
      <c r="I230" s="15" t="n">
        <f aca="false">INDEX('Your Inputs'!$D$8:$D$10,MATCH($D230,'Your Inputs'!$B$8:$B$10,0))</f>
        <v>36</v>
      </c>
      <c r="J230" s="15" t="n">
        <f aca="false">ROUND($E230*$H230,2)</f>
        <v>359972</v>
      </c>
      <c r="K230" s="15" t="n">
        <f aca="false">ROUND($E230*$I230,2)</f>
        <v>209016</v>
      </c>
      <c r="L230" s="15" t="n">
        <f aca="false">ROUND($F230*'Your Inputs'!$C$31,2)</f>
        <v>6911.46</v>
      </c>
      <c r="M230" s="15" t="n">
        <f aca="false">ROUND($G230-$K230-$L230,2)</f>
        <v>108565.69</v>
      </c>
      <c r="N230" s="15" t="n">
        <f aca="false">$G230/$E230</f>
        <v>55.8892783327592</v>
      </c>
      <c r="O230" s="25" t="n">
        <f aca="false">$G230/$J230</f>
        <v>0.90143997310902</v>
      </c>
      <c r="P230" s="18" t="str">
        <f aca="false">$C230&amp;" | "&amp;$D230</f>
        <v>Direct industrial | Sealants</v>
      </c>
      <c r="Q230" s="25" t="n">
        <f aca="false">INDEX('Your Floors'!$K$20:$K$31,MATCH($P230,'Your Floors'!$D$20:$D$31,0))</f>
        <v>0.834035886176071</v>
      </c>
      <c r="R230" s="18" t="str">
        <f aca="false">IF($O230&lt;$Q230,"below the floor","at or above it")</f>
        <v>at or above it</v>
      </c>
      <c r="S230" s="15" t="n">
        <f aca="false">IF($O230&lt;$Q230,$E230*ROUND($Q230*$H230,2),$G230)</f>
        <v>324493.15</v>
      </c>
      <c r="T230" s="15" t="n">
        <f aca="false">IF($O230&lt;$Q230,ROUND($L230*$S230/$G230,2),$L230)</f>
        <v>6911.46</v>
      </c>
      <c r="U230" s="15" t="n">
        <f aca="false">ROUND(($S230-$G230)-($T230-$L230),2)</f>
        <v>0</v>
      </c>
      <c r="V230" s="15" t="n">
        <f aca="false">IF($O230&lt;$Q230,ROUND($S230-$K230-$T230,2),$M230)</f>
        <v>108565.69</v>
      </c>
    </row>
    <row r="231" customFormat="false" ht="15" hidden="false" customHeight="false" outlineLevel="0" collapsed="false">
      <c r="B231" s="13" t="s">
        <v>197</v>
      </c>
      <c r="C231" s="13" t="s">
        <v>157</v>
      </c>
      <c r="D231" s="13" t="s">
        <v>56</v>
      </c>
      <c r="E231" s="24" t="n">
        <v>3329</v>
      </c>
      <c r="F231" s="14" t="n">
        <v>306800.64</v>
      </c>
      <c r="G231" s="14" t="n">
        <v>288085.81</v>
      </c>
      <c r="H231" s="15" t="n">
        <f aca="false">INDEX('Your Inputs'!$C$8:$C$10,MATCH($D231,'Your Inputs'!$B$8:$B$10,0))</f>
        <v>96</v>
      </c>
      <c r="I231" s="15" t="n">
        <f aca="false">INDEX('Your Inputs'!$D$8:$D$10,MATCH($D231,'Your Inputs'!$B$8:$B$10,0))</f>
        <v>58</v>
      </c>
      <c r="J231" s="15" t="n">
        <f aca="false">ROUND($E231*$H231,2)</f>
        <v>319584</v>
      </c>
      <c r="K231" s="15" t="n">
        <f aca="false">ROUND($E231*$I231,2)</f>
        <v>193082</v>
      </c>
      <c r="L231" s="15" t="n">
        <f aca="false">ROUND($F231*'Your Inputs'!$C$31,2)</f>
        <v>6136.01</v>
      </c>
      <c r="M231" s="15" t="n">
        <f aca="false">ROUND($G231-$K231-$L231,2)</f>
        <v>88867.8</v>
      </c>
      <c r="N231" s="15" t="n">
        <f aca="false">$G231/$E231</f>
        <v>86.5382427155302</v>
      </c>
      <c r="O231" s="25" t="n">
        <f aca="false">$G231/$J231</f>
        <v>0.901440028286773</v>
      </c>
      <c r="P231" s="18" t="str">
        <f aca="false">$C231&amp;" | "&amp;$D231</f>
        <v>Direct industrial | Protective coatings</v>
      </c>
      <c r="Q231" s="25" t="n">
        <f aca="false">INDEX('Your Floors'!$K$20:$K$31,MATCH($P231,'Your Floors'!$D$20:$D$31,0))</f>
        <v>0.853768804407086</v>
      </c>
      <c r="R231" s="18" t="str">
        <f aca="false">IF($O231&lt;$Q231,"below the floor","at or above it")</f>
        <v>at or above it</v>
      </c>
      <c r="S231" s="15" t="n">
        <f aca="false">IF($O231&lt;$Q231,$E231*ROUND($Q231*$H231,2),$G231)</f>
        <v>288085.81</v>
      </c>
      <c r="T231" s="15" t="n">
        <f aca="false">IF($O231&lt;$Q231,ROUND($L231*$S231/$G231,2),$L231)</f>
        <v>6136.01</v>
      </c>
      <c r="U231" s="15" t="n">
        <f aca="false">ROUND(($S231-$G231)-($T231-$L231),2)</f>
        <v>0</v>
      </c>
      <c r="V231" s="15" t="n">
        <f aca="false">IF($O231&lt;$Q231,ROUND($S231-$K231-$T231,2),$M231)</f>
        <v>88867.8</v>
      </c>
    </row>
    <row r="232" customFormat="false" ht="15" hidden="false" customHeight="false" outlineLevel="0" collapsed="false">
      <c r="B232" s="13" t="s">
        <v>198</v>
      </c>
      <c r="C232" s="13" t="s">
        <v>157</v>
      </c>
      <c r="D232" s="13" t="s">
        <v>52</v>
      </c>
      <c r="E232" s="24" t="n">
        <v>248</v>
      </c>
      <c r="F232" s="14" t="n">
        <v>35969.92</v>
      </c>
      <c r="G232" s="14" t="n">
        <v>34495.15</v>
      </c>
      <c r="H232" s="15" t="n">
        <f aca="false">INDEX('Your Inputs'!$C$8:$C$10,MATCH($D232,'Your Inputs'!$B$8:$B$10,0))</f>
        <v>148</v>
      </c>
      <c r="I232" s="15" t="n">
        <f aca="false">INDEX('Your Inputs'!$D$8:$D$10,MATCH($D232,'Your Inputs'!$B$8:$B$10,0))</f>
        <v>78</v>
      </c>
      <c r="J232" s="15" t="n">
        <f aca="false">ROUND($E232*$H232,2)</f>
        <v>36704</v>
      </c>
      <c r="K232" s="15" t="n">
        <f aca="false">ROUND($E232*$I232,2)</f>
        <v>19344</v>
      </c>
      <c r="L232" s="15" t="n">
        <f aca="false">ROUND($F232*'Your Inputs'!$C$31,2)</f>
        <v>719.4</v>
      </c>
      <c r="M232" s="15" t="n">
        <f aca="false">ROUND($G232-$K232-$L232,2)</f>
        <v>14431.75</v>
      </c>
      <c r="N232" s="15" t="n">
        <f aca="false">$G232/$E232</f>
        <v>139.093346774194</v>
      </c>
      <c r="O232" s="25" t="n">
        <f aca="false">$G232/$J232</f>
        <v>0.939819910636443</v>
      </c>
      <c r="P232" s="18" t="str">
        <f aca="false">$C232&amp;" | "&amp;$D232</f>
        <v>Direct industrial | Structural adhesives</v>
      </c>
      <c r="Q232" s="25" t="n">
        <f aca="false">INDEX('Your Floors'!$K$20:$K$31,MATCH($P232,'Your Floors'!$D$20:$D$31,0))</f>
        <v>0.874622624783014</v>
      </c>
      <c r="R232" s="18" t="str">
        <f aca="false">IF($O232&lt;$Q232,"below the floor","at or above it")</f>
        <v>at or above it</v>
      </c>
      <c r="S232" s="15" t="n">
        <f aca="false">IF($O232&lt;$Q232,$E232*ROUND($Q232*$H232,2),$G232)</f>
        <v>34495.15</v>
      </c>
      <c r="T232" s="15" t="n">
        <f aca="false">IF($O232&lt;$Q232,ROUND($L232*$S232/$G232,2),$L232)</f>
        <v>719.4</v>
      </c>
      <c r="U232" s="15" t="n">
        <f aca="false">ROUND(($S232-$G232)-($T232-$L232),2)</f>
        <v>0</v>
      </c>
      <c r="V232" s="15" t="n">
        <f aca="false">IF($O232&lt;$Q232,ROUND($S232-$K232-$T232,2),$M232)</f>
        <v>14431.75</v>
      </c>
    </row>
    <row r="233" customFormat="false" ht="15" hidden="false" customHeight="false" outlineLevel="0" collapsed="false">
      <c r="B233" s="13" t="s">
        <v>198</v>
      </c>
      <c r="C233" s="13" t="s">
        <v>157</v>
      </c>
      <c r="D233" s="13" t="s">
        <v>54</v>
      </c>
      <c r="E233" s="24" t="n">
        <v>757</v>
      </c>
      <c r="F233" s="14" t="n">
        <v>45995.32</v>
      </c>
      <c r="G233" s="14" t="n">
        <v>44109.51</v>
      </c>
      <c r="H233" s="15" t="n">
        <f aca="false">INDEX('Your Inputs'!$C$8:$C$10,MATCH($D233,'Your Inputs'!$B$8:$B$10,0))</f>
        <v>62</v>
      </c>
      <c r="I233" s="15" t="n">
        <f aca="false">INDEX('Your Inputs'!$D$8:$D$10,MATCH($D233,'Your Inputs'!$B$8:$B$10,0))</f>
        <v>36</v>
      </c>
      <c r="J233" s="15" t="n">
        <f aca="false">ROUND($E233*$H233,2)</f>
        <v>46934</v>
      </c>
      <c r="K233" s="15" t="n">
        <f aca="false">ROUND($E233*$I233,2)</f>
        <v>27252</v>
      </c>
      <c r="L233" s="15" t="n">
        <f aca="false">ROUND($F233*'Your Inputs'!$C$31,2)</f>
        <v>919.91</v>
      </c>
      <c r="M233" s="15" t="n">
        <f aca="false">ROUND($G233-$K233-$L233,2)</f>
        <v>15937.6</v>
      </c>
      <c r="N233" s="15" t="n">
        <f aca="false">$G233/$E233</f>
        <v>58.2688375165126</v>
      </c>
      <c r="O233" s="25" t="n">
        <f aca="false">$G233/$J233</f>
        <v>0.939819959943751</v>
      </c>
      <c r="P233" s="18" t="str">
        <f aca="false">$C233&amp;" | "&amp;$D233</f>
        <v>Direct industrial | Sealants</v>
      </c>
      <c r="Q233" s="25" t="n">
        <f aca="false">INDEX('Your Floors'!$K$20:$K$31,MATCH($P233,'Your Floors'!$D$20:$D$31,0))</f>
        <v>0.834035886176071</v>
      </c>
      <c r="R233" s="18" t="str">
        <f aca="false">IF($O233&lt;$Q233,"below the floor","at or above it")</f>
        <v>at or above it</v>
      </c>
      <c r="S233" s="15" t="n">
        <f aca="false">IF($O233&lt;$Q233,$E233*ROUND($Q233*$H233,2),$G233)</f>
        <v>44109.51</v>
      </c>
      <c r="T233" s="15" t="n">
        <f aca="false">IF($O233&lt;$Q233,ROUND($L233*$S233/$G233,2),$L233)</f>
        <v>919.91</v>
      </c>
      <c r="U233" s="15" t="n">
        <f aca="false">ROUND(($S233-$G233)-($T233-$L233),2)</f>
        <v>0</v>
      </c>
      <c r="V233" s="15" t="n">
        <f aca="false">IF($O233&lt;$Q233,ROUND($S233-$K233-$T233,2),$M233)</f>
        <v>15937.6</v>
      </c>
    </row>
    <row r="234" customFormat="false" ht="15" hidden="false" customHeight="false" outlineLevel="0" collapsed="false">
      <c r="B234" s="13" t="s">
        <v>198</v>
      </c>
      <c r="C234" s="13" t="s">
        <v>157</v>
      </c>
      <c r="D234" s="13" t="s">
        <v>56</v>
      </c>
      <c r="E234" s="24" t="n">
        <v>341</v>
      </c>
      <c r="F234" s="14" t="n">
        <v>32081.28</v>
      </c>
      <c r="G234" s="14" t="n">
        <v>30765.94</v>
      </c>
      <c r="H234" s="15" t="n">
        <f aca="false">INDEX('Your Inputs'!$C$8:$C$10,MATCH($D234,'Your Inputs'!$B$8:$B$10,0))</f>
        <v>96</v>
      </c>
      <c r="I234" s="15" t="n">
        <f aca="false">INDEX('Your Inputs'!$D$8:$D$10,MATCH($D234,'Your Inputs'!$B$8:$B$10,0))</f>
        <v>58</v>
      </c>
      <c r="J234" s="15" t="n">
        <f aca="false">ROUND($E234*$H234,2)</f>
        <v>32736</v>
      </c>
      <c r="K234" s="15" t="n">
        <f aca="false">ROUND($E234*$I234,2)</f>
        <v>19778</v>
      </c>
      <c r="L234" s="15" t="n">
        <f aca="false">ROUND($F234*'Your Inputs'!$C$31,2)</f>
        <v>641.63</v>
      </c>
      <c r="M234" s="15" t="n">
        <f aca="false">ROUND($G234-$K234-$L234,2)</f>
        <v>10346.31</v>
      </c>
      <c r="N234" s="15" t="n">
        <f aca="false">$G234/$E234</f>
        <v>90.2226979472141</v>
      </c>
      <c r="O234" s="25" t="n">
        <f aca="false">$G234/$J234</f>
        <v>0.93981977028348</v>
      </c>
      <c r="P234" s="18" t="str">
        <f aca="false">$C234&amp;" | "&amp;$D234</f>
        <v>Direct industrial | Protective coatings</v>
      </c>
      <c r="Q234" s="25" t="n">
        <f aca="false">INDEX('Your Floors'!$K$20:$K$31,MATCH($P234,'Your Floors'!$D$20:$D$31,0))</f>
        <v>0.853768804407086</v>
      </c>
      <c r="R234" s="18" t="str">
        <f aca="false">IF($O234&lt;$Q234,"below the floor","at or above it")</f>
        <v>at or above it</v>
      </c>
      <c r="S234" s="15" t="n">
        <f aca="false">IF($O234&lt;$Q234,$E234*ROUND($Q234*$H234,2),$G234)</f>
        <v>30765.94</v>
      </c>
      <c r="T234" s="15" t="n">
        <f aca="false">IF($O234&lt;$Q234,ROUND($L234*$S234/$G234,2),$L234)</f>
        <v>641.63</v>
      </c>
      <c r="U234" s="15" t="n">
        <f aca="false">ROUND(($S234-$G234)-($T234-$L234),2)</f>
        <v>0</v>
      </c>
      <c r="V234" s="15" t="n">
        <f aca="false">IF($O234&lt;$Q234,ROUND($S234-$K234-$T234,2),$M234)</f>
        <v>10346.31</v>
      </c>
    </row>
    <row r="235" customFormat="false" ht="15" hidden="false" customHeight="false" outlineLevel="0" collapsed="false">
      <c r="B235" s="13" t="s">
        <v>199</v>
      </c>
      <c r="C235" s="13" t="s">
        <v>157</v>
      </c>
      <c r="D235" s="13" t="s">
        <v>52</v>
      </c>
      <c r="E235" s="24" t="n">
        <v>921</v>
      </c>
      <c r="F235" s="14" t="n">
        <v>124939.91</v>
      </c>
      <c r="G235" s="14" t="n">
        <v>121691.47</v>
      </c>
      <c r="H235" s="15" t="n">
        <f aca="false">INDEX('Your Inputs'!$C$8:$C$10,MATCH($D235,'Your Inputs'!$B$8:$B$10,0))</f>
        <v>148</v>
      </c>
      <c r="I235" s="15" t="n">
        <f aca="false">INDEX('Your Inputs'!$D$8:$D$10,MATCH($D235,'Your Inputs'!$B$8:$B$10,0))</f>
        <v>78</v>
      </c>
      <c r="J235" s="15" t="n">
        <f aca="false">ROUND($E235*$H235,2)</f>
        <v>136308</v>
      </c>
      <c r="K235" s="15" t="n">
        <f aca="false">ROUND($E235*$I235,2)</f>
        <v>71838</v>
      </c>
      <c r="L235" s="15" t="n">
        <f aca="false">ROUND($F235*'Your Inputs'!$C$31,2)</f>
        <v>2498.8</v>
      </c>
      <c r="M235" s="15" t="n">
        <f aca="false">ROUND($G235-$K235-$L235,2)</f>
        <v>47354.67</v>
      </c>
      <c r="N235" s="15" t="n">
        <f aca="false">$G235/$E235</f>
        <v>132.129717698154</v>
      </c>
      <c r="O235" s="25" t="n">
        <f aca="false">$G235/$J235</f>
        <v>0.892768362825366</v>
      </c>
      <c r="P235" s="18" t="str">
        <f aca="false">$C235&amp;" | "&amp;$D235</f>
        <v>Direct industrial | Structural adhesives</v>
      </c>
      <c r="Q235" s="25" t="n">
        <f aca="false">INDEX('Your Floors'!$K$20:$K$31,MATCH($P235,'Your Floors'!$D$20:$D$31,0))</f>
        <v>0.874622624783014</v>
      </c>
      <c r="R235" s="18" t="str">
        <f aca="false">IF($O235&lt;$Q235,"below the floor","at or above it")</f>
        <v>at or above it</v>
      </c>
      <c r="S235" s="15" t="n">
        <f aca="false">IF($O235&lt;$Q235,$E235*ROUND($Q235*$H235,2),$G235)</f>
        <v>121691.47</v>
      </c>
      <c r="T235" s="15" t="n">
        <f aca="false">IF($O235&lt;$Q235,ROUND($L235*$S235/$G235,2),$L235)</f>
        <v>2498.8</v>
      </c>
      <c r="U235" s="15" t="n">
        <f aca="false">ROUND(($S235-$G235)-($T235-$L235),2)</f>
        <v>0</v>
      </c>
      <c r="V235" s="15" t="n">
        <f aca="false">IF($O235&lt;$Q235,ROUND($S235-$K235-$T235,2),$M235)</f>
        <v>47354.67</v>
      </c>
    </row>
    <row r="236" customFormat="false" ht="15" hidden="false" customHeight="false" outlineLevel="0" collapsed="false">
      <c r="B236" s="13" t="s">
        <v>199</v>
      </c>
      <c r="C236" s="13" t="s">
        <v>157</v>
      </c>
      <c r="D236" s="13" t="s">
        <v>56</v>
      </c>
      <c r="E236" s="24" t="n">
        <v>1517</v>
      </c>
      <c r="F236" s="14" t="n">
        <v>130020.25</v>
      </c>
      <c r="G236" s="14" t="n">
        <v>126639.72</v>
      </c>
      <c r="H236" s="15" t="n">
        <f aca="false">INDEX('Your Inputs'!$C$8:$C$10,MATCH($D236,'Your Inputs'!$B$8:$B$10,0))</f>
        <v>96</v>
      </c>
      <c r="I236" s="15" t="n">
        <f aca="false">INDEX('Your Inputs'!$D$8:$D$10,MATCH($D236,'Your Inputs'!$B$8:$B$10,0))</f>
        <v>58</v>
      </c>
      <c r="J236" s="15" t="n">
        <f aca="false">ROUND($E236*$H236,2)</f>
        <v>145632</v>
      </c>
      <c r="K236" s="15" t="n">
        <f aca="false">ROUND($E236*$I236,2)</f>
        <v>87986</v>
      </c>
      <c r="L236" s="15" t="n">
        <f aca="false">ROUND($F236*'Your Inputs'!$C$31,2)</f>
        <v>2600.41</v>
      </c>
      <c r="M236" s="15" t="n">
        <f aca="false">ROUND($G236-$K236-$L236,2)</f>
        <v>36053.31</v>
      </c>
      <c r="N236" s="15" t="n">
        <f aca="false">$G236/$E236</f>
        <v>83.4803691496374</v>
      </c>
      <c r="O236" s="25" t="n">
        <f aca="false">$G236/$J236</f>
        <v>0.869587178642057</v>
      </c>
      <c r="P236" s="18" t="str">
        <f aca="false">$C236&amp;" | "&amp;$D236</f>
        <v>Direct industrial | Protective coatings</v>
      </c>
      <c r="Q236" s="25" t="n">
        <f aca="false">INDEX('Your Floors'!$K$20:$K$31,MATCH($P236,'Your Floors'!$D$20:$D$31,0))</f>
        <v>0.853768804407086</v>
      </c>
      <c r="R236" s="18" t="str">
        <f aca="false">IF($O236&lt;$Q236,"below the floor","at or above it")</f>
        <v>at or above it</v>
      </c>
      <c r="S236" s="15" t="n">
        <f aca="false">IF($O236&lt;$Q236,$E236*ROUND($Q236*$H236,2),$G236)</f>
        <v>126639.72</v>
      </c>
      <c r="T236" s="15" t="n">
        <f aca="false">IF($O236&lt;$Q236,ROUND($L236*$S236/$G236,2),$L236)</f>
        <v>2600.41</v>
      </c>
      <c r="U236" s="15" t="n">
        <f aca="false">ROUND(($S236-$G236)-($T236-$L236),2)</f>
        <v>0</v>
      </c>
      <c r="V236" s="15" t="n">
        <f aca="false">IF($O236&lt;$Q236,ROUND($S236-$K236-$T236,2),$M236)</f>
        <v>36053.31</v>
      </c>
    </row>
    <row r="237" customFormat="false" ht="15" hidden="false" customHeight="false" outlineLevel="0" collapsed="false">
      <c r="B237" s="13" t="s">
        <v>200</v>
      </c>
      <c r="C237" s="13" t="s">
        <v>157</v>
      </c>
      <c r="D237" s="13" t="s">
        <v>52</v>
      </c>
      <c r="E237" s="24" t="n">
        <v>606</v>
      </c>
      <c r="F237" s="14" t="n">
        <v>84432.28</v>
      </c>
      <c r="G237" s="14" t="n">
        <v>83503.53</v>
      </c>
      <c r="H237" s="15" t="n">
        <f aca="false">INDEX('Your Inputs'!$C$8:$C$10,MATCH($D237,'Your Inputs'!$B$8:$B$10,0))</f>
        <v>148</v>
      </c>
      <c r="I237" s="15" t="n">
        <f aca="false">INDEX('Your Inputs'!$D$8:$D$10,MATCH($D237,'Your Inputs'!$B$8:$B$10,0))</f>
        <v>78</v>
      </c>
      <c r="J237" s="15" t="n">
        <f aca="false">ROUND($E237*$H237,2)</f>
        <v>89688</v>
      </c>
      <c r="K237" s="15" t="n">
        <f aca="false">ROUND($E237*$I237,2)</f>
        <v>47268</v>
      </c>
      <c r="L237" s="15" t="n">
        <f aca="false">ROUND($F237*'Your Inputs'!$C$31,2)</f>
        <v>1688.65</v>
      </c>
      <c r="M237" s="15" t="n">
        <f aca="false">ROUND($G237-$K237-$L237,2)</f>
        <v>34546.88</v>
      </c>
      <c r="N237" s="15" t="n">
        <f aca="false">$G237/$E237</f>
        <v>137.794603960396</v>
      </c>
      <c r="O237" s="25" t="n">
        <f aca="false">$G237/$J237</f>
        <v>0.931044621354027</v>
      </c>
      <c r="P237" s="18" t="str">
        <f aca="false">$C237&amp;" | "&amp;$D237</f>
        <v>Direct industrial | Structural adhesives</v>
      </c>
      <c r="Q237" s="25" t="n">
        <f aca="false">INDEX('Your Floors'!$K$20:$K$31,MATCH($P237,'Your Floors'!$D$20:$D$31,0))</f>
        <v>0.874622624783014</v>
      </c>
      <c r="R237" s="18" t="str">
        <f aca="false">IF($O237&lt;$Q237,"below the floor","at or above it")</f>
        <v>at or above it</v>
      </c>
      <c r="S237" s="15" t="n">
        <f aca="false">IF($O237&lt;$Q237,$E237*ROUND($Q237*$H237,2),$G237)</f>
        <v>83503.53</v>
      </c>
      <c r="T237" s="15" t="n">
        <f aca="false">IF($O237&lt;$Q237,ROUND($L237*$S237/$G237,2),$L237)</f>
        <v>1688.65</v>
      </c>
      <c r="U237" s="15" t="n">
        <f aca="false">ROUND(($S237-$G237)-($T237-$L237),2)</f>
        <v>0</v>
      </c>
      <c r="V237" s="15" t="n">
        <f aca="false">IF($O237&lt;$Q237,ROUND($S237-$K237-$T237,2),$M237)</f>
        <v>34546.88</v>
      </c>
    </row>
    <row r="238" customFormat="false" ht="15" hidden="false" customHeight="false" outlineLevel="0" collapsed="false">
      <c r="B238" s="13" t="s">
        <v>200</v>
      </c>
      <c r="C238" s="13" t="s">
        <v>157</v>
      </c>
      <c r="D238" s="13" t="s">
        <v>54</v>
      </c>
      <c r="E238" s="24" t="n">
        <v>1121</v>
      </c>
      <c r="F238" s="14" t="n">
        <v>64011.34</v>
      </c>
      <c r="G238" s="14" t="n">
        <v>63307.21</v>
      </c>
      <c r="H238" s="15" t="n">
        <f aca="false">INDEX('Your Inputs'!$C$8:$C$10,MATCH($D238,'Your Inputs'!$B$8:$B$10,0))</f>
        <v>62</v>
      </c>
      <c r="I238" s="15" t="n">
        <f aca="false">INDEX('Your Inputs'!$D$8:$D$10,MATCH($D238,'Your Inputs'!$B$8:$B$10,0))</f>
        <v>36</v>
      </c>
      <c r="J238" s="15" t="n">
        <f aca="false">ROUND($E238*$H238,2)</f>
        <v>69502</v>
      </c>
      <c r="K238" s="15" t="n">
        <f aca="false">ROUND($E238*$I238,2)</f>
        <v>40356</v>
      </c>
      <c r="L238" s="15" t="n">
        <f aca="false">ROUND($F238*'Your Inputs'!$C$31,2)</f>
        <v>1280.23</v>
      </c>
      <c r="M238" s="15" t="n">
        <f aca="false">ROUND($G238-$K238-$L238,2)</f>
        <v>21670.98</v>
      </c>
      <c r="N238" s="15" t="n">
        <f aca="false">$G238/$E238</f>
        <v>56.4738715432649</v>
      </c>
      <c r="O238" s="25" t="n">
        <f aca="false">$G238/$J238</f>
        <v>0.910868895859112</v>
      </c>
      <c r="P238" s="18" t="str">
        <f aca="false">$C238&amp;" | "&amp;$D238</f>
        <v>Direct industrial | Sealants</v>
      </c>
      <c r="Q238" s="25" t="n">
        <f aca="false">INDEX('Your Floors'!$K$20:$K$31,MATCH($P238,'Your Floors'!$D$20:$D$31,0))</f>
        <v>0.834035886176071</v>
      </c>
      <c r="R238" s="18" t="str">
        <f aca="false">IF($O238&lt;$Q238,"below the floor","at or above it")</f>
        <v>at or above it</v>
      </c>
      <c r="S238" s="15" t="n">
        <f aca="false">IF($O238&lt;$Q238,$E238*ROUND($Q238*$H238,2),$G238)</f>
        <v>63307.21</v>
      </c>
      <c r="T238" s="15" t="n">
        <f aca="false">IF($O238&lt;$Q238,ROUND($L238*$S238/$G238,2),$L238)</f>
        <v>1280.23</v>
      </c>
      <c r="U238" s="15" t="n">
        <f aca="false">ROUND(($S238-$G238)-($T238-$L238),2)</f>
        <v>0</v>
      </c>
      <c r="V238" s="15" t="n">
        <f aca="false">IF($O238&lt;$Q238,ROUND($S238-$K238-$T238,2),$M238)</f>
        <v>21670.98</v>
      </c>
    </row>
    <row r="239" customFormat="false" ht="15" hidden="false" customHeight="false" outlineLevel="0" collapsed="false">
      <c r="B239" s="13" t="s">
        <v>200</v>
      </c>
      <c r="C239" s="13" t="s">
        <v>157</v>
      </c>
      <c r="D239" s="13" t="s">
        <v>56</v>
      </c>
      <c r="E239" s="24" t="n">
        <v>537</v>
      </c>
      <c r="F239" s="14" t="n">
        <v>48005.22</v>
      </c>
      <c r="G239" s="14" t="n">
        <v>47477.16</v>
      </c>
      <c r="H239" s="15" t="n">
        <f aca="false">INDEX('Your Inputs'!$C$8:$C$10,MATCH($D239,'Your Inputs'!$B$8:$B$10,0))</f>
        <v>96</v>
      </c>
      <c r="I239" s="15" t="n">
        <f aca="false">INDEX('Your Inputs'!$D$8:$D$10,MATCH($D239,'Your Inputs'!$B$8:$B$10,0))</f>
        <v>58</v>
      </c>
      <c r="J239" s="15" t="n">
        <f aca="false">ROUND($E239*$H239,2)</f>
        <v>51552</v>
      </c>
      <c r="K239" s="15" t="n">
        <f aca="false">ROUND($E239*$I239,2)</f>
        <v>31146</v>
      </c>
      <c r="L239" s="15" t="n">
        <f aca="false">ROUND($F239*'Your Inputs'!$C$31,2)</f>
        <v>960.1</v>
      </c>
      <c r="M239" s="15" t="n">
        <f aca="false">ROUND($G239-$K239-$L239,2)</f>
        <v>15371.06</v>
      </c>
      <c r="N239" s="15" t="n">
        <f aca="false">$G239/$E239</f>
        <v>88.411843575419</v>
      </c>
      <c r="O239" s="25" t="n">
        <f aca="false">$G239/$J239</f>
        <v>0.920956703910615</v>
      </c>
      <c r="P239" s="18" t="str">
        <f aca="false">$C239&amp;" | "&amp;$D239</f>
        <v>Direct industrial | Protective coatings</v>
      </c>
      <c r="Q239" s="25" t="n">
        <f aca="false">INDEX('Your Floors'!$K$20:$K$31,MATCH($P239,'Your Floors'!$D$20:$D$31,0))</f>
        <v>0.853768804407086</v>
      </c>
      <c r="R239" s="18" t="str">
        <f aca="false">IF($O239&lt;$Q239,"below the floor","at or above it")</f>
        <v>at or above it</v>
      </c>
      <c r="S239" s="15" t="n">
        <f aca="false">IF($O239&lt;$Q239,$E239*ROUND($Q239*$H239,2),$G239)</f>
        <v>47477.16</v>
      </c>
      <c r="T239" s="15" t="n">
        <f aca="false">IF($O239&lt;$Q239,ROUND($L239*$S239/$G239,2),$L239)</f>
        <v>960.1</v>
      </c>
      <c r="U239" s="15" t="n">
        <f aca="false">ROUND(($S239-$G239)-($T239-$L239),2)</f>
        <v>0</v>
      </c>
      <c r="V239" s="15" t="n">
        <f aca="false">IF($O239&lt;$Q239,ROUND($S239-$K239-$T239,2),$M239)</f>
        <v>15371.06</v>
      </c>
    </row>
    <row r="240" customFormat="false" ht="15" hidden="false" customHeight="false" outlineLevel="0" collapsed="false">
      <c r="B240" s="13" t="s">
        <v>201</v>
      </c>
      <c r="C240" s="13" t="s">
        <v>157</v>
      </c>
      <c r="D240" s="13" t="s">
        <v>52</v>
      </c>
      <c r="E240" s="24" t="n">
        <v>381</v>
      </c>
      <c r="F240" s="14" t="n">
        <v>54561.03</v>
      </c>
      <c r="G240" s="14" t="n">
        <v>54233.66</v>
      </c>
      <c r="H240" s="15" t="n">
        <f aca="false">INDEX('Your Inputs'!$C$8:$C$10,MATCH($D240,'Your Inputs'!$B$8:$B$10,0))</f>
        <v>148</v>
      </c>
      <c r="I240" s="15" t="n">
        <f aca="false">INDEX('Your Inputs'!$D$8:$D$10,MATCH($D240,'Your Inputs'!$B$8:$B$10,0))</f>
        <v>78</v>
      </c>
      <c r="J240" s="15" t="n">
        <f aca="false">ROUND($E240*$H240,2)</f>
        <v>56388</v>
      </c>
      <c r="K240" s="15" t="n">
        <f aca="false">ROUND($E240*$I240,2)</f>
        <v>29718</v>
      </c>
      <c r="L240" s="15" t="n">
        <f aca="false">ROUND($F240*'Your Inputs'!$C$31,2)</f>
        <v>1091.22</v>
      </c>
      <c r="M240" s="15" t="n">
        <f aca="false">ROUND($G240-$K240-$L240,2)</f>
        <v>23424.44</v>
      </c>
      <c r="N240" s="15" t="n">
        <f aca="false">$G240/$E240</f>
        <v>142.345564304462</v>
      </c>
      <c r="O240" s="25" t="n">
        <f aca="false">$G240/$J240</f>
        <v>0.961794353408527</v>
      </c>
      <c r="P240" s="18" t="str">
        <f aca="false">$C240&amp;" | "&amp;$D240</f>
        <v>Direct industrial | Structural adhesives</v>
      </c>
      <c r="Q240" s="25" t="n">
        <f aca="false">INDEX('Your Floors'!$K$20:$K$31,MATCH($P240,'Your Floors'!$D$20:$D$31,0))</f>
        <v>0.874622624783014</v>
      </c>
      <c r="R240" s="18" t="str">
        <f aca="false">IF($O240&lt;$Q240,"below the floor","at or above it")</f>
        <v>at or above it</v>
      </c>
      <c r="S240" s="15" t="n">
        <f aca="false">IF($O240&lt;$Q240,$E240*ROUND($Q240*$H240,2),$G240)</f>
        <v>54233.66</v>
      </c>
      <c r="T240" s="15" t="n">
        <f aca="false">IF($O240&lt;$Q240,ROUND($L240*$S240/$G240,2),$L240)</f>
        <v>1091.22</v>
      </c>
      <c r="U240" s="15" t="n">
        <f aca="false">ROUND(($S240-$G240)-($T240-$L240),2)</f>
        <v>0</v>
      </c>
      <c r="V240" s="15" t="n">
        <f aca="false">IF($O240&lt;$Q240,ROUND($S240-$K240-$T240,2),$M240)</f>
        <v>23424.44</v>
      </c>
    </row>
    <row r="241" customFormat="false" ht="15" hidden="false" customHeight="false" outlineLevel="0" collapsed="false">
      <c r="B241" s="13" t="s">
        <v>201</v>
      </c>
      <c r="C241" s="13" t="s">
        <v>157</v>
      </c>
      <c r="D241" s="13" t="s">
        <v>56</v>
      </c>
      <c r="E241" s="24" t="n">
        <v>402</v>
      </c>
      <c r="F241" s="14" t="n">
        <v>37079.19</v>
      </c>
      <c r="G241" s="14" t="n">
        <v>36856.71</v>
      </c>
      <c r="H241" s="15" t="n">
        <f aca="false">INDEX('Your Inputs'!$C$8:$C$10,MATCH($D241,'Your Inputs'!$B$8:$B$10,0))</f>
        <v>96</v>
      </c>
      <c r="I241" s="15" t="n">
        <f aca="false">INDEX('Your Inputs'!$D$8:$D$10,MATCH($D241,'Your Inputs'!$B$8:$B$10,0))</f>
        <v>58</v>
      </c>
      <c r="J241" s="15" t="n">
        <f aca="false">ROUND($E241*$H241,2)</f>
        <v>38592</v>
      </c>
      <c r="K241" s="15" t="n">
        <f aca="false">ROUND($E241*$I241,2)</f>
        <v>23316</v>
      </c>
      <c r="L241" s="15" t="n">
        <f aca="false">ROUND($F241*'Your Inputs'!$C$31,2)</f>
        <v>741.58</v>
      </c>
      <c r="M241" s="15" t="n">
        <f aca="false">ROUND($G241-$K241-$L241,2)</f>
        <v>12799.13</v>
      </c>
      <c r="N241" s="15" t="n">
        <f aca="false">$G241/$E241</f>
        <v>91.6833582089552</v>
      </c>
      <c r="O241" s="25" t="n">
        <f aca="false">$G241/$J241</f>
        <v>0.955034981343284</v>
      </c>
      <c r="P241" s="18" t="str">
        <f aca="false">$C241&amp;" | "&amp;$D241</f>
        <v>Direct industrial | Protective coatings</v>
      </c>
      <c r="Q241" s="25" t="n">
        <f aca="false">INDEX('Your Floors'!$K$20:$K$31,MATCH($P241,'Your Floors'!$D$20:$D$31,0))</f>
        <v>0.853768804407086</v>
      </c>
      <c r="R241" s="18" t="str">
        <f aca="false">IF($O241&lt;$Q241,"below the floor","at or above it")</f>
        <v>at or above it</v>
      </c>
      <c r="S241" s="15" t="n">
        <f aca="false">IF($O241&lt;$Q241,$E241*ROUND($Q241*$H241,2),$G241)</f>
        <v>36856.71</v>
      </c>
      <c r="T241" s="15" t="n">
        <f aca="false">IF($O241&lt;$Q241,ROUND($L241*$S241/$G241,2),$L241)</f>
        <v>741.58</v>
      </c>
      <c r="U241" s="15" t="n">
        <f aca="false">ROUND(($S241-$G241)-($T241-$L241),2)</f>
        <v>0</v>
      </c>
      <c r="V241" s="15" t="n">
        <f aca="false">IF($O241&lt;$Q241,ROUND($S241-$K241-$T241,2),$M241)</f>
        <v>12799.13</v>
      </c>
    </row>
    <row r="242" customFormat="false" ht="15" hidden="false" customHeight="false" outlineLevel="0" collapsed="false">
      <c r="B242" s="13" t="s">
        <v>202</v>
      </c>
      <c r="C242" s="13" t="s">
        <v>157</v>
      </c>
      <c r="D242" s="13" t="s">
        <v>52</v>
      </c>
      <c r="E242" s="24" t="n">
        <v>222</v>
      </c>
      <c r="F242" s="14" t="n">
        <v>29504.69</v>
      </c>
      <c r="G242" s="14" t="n">
        <v>28147.48</v>
      </c>
      <c r="H242" s="15" t="n">
        <f aca="false">INDEX('Your Inputs'!$C$8:$C$10,MATCH($D242,'Your Inputs'!$B$8:$B$10,0))</f>
        <v>148</v>
      </c>
      <c r="I242" s="15" t="n">
        <f aca="false">INDEX('Your Inputs'!$D$8:$D$10,MATCH($D242,'Your Inputs'!$B$8:$B$10,0))</f>
        <v>78</v>
      </c>
      <c r="J242" s="15" t="n">
        <f aca="false">ROUND($E242*$H242,2)</f>
        <v>32856</v>
      </c>
      <c r="K242" s="15" t="n">
        <f aca="false">ROUND($E242*$I242,2)</f>
        <v>17316</v>
      </c>
      <c r="L242" s="15" t="n">
        <f aca="false">ROUND($F242*'Your Inputs'!$C$31,2)</f>
        <v>590.09</v>
      </c>
      <c r="M242" s="15" t="n">
        <f aca="false">ROUND($G242-$K242-$L242,2)</f>
        <v>10241.39</v>
      </c>
      <c r="N242" s="15" t="n">
        <f aca="false">$G242/$E242</f>
        <v>126.79045045045</v>
      </c>
      <c r="O242" s="25" t="n">
        <f aca="false">$G242/$J242</f>
        <v>0.856692232773314</v>
      </c>
      <c r="P242" s="18" t="str">
        <f aca="false">$C242&amp;" | "&amp;$D242</f>
        <v>Direct industrial | Structural adhesives</v>
      </c>
      <c r="Q242" s="25" t="n">
        <f aca="false">INDEX('Your Floors'!$K$20:$K$31,MATCH($P242,'Your Floors'!$D$20:$D$31,0))</f>
        <v>0.874622624783014</v>
      </c>
      <c r="R242" s="18" t="str">
        <f aca="false">IF($O242&lt;$Q242,"below the floor","at or above it")</f>
        <v>below the floor</v>
      </c>
      <c r="S242" s="15" t="n">
        <f aca="false">IF($O242&lt;$Q242,$E242*ROUND($Q242*$H242,2),$G242)</f>
        <v>28735.68</v>
      </c>
      <c r="T242" s="15" t="n">
        <f aca="false">IF($O242&lt;$Q242,ROUND($L242*$S242/$G242,2),$L242)</f>
        <v>602.42</v>
      </c>
      <c r="U242" s="15" t="n">
        <f aca="false">ROUND(($S242-$G242)-($T242-$L242),2)</f>
        <v>575.87</v>
      </c>
      <c r="V242" s="15" t="n">
        <f aca="false">IF($O242&lt;$Q242,ROUND($S242-$K242-$T242,2),$M242)</f>
        <v>10817.26</v>
      </c>
    </row>
    <row r="243" customFormat="false" ht="15" hidden="false" customHeight="false" outlineLevel="0" collapsed="false">
      <c r="B243" s="13" t="s">
        <v>202</v>
      </c>
      <c r="C243" s="13" t="s">
        <v>157</v>
      </c>
      <c r="D243" s="13" t="s">
        <v>54</v>
      </c>
      <c r="E243" s="24" t="n">
        <v>1210</v>
      </c>
      <c r="F243" s="14" t="n">
        <v>62266.6</v>
      </c>
      <c r="G243" s="14" t="n">
        <v>59402.34</v>
      </c>
      <c r="H243" s="15" t="n">
        <f aca="false">INDEX('Your Inputs'!$C$8:$C$10,MATCH($D243,'Your Inputs'!$B$8:$B$10,0))</f>
        <v>62</v>
      </c>
      <c r="I243" s="15" t="n">
        <f aca="false">INDEX('Your Inputs'!$D$8:$D$10,MATCH($D243,'Your Inputs'!$B$8:$B$10,0))</f>
        <v>36</v>
      </c>
      <c r="J243" s="15" t="n">
        <f aca="false">ROUND($E243*$H243,2)</f>
        <v>75020</v>
      </c>
      <c r="K243" s="15" t="n">
        <f aca="false">ROUND($E243*$I243,2)</f>
        <v>43560</v>
      </c>
      <c r="L243" s="15" t="n">
        <f aca="false">ROUND($F243*'Your Inputs'!$C$31,2)</f>
        <v>1245.33</v>
      </c>
      <c r="M243" s="15" t="n">
        <f aca="false">ROUND($G243-$K243-$L243,2)</f>
        <v>14597.01</v>
      </c>
      <c r="N243" s="15" t="n">
        <f aca="false">$G243/$E243</f>
        <v>49.0928429752066</v>
      </c>
      <c r="O243" s="25" t="n">
        <f aca="false">$G243/$J243</f>
        <v>0.791820047987203</v>
      </c>
      <c r="P243" s="18" t="str">
        <f aca="false">$C243&amp;" | "&amp;$D243</f>
        <v>Direct industrial | Sealants</v>
      </c>
      <c r="Q243" s="25" t="n">
        <f aca="false">INDEX('Your Floors'!$K$20:$K$31,MATCH($P243,'Your Floors'!$D$20:$D$31,0))</f>
        <v>0.834035886176071</v>
      </c>
      <c r="R243" s="18" t="str">
        <f aca="false">IF($O243&lt;$Q243,"below the floor","at or above it")</f>
        <v>below the floor</v>
      </c>
      <c r="S243" s="15" t="n">
        <f aca="false">IF($O243&lt;$Q243,$E243*ROUND($Q243*$H243,2),$G243)</f>
        <v>62569.1</v>
      </c>
      <c r="T243" s="15" t="n">
        <f aca="false">IF($O243&lt;$Q243,ROUND($L243*$S243/$G243,2),$L243)</f>
        <v>1311.72</v>
      </c>
      <c r="U243" s="15" t="n">
        <f aca="false">ROUND(($S243-$G243)-($T243-$L243),2)</f>
        <v>3100.37</v>
      </c>
      <c r="V243" s="15" t="n">
        <f aca="false">IF($O243&lt;$Q243,ROUND($S243-$K243-$T243,2),$M243)</f>
        <v>17697.38</v>
      </c>
    </row>
    <row r="244" customFormat="false" ht="15" hidden="false" customHeight="false" outlineLevel="0" collapsed="false">
      <c r="B244" s="13" t="s">
        <v>203</v>
      </c>
      <c r="C244" s="13" t="s">
        <v>157</v>
      </c>
      <c r="D244" s="13" t="s">
        <v>52</v>
      </c>
      <c r="E244" s="24" t="n">
        <v>345</v>
      </c>
      <c r="F244" s="14" t="n">
        <v>47118.17</v>
      </c>
      <c r="G244" s="14" t="n">
        <v>45893.1</v>
      </c>
      <c r="H244" s="15" t="n">
        <f aca="false">INDEX('Your Inputs'!$C$8:$C$10,MATCH($D244,'Your Inputs'!$B$8:$B$10,0))</f>
        <v>148</v>
      </c>
      <c r="I244" s="15" t="n">
        <f aca="false">INDEX('Your Inputs'!$D$8:$D$10,MATCH($D244,'Your Inputs'!$B$8:$B$10,0))</f>
        <v>78</v>
      </c>
      <c r="J244" s="15" t="n">
        <f aca="false">ROUND($E244*$H244,2)</f>
        <v>51060</v>
      </c>
      <c r="K244" s="15" t="n">
        <f aca="false">ROUND($E244*$I244,2)</f>
        <v>26910</v>
      </c>
      <c r="L244" s="15" t="n">
        <f aca="false">ROUND($F244*'Your Inputs'!$C$31,2)</f>
        <v>942.36</v>
      </c>
      <c r="M244" s="15" t="n">
        <f aca="false">ROUND($G244-$K244-$L244,2)</f>
        <v>18040.74</v>
      </c>
      <c r="N244" s="15" t="n">
        <f aca="false">$G244/$E244</f>
        <v>133.02347826087</v>
      </c>
      <c r="O244" s="25" t="n">
        <f aca="false">$G244/$J244</f>
        <v>0.898807285546416</v>
      </c>
      <c r="P244" s="18" t="str">
        <f aca="false">$C244&amp;" | "&amp;$D244</f>
        <v>Direct industrial | Structural adhesives</v>
      </c>
      <c r="Q244" s="25" t="n">
        <f aca="false">INDEX('Your Floors'!$K$20:$K$31,MATCH($P244,'Your Floors'!$D$20:$D$31,0))</f>
        <v>0.874622624783014</v>
      </c>
      <c r="R244" s="18" t="str">
        <f aca="false">IF($O244&lt;$Q244,"below the floor","at or above it")</f>
        <v>at or above it</v>
      </c>
      <c r="S244" s="15" t="n">
        <f aca="false">IF($O244&lt;$Q244,$E244*ROUND($Q244*$H244,2),$G244)</f>
        <v>45893.1</v>
      </c>
      <c r="T244" s="15" t="n">
        <f aca="false">IF($O244&lt;$Q244,ROUND($L244*$S244/$G244,2),$L244)</f>
        <v>942.36</v>
      </c>
      <c r="U244" s="15" t="n">
        <f aca="false">ROUND(($S244-$G244)-($T244-$L244),2)</f>
        <v>0</v>
      </c>
      <c r="V244" s="15" t="n">
        <f aca="false">IF($O244&lt;$Q244,ROUND($S244-$K244-$T244,2),$M244)</f>
        <v>18040.74</v>
      </c>
    </row>
    <row r="245" customFormat="false" ht="15" hidden="false" customHeight="false" outlineLevel="0" collapsed="false">
      <c r="B245" s="13" t="s">
        <v>203</v>
      </c>
      <c r="C245" s="13" t="s">
        <v>157</v>
      </c>
      <c r="D245" s="13" t="s">
        <v>54</v>
      </c>
      <c r="E245" s="24" t="n">
        <v>1109</v>
      </c>
      <c r="F245" s="14" t="n">
        <v>60644.56</v>
      </c>
      <c r="G245" s="14" t="n">
        <v>59067.8</v>
      </c>
      <c r="H245" s="15" t="n">
        <f aca="false">INDEX('Your Inputs'!$C$8:$C$10,MATCH($D245,'Your Inputs'!$B$8:$B$10,0))</f>
        <v>62</v>
      </c>
      <c r="I245" s="15" t="n">
        <f aca="false">INDEX('Your Inputs'!$D$8:$D$10,MATCH($D245,'Your Inputs'!$B$8:$B$10,0))</f>
        <v>36</v>
      </c>
      <c r="J245" s="15" t="n">
        <f aca="false">ROUND($E245*$H245,2)</f>
        <v>68758</v>
      </c>
      <c r="K245" s="15" t="n">
        <f aca="false">ROUND($E245*$I245,2)</f>
        <v>39924</v>
      </c>
      <c r="L245" s="15" t="n">
        <f aca="false">ROUND($F245*'Your Inputs'!$C$31,2)</f>
        <v>1212.89</v>
      </c>
      <c r="M245" s="15" t="n">
        <f aca="false">ROUND($G245-$K245-$L245,2)</f>
        <v>17930.91</v>
      </c>
      <c r="N245" s="15" t="n">
        <f aca="false">$G245/$E245</f>
        <v>53.2622182146078</v>
      </c>
      <c r="O245" s="25" t="n">
        <f aca="false">$G245/$J245</f>
        <v>0.85906803571948</v>
      </c>
      <c r="P245" s="18" t="str">
        <f aca="false">$C245&amp;" | "&amp;$D245</f>
        <v>Direct industrial | Sealants</v>
      </c>
      <c r="Q245" s="25" t="n">
        <f aca="false">INDEX('Your Floors'!$K$20:$K$31,MATCH($P245,'Your Floors'!$D$20:$D$31,0))</f>
        <v>0.834035886176071</v>
      </c>
      <c r="R245" s="18" t="str">
        <f aca="false">IF($O245&lt;$Q245,"below the floor","at or above it")</f>
        <v>at or above it</v>
      </c>
      <c r="S245" s="15" t="n">
        <f aca="false">IF($O245&lt;$Q245,$E245*ROUND($Q245*$H245,2),$G245)</f>
        <v>59067.8</v>
      </c>
      <c r="T245" s="15" t="n">
        <f aca="false">IF($O245&lt;$Q245,ROUND($L245*$S245/$G245,2),$L245)</f>
        <v>1212.89</v>
      </c>
      <c r="U245" s="15" t="n">
        <f aca="false">ROUND(($S245-$G245)-($T245-$L245),2)</f>
        <v>0</v>
      </c>
      <c r="V245" s="15" t="n">
        <f aca="false">IF($O245&lt;$Q245,ROUND($S245-$K245-$T245,2),$M245)</f>
        <v>17930.91</v>
      </c>
    </row>
    <row r="246" customFormat="false" ht="15" hidden="false" customHeight="false" outlineLevel="0" collapsed="false">
      <c r="B246" s="13" t="s">
        <v>203</v>
      </c>
      <c r="C246" s="13" t="s">
        <v>157</v>
      </c>
      <c r="D246" s="13" t="s">
        <v>56</v>
      </c>
      <c r="E246" s="24" t="n">
        <v>652</v>
      </c>
      <c r="F246" s="14" t="n">
        <v>56483.02</v>
      </c>
      <c r="G246" s="14" t="n">
        <v>55014.46</v>
      </c>
      <c r="H246" s="15" t="n">
        <f aca="false">INDEX('Your Inputs'!$C$8:$C$10,MATCH($D246,'Your Inputs'!$B$8:$B$10,0))</f>
        <v>96</v>
      </c>
      <c r="I246" s="15" t="n">
        <f aca="false">INDEX('Your Inputs'!$D$8:$D$10,MATCH($D246,'Your Inputs'!$B$8:$B$10,0))</f>
        <v>58</v>
      </c>
      <c r="J246" s="15" t="n">
        <f aca="false">ROUND($E246*$H246,2)</f>
        <v>62592</v>
      </c>
      <c r="K246" s="15" t="n">
        <f aca="false">ROUND($E246*$I246,2)</f>
        <v>37816</v>
      </c>
      <c r="L246" s="15" t="n">
        <f aca="false">ROUND($F246*'Your Inputs'!$C$31,2)</f>
        <v>1129.66</v>
      </c>
      <c r="M246" s="15" t="n">
        <f aca="false">ROUND($G246-$K246-$L246,2)</f>
        <v>16068.8</v>
      </c>
      <c r="N246" s="15" t="n">
        <f aca="false">$G246/$E246</f>
        <v>84.3780061349693</v>
      </c>
      <c r="O246" s="25" t="n">
        <f aca="false">$G246/$J246</f>
        <v>0.878937563905931</v>
      </c>
      <c r="P246" s="18" t="str">
        <f aca="false">$C246&amp;" | "&amp;$D246</f>
        <v>Direct industrial | Protective coatings</v>
      </c>
      <c r="Q246" s="25" t="n">
        <f aca="false">INDEX('Your Floors'!$K$20:$K$31,MATCH($P246,'Your Floors'!$D$20:$D$31,0))</f>
        <v>0.853768804407086</v>
      </c>
      <c r="R246" s="18" t="str">
        <f aca="false">IF($O246&lt;$Q246,"below the floor","at or above it")</f>
        <v>at or above it</v>
      </c>
      <c r="S246" s="15" t="n">
        <f aca="false">IF($O246&lt;$Q246,$E246*ROUND($Q246*$H246,2),$G246)</f>
        <v>55014.46</v>
      </c>
      <c r="T246" s="15" t="n">
        <f aca="false">IF($O246&lt;$Q246,ROUND($L246*$S246/$G246,2),$L246)</f>
        <v>1129.66</v>
      </c>
      <c r="U246" s="15" t="n">
        <f aca="false">ROUND(($S246-$G246)-($T246-$L246),2)</f>
        <v>0</v>
      </c>
      <c r="V246" s="15" t="n">
        <f aca="false">IF($O246&lt;$Q246,ROUND($S246-$K246-$T246,2),$M246)</f>
        <v>16068.8</v>
      </c>
    </row>
    <row r="247" customFormat="false" ht="15" hidden="false" customHeight="false" outlineLevel="0" collapsed="false">
      <c r="B247" s="13" t="s">
        <v>204</v>
      </c>
      <c r="C247" s="13" t="s">
        <v>157</v>
      </c>
      <c r="D247" s="13" t="s">
        <v>52</v>
      </c>
      <c r="E247" s="24" t="n">
        <v>352</v>
      </c>
      <c r="F247" s="14" t="n">
        <v>46620.71</v>
      </c>
      <c r="G247" s="14" t="n">
        <v>46107.89</v>
      </c>
      <c r="H247" s="15" t="n">
        <f aca="false">INDEX('Your Inputs'!$C$8:$C$10,MATCH($D247,'Your Inputs'!$B$8:$B$10,0))</f>
        <v>148</v>
      </c>
      <c r="I247" s="15" t="n">
        <f aca="false">INDEX('Your Inputs'!$D$8:$D$10,MATCH($D247,'Your Inputs'!$B$8:$B$10,0))</f>
        <v>78</v>
      </c>
      <c r="J247" s="15" t="n">
        <f aca="false">ROUND($E247*$H247,2)</f>
        <v>52096</v>
      </c>
      <c r="K247" s="15" t="n">
        <f aca="false">ROUND($E247*$I247,2)</f>
        <v>27456</v>
      </c>
      <c r="L247" s="15" t="n">
        <f aca="false">ROUND($F247*'Your Inputs'!$C$31,2)</f>
        <v>932.41</v>
      </c>
      <c r="M247" s="15" t="n">
        <f aca="false">ROUND($G247-$K247-$L247,2)</f>
        <v>17719.48</v>
      </c>
      <c r="N247" s="15" t="n">
        <f aca="false">$G247/$E247</f>
        <v>130.988323863636</v>
      </c>
      <c r="O247" s="25" t="n">
        <f aca="false">$G247/$J247</f>
        <v>0.885056242321867</v>
      </c>
      <c r="P247" s="18" t="str">
        <f aca="false">$C247&amp;" | "&amp;$D247</f>
        <v>Direct industrial | Structural adhesives</v>
      </c>
      <c r="Q247" s="25" t="n">
        <f aca="false">INDEX('Your Floors'!$K$20:$K$31,MATCH($P247,'Your Floors'!$D$20:$D$31,0))</f>
        <v>0.874622624783014</v>
      </c>
      <c r="R247" s="18" t="str">
        <f aca="false">IF($O247&lt;$Q247,"below the floor","at or above it")</f>
        <v>at or above it</v>
      </c>
      <c r="S247" s="15" t="n">
        <f aca="false">IF($O247&lt;$Q247,$E247*ROUND($Q247*$H247,2),$G247)</f>
        <v>46107.89</v>
      </c>
      <c r="T247" s="15" t="n">
        <f aca="false">IF($O247&lt;$Q247,ROUND($L247*$S247/$G247,2),$L247)</f>
        <v>932.41</v>
      </c>
      <c r="U247" s="15" t="n">
        <f aca="false">ROUND(($S247-$G247)-($T247-$L247),2)</f>
        <v>0</v>
      </c>
      <c r="V247" s="15" t="n">
        <f aca="false">IF($O247&lt;$Q247,ROUND($S247-$K247-$T247,2),$M247)</f>
        <v>17719.48</v>
      </c>
    </row>
    <row r="248" customFormat="false" ht="15" hidden="false" customHeight="false" outlineLevel="0" collapsed="false">
      <c r="B248" s="13" t="s">
        <v>204</v>
      </c>
      <c r="C248" s="13" t="s">
        <v>157</v>
      </c>
      <c r="D248" s="13" t="s">
        <v>54</v>
      </c>
      <c r="E248" s="24" t="n">
        <v>1014</v>
      </c>
      <c r="F248" s="14" t="n">
        <v>51771.8</v>
      </c>
      <c r="G248" s="14" t="n">
        <v>51202.31</v>
      </c>
      <c r="H248" s="15" t="n">
        <f aca="false">INDEX('Your Inputs'!$C$8:$C$10,MATCH($D248,'Your Inputs'!$B$8:$B$10,0))</f>
        <v>62</v>
      </c>
      <c r="I248" s="15" t="n">
        <f aca="false">INDEX('Your Inputs'!$D$8:$D$10,MATCH($D248,'Your Inputs'!$B$8:$B$10,0))</f>
        <v>36</v>
      </c>
      <c r="J248" s="15" t="n">
        <f aca="false">ROUND($E248*$H248,2)</f>
        <v>62868</v>
      </c>
      <c r="K248" s="15" t="n">
        <f aca="false">ROUND($E248*$I248,2)</f>
        <v>36504</v>
      </c>
      <c r="L248" s="15" t="n">
        <f aca="false">ROUND($F248*'Your Inputs'!$C$31,2)</f>
        <v>1035.44</v>
      </c>
      <c r="M248" s="15" t="n">
        <f aca="false">ROUND($G248-$K248-$L248,2)</f>
        <v>13662.87</v>
      </c>
      <c r="N248" s="15" t="n">
        <f aca="false">$G248/$E248</f>
        <v>50.4953747534517</v>
      </c>
      <c r="O248" s="25" t="n">
        <f aca="false">$G248/$J248</f>
        <v>0.814441528281479</v>
      </c>
      <c r="P248" s="18" t="str">
        <f aca="false">$C248&amp;" | "&amp;$D248</f>
        <v>Direct industrial | Sealants</v>
      </c>
      <c r="Q248" s="25" t="n">
        <f aca="false">INDEX('Your Floors'!$K$20:$K$31,MATCH($P248,'Your Floors'!$D$20:$D$31,0))</f>
        <v>0.834035886176071</v>
      </c>
      <c r="R248" s="18" t="str">
        <f aca="false">IF($O248&lt;$Q248,"below the floor","at or above it")</f>
        <v>below the floor</v>
      </c>
      <c r="S248" s="15" t="n">
        <f aca="false">IF($O248&lt;$Q248,$E248*ROUND($Q248*$H248,2),$G248)</f>
        <v>52433.94</v>
      </c>
      <c r="T248" s="15" t="n">
        <f aca="false">IF($O248&lt;$Q248,ROUND($L248*$S248/$G248,2),$L248)</f>
        <v>1060.35</v>
      </c>
      <c r="U248" s="15" t="n">
        <f aca="false">ROUND(($S248-$G248)-($T248-$L248),2)</f>
        <v>1206.72</v>
      </c>
      <c r="V248" s="15" t="n">
        <f aca="false">IF($O248&lt;$Q248,ROUND($S248-$K248-$T248,2),$M248)</f>
        <v>14869.59</v>
      </c>
    </row>
    <row r="249" customFormat="false" ht="15" hidden="false" customHeight="false" outlineLevel="0" collapsed="false">
      <c r="B249" s="13" t="s">
        <v>204</v>
      </c>
      <c r="C249" s="13" t="s">
        <v>157</v>
      </c>
      <c r="D249" s="13" t="s">
        <v>56</v>
      </c>
      <c r="E249" s="24" t="n">
        <v>630</v>
      </c>
      <c r="F249" s="14" t="n">
        <v>51964.42</v>
      </c>
      <c r="G249" s="14" t="n">
        <v>51392.81</v>
      </c>
      <c r="H249" s="15" t="n">
        <f aca="false">INDEX('Your Inputs'!$C$8:$C$10,MATCH($D249,'Your Inputs'!$B$8:$B$10,0))</f>
        <v>96</v>
      </c>
      <c r="I249" s="15" t="n">
        <f aca="false">INDEX('Your Inputs'!$D$8:$D$10,MATCH($D249,'Your Inputs'!$B$8:$B$10,0))</f>
        <v>58</v>
      </c>
      <c r="J249" s="15" t="n">
        <f aca="false">ROUND($E249*$H249,2)</f>
        <v>60480</v>
      </c>
      <c r="K249" s="15" t="n">
        <f aca="false">ROUND($E249*$I249,2)</f>
        <v>36540</v>
      </c>
      <c r="L249" s="15" t="n">
        <f aca="false">ROUND($F249*'Your Inputs'!$C$31,2)</f>
        <v>1039.29</v>
      </c>
      <c r="M249" s="15" t="n">
        <f aca="false">ROUND($G249-$K249-$L249,2)</f>
        <v>13813.52</v>
      </c>
      <c r="N249" s="15" t="n">
        <f aca="false">$G249/$E249</f>
        <v>81.5758888888889</v>
      </c>
      <c r="O249" s="25" t="n">
        <f aca="false">$G249/$J249</f>
        <v>0.849748842592593</v>
      </c>
      <c r="P249" s="18" t="str">
        <f aca="false">$C249&amp;" | "&amp;$D249</f>
        <v>Direct industrial | Protective coatings</v>
      </c>
      <c r="Q249" s="25" t="n">
        <f aca="false">INDEX('Your Floors'!$K$20:$K$31,MATCH($P249,'Your Floors'!$D$20:$D$31,0))</f>
        <v>0.853768804407086</v>
      </c>
      <c r="R249" s="18" t="str">
        <f aca="false">IF($O249&lt;$Q249,"below the floor","at or above it")</f>
        <v>below the floor</v>
      </c>
      <c r="S249" s="15" t="n">
        <f aca="false">IF($O249&lt;$Q249,$E249*ROUND($Q249*$H249,2),$G249)</f>
        <v>51634.8</v>
      </c>
      <c r="T249" s="15" t="n">
        <f aca="false">IF($O249&lt;$Q249,ROUND($L249*$S249/$G249,2),$L249)</f>
        <v>1044.18</v>
      </c>
      <c r="U249" s="15" t="n">
        <f aca="false">ROUND(($S249-$G249)-($T249-$L249),2)</f>
        <v>237.1</v>
      </c>
      <c r="V249" s="15" t="n">
        <f aca="false">IF($O249&lt;$Q249,ROUND($S249-$K249-$T249,2),$M249)</f>
        <v>14050.62</v>
      </c>
    </row>
    <row r="250" customFormat="false" ht="15" hidden="false" customHeight="false" outlineLevel="0" collapsed="false">
      <c r="B250" s="13" t="s">
        <v>205</v>
      </c>
      <c r="C250" s="13" t="s">
        <v>157</v>
      </c>
      <c r="D250" s="13" t="s">
        <v>52</v>
      </c>
      <c r="E250" s="24" t="n">
        <v>264</v>
      </c>
      <c r="F250" s="14" t="n">
        <v>38290.56</v>
      </c>
      <c r="G250" s="14" t="n">
        <v>37869.37</v>
      </c>
      <c r="H250" s="15" t="n">
        <f aca="false">INDEX('Your Inputs'!$C$8:$C$10,MATCH($D250,'Your Inputs'!$B$8:$B$10,0))</f>
        <v>148</v>
      </c>
      <c r="I250" s="15" t="n">
        <f aca="false">INDEX('Your Inputs'!$D$8:$D$10,MATCH($D250,'Your Inputs'!$B$8:$B$10,0))</f>
        <v>78</v>
      </c>
      <c r="J250" s="15" t="n">
        <f aca="false">ROUND($E250*$H250,2)</f>
        <v>39072</v>
      </c>
      <c r="K250" s="15" t="n">
        <f aca="false">ROUND($E250*$I250,2)</f>
        <v>20592</v>
      </c>
      <c r="L250" s="15" t="n">
        <f aca="false">ROUND($F250*'Your Inputs'!$C$31,2)</f>
        <v>765.81</v>
      </c>
      <c r="M250" s="15" t="n">
        <f aca="false">ROUND($G250-$K250-$L250,2)</f>
        <v>16511.56</v>
      </c>
      <c r="N250" s="15" t="n">
        <f aca="false">$G250/$E250</f>
        <v>143.444583333333</v>
      </c>
      <c r="O250" s="25" t="n">
        <f aca="false">$G250/$J250</f>
        <v>0.969220157657658</v>
      </c>
      <c r="P250" s="18" t="str">
        <f aca="false">$C250&amp;" | "&amp;$D250</f>
        <v>Direct industrial | Structural adhesives</v>
      </c>
      <c r="Q250" s="25" t="n">
        <f aca="false">INDEX('Your Floors'!$K$20:$K$31,MATCH($P250,'Your Floors'!$D$20:$D$31,0))</f>
        <v>0.874622624783014</v>
      </c>
      <c r="R250" s="18" t="str">
        <f aca="false">IF($O250&lt;$Q250,"below the floor","at or above it")</f>
        <v>at or above it</v>
      </c>
      <c r="S250" s="15" t="n">
        <f aca="false">IF($O250&lt;$Q250,$E250*ROUND($Q250*$H250,2),$G250)</f>
        <v>37869.37</v>
      </c>
      <c r="T250" s="15" t="n">
        <f aca="false">IF($O250&lt;$Q250,ROUND($L250*$S250/$G250,2),$L250)</f>
        <v>765.81</v>
      </c>
      <c r="U250" s="15" t="n">
        <f aca="false">ROUND(($S250-$G250)-($T250-$L250),2)</f>
        <v>0</v>
      </c>
      <c r="V250" s="15" t="n">
        <f aca="false">IF($O250&lt;$Q250,ROUND($S250-$K250-$T250,2),$M250)</f>
        <v>16511.56</v>
      </c>
    </row>
    <row r="251" customFormat="false" ht="15" hidden="false" customHeight="false" outlineLevel="0" collapsed="false">
      <c r="B251" s="13" t="s">
        <v>205</v>
      </c>
      <c r="C251" s="13" t="s">
        <v>157</v>
      </c>
      <c r="D251" s="13" t="s">
        <v>54</v>
      </c>
      <c r="E251" s="24" t="n">
        <v>1043</v>
      </c>
      <c r="F251" s="14" t="n">
        <v>63372.68</v>
      </c>
      <c r="G251" s="14" t="n">
        <v>62675.58</v>
      </c>
      <c r="H251" s="15" t="n">
        <f aca="false">INDEX('Your Inputs'!$C$8:$C$10,MATCH($D251,'Your Inputs'!$B$8:$B$10,0))</f>
        <v>62</v>
      </c>
      <c r="I251" s="15" t="n">
        <f aca="false">INDEX('Your Inputs'!$D$8:$D$10,MATCH($D251,'Your Inputs'!$B$8:$B$10,0))</f>
        <v>36</v>
      </c>
      <c r="J251" s="15" t="n">
        <f aca="false">ROUND($E251*$H251,2)</f>
        <v>64666</v>
      </c>
      <c r="K251" s="15" t="n">
        <f aca="false">ROUND($E251*$I251,2)</f>
        <v>37548</v>
      </c>
      <c r="L251" s="15" t="n">
        <f aca="false">ROUND($F251*'Your Inputs'!$C$31,2)</f>
        <v>1267.45</v>
      </c>
      <c r="M251" s="15" t="n">
        <f aca="false">ROUND($G251-$K251-$L251,2)</f>
        <v>23860.13</v>
      </c>
      <c r="N251" s="15" t="n">
        <f aca="false">$G251/$E251</f>
        <v>60.0916395014382</v>
      </c>
      <c r="O251" s="25" t="n">
        <f aca="false">$G251/$J251</f>
        <v>0.96921999195868</v>
      </c>
      <c r="P251" s="18" t="str">
        <f aca="false">$C251&amp;" | "&amp;$D251</f>
        <v>Direct industrial | Sealants</v>
      </c>
      <c r="Q251" s="25" t="n">
        <f aca="false">INDEX('Your Floors'!$K$20:$K$31,MATCH($P251,'Your Floors'!$D$20:$D$31,0))</f>
        <v>0.834035886176071</v>
      </c>
      <c r="R251" s="18" t="str">
        <f aca="false">IF($O251&lt;$Q251,"below the floor","at or above it")</f>
        <v>at or above it</v>
      </c>
      <c r="S251" s="15" t="n">
        <f aca="false">IF($O251&lt;$Q251,$E251*ROUND($Q251*$H251,2),$G251)</f>
        <v>62675.58</v>
      </c>
      <c r="T251" s="15" t="n">
        <f aca="false">IF($O251&lt;$Q251,ROUND($L251*$S251/$G251,2),$L251)</f>
        <v>1267.45</v>
      </c>
      <c r="U251" s="15" t="n">
        <f aca="false">ROUND(($S251-$G251)-($T251-$L251),2)</f>
        <v>0</v>
      </c>
      <c r="V251" s="15" t="n">
        <f aca="false">IF($O251&lt;$Q251,ROUND($S251-$K251-$T251,2),$M251)</f>
        <v>23860.13</v>
      </c>
    </row>
    <row r="252" customFormat="false" ht="15" hidden="false" customHeight="false" outlineLevel="0" collapsed="false">
      <c r="B252" s="13" t="s">
        <v>205</v>
      </c>
      <c r="C252" s="13" t="s">
        <v>157</v>
      </c>
      <c r="D252" s="13" t="s">
        <v>56</v>
      </c>
      <c r="E252" s="24" t="n">
        <v>555</v>
      </c>
      <c r="F252" s="14" t="n">
        <v>52214.4</v>
      </c>
      <c r="G252" s="14" t="n">
        <v>51640.04</v>
      </c>
      <c r="H252" s="15" t="n">
        <f aca="false">INDEX('Your Inputs'!$C$8:$C$10,MATCH($D252,'Your Inputs'!$B$8:$B$10,0))</f>
        <v>96</v>
      </c>
      <c r="I252" s="15" t="n">
        <f aca="false">INDEX('Your Inputs'!$D$8:$D$10,MATCH($D252,'Your Inputs'!$B$8:$B$10,0))</f>
        <v>58</v>
      </c>
      <c r="J252" s="15" t="n">
        <f aca="false">ROUND($E252*$H252,2)</f>
        <v>53280</v>
      </c>
      <c r="K252" s="15" t="n">
        <f aca="false">ROUND($E252*$I252,2)</f>
        <v>32190</v>
      </c>
      <c r="L252" s="15" t="n">
        <f aca="false">ROUND($F252*'Your Inputs'!$C$31,2)</f>
        <v>1044.29</v>
      </c>
      <c r="M252" s="15" t="n">
        <f aca="false">ROUND($G252-$K252-$L252,2)</f>
        <v>18405.75</v>
      </c>
      <c r="N252" s="15" t="n">
        <f aca="false">$G252/$E252</f>
        <v>93.0451171171171</v>
      </c>
      <c r="O252" s="25" t="n">
        <f aca="false">$G252/$J252</f>
        <v>0.96921996996997</v>
      </c>
      <c r="P252" s="18" t="str">
        <f aca="false">$C252&amp;" | "&amp;$D252</f>
        <v>Direct industrial | Protective coatings</v>
      </c>
      <c r="Q252" s="25" t="n">
        <f aca="false">INDEX('Your Floors'!$K$20:$K$31,MATCH($P252,'Your Floors'!$D$20:$D$31,0))</f>
        <v>0.853768804407086</v>
      </c>
      <c r="R252" s="18" t="str">
        <f aca="false">IF($O252&lt;$Q252,"below the floor","at or above it")</f>
        <v>at or above it</v>
      </c>
      <c r="S252" s="15" t="n">
        <f aca="false">IF($O252&lt;$Q252,$E252*ROUND($Q252*$H252,2),$G252)</f>
        <v>51640.04</v>
      </c>
      <c r="T252" s="15" t="n">
        <f aca="false">IF($O252&lt;$Q252,ROUND($L252*$S252/$G252,2),$L252)</f>
        <v>1044.29</v>
      </c>
      <c r="U252" s="15" t="n">
        <f aca="false">ROUND(($S252-$G252)-($T252-$L252),2)</f>
        <v>0</v>
      </c>
      <c r="V252" s="15" t="n">
        <f aca="false">IF($O252&lt;$Q252,ROUND($S252-$K252-$T252,2),$M252)</f>
        <v>18405.75</v>
      </c>
    </row>
    <row r="253" customFormat="false" ht="15" hidden="false" customHeight="false" outlineLevel="0" collapsed="false">
      <c r="B253" s="13" t="s">
        <v>206</v>
      </c>
      <c r="C253" s="13" t="s">
        <v>157</v>
      </c>
      <c r="D253" s="13" t="s">
        <v>52</v>
      </c>
      <c r="E253" s="24" t="n">
        <v>401</v>
      </c>
      <c r="F253" s="14" t="n">
        <v>54950.31</v>
      </c>
      <c r="G253" s="14" t="n">
        <v>54620.61</v>
      </c>
      <c r="H253" s="15" t="n">
        <f aca="false">INDEX('Your Inputs'!$C$8:$C$10,MATCH($D253,'Your Inputs'!$B$8:$B$10,0))</f>
        <v>148</v>
      </c>
      <c r="I253" s="15" t="n">
        <f aca="false">INDEX('Your Inputs'!$D$8:$D$10,MATCH($D253,'Your Inputs'!$B$8:$B$10,0))</f>
        <v>78</v>
      </c>
      <c r="J253" s="15" t="n">
        <f aca="false">ROUND($E253*$H253,2)</f>
        <v>59348</v>
      </c>
      <c r="K253" s="15" t="n">
        <f aca="false">ROUND($E253*$I253,2)</f>
        <v>31278</v>
      </c>
      <c r="L253" s="15" t="n">
        <f aca="false">ROUND($F253*'Your Inputs'!$C$31,2)</f>
        <v>1099.01</v>
      </c>
      <c r="M253" s="15" t="n">
        <f aca="false">ROUND($G253-$K253-$L253,2)</f>
        <v>22243.6</v>
      </c>
      <c r="N253" s="15" t="n">
        <f aca="false">$G253/$E253</f>
        <v>136.210997506234</v>
      </c>
      <c r="O253" s="25" t="n">
        <f aca="false">$G253/$J253</f>
        <v>0.920344577744827</v>
      </c>
      <c r="P253" s="18" t="str">
        <f aca="false">$C253&amp;" | "&amp;$D253</f>
        <v>Direct industrial | Structural adhesives</v>
      </c>
      <c r="Q253" s="25" t="n">
        <f aca="false">INDEX('Your Floors'!$K$20:$K$31,MATCH($P253,'Your Floors'!$D$20:$D$31,0))</f>
        <v>0.874622624783014</v>
      </c>
      <c r="R253" s="18" t="str">
        <f aca="false">IF($O253&lt;$Q253,"below the floor","at or above it")</f>
        <v>at or above it</v>
      </c>
      <c r="S253" s="15" t="n">
        <f aca="false">IF($O253&lt;$Q253,$E253*ROUND($Q253*$H253,2),$G253)</f>
        <v>54620.61</v>
      </c>
      <c r="T253" s="15" t="n">
        <f aca="false">IF($O253&lt;$Q253,ROUND($L253*$S253/$G253,2),$L253)</f>
        <v>1099.01</v>
      </c>
      <c r="U253" s="15" t="n">
        <f aca="false">ROUND(($S253-$G253)-($T253-$L253),2)</f>
        <v>0</v>
      </c>
      <c r="V253" s="15" t="n">
        <f aca="false">IF($O253&lt;$Q253,ROUND($S253-$K253-$T253,2),$M253)</f>
        <v>22243.6</v>
      </c>
    </row>
    <row r="254" customFormat="false" ht="15" hidden="false" customHeight="false" outlineLevel="0" collapsed="false">
      <c r="B254" s="13" t="s">
        <v>206</v>
      </c>
      <c r="C254" s="13" t="s">
        <v>157</v>
      </c>
      <c r="D254" s="13" t="s">
        <v>54</v>
      </c>
      <c r="E254" s="24" t="n">
        <v>1523</v>
      </c>
      <c r="F254" s="14" t="n">
        <v>83897.5</v>
      </c>
      <c r="G254" s="14" t="n">
        <v>83394.11</v>
      </c>
      <c r="H254" s="15" t="n">
        <f aca="false">INDEX('Your Inputs'!$C$8:$C$10,MATCH($D254,'Your Inputs'!$B$8:$B$10,0))</f>
        <v>62</v>
      </c>
      <c r="I254" s="15" t="n">
        <f aca="false">INDEX('Your Inputs'!$D$8:$D$10,MATCH($D254,'Your Inputs'!$B$8:$B$10,0))</f>
        <v>36</v>
      </c>
      <c r="J254" s="15" t="n">
        <f aca="false">ROUND($E254*$H254,2)</f>
        <v>94426</v>
      </c>
      <c r="K254" s="15" t="n">
        <f aca="false">ROUND($E254*$I254,2)</f>
        <v>54828</v>
      </c>
      <c r="L254" s="15" t="n">
        <f aca="false">ROUND($F254*'Your Inputs'!$C$31,2)</f>
        <v>1677.95</v>
      </c>
      <c r="M254" s="15" t="n">
        <f aca="false">ROUND($G254-$K254-$L254,2)</f>
        <v>26888.16</v>
      </c>
      <c r="N254" s="15" t="n">
        <f aca="false">$G254/$E254</f>
        <v>54.7564740643467</v>
      </c>
      <c r="O254" s="25" t="n">
        <f aca="false">$G254/$J254</f>
        <v>0.883168936521721</v>
      </c>
      <c r="P254" s="18" t="str">
        <f aca="false">$C254&amp;" | "&amp;$D254</f>
        <v>Direct industrial | Sealants</v>
      </c>
      <c r="Q254" s="25" t="n">
        <f aca="false">INDEX('Your Floors'!$K$20:$K$31,MATCH($P254,'Your Floors'!$D$20:$D$31,0))</f>
        <v>0.834035886176071</v>
      </c>
      <c r="R254" s="18" t="str">
        <f aca="false">IF($O254&lt;$Q254,"below the floor","at or above it")</f>
        <v>at or above it</v>
      </c>
      <c r="S254" s="15" t="n">
        <f aca="false">IF($O254&lt;$Q254,$E254*ROUND($Q254*$H254,2),$G254)</f>
        <v>83394.11</v>
      </c>
      <c r="T254" s="15" t="n">
        <f aca="false">IF($O254&lt;$Q254,ROUND($L254*$S254/$G254,2),$L254)</f>
        <v>1677.95</v>
      </c>
      <c r="U254" s="15" t="n">
        <f aca="false">ROUND(($S254-$G254)-($T254-$L254),2)</f>
        <v>0</v>
      </c>
      <c r="V254" s="15" t="n">
        <f aca="false">IF($O254&lt;$Q254,ROUND($S254-$K254-$T254,2),$M254)</f>
        <v>26888.16</v>
      </c>
    </row>
    <row r="255" customFormat="false" ht="15" hidden="false" customHeight="false" outlineLevel="0" collapsed="false">
      <c r="B255" s="13" t="s">
        <v>206</v>
      </c>
      <c r="C255" s="13" t="s">
        <v>157</v>
      </c>
      <c r="D255" s="13" t="s">
        <v>56</v>
      </c>
      <c r="E255" s="24" t="n">
        <v>840</v>
      </c>
      <c r="F255" s="14" t="n">
        <v>73156.61</v>
      </c>
      <c r="G255" s="14" t="n">
        <v>72717.67</v>
      </c>
      <c r="H255" s="15" t="n">
        <f aca="false">INDEX('Your Inputs'!$C$8:$C$10,MATCH($D255,'Your Inputs'!$B$8:$B$10,0))</f>
        <v>96</v>
      </c>
      <c r="I255" s="15" t="n">
        <f aca="false">INDEX('Your Inputs'!$D$8:$D$10,MATCH($D255,'Your Inputs'!$B$8:$B$10,0))</f>
        <v>58</v>
      </c>
      <c r="J255" s="15" t="n">
        <f aca="false">ROUND($E255*$H255,2)</f>
        <v>80640</v>
      </c>
      <c r="K255" s="15" t="n">
        <f aca="false">ROUND($E255*$I255,2)</f>
        <v>48720</v>
      </c>
      <c r="L255" s="15" t="n">
        <f aca="false">ROUND($F255*'Your Inputs'!$C$31,2)</f>
        <v>1463.13</v>
      </c>
      <c r="M255" s="15" t="n">
        <f aca="false">ROUND($G255-$K255-$L255,2)</f>
        <v>22534.54</v>
      </c>
      <c r="N255" s="15" t="n">
        <f aca="false">$G255/$E255</f>
        <v>86.5686547619048</v>
      </c>
      <c r="O255" s="25" t="n">
        <f aca="false">$G255/$J255</f>
        <v>0.901756820436508</v>
      </c>
      <c r="P255" s="18" t="str">
        <f aca="false">$C255&amp;" | "&amp;$D255</f>
        <v>Direct industrial | Protective coatings</v>
      </c>
      <c r="Q255" s="25" t="n">
        <f aca="false">INDEX('Your Floors'!$K$20:$K$31,MATCH($P255,'Your Floors'!$D$20:$D$31,0))</f>
        <v>0.853768804407086</v>
      </c>
      <c r="R255" s="18" t="str">
        <f aca="false">IF($O255&lt;$Q255,"below the floor","at or above it")</f>
        <v>at or above it</v>
      </c>
      <c r="S255" s="15" t="n">
        <f aca="false">IF($O255&lt;$Q255,$E255*ROUND($Q255*$H255,2),$G255)</f>
        <v>72717.67</v>
      </c>
      <c r="T255" s="15" t="n">
        <f aca="false">IF($O255&lt;$Q255,ROUND($L255*$S255/$G255,2),$L255)</f>
        <v>1463.13</v>
      </c>
      <c r="U255" s="15" t="n">
        <f aca="false">ROUND(($S255-$G255)-($T255-$L255),2)</f>
        <v>0</v>
      </c>
      <c r="V255" s="15" t="n">
        <f aca="false">IF($O255&lt;$Q255,ROUND($S255-$K255-$T255,2),$M255)</f>
        <v>22534.54</v>
      </c>
    </row>
    <row r="256" customFormat="false" ht="15" hidden="false" customHeight="false" outlineLevel="0" collapsed="false">
      <c r="B256" s="13" t="s">
        <v>207</v>
      </c>
      <c r="C256" s="13" t="s">
        <v>157</v>
      </c>
      <c r="D256" s="13" t="s">
        <v>52</v>
      </c>
      <c r="E256" s="24" t="n">
        <v>961</v>
      </c>
      <c r="F256" s="14" t="n">
        <v>136097.97</v>
      </c>
      <c r="G256" s="14" t="n">
        <v>131878.93</v>
      </c>
      <c r="H256" s="15" t="n">
        <f aca="false">INDEX('Your Inputs'!$C$8:$C$10,MATCH($D256,'Your Inputs'!$B$8:$B$10,0))</f>
        <v>148</v>
      </c>
      <c r="I256" s="15" t="n">
        <f aca="false">INDEX('Your Inputs'!$D$8:$D$10,MATCH($D256,'Your Inputs'!$B$8:$B$10,0))</f>
        <v>78</v>
      </c>
      <c r="J256" s="15" t="n">
        <f aca="false">ROUND($E256*$H256,2)</f>
        <v>142228</v>
      </c>
      <c r="K256" s="15" t="n">
        <f aca="false">ROUND($E256*$I256,2)</f>
        <v>74958</v>
      </c>
      <c r="L256" s="15" t="n">
        <f aca="false">ROUND($F256*'Your Inputs'!$C$31,2)</f>
        <v>2721.96</v>
      </c>
      <c r="M256" s="15" t="n">
        <f aca="false">ROUND($G256-$K256-$L256,2)</f>
        <v>54198.97</v>
      </c>
      <c r="N256" s="15" t="n">
        <f aca="false">$G256/$E256</f>
        <v>137.230936524454</v>
      </c>
      <c r="O256" s="25" t="n">
        <f aca="false">$G256/$J256</f>
        <v>0.92723605759766</v>
      </c>
      <c r="P256" s="18" t="str">
        <f aca="false">$C256&amp;" | "&amp;$D256</f>
        <v>Direct industrial | Structural adhesives</v>
      </c>
      <c r="Q256" s="25" t="n">
        <f aca="false">INDEX('Your Floors'!$K$20:$K$31,MATCH($P256,'Your Floors'!$D$20:$D$31,0))</f>
        <v>0.874622624783014</v>
      </c>
      <c r="R256" s="18" t="str">
        <f aca="false">IF($O256&lt;$Q256,"below the floor","at or above it")</f>
        <v>at or above it</v>
      </c>
      <c r="S256" s="15" t="n">
        <f aca="false">IF($O256&lt;$Q256,$E256*ROUND($Q256*$H256,2),$G256)</f>
        <v>131878.93</v>
      </c>
      <c r="T256" s="15" t="n">
        <f aca="false">IF($O256&lt;$Q256,ROUND($L256*$S256/$G256,2),$L256)</f>
        <v>2721.96</v>
      </c>
      <c r="U256" s="15" t="n">
        <f aca="false">ROUND(($S256-$G256)-($T256-$L256),2)</f>
        <v>0</v>
      </c>
      <c r="V256" s="15" t="n">
        <f aca="false">IF($O256&lt;$Q256,ROUND($S256-$K256-$T256,2),$M256)</f>
        <v>54198.97</v>
      </c>
    </row>
    <row r="257" customFormat="false" ht="15" hidden="false" customHeight="false" outlineLevel="0" collapsed="false">
      <c r="B257" s="13" t="s">
        <v>207</v>
      </c>
      <c r="C257" s="13" t="s">
        <v>157</v>
      </c>
      <c r="D257" s="13" t="s">
        <v>54</v>
      </c>
      <c r="E257" s="24" t="n">
        <v>2255</v>
      </c>
      <c r="F257" s="14" t="n">
        <v>133308.83</v>
      </c>
      <c r="G257" s="14" t="n">
        <v>129176.26</v>
      </c>
      <c r="H257" s="15" t="n">
        <f aca="false">INDEX('Your Inputs'!$C$8:$C$10,MATCH($D257,'Your Inputs'!$B$8:$B$10,0))</f>
        <v>62</v>
      </c>
      <c r="I257" s="15" t="n">
        <f aca="false">INDEX('Your Inputs'!$D$8:$D$10,MATCH($D257,'Your Inputs'!$B$8:$B$10,0))</f>
        <v>36</v>
      </c>
      <c r="J257" s="15" t="n">
        <f aca="false">ROUND($E257*$H257,2)</f>
        <v>139810</v>
      </c>
      <c r="K257" s="15" t="n">
        <f aca="false">ROUND($E257*$I257,2)</f>
        <v>81180</v>
      </c>
      <c r="L257" s="15" t="n">
        <f aca="false">ROUND($F257*'Your Inputs'!$C$31,2)</f>
        <v>2666.18</v>
      </c>
      <c r="M257" s="15" t="n">
        <f aca="false">ROUND($G257-$K257-$L257,2)</f>
        <v>45330.08</v>
      </c>
      <c r="N257" s="15" t="n">
        <f aca="false">$G257/$E257</f>
        <v>57.2843725055432</v>
      </c>
      <c r="O257" s="25" t="n">
        <f aca="false">$G257/$J257</f>
        <v>0.923941492024891</v>
      </c>
      <c r="P257" s="18" t="str">
        <f aca="false">$C257&amp;" | "&amp;$D257</f>
        <v>Direct industrial | Sealants</v>
      </c>
      <c r="Q257" s="25" t="n">
        <f aca="false">INDEX('Your Floors'!$K$20:$K$31,MATCH($P257,'Your Floors'!$D$20:$D$31,0))</f>
        <v>0.834035886176071</v>
      </c>
      <c r="R257" s="18" t="str">
        <f aca="false">IF($O257&lt;$Q257,"below the floor","at or above it")</f>
        <v>at or above it</v>
      </c>
      <c r="S257" s="15" t="n">
        <f aca="false">IF($O257&lt;$Q257,$E257*ROUND($Q257*$H257,2),$G257)</f>
        <v>129176.26</v>
      </c>
      <c r="T257" s="15" t="n">
        <f aca="false">IF($O257&lt;$Q257,ROUND($L257*$S257/$G257,2),$L257)</f>
        <v>2666.18</v>
      </c>
      <c r="U257" s="15" t="n">
        <f aca="false">ROUND(($S257-$G257)-($T257-$L257),2)</f>
        <v>0</v>
      </c>
      <c r="V257" s="15" t="n">
        <f aca="false">IF($O257&lt;$Q257,ROUND($S257-$K257-$T257,2),$M257)</f>
        <v>45330.08</v>
      </c>
    </row>
    <row r="258" customFormat="false" ht="15" hidden="false" customHeight="false" outlineLevel="0" collapsed="false">
      <c r="B258" s="13" t="s">
        <v>207</v>
      </c>
      <c r="C258" s="13" t="s">
        <v>157</v>
      </c>
      <c r="D258" s="13" t="s">
        <v>56</v>
      </c>
      <c r="E258" s="24" t="n">
        <v>1010</v>
      </c>
      <c r="F258" s="14" t="n">
        <v>92616.19</v>
      </c>
      <c r="G258" s="14" t="n">
        <v>89745.09</v>
      </c>
      <c r="H258" s="15" t="n">
        <f aca="false">INDEX('Your Inputs'!$C$8:$C$10,MATCH($D258,'Your Inputs'!$B$8:$B$10,0))</f>
        <v>96</v>
      </c>
      <c r="I258" s="15" t="n">
        <f aca="false">INDEX('Your Inputs'!$D$8:$D$10,MATCH($D258,'Your Inputs'!$B$8:$B$10,0))</f>
        <v>58</v>
      </c>
      <c r="J258" s="15" t="n">
        <f aca="false">ROUND($E258*$H258,2)</f>
        <v>96960</v>
      </c>
      <c r="K258" s="15" t="n">
        <f aca="false">ROUND($E258*$I258,2)</f>
        <v>58580</v>
      </c>
      <c r="L258" s="15" t="n">
        <f aca="false">ROUND($F258*'Your Inputs'!$C$31,2)</f>
        <v>1852.32</v>
      </c>
      <c r="M258" s="15" t="n">
        <f aca="false">ROUND($G258-$K258-$L258,2)</f>
        <v>29312.77</v>
      </c>
      <c r="N258" s="15" t="n">
        <f aca="false">$G258/$E258</f>
        <v>88.8565247524752</v>
      </c>
      <c r="O258" s="25" t="n">
        <f aca="false">$G258/$J258</f>
        <v>0.92558879950495</v>
      </c>
      <c r="P258" s="18" t="str">
        <f aca="false">$C258&amp;" | "&amp;$D258</f>
        <v>Direct industrial | Protective coatings</v>
      </c>
      <c r="Q258" s="25" t="n">
        <f aca="false">INDEX('Your Floors'!$K$20:$K$31,MATCH($P258,'Your Floors'!$D$20:$D$31,0))</f>
        <v>0.853768804407086</v>
      </c>
      <c r="R258" s="18" t="str">
        <f aca="false">IF($O258&lt;$Q258,"below the floor","at or above it")</f>
        <v>at or above it</v>
      </c>
      <c r="S258" s="15" t="n">
        <f aca="false">IF($O258&lt;$Q258,$E258*ROUND($Q258*$H258,2),$G258)</f>
        <v>89745.09</v>
      </c>
      <c r="T258" s="15" t="n">
        <f aca="false">IF($O258&lt;$Q258,ROUND($L258*$S258/$G258,2),$L258)</f>
        <v>1852.32</v>
      </c>
      <c r="U258" s="15" t="n">
        <f aca="false">ROUND(($S258-$G258)-($T258-$L258),2)</f>
        <v>0</v>
      </c>
      <c r="V258" s="15" t="n">
        <f aca="false">IF($O258&lt;$Q258,ROUND($S258-$K258-$T258,2),$M258)</f>
        <v>29312.77</v>
      </c>
    </row>
    <row r="259" customFormat="false" ht="15" hidden="false" customHeight="false" outlineLevel="0" collapsed="false">
      <c r="B259" s="13" t="s">
        <v>208</v>
      </c>
      <c r="C259" s="13" t="s">
        <v>157</v>
      </c>
      <c r="D259" s="13" t="s">
        <v>52</v>
      </c>
      <c r="E259" s="24" t="n">
        <v>765</v>
      </c>
      <c r="F259" s="14" t="n">
        <v>102724.51</v>
      </c>
      <c r="G259" s="14" t="n">
        <v>99540.05</v>
      </c>
      <c r="H259" s="15" t="n">
        <f aca="false">INDEX('Your Inputs'!$C$8:$C$10,MATCH($D259,'Your Inputs'!$B$8:$B$10,0))</f>
        <v>148</v>
      </c>
      <c r="I259" s="15" t="n">
        <f aca="false">INDEX('Your Inputs'!$D$8:$D$10,MATCH($D259,'Your Inputs'!$B$8:$B$10,0))</f>
        <v>78</v>
      </c>
      <c r="J259" s="15" t="n">
        <f aca="false">ROUND($E259*$H259,2)</f>
        <v>113220</v>
      </c>
      <c r="K259" s="15" t="n">
        <f aca="false">ROUND($E259*$I259,2)</f>
        <v>59670</v>
      </c>
      <c r="L259" s="15" t="n">
        <f aca="false">ROUND($F259*'Your Inputs'!$C$31,2)</f>
        <v>2054.49</v>
      </c>
      <c r="M259" s="15" t="n">
        <f aca="false">ROUND($G259-$K259-$L259,2)</f>
        <v>37815.56</v>
      </c>
      <c r="N259" s="15" t="n">
        <f aca="false">$G259/$E259</f>
        <v>130.117712418301</v>
      </c>
      <c r="O259" s="25" t="n">
        <f aca="false">$G259/$J259</f>
        <v>0.879173732556086</v>
      </c>
      <c r="P259" s="18" t="str">
        <f aca="false">$C259&amp;" | "&amp;$D259</f>
        <v>Direct industrial | Structural adhesives</v>
      </c>
      <c r="Q259" s="25" t="n">
        <f aca="false">INDEX('Your Floors'!$K$20:$K$31,MATCH($P259,'Your Floors'!$D$20:$D$31,0))</f>
        <v>0.874622624783014</v>
      </c>
      <c r="R259" s="18" t="str">
        <f aca="false">IF($O259&lt;$Q259,"below the floor","at or above it")</f>
        <v>at or above it</v>
      </c>
      <c r="S259" s="15" t="n">
        <f aca="false">IF($O259&lt;$Q259,$E259*ROUND($Q259*$H259,2),$G259)</f>
        <v>99540.05</v>
      </c>
      <c r="T259" s="15" t="n">
        <f aca="false">IF($O259&lt;$Q259,ROUND($L259*$S259/$G259,2),$L259)</f>
        <v>2054.49</v>
      </c>
      <c r="U259" s="15" t="n">
        <f aca="false">ROUND(($S259-$G259)-($T259-$L259),2)</f>
        <v>0</v>
      </c>
      <c r="V259" s="15" t="n">
        <f aca="false">IF($O259&lt;$Q259,ROUND($S259-$K259-$T259,2),$M259)</f>
        <v>37815.56</v>
      </c>
    </row>
    <row r="260" customFormat="false" ht="15" hidden="false" customHeight="false" outlineLevel="0" collapsed="false">
      <c r="B260" s="13" t="s">
        <v>208</v>
      </c>
      <c r="C260" s="13" t="s">
        <v>157</v>
      </c>
      <c r="D260" s="13" t="s">
        <v>56</v>
      </c>
      <c r="E260" s="24" t="n">
        <v>925</v>
      </c>
      <c r="F260" s="14" t="n">
        <v>78001.92</v>
      </c>
      <c r="G260" s="14" t="n">
        <v>75583.86</v>
      </c>
      <c r="H260" s="15" t="n">
        <f aca="false">INDEX('Your Inputs'!$C$8:$C$10,MATCH($D260,'Your Inputs'!$B$8:$B$10,0))</f>
        <v>96</v>
      </c>
      <c r="I260" s="15" t="n">
        <f aca="false">INDEX('Your Inputs'!$D$8:$D$10,MATCH($D260,'Your Inputs'!$B$8:$B$10,0))</f>
        <v>58</v>
      </c>
      <c r="J260" s="15" t="n">
        <f aca="false">ROUND($E260*$H260,2)</f>
        <v>88800</v>
      </c>
      <c r="K260" s="15" t="n">
        <f aca="false">ROUND($E260*$I260,2)</f>
        <v>53650</v>
      </c>
      <c r="L260" s="15" t="n">
        <f aca="false">ROUND($F260*'Your Inputs'!$C$31,2)</f>
        <v>1560.04</v>
      </c>
      <c r="M260" s="15" t="n">
        <f aca="false">ROUND($G260-$K260-$L260,2)</f>
        <v>20373.82</v>
      </c>
      <c r="N260" s="15" t="n">
        <f aca="false">$G260/$E260</f>
        <v>81.7122810810811</v>
      </c>
      <c r="O260" s="25" t="n">
        <f aca="false">$G260/$J260</f>
        <v>0.851169594594595</v>
      </c>
      <c r="P260" s="18" t="str">
        <f aca="false">$C260&amp;" | "&amp;$D260</f>
        <v>Direct industrial | Protective coatings</v>
      </c>
      <c r="Q260" s="25" t="n">
        <f aca="false">INDEX('Your Floors'!$K$20:$K$31,MATCH($P260,'Your Floors'!$D$20:$D$31,0))</f>
        <v>0.853768804407086</v>
      </c>
      <c r="R260" s="18" t="str">
        <f aca="false">IF($O260&lt;$Q260,"below the floor","at or above it")</f>
        <v>below the floor</v>
      </c>
      <c r="S260" s="15" t="n">
        <f aca="false">IF($O260&lt;$Q260,$E260*ROUND($Q260*$H260,2),$G260)</f>
        <v>75813</v>
      </c>
      <c r="T260" s="15" t="n">
        <f aca="false">IF($O260&lt;$Q260,ROUND($L260*$S260/$G260,2),$L260)</f>
        <v>1564.77</v>
      </c>
      <c r="U260" s="15" t="n">
        <f aca="false">ROUND(($S260-$G260)-($T260-$L260),2)</f>
        <v>224.41</v>
      </c>
      <c r="V260" s="15" t="n">
        <f aca="false">IF($O260&lt;$Q260,ROUND($S260-$K260-$T260,2),$M260)</f>
        <v>20598.23</v>
      </c>
    </row>
    <row r="261" customFormat="false" ht="15" hidden="false" customHeight="false" outlineLevel="0" collapsed="false">
      <c r="B261" s="13" t="s">
        <v>209</v>
      </c>
      <c r="C261" s="13" t="s">
        <v>157</v>
      </c>
      <c r="D261" s="13" t="s">
        <v>54</v>
      </c>
      <c r="E261" s="24" t="n">
        <v>1045</v>
      </c>
      <c r="F261" s="14" t="n">
        <v>57598.31</v>
      </c>
      <c r="G261" s="14" t="n">
        <v>56388.75</v>
      </c>
      <c r="H261" s="15" t="n">
        <f aca="false">INDEX('Your Inputs'!$C$8:$C$10,MATCH($D261,'Your Inputs'!$B$8:$B$10,0))</f>
        <v>62</v>
      </c>
      <c r="I261" s="15" t="n">
        <f aca="false">INDEX('Your Inputs'!$D$8:$D$10,MATCH($D261,'Your Inputs'!$B$8:$B$10,0))</f>
        <v>36</v>
      </c>
      <c r="J261" s="15" t="n">
        <f aca="false">ROUND($E261*$H261,2)</f>
        <v>64790</v>
      </c>
      <c r="K261" s="15" t="n">
        <f aca="false">ROUND($E261*$I261,2)</f>
        <v>37620</v>
      </c>
      <c r="L261" s="15" t="n">
        <f aca="false">ROUND($F261*'Your Inputs'!$C$31,2)</f>
        <v>1151.97</v>
      </c>
      <c r="M261" s="15" t="n">
        <f aca="false">ROUND($G261-$K261-$L261,2)</f>
        <v>17616.78</v>
      </c>
      <c r="N261" s="15" t="n">
        <f aca="false">$G261/$E261</f>
        <v>53.9605263157895</v>
      </c>
      <c r="O261" s="25" t="n">
        <f aca="false">$G261/$J261</f>
        <v>0.870331069609508</v>
      </c>
      <c r="P261" s="18" t="str">
        <f aca="false">$C261&amp;" | "&amp;$D261</f>
        <v>Direct industrial | Sealants</v>
      </c>
      <c r="Q261" s="25" t="n">
        <f aca="false">INDEX('Your Floors'!$K$20:$K$31,MATCH($P261,'Your Floors'!$D$20:$D$31,0))</f>
        <v>0.834035886176071</v>
      </c>
      <c r="R261" s="18" t="str">
        <f aca="false">IF($O261&lt;$Q261,"below the floor","at or above it")</f>
        <v>at or above it</v>
      </c>
      <c r="S261" s="15" t="n">
        <f aca="false">IF($O261&lt;$Q261,$E261*ROUND($Q261*$H261,2),$G261)</f>
        <v>56388.75</v>
      </c>
      <c r="T261" s="15" t="n">
        <f aca="false">IF($O261&lt;$Q261,ROUND($L261*$S261/$G261,2),$L261)</f>
        <v>1151.97</v>
      </c>
      <c r="U261" s="15" t="n">
        <f aca="false">ROUND(($S261-$G261)-($T261-$L261),2)</f>
        <v>0</v>
      </c>
      <c r="V261" s="15" t="n">
        <f aca="false">IF($O261&lt;$Q261,ROUND($S261-$K261-$T261,2),$M261)</f>
        <v>17616.78</v>
      </c>
    </row>
    <row r="262" customFormat="false" ht="15" hidden="false" customHeight="false" outlineLevel="0" collapsed="false">
      <c r="B262" s="13" t="s">
        <v>209</v>
      </c>
      <c r="C262" s="13" t="s">
        <v>157</v>
      </c>
      <c r="D262" s="13" t="s">
        <v>56</v>
      </c>
      <c r="E262" s="24" t="n">
        <v>677</v>
      </c>
      <c r="F262" s="14" t="n">
        <v>59324.7</v>
      </c>
      <c r="G262" s="14" t="n">
        <v>58078.88</v>
      </c>
      <c r="H262" s="15" t="n">
        <f aca="false">INDEX('Your Inputs'!$C$8:$C$10,MATCH($D262,'Your Inputs'!$B$8:$B$10,0))</f>
        <v>96</v>
      </c>
      <c r="I262" s="15" t="n">
        <f aca="false">INDEX('Your Inputs'!$D$8:$D$10,MATCH($D262,'Your Inputs'!$B$8:$B$10,0))</f>
        <v>58</v>
      </c>
      <c r="J262" s="15" t="n">
        <f aca="false">ROUND($E262*$H262,2)</f>
        <v>64992</v>
      </c>
      <c r="K262" s="15" t="n">
        <f aca="false">ROUND($E262*$I262,2)</f>
        <v>39266</v>
      </c>
      <c r="L262" s="15" t="n">
        <f aca="false">ROUND($F262*'Your Inputs'!$C$31,2)</f>
        <v>1186.49</v>
      </c>
      <c r="M262" s="15" t="n">
        <f aca="false">ROUND($G262-$K262-$L262,2)</f>
        <v>17626.39</v>
      </c>
      <c r="N262" s="15" t="n">
        <f aca="false">$G262/$E262</f>
        <v>85.7885967503693</v>
      </c>
      <c r="O262" s="25" t="n">
        <f aca="false">$G262/$J262</f>
        <v>0.89363121614968</v>
      </c>
      <c r="P262" s="18" t="str">
        <f aca="false">$C262&amp;" | "&amp;$D262</f>
        <v>Direct industrial | Protective coatings</v>
      </c>
      <c r="Q262" s="25" t="n">
        <f aca="false">INDEX('Your Floors'!$K$20:$K$31,MATCH($P262,'Your Floors'!$D$20:$D$31,0))</f>
        <v>0.853768804407086</v>
      </c>
      <c r="R262" s="18" t="str">
        <f aca="false">IF($O262&lt;$Q262,"below the floor","at or above it")</f>
        <v>at or above it</v>
      </c>
      <c r="S262" s="15" t="n">
        <f aca="false">IF($O262&lt;$Q262,$E262*ROUND($Q262*$H262,2),$G262)</f>
        <v>58078.88</v>
      </c>
      <c r="T262" s="15" t="n">
        <f aca="false">IF($O262&lt;$Q262,ROUND($L262*$S262/$G262,2),$L262)</f>
        <v>1186.49</v>
      </c>
      <c r="U262" s="15" t="n">
        <f aca="false">ROUND(($S262-$G262)-($T262-$L262),2)</f>
        <v>0</v>
      </c>
      <c r="V262" s="15" t="n">
        <f aca="false">IF($O262&lt;$Q262,ROUND($S262-$K262-$T262,2),$M262)</f>
        <v>17626.39</v>
      </c>
    </row>
    <row r="263" customFormat="false" ht="15" hidden="false" customHeight="false" outlineLevel="0" collapsed="false">
      <c r="B263" s="13" t="s">
        <v>210</v>
      </c>
      <c r="C263" s="13" t="s">
        <v>157</v>
      </c>
      <c r="D263" s="13" t="s">
        <v>54</v>
      </c>
      <c r="E263" s="24" t="n">
        <v>891</v>
      </c>
      <c r="F263" s="14" t="n">
        <v>49469.21</v>
      </c>
      <c r="G263" s="14" t="n">
        <v>49172.39</v>
      </c>
      <c r="H263" s="15" t="n">
        <f aca="false">INDEX('Your Inputs'!$C$8:$C$10,MATCH($D263,'Your Inputs'!$B$8:$B$10,0))</f>
        <v>62</v>
      </c>
      <c r="I263" s="15" t="n">
        <f aca="false">INDEX('Your Inputs'!$D$8:$D$10,MATCH($D263,'Your Inputs'!$B$8:$B$10,0))</f>
        <v>36</v>
      </c>
      <c r="J263" s="15" t="n">
        <f aca="false">ROUND($E263*$H263,2)</f>
        <v>55242</v>
      </c>
      <c r="K263" s="15" t="n">
        <f aca="false">ROUND($E263*$I263,2)</f>
        <v>32076</v>
      </c>
      <c r="L263" s="15" t="n">
        <f aca="false">ROUND($F263*'Your Inputs'!$C$31,2)</f>
        <v>989.38</v>
      </c>
      <c r="M263" s="15" t="n">
        <f aca="false">ROUND($G263-$K263-$L263,2)</f>
        <v>16107.01</v>
      </c>
      <c r="N263" s="15" t="n">
        <f aca="false">$G263/$E263</f>
        <v>55.1878675645342</v>
      </c>
      <c r="O263" s="25" t="n">
        <f aca="false">$G263/$J263</f>
        <v>0.890126896202165</v>
      </c>
      <c r="P263" s="18" t="str">
        <f aca="false">$C263&amp;" | "&amp;$D263</f>
        <v>Direct industrial | Sealants</v>
      </c>
      <c r="Q263" s="25" t="n">
        <f aca="false">INDEX('Your Floors'!$K$20:$K$31,MATCH($P263,'Your Floors'!$D$20:$D$31,0))</f>
        <v>0.834035886176071</v>
      </c>
      <c r="R263" s="18" t="str">
        <f aca="false">IF($O263&lt;$Q263,"below the floor","at or above it")</f>
        <v>at or above it</v>
      </c>
      <c r="S263" s="15" t="n">
        <f aca="false">IF($O263&lt;$Q263,$E263*ROUND($Q263*$H263,2),$G263)</f>
        <v>49172.39</v>
      </c>
      <c r="T263" s="15" t="n">
        <f aca="false">IF($O263&lt;$Q263,ROUND($L263*$S263/$G263,2),$L263)</f>
        <v>989.38</v>
      </c>
      <c r="U263" s="15" t="n">
        <f aca="false">ROUND(($S263-$G263)-($T263-$L263),2)</f>
        <v>0</v>
      </c>
      <c r="V263" s="15" t="n">
        <f aca="false">IF($O263&lt;$Q263,ROUND($S263-$K263-$T263,2),$M263)</f>
        <v>16107.01</v>
      </c>
    </row>
    <row r="264" customFormat="false" ht="15" hidden="false" customHeight="false" outlineLevel="0" collapsed="false">
      <c r="B264" s="13" t="s">
        <v>210</v>
      </c>
      <c r="C264" s="13" t="s">
        <v>157</v>
      </c>
      <c r="D264" s="13" t="s">
        <v>56</v>
      </c>
      <c r="E264" s="24" t="n">
        <v>426</v>
      </c>
      <c r="F264" s="14" t="n">
        <v>37526.17</v>
      </c>
      <c r="G264" s="14" t="n">
        <v>37301.01</v>
      </c>
      <c r="H264" s="15" t="n">
        <f aca="false">INDEX('Your Inputs'!$C$8:$C$10,MATCH($D264,'Your Inputs'!$B$8:$B$10,0))</f>
        <v>96</v>
      </c>
      <c r="I264" s="15" t="n">
        <f aca="false">INDEX('Your Inputs'!$D$8:$D$10,MATCH($D264,'Your Inputs'!$B$8:$B$10,0))</f>
        <v>58</v>
      </c>
      <c r="J264" s="15" t="n">
        <f aca="false">ROUND($E264*$H264,2)</f>
        <v>40896</v>
      </c>
      <c r="K264" s="15" t="n">
        <f aca="false">ROUND($E264*$I264,2)</f>
        <v>24708</v>
      </c>
      <c r="L264" s="15" t="n">
        <f aca="false">ROUND($F264*'Your Inputs'!$C$31,2)</f>
        <v>750.52</v>
      </c>
      <c r="M264" s="15" t="n">
        <f aca="false">ROUND($G264-$K264-$L264,2)</f>
        <v>11842.49</v>
      </c>
      <c r="N264" s="15" t="n">
        <f aca="false">$G264/$E264</f>
        <v>87.5610563380282</v>
      </c>
      <c r="O264" s="25" t="n">
        <f aca="false">$G264/$J264</f>
        <v>0.91209433685446</v>
      </c>
      <c r="P264" s="18" t="str">
        <f aca="false">$C264&amp;" | "&amp;$D264</f>
        <v>Direct industrial | Protective coatings</v>
      </c>
      <c r="Q264" s="25" t="n">
        <f aca="false">INDEX('Your Floors'!$K$20:$K$31,MATCH($P264,'Your Floors'!$D$20:$D$31,0))</f>
        <v>0.853768804407086</v>
      </c>
      <c r="R264" s="18" t="str">
        <f aca="false">IF($O264&lt;$Q264,"below the floor","at or above it")</f>
        <v>at or above it</v>
      </c>
      <c r="S264" s="15" t="n">
        <f aca="false">IF($O264&lt;$Q264,$E264*ROUND($Q264*$H264,2),$G264)</f>
        <v>37301.01</v>
      </c>
      <c r="T264" s="15" t="n">
        <f aca="false">IF($O264&lt;$Q264,ROUND($L264*$S264/$G264,2),$L264)</f>
        <v>750.52</v>
      </c>
      <c r="U264" s="15" t="n">
        <f aca="false">ROUND(($S264-$G264)-($T264-$L264),2)</f>
        <v>0</v>
      </c>
      <c r="V264" s="15" t="n">
        <f aca="false">IF($O264&lt;$Q264,ROUND($S264-$K264-$T264,2),$M264)</f>
        <v>11842.49</v>
      </c>
    </row>
    <row r="265" customFormat="false" ht="15" hidden="false" customHeight="false" outlineLevel="0" collapsed="false">
      <c r="B265" s="13" t="s">
        <v>211</v>
      </c>
      <c r="C265" s="13" t="s">
        <v>157</v>
      </c>
      <c r="D265" s="13" t="s">
        <v>52</v>
      </c>
      <c r="E265" s="24" t="n">
        <v>589</v>
      </c>
      <c r="F265" s="14" t="n">
        <v>80982.79</v>
      </c>
      <c r="G265" s="14" t="n">
        <v>76042.83</v>
      </c>
      <c r="H265" s="15" t="n">
        <f aca="false">INDEX('Your Inputs'!$C$8:$C$10,MATCH($D265,'Your Inputs'!$B$8:$B$10,0))</f>
        <v>148</v>
      </c>
      <c r="I265" s="15" t="n">
        <f aca="false">INDEX('Your Inputs'!$D$8:$D$10,MATCH($D265,'Your Inputs'!$B$8:$B$10,0))</f>
        <v>78</v>
      </c>
      <c r="J265" s="15" t="n">
        <f aca="false">ROUND($E265*$H265,2)</f>
        <v>87172</v>
      </c>
      <c r="K265" s="15" t="n">
        <f aca="false">ROUND($E265*$I265,2)</f>
        <v>45942</v>
      </c>
      <c r="L265" s="15" t="n">
        <f aca="false">ROUND($F265*'Your Inputs'!$C$31,2)</f>
        <v>1619.66</v>
      </c>
      <c r="M265" s="15" t="n">
        <f aca="false">ROUND($G265-$K265-$L265,2)</f>
        <v>28481.17</v>
      </c>
      <c r="N265" s="15" t="n">
        <f aca="false">$G265/$E265</f>
        <v>129.104974533107</v>
      </c>
      <c r="O265" s="25" t="n">
        <f aca="false">$G265/$J265</f>
        <v>0.872330909007479</v>
      </c>
      <c r="P265" s="18" t="str">
        <f aca="false">$C265&amp;" | "&amp;$D265</f>
        <v>Direct industrial | Structural adhesives</v>
      </c>
      <c r="Q265" s="25" t="n">
        <f aca="false">INDEX('Your Floors'!$K$20:$K$31,MATCH($P265,'Your Floors'!$D$20:$D$31,0))</f>
        <v>0.874622624783014</v>
      </c>
      <c r="R265" s="18" t="str">
        <f aca="false">IF($O265&lt;$Q265,"below the floor","at or above it")</f>
        <v>below the floor</v>
      </c>
      <c r="S265" s="15" t="n">
        <f aca="false">IF($O265&lt;$Q265,$E265*ROUND($Q265*$H265,2),$G265)</f>
        <v>76240.16</v>
      </c>
      <c r="T265" s="15" t="n">
        <f aca="false">IF($O265&lt;$Q265,ROUND($L265*$S265/$G265,2),$L265)</f>
        <v>1623.86</v>
      </c>
      <c r="U265" s="15" t="n">
        <f aca="false">ROUND(($S265-$G265)-($T265-$L265),2)</f>
        <v>193.13</v>
      </c>
      <c r="V265" s="15" t="n">
        <f aca="false">IF($O265&lt;$Q265,ROUND($S265-$K265-$T265,2),$M265)</f>
        <v>28674.3</v>
      </c>
    </row>
    <row r="266" customFormat="false" ht="15" hidden="false" customHeight="false" outlineLevel="0" collapsed="false">
      <c r="B266" s="13" t="s">
        <v>211</v>
      </c>
      <c r="C266" s="13" t="s">
        <v>157</v>
      </c>
      <c r="D266" s="13" t="s">
        <v>54</v>
      </c>
      <c r="E266" s="24" t="n">
        <v>1714</v>
      </c>
      <c r="F266" s="14" t="n">
        <v>95109.86</v>
      </c>
      <c r="G266" s="14" t="n">
        <v>89308.15</v>
      </c>
      <c r="H266" s="15" t="n">
        <f aca="false">INDEX('Your Inputs'!$C$8:$C$10,MATCH($D266,'Your Inputs'!$B$8:$B$10,0))</f>
        <v>62</v>
      </c>
      <c r="I266" s="15" t="n">
        <f aca="false">INDEX('Your Inputs'!$D$8:$D$10,MATCH($D266,'Your Inputs'!$B$8:$B$10,0))</f>
        <v>36</v>
      </c>
      <c r="J266" s="15" t="n">
        <f aca="false">ROUND($E266*$H266,2)</f>
        <v>106268</v>
      </c>
      <c r="K266" s="15" t="n">
        <f aca="false">ROUND($E266*$I266,2)</f>
        <v>61704</v>
      </c>
      <c r="L266" s="15" t="n">
        <f aca="false">ROUND($F266*'Your Inputs'!$C$31,2)</f>
        <v>1902.2</v>
      </c>
      <c r="M266" s="15" t="n">
        <f aca="false">ROUND($G266-$K266-$L266,2)</f>
        <v>25701.95</v>
      </c>
      <c r="N266" s="15" t="n">
        <f aca="false">$G266/$E266</f>
        <v>52.1051050175029</v>
      </c>
      <c r="O266" s="25" t="n">
        <f aca="false">$G266/$J266</f>
        <v>0.840404919637144</v>
      </c>
      <c r="P266" s="18" t="str">
        <f aca="false">$C266&amp;" | "&amp;$D266</f>
        <v>Direct industrial | Sealants</v>
      </c>
      <c r="Q266" s="25" t="n">
        <f aca="false">INDEX('Your Floors'!$K$20:$K$31,MATCH($P266,'Your Floors'!$D$20:$D$31,0))</f>
        <v>0.834035886176071</v>
      </c>
      <c r="R266" s="18" t="str">
        <f aca="false">IF($O266&lt;$Q266,"below the floor","at or above it")</f>
        <v>at or above it</v>
      </c>
      <c r="S266" s="15" t="n">
        <f aca="false">IF($O266&lt;$Q266,$E266*ROUND($Q266*$H266,2),$G266)</f>
        <v>89308.15</v>
      </c>
      <c r="T266" s="15" t="n">
        <f aca="false">IF($O266&lt;$Q266,ROUND($L266*$S266/$G266,2),$L266)</f>
        <v>1902.2</v>
      </c>
      <c r="U266" s="15" t="n">
        <f aca="false">ROUND(($S266-$G266)-($T266-$L266),2)</f>
        <v>0</v>
      </c>
      <c r="V266" s="15" t="n">
        <f aca="false">IF($O266&lt;$Q266,ROUND($S266-$K266-$T266,2),$M266)</f>
        <v>25701.95</v>
      </c>
    </row>
    <row r="267" customFormat="false" ht="15" hidden="false" customHeight="false" outlineLevel="0" collapsed="false">
      <c r="B267" s="13" t="s">
        <v>211</v>
      </c>
      <c r="C267" s="13" t="s">
        <v>157</v>
      </c>
      <c r="D267" s="13" t="s">
        <v>56</v>
      </c>
      <c r="E267" s="24" t="n">
        <v>1008</v>
      </c>
      <c r="F267" s="14" t="n">
        <v>88252.42</v>
      </c>
      <c r="G267" s="14" t="n">
        <v>82869.02</v>
      </c>
      <c r="H267" s="15" t="n">
        <f aca="false">INDEX('Your Inputs'!$C$8:$C$10,MATCH($D267,'Your Inputs'!$B$8:$B$10,0))</f>
        <v>96</v>
      </c>
      <c r="I267" s="15" t="n">
        <f aca="false">INDEX('Your Inputs'!$D$8:$D$10,MATCH($D267,'Your Inputs'!$B$8:$B$10,0))</f>
        <v>58</v>
      </c>
      <c r="J267" s="15" t="n">
        <f aca="false">ROUND($E267*$H267,2)</f>
        <v>96768</v>
      </c>
      <c r="K267" s="15" t="n">
        <f aca="false">ROUND($E267*$I267,2)</f>
        <v>58464</v>
      </c>
      <c r="L267" s="15" t="n">
        <f aca="false">ROUND($F267*'Your Inputs'!$C$31,2)</f>
        <v>1765.05</v>
      </c>
      <c r="M267" s="15" t="n">
        <f aca="false">ROUND($G267-$K267-$L267,2)</f>
        <v>22639.97</v>
      </c>
      <c r="N267" s="15" t="n">
        <f aca="false">$G267/$E267</f>
        <v>82.2113293650794</v>
      </c>
      <c r="O267" s="25" t="n">
        <f aca="false">$G267/$J267</f>
        <v>0.856368014219577</v>
      </c>
      <c r="P267" s="18" t="str">
        <f aca="false">$C267&amp;" | "&amp;$D267</f>
        <v>Direct industrial | Protective coatings</v>
      </c>
      <c r="Q267" s="25" t="n">
        <f aca="false">INDEX('Your Floors'!$K$20:$K$31,MATCH($P267,'Your Floors'!$D$20:$D$31,0))</f>
        <v>0.853768804407086</v>
      </c>
      <c r="R267" s="18" t="str">
        <f aca="false">IF($O267&lt;$Q267,"below the floor","at or above it")</f>
        <v>at or above it</v>
      </c>
      <c r="S267" s="15" t="n">
        <f aca="false">IF($O267&lt;$Q267,$E267*ROUND($Q267*$H267,2),$G267)</f>
        <v>82869.02</v>
      </c>
      <c r="T267" s="15" t="n">
        <f aca="false">IF($O267&lt;$Q267,ROUND($L267*$S267/$G267,2),$L267)</f>
        <v>1765.05</v>
      </c>
      <c r="U267" s="15" t="n">
        <f aca="false">ROUND(($S267-$G267)-($T267-$L267),2)</f>
        <v>0</v>
      </c>
      <c r="V267" s="15" t="n">
        <f aca="false">IF($O267&lt;$Q267,ROUND($S267-$K267-$T267,2),$M267)</f>
        <v>22639.97</v>
      </c>
    </row>
    <row r="268" customFormat="false" ht="15" hidden="false" customHeight="false" outlineLevel="0" collapsed="false">
      <c r="B268" s="13" t="s">
        <v>212</v>
      </c>
      <c r="C268" s="13" t="s">
        <v>157</v>
      </c>
      <c r="D268" s="13" t="s">
        <v>52</v>
      </c>
      <c r="E268" s="24" t="n">
        <v>873</v>
      </c>
      <c r="F268" s="14" t="n">
        <v>121232.11</v>
      </c>
      <c r="G268" s="14" t="n">
        <v>115049.28</v>
      </c>
      <c r="H268" s="15" t="n">
        <f aca="false">INDEX('Your Inputs'!$C$8:$C$10,MATCH($D268,'Your Inputs'!$B$8:$B$10,0))</f>
        <v>148</v>
      </c>
      <c r="I268" s="15" t="n">
        <f aca="false">INDEX('Your Inputs'!$D$8:$D$10,MATCH($D268,'Your Inputs'!$B$8:$B$10,0))</f>
        <v>78</v>
      </c>
      <c r="J268" s="15" t="n">
        <f aca="false">ROUND($E268*$H268,2)</f>
        <v>129204</v>
      </c>
      <c r="K268" s="15" t="n">
        <f aca="false">ROUND($E268*$I268,2)</f>
        <v>68094</v>
      </c>
      <c r="L268" s="15" t="n">
        <f aca="false">ROUND($F268*'Your Inputs'!$C$31,2)</f>
        <v>2424.64</v>
      </c>
      <c r="M268" s="15" t="n">
        <f aca="false">ROUND($G268-$K268-$L268,2)</f>
        <v>44530.64</v>
      </c>
      <c r="N268" s="15" t="n">
        <f aca="false">$G268/$E268</f>
        <v>131.786116838488</v>
      </c>
      <c r="O268" s="25" t="n">
        <f aca="false">$G268/$J268</f>
        <v>0.890446735395189</v>
      </c>
      <c r="P268" s="18" t="str">
        <f aca="false">$C268&amp;" | "&amp;$D268</f>
        <v>Direct industrial | Structural adhesives</v>
      </c>
      <c r="Q268" s="25" t="n">
        <f aca="false">INDEX('Your Floors'!$K$20:$K$31,MATCH($P268,'Your Floors'!$D$20:$D$31,0))</f>
        <v>0.874622624783014</v>
      </c>
      <c r="R268" s="18" t="str">
        <f aca="false">IF($O268&lt;$Q268,"below the floor","at or above it")</f>
        <v>at or above it</v>
      </c>
      <c r="S268" s="15" t="n">
        <f aca="false">IF($O268&lt;$Q268,$E268*ROUND($Q268*$H268,2),$G268)</f>
        <v>115049.28</v>
      </c>
      <c r="T268" s="15" t="n">
        <f aca="false">IF($O268&lt;$Q268,ROUND($L268*$S268/$G268,2),$L268)</f>
        <v>2424.64</v>
      </c>
      <c r="U268" s="15" t="n">
        <f aca="false">ROUND(($S268-$G268)-($T268-$L268),2)</f>
        <v>0</v>
      </c>
      <c r="V268" s="15" t="n">
        <f aca="false">IF($O268&lt;$Q268,ROUND($S268-$K268-$T268,2),$M268)</f>
        <v>44530.64</v>
      </c>
    </row>
    <row r="269" customFormat="false" ht="15" hidden="false" customHeight="false" outlineLevel="0" collapsed="false">
      <c r="B269" s="13" t="s">
        <v>212</v>
      </c>
      <c r="C269" s="13" t="s">
        <v>157</v>
      </c>
      <c r="D269" s="13" t="s">
        <v>54</v>
      </c>
      <c r="E269" s="24" t="n">
        <v>2535</v>
      </c>
      <c r="F269" s="14" t="n">
        <v>143731.96</v>
      </c>
      <c r="G269" s="14" t="n">
        <v>136401.63</v>
      </c>
      <c r="H269" s="15" t="n">
        <f aca="false">INDEX('Your Inputs'!$C$8:$C$10,MATCH($D269,'Your Inputs'!$B$8:$B$10,0))</f>
        <v>62</v>
      </c>
      <c r="I269" s="15" t="n">
        <f aca="false">INDEX('Your Inputs'!$D$8:$D$10,MATCH($D269,'Your Inputs'!$B$8:$B$10,0))</f>
        <v>36</v>
      </c>
      <c r="J269" s="15" t="n">
        <f aca="false">ROUND($E269*$H269,2)</f>
        <v>157170</v>
      </c>
      <c r="K269" s="15" t="n">
        <f aca="false">ROUND($E269*$I269,2)</f>
        <v>91260</v>
      </c>
      <c r="L269" s="15" t="n">
        <f aca="false">ROUND($F269*'Your Inputs'!$C$31,2)</f>
        <v>2874.64</v>
      </c>
      <c r="M269" s="15" t="n">
        <f aca="false">ROUND($G269-$K269-$L269,2)</f>
        <v>42266.99</v>
      </c>
      <c r="N269" s="15" t="n">
        <f aca="false">$G269/$E269</f>
        <v>53.807349112426</v>
      </c>
      <c r="O269" s="25" t="n">
        <f aca="false">$G269/$J269</f>
        <v>0.867860469555259</v>
      </c>
      <c r="P269" s="18" t="str">
        <f aca="false">$C269&amp;" | "&amp;$D269</f>
        <v>Direct industrial | Sealants</v>
      </c>
      <c r="Q269" s="25" t="n">
        <f aca="false">INDEX('Your Floors'!$K$20:$K$31,MATCH($P269,'Your Floors'!$D$20:$D$31,0))</f>
        <v>0.834035886176071</v>
      </c>
      <c r="R269" s="18" t="str">
        <f aca="false">IF($O269&lt;$Q269,"below the floor","at or above it")</f>
        <v>at or above it</v>
      </c>
      <c r="S269" s="15" t="n">
        <f aca="false">IF($O269&lt;$Q269,$E269*ROUND($Q269*$H269,2),$G269)</f>
        <v>136401.63</v>
      </c>
      <c r="T269" s="15" t="n">
        <f aca="false">IF($O269&lt;$Q269,ROUND($L269*$S269/$G269,2),$L269)</f>
        <v>2874.64</v>
      </c>
      <c r="U269" s="15" t="n">
        <f aca="false">ROUND(($S269-$G269)-($T269-$L269),2)</f>
        <v>0</v>
      </c>
      <c r="V269" s="15" t="n">
        <f aca="false">IF($O269&lt;$Q269,ROUND($S269-$K269-$T269,2),$M269)</f>
        <v>42266.99</v>
      </c>
    </row>
    <row r="270" customFormat="false" ht="15" hidden="false" customHeight="false" outlineLevel="0" collapsed="false">
      <c r="B270" s="13" t="s">
        <v>212</v>
      </c>
      <c r="C270" s="13" t="s">
        <v>157</v>
      </c>
      <c r="D270" s="13" t="s">
        <v>56</v>
      </c>
      <c r="E270" s="24" t="n">
        <v>1197</v>
      </c>
      <c r="F270" s="14" t="n">
        <v>106454.48</v>
      </c>
      <c r="G270" s="14" t="n">
        <v>101025.3</v>
      </c>
      <c r="H270" s="15" t="n">
        <f aca="false">INDEX('Your Inputs'!$C$8:$C$10,MATCH($D270,'Your Inputs'!$B$8:$B$10,0))</f>
        <v>96</v>
      </c>
      <c r="I270" s="15" t="n">
        <f aca="false">INDEX('Your Inputs'!$D$8:$D$10,MATCH($D270,'Your Inputs'!$B$8:$B$10,0))</f>
        <v>58</v>
      </c>
      <c r="J270" s="15" t="n">
        <f aca="false">ROUND($E270*$H270,2)</f>
        <v>114912</v>
      </c>
      <c r="K270" s="15" t="n">
        <f aca="false">ROUND($E270*$I270,2)</f>
        <v>69426</v>
      </c>
      <c r="L270" s="15" t="n">
        <f aca="false">ROUND($F270*'Your Inputs'!$C$31,2)</f>
        <v>2129.09</v>
      </c>
      <c r="M270" s="15" t="n">
        <f aca="false">ROUND($G270-$K270-$L270,2)</f>
        <v>29470.21</v>
      </c>
      <c r="N270" s="15" t="n">
        <f aca="false">$G270/$E270</f>
        <v>84.3987468671679</v>
      </c>
      <c r="O270" s="25" t="n">
        <f aca="false">$G270/$J270</f>
        <v>0.879153613199666</v>
      </c>
      <c r="P270" s="18" t="str">
        <f aca="false">$C270&amp;" | "&amp;$D270</f>
        <v>Direct industrial | Protective coatings</v>
      </c>
      <c r="Q270" s="25" t="n">
        <f aca="false">INDEX('Your Floors'!$K$20:$K$31,MATCH($P270,'Your Floors'!$D$20:$D$31,0))</f>
        <v>0.853768804407086</v>
      </c>
      <c r="R270" s="18" t="str">
        <f aca="false">IF($O270&lt;$Q270,"below the floor","at or above it")</f>
        <v>at or above it</v>
      </c>
      <c r="S270" s="15" t="n">
        <f aca="false">IF($O270&lt;$Q270,$E270*ROUND($Q270*$H270,2),$G270)</f>
        <v>101025.3</v>
      </c>
      <c r="T270" s="15" t="n">
        <f aca="false">IF($O270&lt;$Q270,ROUND($L270*$S270/$G270,2),$L270)</f>
        <v>2129.09</v>
      </c>
      <c r="U270" s="15" t="n">
        <f aca="false">ROUND(($S270-$G270)-($T270-$L270),2)</f>
        <v>0</v>
      </c>
      <c r="V270" s="15" t="n">
        <f aca="false">IF($O270&lt;$Q270,ROUND($S270-$K270-$T270,2),$M270)</f>
        <v>29470.21</v>
      </c>
    </row>
    <row r="271" customFormat="false" ht="15" hidden="false" customHeight="false" outlineLevel="0" collapsed="false">
      <c r="B271" s="13" t="s">
        <v>213</v>
      </c>
      <c r="C271" s="13" t="s">
        <v>157</v>
      </c>
      <c r="D271" s="13" t="s">
        <v>52</v>
      </c>
      <c r="E271" s="24" t="n">
        <v>604</v>
      </c>
      <c r="F271" s="14" t="n">
        <v>80274.02</v>
      </c>
      <c r="G271" s="14" t="n">
        <v>79792.38</v>
      </c>
      <c r="H271" s="15" t="n">
        <f aca="false">INDEX('Your Inputs'!$C$8:$C$10,MATCH($D271,'Your Inputs'!$B$8:$B$10,0))</f>
        <v>148</v>
      </c>
      <c r="I271" s="15" t="n">
        <f aca="false">INDEX('Your Inputs'!$D$8:$D$10,MATCH($D271,'Your Inputs'!$B$8:$B$10,0))</f>
        <v>78</v>
      </c>
      <c r="J271" s="15" t="n">
        <f aca="false">ROUND($E271*$H271,2)</f>
        <v>89392</v>
      </c>
      <c r="K271" s="15" t="n">
        <f aca="false">ROUND($E271*$I271,2)</f>
        <v>47112</v>
      </c>
      <c r="L271" s="15" t="n">
        <f aca="false">ROUND($F271*'Your Inputs'!$C$31,2)</f>
        <v>1605.48</v>
      </c>
      <c r="M271" s="15" t="n">
        <f aca="false">ROUND($G271-$K271-$L271,2)</f>
        <v>31074.9</v>
      </c>
      <c r="N271" s="15" t="n">
        <f aca="false">$G271/$E271</f>
        <v>132.106589403974</v>
      </c>
      <c r="O271" s="25" t="n">
        <f aca="false">$G271/$J271</f>
        <v>0.892612090567389</v>
      </c>
      <c r="P271" s="18" t="str">
        <f aca="false">$C271&amp;" | "&amp;$D271</f>
        <v>Direct industrial | Structural adhesives</v>
      </c>
      <c r="Q271" s="25" t="n">
        <f aca="false">INDEX('Your Floors'!$K$20:$K$31,MATCH($P271,'Your Floors'!$D$20:$D$31,0))</f>
        <v>0.874622624783014</v>
      </c>
      <c r="R271" s="18" t="str">
        <f aca="false">IF($O271&lt;$Q271,"below the floor","at or above it")</f>
        <v>at or above it</v>
      </c>
      <c r="S271" s="15" t="n">
        <f aca="false">IF($O271&lt;$Q271,$E271*ROUND($Q271*$H271,2),$G271)</f>
        <v>79792.38</v>
      </c>
      <c r="T271" s="15" t="n">
        <f aca="false">IF($O271&lt;$Q271,ROUND($L271*$S271/$G271,2),$L271)</f>
        <v>1605.48</v>
      </c>
      <c r="U271" s="15" t="n">
        <f aca="false">ROUND(($S271-$G271)-($T271-$L271),2)</f>
        <v>0</v>
      </c>
      <c r="V271" s="15" t="n">
        <f aca="false">IF($O271&lt;$Q271,ROUND($S271-$K271-$T271,2),$M271)</f>
        <v>31074.9</v>
      </c>
    </row>
    <row r="272" customFormat="false" ht="15" hidden="false" customHeight="false" outlineLevel="0" collapsed="false">
      <c r="B272" s="13" t="s">
        <v>213</v>
      </c>
      <c r="C272" s="13" t="s">
        <v>157</v>
      </c>
      <c r="D272" s="13" t="s">
        <v>54</v>
      </c>
      <c r="E272" s="24" t="n">
        <v>1879</v>
      </c>
      <c r="F272" s="14" t="n">
        <v>96693.34</v>
      </c>
      <c r="G272" s="14" t="n">
        <v>96113.18</v>
      </c>
      <c r="H272" s="15" t="n">
        <f aca="false">INDEX('Your Inputs'!$C$8:$C$10,MATCH($D272,'Your Inputs'!$B$8:$B$10,0))</f>
        <v>62</v>
      </c>
      <c r="I272" s="15" t="n">
        <f aca="false">INDEX('Your Inputs'!$D$8:$D$10,MATCH($D272,'Your Inputs'!$B$8:$B$10,0))</f>
        <v>36</v>
      </c>
      <c r="J272" s="15" t="n">
        <f aca="false">ROUND($E272*$H272,2)</f>
        <v>116498</v>
      </c>
      <c r="K272" s="15" t="n">
        <f aca="false">ROUND($E272*$I272,2)</f>
        <v>67644</v>
      </c>
      <c r="L272" s="15" t="n">
        <f aca="false">ROUND($F272*'Your Inputs'!$C$31,2)</f>
        <v>1933.87</v>
      </c>
      <c r="M272" s="15" t="n">
        <f aca="false">ROUND($G272-$K272-$L272,2)</f>
        <v>26535.31</v>
      </c>
      <c r="N272" s="15" t="n">
        <f aca="false">$G272/$E272</f>
        <v>51.1512400212879</v>
      </c>
      <c r="O272" s="25" t="n">
        <f aca="false">$G272/$J272</f>
        <v>0.825020000343353</v>
      </c>
      <c r="P272" s="18" t="str">
        <f aca="false">$C272&amp;" | "&amp;$D272</f>
        <v>Direct industrial | Sealants</v>
      </c>
      <c r="Q272" s="25" t="n">
        <f aca="false">INDEX('Your Floors'!$K$20:$K$31,MATCH($P272,'Your Floors'!$D$20:$D$31,0))</f>
        <v>0.834035886176071</v>
      </c>
      <c r="R272" s="18" t="str">
        <f aca="false">IF($O272&lt;$Q272,"below the floor","at or above it")</f>
        <v>below the floor</v>
      </c>
      <c r="S272" s="15" t="n">
        <f aca="false">IF($O272&lt;$Q272,$E272*ROUND($Q272*$H272,2),$G272)</f>
        <v>97163.09</v>
      </c>
      <c r="T272" s="15" t="n">
        <f aca="false">IF($O272&lt;$Q272,ROUND($L272*$S272/$G272,2),$L272)</f>
        <v>1954.99</v>
      </c>
      <c r="U272" s="15" t="n">
        <f aca="false">ROUND(($S272-$G272)-($T272-$L272),2)</f>
        <v>1028.79</v>
      </c>
      <c r="V272" s="15" t="n">
        <f aca="false">IF($O272&lt;$Q272,ROUND($S272-$K272-$T272,2),$M272)</f>
        <v>27564.1</v>
      </c>
    </row>
    <row r="273" customFormat="false" ht="15" hidden="false" customHeight="false" outlineLevel="0" collapsed="false">
      <c r="B273" s="13" t="s">
        <v>214</v>
      </c>
      <c r="C273" s="13" t="s">
        <v>157</v>
      </c>
      <c r="D273" s="13" t="s">
        <v>54</v>
      </c>
      <c r="E273" s="24" t="n">
        <v>923</v>
      </c>
      <c r="F273" s="14" t="n">
        <v>53077.11</v>
      </c>
      <c r="G273" s="14" t="n">
        <v>50900.95</v>
      </c>
      <c r="H273" s="15" t="n">
        <f aca="false">INDEX('Your Inputs'!$C$8:$C$10,MATCH($D273,'Your Inputs'!$B$8:$B$10,0))</f>
        <v>62</v>
      </c>
      <c r="I273" s="15" t="n">
        <f aca="false">INDEX('Your Inputs'!$D$8:$D$10,MATCH($D273,'Your Inputs'!$B$8:$B$10,0))</f>
        <v>36</v>
      </c>
      <c r="J273" s="15" t="n">
        <f aca="false">ROUND($E273*$H273,2)</f>
        <v>57226</v>
      </c>
      <c r="K273" s="15" t="n">
        <f aca="false">ROUND($E273*$I273,2)</f>
        <v>33228</v>
      </c>
      <c r="L273" s="15" t="n">
        <f aca="false">ROUND($F273*'Your Inputs'!$C$31,2)</f>
        <v>1061.54</v>
      </c>
      <c r="M273" s="15" t="n">
        <f aca="false">ROUND($G273-$K273-$L273,2)</f>
        <v>16611.41</v>
      </c>
      <c r="N273" s="15" t="n">
        <f aca="false">$G273/$E273</f>
        <v>55.1472914409534</v>
      </c>
      <c r="O273" s="25" t="n">
        <f aca="false">$G273/$J273</f>
        <v>0.889472442596023</v>
      </c>
      <c r="P273" s="18" t="str">
        <f aca="false">$C273&amp;" | "&amp;$D273</f>
        <v>Direct industrial | Sealants</v>
      </c>
      <c r="Q273" s="25" t="n">
        <f aca="false">INDEX('Your Floors'!$K$20:$K$31,MATCH($P273,'Your Floors'!$D$20:$D$31,0))</f>
        <v>0.834035886176071</v>
      </c>
      <c r="R273" s="18" t="str">
        <f aca="false">IF($O273&lt;$Q273,"below the floor","at or above it")</f>
        <v>at or above it</v>
      </c>
      <c r="S273" s="15" t="n">
        <f aca="false">IF($O273&lt;$Q273,$E273*ROUND($Q273*$H273,2),$G273)</f>
        <v>50900.95</v>
      </c>
      <c r="T273" s="15" t="n">
        <f aca="false">IF($O273&lt;$Q273,ROUND($L273*$S273/$G273,2),$L273)</f>
        <v>1061.54</v>
      </c>
      <c r="U273" s="15" t="n">
        <f aca="false">ROUND(($S273-$G273)-($T273-$L273),2)</f>
        <v>0</v>
      </c>
      <c r="V273" s="15" t="n">
        <f aca="false">IF($O273&lt;$Q273,ROUND($S273-$K273-$T273,2),$M273)</f>
        <v>16611.41</v>
      </c>
    </row>
    <row r="274" customFormat="false" ht="15" hidden="false" customHeight="false" outlineLevel="0" collapsed="false">
      <c r="B274" s="13" t="s">
        <v>215</v>
      </c>
      <c r="C274" s="13" t="s">
        <v>157</v>
      </c>
      <c r="D274" s="13" t="s">
        <v>52</v>
      </c>
      <c r="E274" s="24" t="n">
        <v>776</v>
      </c>
      <c r="F274" s="14" t="n">
        <v>102777.48</v>
      </c>
      <c r="G274" s="14" t="n">
        <v>99591.38</v>
      </c>
      <c r="H274" s="15" t="n">
        <f aca="false">INDEX('Your Inputs'!$C$8:$C$10,MATCH($D274,'Your Inputs'!$B$8:$B$10,0))</f>
        <v>148</v>
      </c>
      <c r="I274" s="15" t="n">
        <f aca="false">INDEX('Your Inputs'!$D$8:$D$10,MATCH($D274,'Your Inputs'!$B$8:$B$10,0))</f>
        <v>78</v>
      </c>
      <c r="J274" s="15" t="n">
        <f aca="false">ROUND($E274*$H274,2)</f>
        <v>114848</v>
      </c>
      <c r="K274" s="15" t="n">
        <f aca="false">ROUND($E274*$I274,2)</f>
        <v>60528</v>
      </c>
      <c r="L274" s="15" t="n">
        <f aca="false">ROUND($F274*'Your Inputs'!$C$31,2)</f>
        <v>2055.55</v>
      </c>
      <c r="M274" s="15" t="n">
        <f aca="false">ROUND($G274-$K274-$L274,2)</f>
        <v>37007.83</v>
      </c>
      <c r="N274" s="15" t="n">
        <f aca="false">$G274/$E274</f>
        <v>128.339407216495</v>
      </c>
      <c r="O274" s="25" t="n">
        <f aca="false">$G274/$J274</f>
        <v>0.867158156868208</v>
      </c>
      <c r="P274" s="18" t="str">
        <f aca="false">$C274&amp;" | "&amp;$D274</f>
        <v>Direct industrial | Structural adhesives</v>
      </c>
      <c r="Q274" s="25" t="n">
        <f aca="false">INDEX('Your Floors'!$K$20:$K$31,MATCH($P274,'Your Floors'!$D$20:$D$31,0))</f>
        <v>0.874622624783014</v>
      </c>
      <c r="R274" s="18" t="str">
        <f aca="false">IF($O274&lt;$Q274,"below the floor","at or above it")</f>
        <v>below the floor</v>
      </c>
      <c r="S274" s="15" t="n">
        <f aca="false">IF($O274&lt;$Q274,$E274*ROUND($Q274*$H274,2),$G274)</f>
        <v>100445.44</v>
      </c>
      <c r="T274" s="15" t="n">
        <f aca="false">IF($O274&lt;$Q274,ROUND($L274*$S274/$G274,2),$L274)</f>
        <v>2073.18</v>
      </c>
      <c r="U274" s="15" t="n">
        <f aca="false">ROUND(($S274-$G274)-($T274-$L274),2)</f>
        <v>836.43</v>
      </c>
      <c r="V274" s="15" t="n">
        <f aca="false">IF($O274&lt;$Q274,ROUND($S274-$K274-$T274,2),$M274)</f>
        <v>37844.26</v>
      </c>
    </row>
    <row r="275" customFormat="false" ht="15" hidden="false" customHeight="false" outlineLevel="0" collapsed="false">
      <c r="B275" s="13" t="s">
        <v>215</v>
      </c>
      <c r="C275" s="13" t="s">
        <v>157</v>
      </c>
      <c r="D275" s="13" t="s">
        <v>56</v>
      </c>
      <c r="E275" s="24" t="n">
        <v>1324</v>
      </c>
      <c r="F275" s="14" t="n">
        <v>109207.76</v>
      </c>
      <c r="G275" s="14" t="n">
        <v>105822.31</v>
      </c>
      <c r="H275" s="15" t="n">
        <f aca="false">INDEX('Your Inputs'!$C$8:$C$10,MATCH($D275,'Your Inputs'!$B$8:$B$10,0))</f>
        <v>96</v>
      </c>
      <c r="I275" s="15" t="n">
        <f aca="false">INDEX('Your Inputs'!$D$8:$D$10,MATCH($D275,'Your Inputs'!$B$8:$B$10,0))</f>
        <v>58</v>
      </c>
      <c r="J275" s="15" t="n">
        <f aca="false">ROUND($E275*$H275,2)</f>
        <v>127104</v>
      </c>
      <c r="K275" s="15" t="n">
        <f aca="false">ROUND($E275*$I275,2)</f>
        <v>76792</v>
      </c>
      <c r="L275" s="15" t="n">
        <f aca="false">ROUND($F275*'Your Inputs'!$C$31,2)</f>
        <v>2184.16</v>
      </c>
      <c r="M275" s="15" t="n">
        <f aca="false">ROUND($G275-$K275-$L275,2)</f>
        <v>26846.15</v>
      </c>
      <c r="N275" s="15" t="n">
        <f aca="false">$G275/$E275</f>
        <v>79.9262160120846</v>
      </c>
      <c r="O275" s="25" t="n">
        <f aca="false">$G275/$J275</f>
        <v>0.832564750125881</v>
      </c>
      <c r="P275" s="18" t="str">
        <f aca="false">$C275&amp;" | "&amp;$D275</f>
        <v>Direct industrial | Protective coatings</v>
      </c>
      <c r="Q275" s="25" t="n">
        <f aca="false">INDEX('Your Floors'!$K$20:$K$31,MATCH($P275,'Your Floors'!$D$20:$D$31,0))</f>
        <v>0.853768804407086</v>
      </c>
      <c r="R275" s="18" t="str">
        <f aca="false">IF($O275&lt;$Q275,"below the floor","at or above it")</f>
        <v>below the floor</v>
      </c>
      <c r="S275" s="15" t="n">
        <f aca="false">IF($O275&lt;$Q275,$E275*ROUND($Q275*$H275,2),$G275)</f>
        <v>108515.04</v>
      </c>
      <c r="T275" s="15" t="n">
        <f aca="false">IF($O275&lt;$Q275,ROUND($L275*$S275/$G275,2),$L275)</f>
        <v>2239.74</v>
      </c>
      <c r="U275" s="15" t="n">
        <f aca="false">ROUND(($S275-$G275)-($T275-$L275),2)</f>
        <v>2637.15</v>
      </c>
      <c r="V275" s="15" t="n">
        <f aca="false">IF($O275&lt;$Q275,ROUND($S275-$K275-$T275,2),$M275)</f>
        <v>29483.3</v>
      </c>
    </row>
    <row r="276" customFormat="false" ht="15" hidden="false" customHeight="false" outlineLevel="0" collapsed="false">
      <c r="B276" s="13" t="s">
        <v>216</v>
      </c>
      <c r="C276" s="13" t="s">
        <v>157</v>
      </c>
      <c r="D276" s="13" t="s">
        <v>54</v>
      </c>
      <c r="E276" s="24" t="n">
        <v>1289</v>
      </c>
      <c r="F276" s="14" t="n">
        <v>73604.48</v>
      </c>
      <c r="G276" s="14" t="n">
        <v>71690.76</v>
      </c>
      <c r="H276" s="15" t="n">
        <f aca="false">INDEX('Your Inputs'!$C$8:$C$10,MATCH($D276,'Your Inputs'!$B$8:$B$10,0))</f>
        <v>62</v>
      </c>
      <c r="I276" s="15" t="n">
        <f aca="false">INDEX('Your Inputs'!$D$8:$D$10,MATCH($D276,'Your Inputs'!$B$8:$B$10,0))</f>
        <v>36</v>
      </c>
      <c r="J276" s="15" t="n">
        <f aca="false">ROUND($E276*$H276,2)</f>
        <v>79918</v>
      </c>
      <c r="K276" s="15" t="n">
        <f aca="false">ROUND($E276*$I276,2)</f>
        <v>46404</v>
      </c>
      <c r="L276" s="15" t="n">
        <f aca="false">ROUND($F276*'Your Inputs'!$C$31,2)</f>
        <v>1472.09</v>
      </c>
      <c r="M276" s="15" t="n">
        <f aca="false">ROUND($G276-$K276-$L276,2)</f>
        <v>23814.67</v>
      </c>
      <c r="N276" s="15" t="n">
        <f aca="false">$G276/$E276</f>
        <v>55.61734678045</v>
      </c>
      <c r="O276" s="25" t="n">
        <f aca="false">$G276/$J276</f>
        <v>0.897053980329838</v>
      </c>
      <c r="P276" s="18" t="str">
        <f aca="false">$C276&amp;" | "&amp;$D276</f>
        <v>Direct industrial | Sealants</v>
      </c>
      <c r="Q276" s="25" t="n">
        <f aca="false">INDEX('Your Floors'!$K$20:$K$31,MATCH($P276,'Your Floors'!$D$20:$D$31,0))</f>
        <v>0.834035886176071</v>
      </c>
      <c r="R276" s="18" t="str">
        <f aca="false">IF($O276&lt;$Q276,"below the floor","at or above it")</f>
        <v>at or above it</v>
      </c>
      <c r="S276" s="15" t="n">
        <f aca="false">IF($O276&lt;$Q276,$E276*ROUND($Q276*$H276,2),$G276)</f>
        <v>71690.76</v>
      </c>
      <c r="T276" s="15" t="n">
        <f aca="false">IF($O276&lt;$Q276,ROUND($L276*$S276/$G276,2),$L276)</f>
        <v>1472.09</v>
      </c>
      <c r="U276" s="15" t="n">
        <f aca="false">ROUND(($S276-$G276)-($T276-$L276),2)</f>
        <v>0</v>
      </c>
      <c r="V276" s="15" t="n">
        <f aca="false">IF($O276&lt;$Q276,ROUND($S276-$K276-$T276,2),$M276)</f>
        <v>23814.67</v>
      </c>
    </row>
    <row r="277" customFormat="false" ht="15" hidden="false" customHeight="false" outlineLevel="0" collapsed="false">
      <c r="B277" s="13" t="s">
        <v>216</v>
      </c>
      <c r="C277" s="13" t="s">
        <v>157</v>
      </c>
      <c r="D277" s="13" t="s">
        <v>56</v>
      </c>
      <c r="E277" s="24" t="n">
        <v>632</v>
      </c>
      <c r="F277" s="14" t="n">
        <v>56497.77</v>
      </c>
      <c r="G277" s="14" t="n">
        <v>55028.82</v>
      </c>
      <c r="H277" s="15" t="n">
        <f aca="false">INDEX('Your Inputs'!$C$8:$C$10,MATCH($D277,'Your Inputs'!$B$8:$B$10,0))</f>
        <v>96</v>
      </c>
      <c r="I277" s="15" t="n">
        <f aca="false">INDEX('Your Inputs'!$D$8:$D$10,MATCH($D277,'Your Inputs'!$B$8:$B$10,0))</f>
        <v>58</v>
      </c>
      <c r="J277" s="15" t="n">
        <f aca="false">ROUND($E277*$H277,2)</f>
        <v>60672</v>
      </c>
      <c r="K277" s="15" t="n">
        <f aca="false">ROUND($E277*$I277,2)</f>
        <v>36656</v>
      </c>
      <c r="L277" s="15" t="n">
        <f aca="false">ROUND($F277*'Your Inputs'!$C$31,2)</f>
        <v>1129.96</v>
      </c>
      <c r="M277" s="15" t="n">
        <f aca="false">ROUND($G277-$K277-$L277,2)</f>
        <v>17242.86</v>
      </c>
      <c r="N277" s="15" t="n">
        <f aca="false">$G277/$E277</f>
        <v>87.070917721519</v>
      </c>
      <c r="O277" s="25" t="n">
        <f aca="false">$G277/$J277</f>
        <v>0.906988726265823</v>
      </c>
      <c r="P277" s="18" t="str">
        <f aca="false">$C277&amp;" | "&amp;$D277</f>
        <v>Direct industrial | Protective coatings</v>
      </c>
      <c r="Q277" s="25" t="n">
        <f aca="false">INDEX('Your Floors'!$K$20:$K$31,MATCH($P277,'Your Floors'!$D$20:$D$31,0))</f>
        <v>0.853768804407086</v>
      </c>
      <c r="R277" s="18" t="str">
        <f aca="false">IF($O277&lt;$Q277,"below the floor","at or above it")</f>
        <v>at or above it</v>
      </c>
      <c r="S277" s="15" t="n">
        <f aca="false">IF($O277&lt;$Q277,$E277*ROUND($Q277*$H277,2),$G277)</f>
        <v>55028.82</v>
      </c>
      <c r="T277" s="15" t="n">
        <f aca="false">IF($O277&lt;$Q277,ROUND($L277*$S277/$G277,2),$L277)</f>
        <v>1129.96</v>
      </c>
      <c r="U277" s="15" t="n">
        <f aca="false">ROUND(($S277-$G277)-($T277-$L277),2)</f>
        <v>0</v>
      </c>
      <c r="V277" s="15" t="n">
        <f aca="false">IF($O277&lt;$Q277,ROUND($S277-$K277-$T277,2),$M277)</f>
        <v>17242.86</v>
      </c>
    </row>
    <row r="278" customFormat="false" ht="15" hidden="false" customHeight="false" outlineLevel="0" collapsed="false">
      <c r="B278" s="13" t="s">
        <v>217</v>
      </c>
      <c r="C278" s="13" t="s">
        <v>218</v>
      </c>
      <c r="D278" s="13" t="s">
        <v>52</v>
      </c>
      <c r="E278" s="24" t="n">
        <v>285</v>
      </c>
      <c r="F278" s="14" t="n">
        <v>41918.48</v>
      </c>
      <c r="G278" s="14" t="n">
        <v>41499.3</v>
      </c>
      <c r="H278" s="15" t="n">
        <f aca="false">INDEX('Your Inputs'!$C$8:$C$10,MATCH($D278,'Your Inputs'!$B$8:$B$10,0))</f>
        <v>148</v>
      </c>
      <c r="I278" s="15" t="n">
        <f aca="false">INDEX('Your Inputs'!$D$8:$D$10,MATCH($D278,'Your Inputs'!$B$8:$B$10,0))</f>
        <v>78</v>
      </c>
      <c r="J278" s="15" t="n">
        <f aca="false">ROUND($E278*$H278,2)</f>
        <v>42180</v>
      </c>
      <c r="K278" s="15" t="n">
        <f aca="false">ROUND($E278*$I278,2)</f>
        <v>22230</v>
      </c>
      <c r="L278" s="15" t="n">
        <f aca="false">ROUND($F278*'Your Inputs'!$C$31,2)</f>
        <v>838.37</v>
      </c>
      <c r="M278" s="15" t="n">
        <f aca="false">ROUND($G278-$K278-$L278,2)</f>
        <v>18430.93</v>
      </c>
      <c r="N278" s="15" t="n">
        <f aca="false">$G278/$E278</f>
        <v>145.611578947368</v>
      </c>
      <c r="O278" s="25" t="n">
        <f aca="false">$G278/$J278</f>
        <v>0.983862019914652</v>
      </c>
      <c r="P278" s="18" t="str">
        <f aca="false">$C278&amp;" | "&amp;$D278</f>
        <v>Small direct | Structural adhesives</v>
      </c>
      <c r="Q278" s="25" t="n">
        <f aca="false">INDEX('Your Floors'!$K$20:$K$31,MATCH($P278,'Your Floors'!$D$20:$D$31,0))</f>
        <v>0.939509972168612</v>
      </c>
      <c r="R278" s="18" t="str">
        <f aca="false">IF($O278&lt;$Q278,"below the floor","at or above it")</f>
        <v>at or above it</v>
      </c>
      <c r="S278" s="15" t="n">
        <f aca="false">IF($O278&lt;$Q278,$E278*ROUND($Q278*$H278,2),$G278)</f>
        <v>41499.3</v>
      </c>
      <c r="T278" s="15" t="n">
        <f aca="false">IF($O278&lt;$Q278,ROUND($L278*$S278/$G278,2),$L278)</f>
        <v>838.37</v>
      </c>
      <c r="U278" s="15" t="n">
        <f aca="false">ROUND(($S278-$G278)-($T278-$L278),2)</f>
        <v>0</v>
      </c>
      <c r="V278" s="15" t="n">
        <f aca="false">IF($O278&lt;$Q278,ROUND($S278-$K278-$T278,2),$M278)</f>
        <v>18430.93</v>
      </c>
    </row>
    <row r="279" customFormat="false" ht="15" hidden="false" customHeight="false" outlineLevel="0" collapsed="false">
      <c r="B279" s="13" t="s">
        <v>219</v>
      </c>
      <c r="C279" s="13" t="s">
        <v>218</v>
      </c>
      <c r="D279" s="13" t="s">
        <v>52</v>
      </c>
      <c r="E279" s="24" t="n">
        <v>685</v>
      </c>
      <c r="F279" s="14" t="n">
        <v>97781.01</v>
      </c>
      <c r="G279" s="14" t="n">
        <v>94847.58</v>
      </c>
      <c r="H279" s="15" t="n">
        <f aca="false">INDEX('Your Inputs'!$C$8:$C$10,MATCH($D279,'Your Inputs'!$B$8:$B$10,0))</f>
        <v>148</v>
      </c>
      <c r="I279" s="15" t="n">
        <f aca="false">INDEX('Your Inputs'!$D$8:$D$10,MATCH($D279,'Your Inputs'!$B$8:$B$10,0))</f>
        <v>78</v>
      </c>
      <c r="J279" s="15" t="n">
        <f aca="false">ROUND($E279*$H279,2)</f>
        <v>101380</v>
      </c>
      <c r="K279" s="15" t="n">
        <f aca="false">ROUND($E279*$I279,2)</f>
        <v>53430</v>
      </c>
      <c r="L279" s="15" t="n">
        <f aca="false">ROUND($F279*'Your Inputs'!$C$31,2)</f>
        <v>1955.62</v>
      </c>
      <c r="M279" s="15" t="n">
        <f aca="false">ROUND($G279-$K279-$L279,2)</f>
        <v>39461.96</v>
      </c>
      <c r="N279" s="15" t="n">
        <f aca="false">$G279/$E279</f>
        <v>138.463620437956</v>
      </c>
      <c r="O279" s="25" t="n">
        <f aca="false">$G279/$J279</f>
        <v>0.935565002959164</v>
      </c>
      <c r="P279" s="18" t="str">
        <f aca="false">$C279&amp;" | "&amp;$D279</f>
        <v>Small direct | Structural adhesives</v>
      </c>
      <c r="Q279" s="25" t="n">
        <f aca="false">INDEX('Your Floors'!$K$20:$K$31,MATCH($P279,'Your Floors'!$D$20:$D$31,0))</f>
        <v>0.939509972168612</v>
      </c>
      <c r="R279" s="18" t="str">
        <f aca="false">IF($O279&lt;$Q279,"below the floor","at or above it")</f>
        <v>below the floor</v>
      </c>
      <c r="S279" s="15" t="n">
        <f aca="false">IF($O279&lt;$Q279,$E279*ROUND($Q279*$H279,2),$G279)</f>
        <v>95249.25</v>
      </c>
      <c r="T279" s="15" t="n">
        <f aca="false">IF($O279&lt;$Q279,ROUND($L279*$S279/$G279,2),$L279)</f>
        <v>1963.9</v>
      </c>
      <c r="U279" s="15" t="n">
        <f aca="false">ROUND(($S279-$G279)-($T279-$L279),2)</f>
        <v>393.39</v>
      </c>
      <c r="V279" s="15" t="n">
        <f aca="false">IF($O279&lt;$Q279,ROUND($S279-$K279-$T279,2),$M279)</f>
        <v>39855.35</v>
      </c>
    </row>
    <row r="280" customFormat="false" ht="15" hidden="false" customHeight="false" outlineLevel="0" collapsed="false">
      <c r="B280" s="13" t="s">
        <v>219</v>
      </c>
      <c r="C280" s="13" t="s">
        <v>218</v>
      </c>
      <c r="D280" s="13" t="s">
        <v>54</v>
      </c>
      <c r="E280" s="24" t="n">
        <v>1711</v>
      </c>
      <c r="F280" s="14" t="n">
        <v>100512.69</v>
      </c>
      <c r="G280" s="14" t="n">
        <v>97497.31</v>
      </c>
      <c r="H280" s="15" t="n">
        <f aca="false">INDEX('Your Inputs'!$C$8:$C$10,MATCH($D280,'Your Inputs'!$B$8:$B$10,0))</f>
        <v>62</v>
      </c>
      <c r="I280" s="15" t="n">
        <f aca="false">INDEX('Your Inputs'!$D$8:$D$10,MATCH($D280,'Your Inputs'!$B$8:$B$10,0))</f>
        <v>36</v>
      </c>
      <c r="J280" s="15" t="n">
        <f aca="false">ROUND($E280*$H280,2)</f>
        <v>106082</v>
      </c>
      <c r="K280" s="15" t="n">
        <f aca="false">ROUND($E280*$I280,2)</f>
        <v>61596</v>
      </c>
      <c r="L280" s="15" t="n">
        <f aca="false">ROUND($F280*'Your Inputs'!$C$31,2)</f>
        <v>2010.25</v>
      </c>
      <c r="M280" s="15" t="n">
        <f aca="false">ROUND($G280-$K280-$L280,2)</f>
        <v>33891.06</v>
      </c>
      <c r="N280" s="15" t="n">
        <f aca="false">$G280/$E280</f>
        <v>56.9826475745178</v>
      </c>
      <c r="O280" s="25" t="n">
        <f aca="false">$G280/$J280</f>
        <v>0.91907496087932</v>
      </c>
      <c r="P280" s="18" t="str">
        <f aca="false">$C280&amp;" | "&amp;$D280</f>
        <v>Small direct | Sealants</v>
      </c>
      <c r="Q280" s="25" t="n">
        <f aca="false">INDEX('Your Floors'!$K$20:$K$31,MATCH($P280,'Your Floors'!$D$20:$D$31,0))</f>
        <v>0.905849957217107</v>
      </c>
      <c r="R280" s="18" t="str">
        <f aca="false">IF($O280&lt;$Q280,"below the floor","at or above it")</f>
        <v>at or above it</v>
      </c>
      <c r="S280" s="15" t="n">
        <f aca="false">IF($O280&lt;$Q280,$E280*ROUND($Q280*$H280,2),$G280)</f>
        <v>97497.31</v>
      </c>
      <c r="T280" s="15" t="n">
        <f aca="false">IF($O280&lt;$Q280,ROUND($L280*$S280/$G280,2),$L280)</f>
        <v>2010.25</v>
      </c>
      <c r="U280" s="15" t="n">
        <f aca="false">ROUND(($S280-$G280)-($T280-$L280),2)</f>
        <v>0</v>
      </c>
      <c r="V280" s="15" t="n">
        <f aca="false">IF($O280&lt;$Q280,ROUND($S280-$K280-$T280,2),$M280)</f>
        <v>33891.06</v>
      </c>
    </row>
    <row r="281" customFormat="false" ht="15" hidden="false" customHeight="false" outlineLevel="0" collapsed="false">
      <c r="B281" s="13" t="s">
        <v>219</v>
      </c>
      <c r="C281" s="13" t="s">
        <v>218</v>
      </c>
      <c r="D281" s="13" t="s">
        <v>56</v>
      </c>
      <c r="E281" s="24" t="n">
        <v>636</v>
      </c>
      <c r="F281" s="14" t="n">
        <v>58369.54</v>
      </c>
      <c r="G281" s="14" t="n">
        <v>56618.45</v>
      </c>
      <c r="H281" s="15" t="n">
        <f aca="false">INDEX('Your Inputs'!$C$8:$C$10,MATCH($D281,'Your Inputs'!$B$8:$B$10,0))</f>
        <v>96</v>
      </c>
      <c r="I281" s="15" t="n">
        <f aca="false">INDEX('Your Inputs'!$D$8:$D$10,MATCH($D281,'Your Inputs'!$B$8:$B$10,0))</f>
        <v>58</v>
      </c>
      <c r="J281" s="15" t="n">
        <f aca="false">ROUND($E281*$H281,2)</f>
        <v>61056</v>
      </c>
      <c r="K281" s="15" t="n">
        <f aca="false">ROUND($E281*$I281,2)</f>
        <v>36888</v>
      </c>
      <c r="L281" s="15" t="n">
        <f aca="false">ROUND($F281*'Your Inputs'!$C$31,2)</f>
        <v>1167.39</v>
      </c>
      <c r="M281" s="15" t="n">
        <f aca="false">ROUND($G281-$K281-$L281,2)</f>
        <v>18563.06</v>
      </c>
      <c r="N281" s="15" t="n">
        <f aca="false">$G281/$E281</f>
        <v>89.0227201257862</v>
      </c>
      <c r="O281" s="25" t="n">
        <f aca="false">$G281/$J281</f>
        <v>0.927320001310273</v>
      </c>
      <c r="P281" s="18" t="str">
        <f aca="false">$C281&amp;" | "&amp;$D281</f>
        <v>Small direct | Protective coatings</v>
      </c>
      <c r="Q281" s="25" t="n">
        <f aca="false">INDEX('Your Floors'!$K$20:$K$31,MATCH($P281,'Your Floors'!$D$20:$D$31,0))</f>
        <v>0.922679993872549</v>
      </c>
      <c r="R281" s="18" t="str">
        <f aca="false">IF($O281&lt;$Q281,"below the floor","at or above it")</f>
        <v>at or above it</v>
      </c>
      <c r="S281" s="15" t="n">
        <f aca="false">IF($O281&lt;$Q281,$E281*ROUND($Q281*$H281,2),$G281)</f>
        <v>56618.45</v>
      </c>
      <c r="T281" s="15" t="n">
        <f aca="false">IF($O281&lt;$Q281,ROUND($L281*$S281/$G281,2),$L281)</f>
        <v>1167.39</v>
      </c>
      <c r="U281" s="15" t="n">
        <f aca="false">ROUND(($S281-$G281)-($T281-$L281),2)</f>
        <v>0</v>
      </c>
      <c r="V281" s="15" t="n">
        <f aca="false">IF($O281&lt;$Q281,ROUND($S281-$K281-$T281,2),$M281)</f>
        <v>18563.06</v>
      </c>
    </row>
    <row r="282" customFormat="false" ht="15" hidden="false" customHeight="false" outlineLevel="0" collapsed="false">
      <c r="B282" s="13" t="s">
        <v>220</v>
      </c>
      <c r="C282" s="13" t="s">
        <v>218</v>
      </c>
      <c r="D282" s="13" t="s">
        <v>52</v>
      </c>
      <c r="E282" s="24" t="n">
        <v>4</v>
      </c>
      <c r="F282" s="14" t="n">
        <v>590.16</v>
      </c>
      <c r="G282" s="14" t="n">
        <v>584.26</v>
      </c>
      <c r="H282" s="15" t="n">
        <f aca="false">INDEX('Your Inputs'!$C$8:$C$10,MATCH($D282,'Your Inputs'!$B$8:$B$10,0))</f>
        <v>148</v>
      </c>
      <c r="I282" s="15" t="n">
        <f aca="false">INDEX('Your Inputs'!$D$8:$D$10,MATCH($D282,'Your Inputs'!$B$8:$B$10,0))</f>
        <v>78</v>
      </c>
      <c r="J282" s="15" t="n">
        <f aca="false">ROUND($E282*$H282,2)</f>
        <v>592</v>
      </c>
      <c r="K282" s="15" t="n">
        <f aca="false">ROUND($E282*$I282,2)</f>
        <v>312</v>
      </c>
      <c r="L282" s="15" t="n">
        <f aca="false">ROUND($F282*'Your Inputs'!$C$31,2)</f>
        <v>11.8</v>
      </c>
      <c r="M282" s="15" t="n">
        <f aca="false">ROUND($G282-$K282-$L282,2)</f>
        <v>260.46</v>
      </c>
      <c r="N282" s="15" t="n">
        <f aca="false">$G282/$E282</f>
        <v>146.065</v>
      </c>
      <c r="O282" s="25" t="n">
        <f aca="false">$G282/$J282</f>
        <v>0.986925675675676</v>
      </c>
      <c r="P282" s="18" t="str">
        <f aca="false">$C282&amp;" | "&amp;$D282</f>
        <v>Small direct | Structural adhesives</v>
      </c>
      <c r="Q282" s="25" t="n">
        <f aca="false">INDEX('Your Floors'!$K$20:$K$31,MATCH($P282,'Your Floors'!$D$20:$D$31,0))</f>
        <v>0.939509972168612</v>
      </c>
      <c r="R282" s="18" t="str">
        <f aca="false">IF($O282&lt;$Q282,"below the floor","at or above it")</f>
        <v>at or above it</v>
      </c>
      <c r="S282" s="15" t="n">
        <f aca="false">IF($O282&lt;$Q282,$E282*ROUND($Q282*$H282,2),$G282)</f>
        <v>584.26</v>
      </c>
      <c r="T282" s="15" t="n">
        <f aca="false">IF($O282&lt;$Q282,ROUND($L282*$S282/$G282,2),$L282)</f>
        <v>11.8</v>
      </c>
      <c r="U282" s="15" t="n">
        <f aca="false">ROUND(($S282-$G282)-($T282-$L282),2)</f>
        <v>0</v>
      </c>
      <c r="V282" s="15" t="n">
        <f aca="false">IF($O282&lt;$Q282,ROUND($S282-$K282-$T282,2),$M282)</f>
        <v>260.46</v>
      </c>
    </row>
    <row r="283" customFormat="false" ht="15" hidden="false" customHeight="false" outlineLevel="0" collapsed="false">
      <c r="B283" s="13" t="s">
        <v>220</v>
      </c>
      <c r="C283" s="13" t="s">
        <v>218</v>
      </c>
      <c r="D283" s="13" t="s">
        <v>56</v>
      </c>
      <c r="E283" s="24" t="n">
        <v>60</v>
      </c>
      <c r="F283" s="14" t="n">
        <v>5732.35</v>
      </c>
      <c r="G283" s="14" t="n">
        <v>5675.03</v>
      </c>
      <c r="H283" s="15" t="n">
        <f aca="false">INDEX('Your Inputs'!$C$8:$C$10,MATCH($D283,'Your Inputs'!$B$8:$B$10,0))</f>
        <v>96</v>
      </c>
      <c r="I283" s="15" t="n">
        <f aca="false">INDEX('Your Inputs'!$D$8:$D$10,MATCH($D283,'Your Inputs'!$B$8:$B$10,0))</f>
        <v>58</v>
      </c>
      <c r="J283" s="15" t="n">
        <f aca="false">ROUND($E283*$H283,2)</f>
        <v>5760</v>
      </c>
      <c r="K283" s="15" t="n">
        <f aca="false">ROUND($E283*$I283,2)</f>
        <v>3480</v>
      </c>
      <c r="L283" s="15" t="n">
        <f aca="false">ROUND($F283*'Your Inputs'!$C$31,2)</f>
        <v>114.65</v>
      </c>
      <c r="M283" s="15" t="n">
        <f aca="false">ROUND($G283-$K283-$L283,2)</f>
        <v>2080.38</v>
      </c>
      <c r="N283" s="15" t="n">
        <f aca="false">$G283/$E283</f>
        <v>94.5838333333333</v>
      </c>
      <c r="O283" s="25" t="n">
        <f aca="false">$G283/$J283</f>
        <v>0.985248263888889</v>
      </c>
      <c r="P283" s="18" t="str">
        <f aca="false">$C283&amp;" | "&amp;$D283</f>
        <v>Small direct | Protective coatings</v>
      </c>
      <c r="Q283" s="25" t="n">
        <f aca="false">INDEX('Your Floors'!$K$20:$K$31,MATCH($P283,'Your Floors'!$D$20:$D$31,0))</f>
        <v>0.922679993872549</v>
      </c>
      <c r="R283" s="18" t="str">
        <f aca="false">IF($O283&lt;$Q283,"below the floor","at or above it")</f>
        <v>at or above it</v>
      </c>
      <c r="S283" s="15" t="n">
        <f aca="false">IF($O283&lt;$Q283,$E283*ROUND($Q283*$H283,2),$G283)</f>
        <v>5675.03</v>
      </c>
      <c r="T283" s="15" t="n">
        <f aca="false">IF($O283&lt;$Q283,ROUND($L283*$S283/$G283,2),$L283)</f>
        <v>114.65</v>
      </c>
      <c r="U283" s="15" t="n">
        <f aca="false">ROUND(($S283-$G283)-($T283-$L283),2)</f>
        <v>0</v>
      </c>
      <c r="V283" s="15" t="n">
        <f aca="false">IF($O283&lt;$Q283,ROUND($S283-$K283-$T283,2),$M283)</f>
        <v>2080.38</v>
      </c>
    </row>
    <row r="284" customFormat="false" ht="15" hidden="false" customHeight="false" outlineLevel="0" collapsed="false">
      <c r="B284" s="13" t="s">
        <v>221</v>
      </c>
      <c r="C284" s="13" t="s">
        <v>218</v>
      </c>
      <c r="D284" s="13" t="s">
        <v>52</v>
      </c>
      <c r="E284" s="24" t="n">
        <v>136</v>
      </c>
      <c r="F284" s="14" t="n">
        <v>19725.44</v>
      </c>
      <c r="G284" s="14" t="n">
        <v>19528.19</v>
      </c>
      <c r="H284" s="15" t="n">
        <f aca="false">INDEX('Your Inputs'!$C$8:$C$10,MATCH($D284,'Your Inputs'!$B$8:$B$10,0))</f>
        <v>148</v>
      </c>
      <c r="I284" s="15" t="n">
        <f aca="false">INDEX('Your Inputs'!$D$8:$D$10,MATCH($D284,'Your Inputs'!$B$8:$B$10,0))</f>
        <v>78</v>
      </c>
      <c r="J284" s="15" t="n">
        <f aca="false">ROUND($E284*$H284,2)</f>
        <v>20128</v>
      </c>
      <c r="K284" s="15" t="n">
        <f aca="false">ROUND($E284*$I284,2)</f>
        <v>10608</v>
      </c>
      <c r="L284" s="15" t="n">
        <f aca="false">ROUND($F284*'Your Inputs'!$C$31,2)</f>
        <v>394.51</v>
      </c>
      <c r="M284" s="15" t="n">
        <f aca="false">ROUND($G284-$K284-$L284,2)</f>
        <v>8525.68</v>
      </c>
      <c r="N284" s="15" t="n">
        <f aca="false">$G284/$E284</f>
        <v>143.589632352941</v>
      </c>
      <c r="O284" s="25" t="n">
        <f aca="false">$G284/$J284</f>
        <v>0.970200218600954</v>
      </c>
      <c r="P284" s="18" t="str">
        <f aca="false">$C284&amp;" | "&amp;$D284</f>
        <v>Small direct | Structural adhesives</v>
      </c>
      <c r="Q284" s="25" t="n">
        <f aca="false">INDEX('Your Floors'!$K$20:$K$31,MATCH($P284,'Your Floors'!$D$20:$D$31,0))</f>
        <v>0.939509972168612</v>
      </c>
      <c r="R284" s="18" t="str">
        <f aca="false">IF($O284&lt;$Q284,"below the floor","at or above it")</f>
        <v>at or above it</v>
      </c>
      <c r="S284" s="15" t="n">
        <f aca="false">IF($O284&lt;$Q284,$E284*ROUND($Q284*$H284,2),$G284)</f>
        <v>19528.19</v>
      </c>
      <c r="T284" s="15" t="n">
        <f aca="false">IF($O284&lt;$Q284,ROUND($L284*$S284/$G284,2),$L284)</f>
        <v>394.51</v>
      </c>
      <c r="U284" s="15" t="n">
        <f aca="false">ROUND(($S284-$G284)-($T284-$L284),2)</f>
        <v>0</v>
      </c>
      <c r="V284" s="15" t="n">
        <f aca="false">IF($O284&lt;$Q284,ROUND($S284-$K284-$T284,2),$M284)</f>
        <v>8525.68</v>
      </c>
    </row>
    <row r="285" customFormat="false" ht="15" hidden="false" customHeight="false" outlineLevel="0" collapsed="false">
      <c r="B285" s="13" t="s">
        <v>221</v>
      </c>
      <c r="C285" s="13" t="s">
        <v>218</v>
      </c>
      <c r="D285" s="13" t="s">
        <v>54</v>
      </c>
      <c r="E285" s="24" t="n">
        <v>706</v>
      </c>
      <c r="F285" s="14" t="n">
        <v>42896.56</v>
      </c>
      <c r="G285" s="14" t="n">
        <v>42467.59</v>
      </c>
      <c r="H285" s="15" t="n">
        <f aca="false">INDEX('Your Inputs'!$C$8:$C$10,MATCH($D285,'Your Inputs'!$B$8:$B$10,0))</f>
        <v>62</v>
      </c>
      <c r="I285" s="15" t="n">
        <f aca="false">INDEX('Your Inputs'!$D$8:$D$10,MATCH($D285,'Your Inputs'!$B$8:$B$10,0))</f>
        <v>36</v>
      </c>
      <c r="J285" s="15" t="n">
        <f aca="false">ROUND($E285*$H285,2)</f>
        <v>43772</v>
      </c>
      <c r="K285" s="15" t="n">
        <f aca="false">ROUND($E285*$I285,2)</f>
        <v>25416</v>
      </c>
      <c r="L285" s="15" t="n">
        <f aca="false">ROUND($F285*'Your Inputs'!$C$31,2)</f>
        <v>857.93</v>
      </c>
      <c r="M285" s="15" t="n">
        <f aca="false">ROUND($G285-$K285-$L285,2)</f>
        <v>16193.66</v>
      </c>
      <c r="N285" s="15" t="n">
        <f aca="false">$G285/$E285</f>
        <v>60.1523937677054</v>
      </c>
      <c r="O285" s="25" t="n">
        <f aca="false">$G285/$J285</f>
        <v>0.970199899479119</v>
      </c>
      <c r="P285" s="18" t="str">
        <f aca="false">$C285&amp;" | "&amp;$D285</f>
        <v>Small direct | Sealants</v>
      </c>
      <c r="Q285" s="25" t="n">
        <f aca="false">INDEX('Your Floors'!$K$20:$K$31,MATCH($P285,'Your Floors'!$D$20:$D$31,0))</f>
        <v>0.905849957217107</v>
      </c>
      <c r="R285" s="18" t="str">
        <f aca="false">IF($O285&lt;$Q285,"below the floor","at or above it")</f>
        <v>at or above it</v>
      </c>
      <c r="S285" s="15" t="n">
        <f aca="false">IF($O285&lt;$Q285,$E285*ROUND($Q285*$H285,2),$G285)</f>
        <v>42467.59</v>
      </c>
      <c r="T285" s="15" t="n">
        <f aca="false">IF($O285&lt;$Q285,ROUND($L285*$S285/$G285,2),$L285)</f>
        <v>857.93</v>
      </c>
      <c r="U285" s="15" t="n">
        <f aca="false">ROUND(($S285-$G285)-($T285-$L285),2)</f>
        <v>0</v>
      </c>
      <c r="V285" s="15" t="n">
        <f aca="false">IF($O285&lt;$Q285,ROUND($S285-$K285-$T285,2),$M285)</f>
        <v>16193.66</v>
      </c>
    </row>
    <row r="286" customFormat="false" ht="15" hidden="false" customHeight="false" outlineLevel="0" collapsed="false">
      <c r="B286" s="13" t="s">
        <v>221</v>
      </c>
      <c r="C286" s="13" t="s">
        <v>218</v>
      </c>
      <c r="D286" s="13" t="s">
        <v>56</v>
      </c>
      <c r="E286" s="24" t="n">
        <v>317</v>
      </c>
      <c r="F286" s="14" t="n">
        <v>29823.36</v>
      </c>
      <c r="G286" s="14" t="n">
        <v>29525.13</v>
      </c>
      <c r="H286" s="15" t="n">
        <f aca="false">INDEX('Your Inputs'!$C$8:$C$10,MATCH($D286,'Your Inputs'!$B$8:$B$10,0))</f>
        <v>96</v>
      </c>
      <c r="I286" s="15" t="n">
        <f aca="false">INDEX('Your Inputs'!$D$8:$D$10,MATCH($D286,'Your Inputs'!$B$8:$B$10,0))</f>
        <v>58</v>
      </c>
      <c r="J286" s="15" t="n">
        <f aca="false">ROUND($E286*$H286,2)</f>
        <v>30432</v>
      </c>
      <c r="K286" s="15" t="n">
        <f aca="false">ROUND($E286*$I286,2)</f>
        <v>18386</v>
      </c>
      <c r="L286" s="15" t="n">
        <f aca="false">ROUND($F286*'Your Inputs'!$C$31,2)</f>
        <v>596.47</v>
      </c>
      <c r="M286" s="15" t="n">
        <f aca="false">ROUND($G286-$K286-$L286,2)</f>
        <v>10542.66</v>
      </c>
      <c r="N286" s="15" t="n">
        <f aca="false">$G286/$E286</f>
        <v>93.1392113564669</v>
      </c>
      <c r="O286" s="25" t="n">
        <f aca="false">$G286/$J286</f>
        <v>0.97020011829653</v>
      </c>
      <c r="P286" s="18" t="str">
        <f aca="false">$C286&amp;" | "&amp;$D286</f>
        <v>Small direct | Protective coatings</v>
      </c>
      <c r="Q286" s="25" t="n">
        <f aca="false">INDEX('Your Floors'!$K$20:$K$31,MATCH($P286,'Your Floors'!$D$20:$D$31,0))</f>
        <v>0.922679993872549</v>
      </c>
      <c r="R286" s="18" t="str">
        <f aca="false">IF($O286&lt;$Q286,"below the floor","at or above it")</f>
        <v>at or above it</v>
      </c>
      <c r="S286" s="15" t="n">
        <f aca="false">IF($O286&lt;$Q286,$E286*ROUND($Q286*$H286,2),$G286)</f>
        <v>29525.13</v>
      </c>
      <c r="T286" s="15" t="n">
        <f aca="false">IF($O286&lt;$Q286,ROUND($L286*$S286/$G286,2),$L286)</f>
        <v>596.47</v>
      </c>
      <c r="U286" s="15" t="n">
        <f aca="false">ROUND(($S286-$G286)-($T286-$L286),2)</f>
        <v>0</v>
      </c>
      <c r="V286" s="15" t="n">
        <f aca="false">IF($O286&lt;$Q286,ROUND($S286-$K286-$T286,2),$M286)</f>
        <v>10542.66</v>
      </c>
    </row>
    <row r="287" customFormat="false" ht="15" hidden="false" customHeight="false" outlineLevel="0" collapsed="false">
      <c r="B287" s="13" t="s">
        <v>222</v>
      </c>
      <c r="C287" s="13" t="s">
        <v>218</v>
      </c>
      <c r="D287" s="13" t="s">
        <v>52</v>
      </c>
      <c r="E287" s="24" t="n">
        <v>688</v>
      </c>
      <c r="F287" s="14" t="n">
        <v>95684.01</v>
      </c>
      <c r="G287" s="14" t="n">
        <v>92813.49</v>
      </c>
      <c r="H287" s="15" t="n">
        <f aca="false">INDEX('Your Inputs'!$C$8:$C$10,MATCH($D287,'Your Inputs'!$B$8:$B$10,0))</f>
        <v>148</v>
      </c>
      <c r="I287" s="15" t="n">
        <f aca="false">INDEX('Your Inputs'!$D$8:$D$10,MATCH($D287,'Your Inputs'!$B$8:$B$10,0))</f>
        <v>78</v>
      </c>
      <c r="J287" s="15" t="n">
        <f aca="false">ROUND($E287*$H287,2)</f>
        <v>101824</v>
      </c>
      <c r="K287" s="15" t="n">
        <f aca="false">ROUND($E287*$I287,2)</f>
        <v>53664</v>
      </c>
      <c r="L287" s="15" t="n">
        <f aca="false">ROUND($F287*'Your Inputs'!$C$31,2)</f>
        <v>1913.68</v>
      </c>
      <c r="M287" s="15" t="n">
        <f aca="false">ROUND($G287-$K287-$L287,2)</f>
        <v>37235.81</v>
      </c>
      <c r="N287" s="15" t="n">
        <f aca="false">$G287/$E287</f>
        <v>134.903328488372</v>
      </c>
      <c r="O287" s="25" t="n">
        <f aca="false">$G287/$J287</f>
        <v>0.911508976272785</v>
      </c>
      <c r="P287" s="18" t="str">
        <f aca="false">$C287&amp;" | "&amp;$D287</f>
        <v>Small direct | Structural adhesives</v>
      </c>
      <c r="Q287" s="25" t="n">
        <f aca="false">INDEX('Your Floors'!$K$20:$K$31,MATCH($P287,'Your Floors'!$D$20:$D$31,0))</f>
        <v>0.939509972168612</v>
      </c>
      <c r="R287" s="18" t="str">
        <f aca="false">IF($O287&lt;$Q287,"below the floor","at or above it")</f>
        <v>below the floor</v>
      </c>
      <c r="S287" s="15" t="n">
        <f aca="false">IF($O287&lt;$Q287,$E287*ROUND($Q287*$H287,2),$G287)</f>
        <v>95666.4</v>
      </c>
      <c r="T287" s="15" t="n">
        <f aca="false">IF($O287&lt;$Q287,ROUND($L287*$S287/$G287,2),$L287)</f>
        <v>1972.5</v>
      </c>
      <c r="U287" s="15" t="n">
        <f aca="false">ROUND(($S287-$G287)-($T287-$L287),2)</f>
        <v>2794.09</v>
      </c>
      <c r="V287" s="15" t="n">
        <f aca="false">IF($O287&lt;$Q287,ROUND($S287-$K287-$T287,2),$M287)</f>
        <v>40029.9</v>
      </c>
    </row>
    <row r="288" customFormat="false" ht="15" hidden="false" customHeight="false" outlineLevel="0" collapsed="false">
      <c r="B288" s="13" t="s">
        <v>222</v>
      </c>
      <c r="C288" s="13" t="s">
        <v>218</v>
      </c>
      <c r="D288" s="13" t="s">
        <v>54</v>
      </c>
      <c r="E288" s="24" t="n">
        <v>2253</v>
      </c>
      <c r="F288" s="14" t="n">
        <v>125088.81</v>
      </c>
      <c r="G288" s="14" t="n">
        <v>121336.14</v>
      </c>
      <c r="H288" s="15" t="n">
        <f aca="false">INDEX('Your Inputs'!$C$8:$C$10,MATCH($D288,'Your Inputs'!$B$8:$B$10,0))</f>
        <v>62</v>
      </c>
      <c r="I288" s="15" t="n">
        <f aca="false">INDEX('Your Inputs'!$D$8:$D$10,MATCH($D288,'Your Inputs'!$B$8:$B$10,0))</f>
        <v>36</v>
      </c>
      <c r="J288" s="15" t="n">
        <f aca="false">ROUND($E288*$H288,2)</f>
        <v>139686</v>
      </c>
      <c r="K288" s="15" t="n">
        <f aca="false">ROUND($E288*$I288,2)</f>
        <v>81108</v>
      </c>
      <c r="L288" s="15" t="n">
        <f aca="false">ROUND($F288*'Your Inputs'!$C$31,2)</f>
        <v>2501.78</v>
      </c>
      <c r="M288" s="15" t="n">
        <f aca="false">ROUND($G288-$K288-$L288,2)</f>
        <v>37726.36</v>
      </c>
      <c r="N288" s="15" t="n">
        <f aca="false">$G288/$E288</f>
        <v>53.8553661784288</v>
      </c>
      <c r="O288" s="25" t="n">
        <f aca="false">$G288/$J288</f>
        <v>0.868634938361754</v>
      </c>
      <c r="P288" s="18" t="str">
        <f aca="false">$C288&amp;" | "&amp;$D288</f>
        <v>Small direct | Sealants</v>
      </c>
      <c r="Q288" s="25" t="n">
        <f aca="false">INDEX('Your Floors'!$K$20:$K$31,MATCH($P288,'Your Floors'!$D$20:$D$31,0))</f>
        <v>0.905849957217107</v>
      </c>
      <c r="R288" s="18" t="str">
        <f aca="false">IF($O288&lt;$Q288,"below the floor","at or above it")</f>
        <v>below the floor</v>
      </c>
      <c r="S288" s="15" t="n">
        <f aca="false">IF($O288&lt;$Q288,$E288*ROUND($Q288*$H288,2),$G288)</f>
        <v>126528.48</v>
      </c>
      <c r="T288" s="15" t="n">
        <f aca="false">IF($O288&lt;$Q288,ROUND($L288*$S288/$G288,2),$L288)</f>
        <v>2608.84</v>
      </c>
      <c r="U288" s="15" t="n">
        <f aca="false">ROUND(($S288-$G288)-($T288-$L288),2)</f>
        <v>5085.28</v>
      </c>
      <c r="V288" s="15" t="n">
        <f aca="false">IF($O288&lt;$Q288,ROUND($S288-$K288-$T288,2),$M288)</f>
        <v>42811.64</v>
      </c>
    </row>
    <row r="289" customFormat="false" ht="15" hidden="false" customHeight="false" outlineLevel="0" collapsed="false">
      <c r="B289" s="13" t="s">
        <v>222</v>
      </c>
      <c r="C289" s="13" t="s">
        <v>218</v>
      </c>
      <c r="D289" s="13" t="s">
        <v>56</v>
      </c>
      <c r="E289" s="24" t="n">
        <v>675</v>
      </c>
      <c r="F289" s="14" t="n">
        <v>59460.48</v>
      </c>
      <c r="G289" s="14" t="n">
        <v>57676.67</v>
      </c>
      <c r="H289" s="15" t="n">
        <f aca="false">INDEX('Your Inputs'!$C$8:$C$10,MATCH($D289,'Your Inputs'!$B$8:$B$10,0))</f>
        <v>96</v>
      </c>
      <c r="I289" s="15" t="n">
        <f aca="false">INDEX('Your Inputs'!$D$8:$D$10,MATCH($D289,'Your Inputs'!$B$8:$B$10,0))</f>
        <v>58</v>
      </c>
      <c r="J289" s="15" t="n">
        <f aca="false">ROUND($E289*$H289,2)</f>
        <v>64800</v>
      </c>
      <c r="K289" s="15" t="n">
        <f aca="false">ROUND($E289*$I289,2)</f>
        <v>39150</v>
      </c>
      <c r="L289" s="15" t="n">
        <f aca="false">ROUND($F289*'Your Inputs'!$C$31,2)</f>
        <v>1189.21</v>
      </c>
      <c r="M289" s="15" t="n">
        <f aca="false">ROUND($G289-$K289-$L289,2)</f>
        <v>17337.46</v>
      </c>
      <c r="N289" s="15" t="n">
        <f aca="false">$G289/$E289</f>
        <v>85.4469185185185</v>
      </c>
      <c r="O289" s="25" t="n">
        <f aca="false">$G289/$J289</f>
        <v>0.890072067901235</v>
      </c>
      <c r="P289" s="18" t="str">
        <f aca="false">$C289&amp;" | "&amp;$D289</f>
        <v>Small direct | Protective coatings</v>
      </c>
      <c r="Q289" s="25" t="n">
        <f aca="false">INDEX('Your Floors'!$K$20:$K$31,MATCH($P289,'Your Floors'!$D$20:$D$31,0))</f>
        <v>0.922679993872549</v>
      </c>
      <c r="R289" s="18" t="str">
        <f aca="false">IF($O289&lt;$Q289,"below the floor","at or above it")</f>
        <v>below the floor</v>
      </c>
      <c r="S289" s="15" t="n">
        <f aca="false">IF($O289&lt;$Q289,$E289*ROUND($Q289*$H289,2),$G289)</f>
        <v>59791.5</v>
      </c>
      <c r="T289" s="15" t="n">
        <f aca="false">IF($O289&lt;$Q289,ROUND($L289*$S289/$G289,2),$L289)</f>
        <v>1232.81</v>
      </c>
      <c r="U289" s="15" t="n">
        <f aca="false">ROUND(($S289-$G289)-($T289-$L289),2)</f>
        <v>2071.23</v>
      </c>
      <c r="V289" s="15" t="n">
        <f aca="false">IF($O289&lt;$Q289,ROUND($S289-$K289-$T289,2),$M289)</f>
        <v>19408.69</v>
      </c>
    </row>
    <row r="290" customFormat="false" ht="15" hidden="false" customHeight="false" outlineLevel="0" collapsed="false">
      <c r="B290" s="13" t="s">
        <v>223</v>
      </c>
      <c r="C290" s="13" t="s">
        <v>218</v>
      </c>
      <c r="D290" s="13" t="s">
        <v>52</v>
      </c>
      <c r="E290" s="24" t="n">
        <v>96</v>
      </c>
      <c r="F290" s="14" t="n">
        <v>14031.82</v>
      </c>
      <c r="G290" s="14" t="n">
        <v>13891.5</v>
      </c>
      <c r="H290" s="15" t="n">
        <f aca="false">INDEX('Your Inputs'!$C$8:$C$10,MATCH($D290,'Your Inputs'!$B$8:$B$10,0))</f>
        <v>148</v>
      </c>
      <c r="I290" s="15" t="n">
        <f aca="false">INDEX('Your Inputs'!$D$8:$D$10,MATCH($D290,'Your Inputs'!$B$8:$B$10,0))</f>
        <v>78</v>
      </c>
      <c r="J290" s="15" t="n">
        <f aca="false">ROUND($E290*$H290,2)</f>
        <v>14208</v>
      </c>
      <c r="K290" s="15" t="n">
        <f aca="false">ROUND($E290*$I290,2)</f>
        <v>7488</v>
      </c>
      <c r="L290" s="15" t="n">
        <f aca="false">ROUND($F290*'Your Inputs'!$C$31,2)</f>
        <v>280.64</v>
      </c>
      <c r="M290" s="15" t="n">
        <f aca="false">ROUND($G290-$K290-$L290,2)</f>
        <v>6122.86</v>
      </c>
      <c r="N290" s="15" t="n">
        <f aca="false">$G290/$E290</f>
        <v>144.703125</v>
      </c>
      <c r="O290" s="25" t="n">
        <f aca="false">$G290/$J290</f>
        <v>0.977723817567568</v>
      </c>
      <c r="P290" s="18" t="str">
        <f aca="false">$C290&amp;" | "&amp;$D290</f>
        <v>Small direct | Structural adhesives</v>
      </c>
      <c r="Q290" s="25" t="n">
        <f aca="false">INDEX('Your Floors'!$K$20:$K$31,MATCH($P290,'Your Floors'!$D$20:$D$31,0))</f>
        <v>0.939509972168612</v>
      </c>
      <c r="R290" s="18" t="str">
        <f aca="false">IF($O290&lt;$Q290,"below the floor","at or above it")</f>
        <v>at or above it</v>
      </c>
      <c r="S290" s="15" t="n">
        <f aca="false">IF($O290&lt;$Q290,$E290*ROUND($Q290*$H290,2),$G290)</f>
        <v>13891.5</v>
      </c>
      <c r="T290" s="15" t="n">
        <f aca="false">IF($O290&lt;$Q290,ROUND($L290*$S290/$G290,2),$L290)</f>
        <v>280.64</v>
      </c>
      <c r="U290" s="15" t="n">
        <f aca="false">ROUND(($S290-$G290)-($T290-$L290),2)</f>
        <v>0</v>
      </c>
      <c r="V290" s="15" t="n">
        <f aca="false">IF($O290&lt;$Q290,ROUND($S290-$K290-$T290,2),$M290)</f>
        <v>6122.86</v>
      </c>
    </row>
    <row r="291" customFormat="false" ht="15" hidden="false" customHeight="false" outlineLevel="0" collapsed="false">
      <c r="B291" s="13" t="s">
        <v>223</v>
      </c>
      <c r="C291" s="13" t="s">
        <v>218</v>
      </c>
      <c r="D291" s="13" t="s">
        <v>54</v>
      </c>
      <c r="E291" s="24" t="n">
        <v>410</v>
      </c>
      <c r="F291" s="14" t="n">
        <v>24759.08</v>
      </c>
      <c r="G291" s="14" t="n">
        <v>24511.49</v>
      </c>
      <c r="H291" s="15" t="n">
        <f aca="false">INDEX('Your Inputs'!$C$8:$C$10,MATCH($D291,'Your Inputs'!$B$8:$B$10,0))</f>
        <v>62</v>
      </c>
      <c r="I291" s="15" t="n">
        <f aca="false">INDEX('Your Inputs'!$D$8:$D$10,MATCH($D291,'Your Inputs'!$B$8:$B$10,0))</f>
        <v>36</v>
      </c>
      <c r="J291" s="15" t="n">
        <f aca="false">ROUND($E291*$H291,2)</f>
        <v>25420</v>
      </c>
      <c r="K291" s="15" t="n">
        <f aca="false">ROUND($E291*$I291,2)</f>
        <v>14760</v>
      </c>
      <c r="L291" s="15" t="n">
        <f aca="false">ROUND($F291*'Your Inputs'!$C$31,2)</f>
        <v>495.18</v>
      </c>
      <c r="M291" s="15" t="n">
        <f aca="false">ROUND($G291-$K291-$L291,2)</f>
        <v>9256.31</v>
      </c>
      <c r="N291" s="15" t="n">
        <f aca="false">$G291/$E291</f>
        <v>59.7841219512195</v>
      </c>
      <c r="O291" s="25" t="n">
        <f aca="false">$G291/$J291</f>
        <v>0.964260031471283</v>
      </c>
      <c r="P291" s="18" t="str">
        <f aca="false">$C291&amp;" | "&amp;$D291</f>
        <v>Small direct | Sealants</v>
      </c>
      <c r="Q291" s="25" t="n">
        <f aca="false">INDEX('Your Floors'!$K$20:$K$31,MATCH($P291,'Your Floors'!$D$20:$D$31,0))</f>
        <v>0.905849957217107</v>
      </c>
      <c r="R291" s="18" t="str">
        <f aca="false">IF($O291&lt;$Q291,"below the floor","at or above it")</f>
        <v>at or above it</v>
      </c>
      <c r="S291" s="15" t="n">
        <f aca="false">IF($O291&lt;$Q291,$E291*ROUND($Q291*$H291,2),$G291)</f>
        <v>24511.49</v>
      </c>
      <c r="T291" s="15" t="n">
        <f aca="false">IF($O291&lt;$Q291,ROUND($L291*$S291/$G291,2),$L291)</f>
        <v>495.18</v>
      </c>
      <c r="U291" s="15" t="n">
        <f aca="false">ROUND(($S291-$G291)-($T291-$L291),2)</f>
        <v>0</v>
      </c>
      <c r="V291" s="15" t="n">
        <f aca="false">IF($O291&lt;$Q291,ROUND($S291-$K291-$T291,2),$M291)</f>
        <v>9256.31</v>
      </c>
    </row>
    <row r="292" customFormat="false" ht="15" hidden="false" customHeight="false" outlineLevel="0" collapsed="false">
      <c r="B292" s="13" t="s">
        <v>224</v>
      </c>
      <c r="C292" s="13" t="s">
        <v>218</v>
      </c>
      <c r="D292" s="13" t="s">
        <v>52</v>
      </c>
      <c r="E292" s="24" t="n">
        <v>627</v>
      </c>
      <c r="F292" s="14" t="n">
        <v>88063.4</v>
      </c>
      <c r="G292" s="14" t="n">
        <v>87182.77</v>
      </c>
      <c r="H292" s="15" t="n">
        <f aca="false">INDEX('Your Inputs'!$C$8:$C$10,MATCH($D292,'Your Inputs'!$B$8:$B$10,0))</f>
        <v>148</v>
      </c>
      <c r="I292" s="15" t="n">
        <f aca="false">INDEX('Your Inputs'!$D$8:$D$10,MATCH($D292,'Your Inputs'!$B$8:$B$10,0))</f>
        <v>78</v>
      </c>
      <c r="J292" s="15" t="n">
        <f aca="false">ROUND($E292*$H292,2)</f>
        <v>92796</v>
      </c>
      <c r="K292" s="15" t="n">
        <f aca="false">ROUND($E292*$I292,2)</f>
        <v>48906</v>
      </c>
      <c r="L292" s="15" t="n">
        <f aca="false">ROUND($F292*'Your Inputs'!$C$31,2)</f>
        <v>1761.27</v>
      </c>
      <c r="M292" s="15" t="n">
        <f aca="false">ROUND($G292-$K292-$L292,2)</f>
        <v>36515.5</v>
      </c>
      <c r="N292" s="15" t="n">
        <f aca="false">$G292/$E292</f>
        <v>139.047480063796</v>
      </c>
      <c r="O292" s="25" t="n">
        <f aca="false">$G292/$J292</f>
        <v>0.939510000431053</v>
      </c>
      <c r="P292" s="18" t="str">
        <f aca="false">$C292&amp;" | "&amp;$D292</f>
        <v>Small direct | Structural adhesives</v>
      </c>
      <c r="Q292" s="25" t="n">
        <f aca="false">INDEX('Your Floors'!$K$20:$K$31,MATCH($P292,'Your Floors'!$D$20:$D$31,0))</f>
        <v>0.939509972168612</v>
      </c>
      <c r="R292" s="18" t="str">
        <f aca="false">IF($O292&lt;$Q292,"below the floor","at or above it")</f>
        <v>at or above it</v>
      </c>
      <c r="S292" s="15" t="n">
        <f aca="false">IF($O292&lt;$Q292,$E292*ROUND($Q292*$H292,2),$G292)</f>
        <v>87182.77</v>
      </c>
      <c r="T292" s="15" t="n">
        <f aca="false">IF($O292&lt;$Q292,ROUND($L292*$S292/$G292,2),$L292)</f>
        <v>1761.27</v>
      </c>
      <c r="U292" s="15" t="n">
        <f aca="false">ROUND(($S292-$G292)-($T292-$L292),2)</f>
        <v>0</v>
      </c>
      <c r="V292" s="15" t="n">
        <f aca="false">IF($O292&lt;$Q292,ROUND($S292-$K292-$T292,2),$M292)</f>
        <v>36515.5</v>
      </c>
    </row>
    <row r="293" customFormat="false" ht="15" hidden="false" customHeight="false" outlineLevel="0" collapsed="false">
      <c r="B293" s="13" t="s">
        <v>224</v>
      </c>
      <c r="C293" s="13" t="s">
        <v>218</v>
      </c>
      <c r="D293" s="13" t="s">
        <v>54</v>
      </c>
      <c r="E293" s="24" t="n">
        <v>1372</v>
      </c>
      <c r="F293" s="14" t="n">
        <v>77833.56</v>
      </c>
      <c r="G293" s="14" t="n">
        <v>77055.22</v>
      </c>
      <c r="H293" s="15" t="n">
        <f aca="false">INDEX('Your Inputs'!$C$8:$C$10,MATCH($D293,'Your Inputs'!$B$8:$B$10,0))</f>
        <v>62</v>
      </c>
      <c r="I293" s="15" t="n">
        <f aca="false">INDEX('Your Inputs'!$D$8:$D$10,MATCH($D293,'Your Inputs'!$B$8:$B$10,0))</f>
        <v>36</v>
      </c>
      <c r="J293" s="15" t="n">
        <f aca="false">ROUND($E293*$H293,2)</f>
        <v>85064</v>
      </c>
      <c r="K293" s="15" t="n">
        <f aca="false">ROUND($E293*$I293,2)</f>
        <v>49392</v>
      </c>
      <c r="L293" s="15" t="n">
        <f aca="false">ROUND($F293*'Your Inputs'!$C$31,2)</f>
        <v>1556.67</v>
      </c>
      <c r="M293" s="15" t="n">
        <f aca="false">ROUND($G293-$K293-$L293,2)</f>
        <v>26106.55</v>
      </c>
      <c r="N293" s="15" t="n">
        <f aca="false">$G293/$E293</f>
        <v>56.1626967930029</v>
      </c>
      <c r="O293" s="25" t="n">
        <f aca="false">$G293/$J293</f>
        <v>0.905849948274241</v>
      </c>
      <c r="P293" s="18" t="str">
        <f aca="false">$C293&amp;" | "&amp;$D293</f>
        <v>Small direct | Sealants</v>
      </c>
      <c r="Q293" s="25" t="n">
        <f aca="false">INDEX('Your Floors'!$K$20:$K$31,MATCH($P293,'Your Floors'!$D$20:$D$31,0))</f>
        <v>0.905849957217107</v>
      </c>
      <c r="R293" s="18" t="str">
        <f aca="false">IF($O293&lt;$Q293,"below the floor","at or above it")</f>
        <v>below the floor</v>
      </c>
      <c r="S293" s="15" t="n">
        <f aca="false">IF($O293&lt;$Q293,$E293*ROUND($Q293*$H293,2),$G293)</f>
        <v>77051.52</v>
      </c>
      <c r="T293" s="15" t="n">
        <f aca="false">IF($O293&lt;$Q293,ROUND($L293*$S293/$G293,2),$L293)</f>
        <v>1556.6</v>
      </c>
      <c r="U293" s="15" t="n">
        <f aca="false">ROUND(($S293-$G293)-($T293-$L293),2)</f>
        <v>-3.63</v>
      </c>
      <c r="V293" s="15" t="n">
        <f aca="false">IF($O293&lt;$Q293,ROUND($S293-$K293-$T293,2),$M293)</f>
        <v>26102.92</v>
      </c>
    </row>
    <row r="294" customFormat="false" ht="15" hidden="false" customHeight="false" outlineLevel="0" collapsed="false">
      <c r="B294" s="13" t="s">
        <v>224</v>
      </c>
      <c r="C294" s="13" t="s">
        <v>218</v>
      </c>
      <c r="D294" s="13" t="s">
        <v>56</v>
      </c>
      <c r="E294" s="24" t="n">
        <v>346</v>
      </c>
      <c r="F294" s="14" t="n">
        <v>30957.31</v>
      </c>
      <c r="G294" s="14" t="n">
        <v>30647.74</v>
      </c>
      <c r="H294" s="15" t="n">
        <f aca="false">INDEX('Your Inputs'!$C$8:$C$10,MATCH($D294,'Your Inputs'!$B$8:$B$10,0))</f>
        <v>96</v>
      </c>
      <c r="I294" s="15" t="n">
        <f aca="false">INDEX('Your Inputs'!$D$8:$D$10,MATCH($D294,'Your Inputs'!$B$8:$B$10,0))</f>
        <v>58</v>
      </c>
      <c r="J294" s="15" t="n">
        <f aca="false">ROUND($E294*$H294,2)</f>
        <v>33216</v>
      </c>
      <c r="K294" s="15" t="n">
        <f aca="false">ROUND($E294*$I294,2)</f>
        <v>20068</v>
      </c>
      <c r="L294" s="15" t="n">
        <f aca="false">ROUND($F294*'Your Inputs'!$C$31,2)</f>
        <v>619.15</v>
      </c>
      <c r="M294" s="15" t="n">
        <f aca="false">ROUND($G294-$K294-$L294,2)</f>
        <v>9960.59</v>
      </c>
      <c r="N294" s="15" t="n">
        <f aca="false">$G294/$E294</f>
        <v>88.5772832369942</v>
      </c>
      <c r="O294" s="25" t="n">
        <f aca="false">$G294/$J294</f>
        <v>0.92268003371869</v>
      </c>
      <c r="P294" s="18" t="str">
        <f aca="false">$C294&amp;" | "&amp;$D294</f>
        <v>Small direct | Protective coatings</v>
      </c>
      <c r="Q294" s="25" t="n">
        <f aca="false">INDEX('Your Floors'!$K$20:$K$31,MATCH($P294,'Your Floors'!$D$20:$D$31,0))</f>
        <v>0.922679993872549</v>
      </c>
      <c r="R294" s="18" t="str">
        <f aca="false">IF($O294&lt;$Q294,"below the floor","at or above it")</f>
        <v>at or above it</v>
      </c>
      <c r="S294" s="15" t="n">
        <f aca="false">IF($O294&lt;$Q294,$E294*ROUND($Q294*$H294,2),$G294)</f>
        <v>30647.74</v>
      </c>
      <c r="T294" s="15" t="n">
        <f aca="false">IF($O294&lt;$Q294,ROUND($L294*$S294/$G294,2),$L294)</f>
        <v>619.15</v>
      </c>
      <c r="U294" s="15" t="n">
        <f aca="false">ROUND(($S294-$G294)-($T294-$L294),2)</f>
        <v>0</v>
      </c>
      <c r="V294" s="15" t="n">
        <f aca="false">IF($O294&lt;$Q294,ROUND($S294-$K294-$T294,2),$M294)</f>
        <v>9960.59</v>
      </c>
    </row>
    <row r="295" customFormat="false" ht="15" hidden="false" customHeight="false" outlineLevel="0" collapsed="false">
      <c r="B295" s="13" t="s">
        <v>225</v>
      </c>
      <c r="C295" s="13" t="s">
        <v>218</v>
      </c>
      <c r="D295" s="13" t="s">
        <v>52</v>
      </c>
      <c r="E295" s="24" t="n">
        <v>332</v>
      </c>
      <c r="F295" s="14" t="n">
        <v>48153.28</v>
      </c>
      <c r="G295" s="14" t="n">
        <v>47671.75</v>
      </c>
      <c r="H295" s="15" t="n">
        <f aca="false">INDEX('Your Inputs'!$C$8:$C$10,MATCH($D295,'Your Inputs'!$B$8:$B$10,0))</f>
        <v>148</v>
      </c>
      <c r="I295" s="15" t="n">
        <f aca="false">INDEX('Your Inputs'!$D$8:$D$10,MATCH($D295,'Your Inputs'!$B$8:$B$10,0))</f>
        <v>78</v>
      </c>
      <c r="J295" s="15" t="n">
        <f aca="false">ROUND($E295*$H295,2)</f>
        <v>49136</v>
      </c>
      <c r="K295" s="15" t="n">
        <f aca="false">ROUND($E295*$I295,2)</f>
        <v>25896</v>
      </c>
      <c r="L295" s="15" t="n">
        <f aca="false">ROUND($F295*'Your Inputs'!$C$31,2)</f>
        <v>963.07</v>
      </c>
      <c r="M295" s="15" t="n">
        <f aca="false">ROUND($G295-$K295-$L295,2)</f>
        <v>20812.68</v>
      </c>
      <c r="N295" s="15" t="n">
        <f aca="false">$G295/$E295</f>
        <v>143.589608433735</v>
      </c>
      <c r="O295" s="25" t="n">
        <f aca="false">$G295/$J295</f>
        <v>0.970200056984696</v>
      </c>
      <c r="P295" s="18" t="str">
        <f aca="false">$C295&amp;" | "&amp;$D295</f>
        <v>Small direct | Structural adhesives</v>
      </c>
      <c r="Q295" s="25" t="n">
        <f aca="false">INDEX('Your Floors'!$K$20:$K$31,MATCH($P295,'Your Floors'!$D$20:$D$31,0))</f>
        <v>0.939509972168612</v>
      </c>
      <c r="R295" s="18" t="str">
        <f aca="false">IF($O295&lt;$Q295,"below the floor","at or above it")</f>
        <v>at or above it</v>
      </c>
      <c r="S295" s="15" t="n">
        <f aca="false">IF($O295&lt;$Q295,$E295*ROUND($Q295*$H295,2),$G295)</f>
        <v>47671.75</v>
      </c>
      <c r="T295" s="15" t="n">
        <f aca="false">IF($O295&lt;$Q295,ROUND($L295*$S295/$G295,2),$L295)</f>
        <v>963.07</v>
      </c>
      <c r="U295" s="15" t="n">
        <f aca="false">ROUND(($S295-$G295)-($T295-$L295),2)</f>
        <v>0</v>
      </c>
      <c r="V295" s="15" t="n">
        <f aca="false">IF($O295&lt;$Q295,ROUND($S295-$K295-$T295,2),$M295)</f>
        <v>20812.68</v>
      </c>
    </row>
    <row r="296" customFormat="false" ht="15" hidden="false" customHeight="false" outlineLevel="0" collapsed="false">
      <c r="B296" s="13" t="s">
        <v>225</v>
      </c>
      <c r="C296" s="13" t="s">
        <v>218</v>
      </c>
      <c r="D296" s="13" t="s">
        <v>54</v>
      </c>
      <c r="E296" s="24" t="n">
        <v>1345</v>
      </c>
      <c r="F296" s="14" t="n">
        <v>81722.2</v>
      </c>
      <c r="G296" s="14" t="n">
        <v>80904.98</v>
      </c>
      <c r="H296" s="15" t="n">
        <f aca="false">INDEX('Your Inputs'!$C$8:$C$10,MATCH($D296,'Your Inputs'!$B$8:$B$10,0))</f>
        <v>62</v>
      </c>
      <c r="I296" s="15" t="n">
        <f aca="false">INDEX('Your Inputs'!$D$8:$D$10,MATCH($D296,'Your Inputs'!$B$8:$B$10,0))</f>
        <v>36</v>
      </c>
      <c r="J296" s="15" t="n">
        <f aca="false">ROUND($E296*$H296,2)</f>
        <v>83390</v>
      </c>
      <c r="K296" s="15" t="n">
        <f aca="false">ROUND($E296*$I296,2)</f>
        <v>48420</v>
      </c>
      <c r="L296" s="15" t="n">
        <f aca="false">ROUND($F296*'Your Inputs'!$C$31,2)</f>
        <v>1634.44</v>
      </c>
      <c r="M296" s="15" t="n">
        <f aca="false">ROUND($G296-$K296-$L296,2)</f>
        <v>30850.54</v>
      </c>
      <c r="N296" s="15" t="n">
        <f aca="false">$G296/$E296</f>
        <v>60.1524014869888</v>
      </c>
      <c r="O296" s="25" t="n">
        <f aca="false">$G296/$J296</f>
        <v>0.970200023983691</v>
      </c>
      <c r="P296" s="18" t="str">
        <f aca="false">$C296&amp;" | "&amp;$D296</f>
        <v>Small direct | Sealants</v>
      </c>
      <c r="Q296" s="25" t="n">
        <f aca="false">INDEX('Your Floors'!$K$20:$K$31,MATCH($P296,'Your Floors'!$D$20:$D$31,0))</f>
        <v>0.905849957217107</v>
      </c>
      <c r="R296" s="18" t="str">
        <f aca="false">IF($O296&lt;$Q296,"below the floor","at or above it")</f>
        <v>at or above it</v>
      </c>
      <c r="S296" s="15" t="n">
        <f aca="false">IF($O296&lt;$Q296,$E296*ROUND($Q296*$H296,2),$G296)</f>
        <v>80904.98</v>
      </c>
      <c r="T296" s="15" t="n">
        <f aca="false">IF($O296&lt;$Q296,ROUND($L296*$S296/$G296,2),$L296)</f>
        <v>1634.44</v>
      </c>
      <c r="U296" s="15" t="n">
        <f aca="false">ROUND(($S296-$G296)-($T296-$L296),2)</f>
        <v>0</v>
      </c>
      <c r="V296" s="15" t="n">
        <f aca="false">IF($O296&lt;$Q296,ROUND($S296-$K296-$T296,2),$M296)</f>
        <v>30850.54</v>
      </c>
    </row>
    <row r="297" customFormat="false" ht="15" hidden="false" customHeight="false" outlineLevel="0" collapsed="false">
      <c r="B297" s="13" t="s">
        <v>225</v>
      </c>
      <c r="C297" s="13" t="s">
        <v>218</v>
      </c>
      <c r="D297" s="13" t="s">
        <v>56</v>
      </c>
      <c r="E297" s="24" t="n">
        <v>542</v>
      </c>
      <c r="F297" s="14" t="n">
        <v>50991.36</v>
      </c>
      <c r="G297" s="14" t="n">
        <v>50481.45</v>
      </c>
      <c r="H297" s="15" t="n">
        <f aca="false">INDEX('Your Inputs'!$C$8:$C$10,MATCH($D297,'Your Inputs'!$B$8:$B$10,0))</f>
        <v>96</v>
      </c>
      <c r="I297" s="15" t="n">
        <f aca="false">INDEX('Your Inputs'!$D$8:$D$10,MATCH($D297,'Your Inputs'!$B$8:$B$10,0))</f>
        <v>58</v>
      </c>
      <c r="J297" s="15" t="n">
        <f aca="false">ROUND($E297*$H297,2)</f>
        <v>52032</v>
      </c>
      <c r="K297" s="15" t="n">
        <f aca="false">ROUND($E297*$I297,2)</f>
        <v>31436</v>
      </c>
      <c r="L297" s="15" t="n">
        <f aca="false">ROUND($F297*'Your Inputs'!$C$31,2)</f>
        <v>1019.83</v>
      </c>
      <c r="M297" s="15" t="n">
        <f aca="false">ROUND($G297-$K297-$L297,2)</f>
        <v>18025.62</v>
      </c>
      <c r="N297" s="15" t="n">
        <f aca="false">$G297/$E297</f>
        <v>93.1392066420664</v>
      </c>
      <c r="O297" s="25" t="n">
        <f aca="false">$G297/$J297</f>
        <v>0.970200069188192</v>
      </c>
      <c r="P297" s="18" t="str">
        <f aca="false">$C297&amp;" | "&amp;$D297</f>
        <v>Small direct | Protective coatings</v>
      </c>
      <c r="Q297" s="25" t="n">
        <f aca="false">INDEX('Your Floors'!$K$20:$K$31,MATCH($P297,'Your Floors'!$D$20:$D$31,0))</f>
        <v>0.922679993872549</v>
      </c>
      <c r="R297" s="18" t="str">
        <f aca="false">IF($O297&lt;$Q297,"below the floor","at or above it")</f>
        <v>at or above it</v>
      </c>
      <c r="S297" s="15" t="n">
        <f aca="false">IF($O297&lt;$Q297,$E297*ROUND($Q297*$H297,2),$G297)</f>
        <v>50481.45</v>
      </c>
      <c r="T297" s="15" t="n">
        <f aca="false">IF($O297&lt;$Q297,ROUND($L297*$S297/$G297,2),$L297)</f>
        <v>1019.83</v>
      </c>
      <c r="U297" s="15" t="n">
        <f aca="false">ROUND(($S297-$G297)-($T297-$L297),2)</f>
        <v>0</v>
      </c>
      <c r="V297" s="15" t="n">
        <f aca="false">IF($O297&lt;$Q297,ROUND($S297-$K297-$T297,2),$M297)</f>
        <v>18025.62</v>
      </c>
    </row>
    <row r="298" customFormat="false" ht="15" hidden="false" customHeight="false" outlineLevel="0" collapsed="false">
      <c r="B298" s="13" t="s">
        <v>226</v>
      </c>
      <c r="C298" s="13" t="s">
        <v>218</v>
      </c>
      <c r="D298" s="13" t="s">
        <v>52</v>
      </c>
      <c r="E298" s="24" t="n">
        <v>160</v>
      </c>
      <c r="F298" s="14" t="n">
        <v>23166.14</v>
      </c>
      <c r="G298" s="14" t="n">
        <v>22934.48</v>
      </c>
      <c r="H298" s="15" t="n">
        <f aca="false">INDEX('Your Inputs'!$C$8:$C$10,MATCH($D298,'Your Inputs'!$B$8:$B$10,0))</f>
        <v>148</v>
      </c>
      <c r="I298" s="15" t="n">
        <f aca="false">INDEX('Your Inputs'!$D$8:$D$10,MATCH($D298,'Your Inputs'!$B$8:$B$10,0))</f>
        <v>78</v>
      </c>
      <c r="J298" s="15" t="n">
        <f aca="false">ROUND($E298*$H298,2)</f>
        <v>23680</v>
      </c>
      <c r="K298" s="15" t="n">
        <f aca="false">ROUND($E298*$I298,2)</f>
        <v>12480</v>
      </c>
      <c r="L298" s="15" t="n">
        <f aca="false">ROUND($F298*'Your Inputs'!$C$31,2)</f>
        <v>463.32</v>
      </c>
      <c r="M298" s="15" t="n">
        <f aca="false">ROUND($G298-$K298-$L298,2)</f>
        <v>9991.16</v>
      </c>
      <c r="N298" s="15" t="n">
        <f aca="false">$G298/$E298</f>
        <v>143.3405</v>
      </c>
      <c r="O298" s="25" t="n">
        <f aca="false">$G298/$J298</f>
        <v>0.968516891891892</v>
      </c>
      <c r="P298" s="18" t="str">
        <f aca="false">$C298&amp;" | "&amp;$D298</f>
        <v>Small direct | Structural adhesives</v>
      </c>
      <c r="Q298" s="25" t="n">
        <f aca="false">INDEX('Your Floors'!$K$20:$K$31,MATCH($P298,'Your Floors'!$D$20:$D$31,0))</f>
        <v>0.939509972168612</v>
      </c>
      <c r="R298" s="18" t="str">
        <f aca="false">IF($O298&lt;$Q298,"below the floor","at or above it")</f>
        <v>at or above it</v>
      </c>
      <c r="S298" s="15" t="n">
        <f aca="false">IF($O298&lt;$Q298,$E298*ROUND($Q298*$H298,2),$G298)</f>
        <v>22934.48</v>
      </c>
      <c r="T298" s="15" t="n">
        <f aca="false">IF($O298&lt;$Q298,ROUND($L298*$S298/$G298,2),$L298)</f>
        <v>463.32</v>
      </c>
      <c r="U298" s="15" t="n">
        <f aca="false">ROUND(($S298-$G298)-($T298-$L298),2)</f>
        <v>0</v>
      </c>
      <c r="V298" s="15" t="n">
        <f aca="false">IF($O298&lt;$Q298,ROUND($S298-$K298-$T298,2),$M298)</f>
        <v>9991.16</v>
      </c>
    </row>
    <row r="299" customFormat="false" ht="15" hidden="false" customHeight="false" outlineLevel="0" collapsed="false">
      <c r="B299" s="13" t="s">
        <v>226</v>
      </c>
      <c r="C299" s="13" t="s">
        <v>218</v>
      </c>
      <c r="D299" s="13" t="s">
        <v>54</v>
      </c>
      <c r="E299" s="24" t="n">
        <v>951</v>
      </c>
      <c r="F299" s="14" t="n">
        <v>56279.23</v>
      </c>
      <c r="G299" s="14" t="n">
        <v>55716.44</v>
      </c>
      <c r="H299" s="15" t="n">
        <f aca="false">INDEX('Your Inputs'!$C$8:$C$10,MATCH($D299,'Your Inputs'!$B$8:$B$10,0))</f>
        <v>62</v>
      </c>
      <c r="I299" s="15" t="n">
        <f aca="false">INDEX('Your Inputs'!$D$8:$D$10,MATCH($D299,'Your Inputs'!$B$8:$B$10,0))</f>
        <v>36</v>
      </c>
      <c r="J299" s="15" t="n">
        <f aca="false">ROUND($E299*$H299,2)</f>
        <v>58962</v>
      </c>
      <c r="K299" s="15" t="n">
        <f aca="false">ROUND($E299*$I299,2)</f>
        <v>34236</v>
      </c>
      <c r="L299" s="15" t="n">
        <f aca="false">ROUND($F299*'Your Inputs'!$C$31,2)</f>
        <v>1125.58</v>
      </c>
      <c r="M299" s="15" t="n">
        <f aca="false">ROUND($G299-$K299-$L299,2)</f>
        <v>20354.86</v>
      </c>
      <c r="N299" s="15" t="n">
        <f aca="false">$G299/$E299</f>
        <v>58.5872134595163</v>
      </c>
      <c r="O299" s="25" t="n">
        <f aca="false">$G299/$J299</f>
        <v>0.94495505579865</v>
      </c>
      <c r="P299" s="18" t="str">
        <f aca="false">$C299&amp;" | "&amp;$D299</f>
        <v>Small direct | Sealants</v>
      </c>
      <c r="Q299" s="25" t="n">
        <f aca="false">INDEX('Your Floors'!$K$20:$K$31,MATCH($P299,'Your Floors'!$D$20:$D$31,0))</f>
        <v>0.905849957217107</v>
      </c>
      <c r="R299" s="18" t="str">
        <f aca="false">IF($O299&lt;$Q299,"below the floor","at or above it")</f>
        <v>at or above it</v>
      </c>
      <c r="S299" s="15" t="n">
        <f aca="false">IF($O299&lt;$Q299,$E299*ROUND($Q299*$H299,2),$G299)</f>
        <v>55716.44</v>
      </c>
      <c r="T299" s="15" t="n">
        <f aca="false">IF($O299&lt;$Q299,ROUND($L299*$S299/$G299,2),$L299)</f>
        <v>1125.58</v>
      </c>
      <c r="U299" s="15" t="n">
        <f aca="false">ROUND(($S299-$G299)-($T299-$L299),2)</f>
        <v>0</v>
      </c>
      <c r="V299" s="15" t="n">
        <f aca="false">IF($O299&lt;$Q299,ROUND($S299-$K299-$T299,2),$M299)</f>
        <v>20354.86</v>
      </c>
    </row>
    <row r="300" customFormat="false" ht="15" hidden="false" customHeight="false" outlineLevel="0" collapsed="false">
      <c r="B300" s="13" t="s">
        <v>226</v>
      </c>
      <c r="C300" s="13" t="s">
        <v>218</v>
      </c>
      <c r="D300" s="13" t="s">
        <v>56</v>
      </c>
      <c r="E300" s="24" t="n">
        <v>372</v>
      </c>
      <c r="F300" s="14" t="n">
        <v>34512.08</v>
      </c>
      <c r="G300" s="14" t="n">
        <v>34166.96</v>
      </c>
      <c r="H300" s="15" t="n">
        <f aca="false">INDEX('Your Inputs'!$C$8:$C$10,MATCH($D300,'Your Inputs'!$B$8:$B$10,0))</f>
        <v>96</v>
      </c>
      <c r="I300" s="15" t="n">
        <f aca="false">INDEX('Your Inputs'!$D$8:$D$10,MATCH($D300,'Your Inputs'!$B$8:$B$10,0))</f>
        <v>58</v>
      </c>
      <c r="J300" s="15" t="n">
        <f aca="false">ROUND($E300*$H300,2)</f>
        <v>35712</v>
      </c>
      <c r="K300" s="15" t="n">
        <f aca="false">ROUND($E300*$I300,2)</f>
        <v>21576</v>
      </c>
      <c r="L300" s="15" t="n">
        <f aca="false">ROUND($F300*'Your Inputs'!$C$31,2)</f>
        <v>690.24</v>
      </c>
      <c r="M300" s="15" t="n">
        <f aca="false">ROUND($G300-$K300-$L300,2)</f>
        <v>11900.72</v>
      </c>
      <c r="N300" s="15" t="n">
        <f aca="false">$G300/$E300</f>
        <v>91.8466666666667</v>
      </c>
      <c r="O300" s="25" t="n">
        <f aca="false">$G300/$J300</f>
        <v>0.956736111111111</v>
      </c>
      <c r="P300" s="18" t="str">
        <f aca="false">$C300&amp;" | "&amp;$D300</f>
        <v>Small direct | Protective coatings</v>
      </c>
      <c r="Q300" s="25" t="n">
        <f aca="false">INDEX('Your Floors'!$K$20:$K$31,MATCH($P300,'Your Floors'!$D$20:$D$31,0))</f>
        <v>0.922679993872549</v>
      </c>
      <c r="R300" s="18" t="str">
        <f aca="false">IF($O300&lt;$Q300,"below the floor","at or above it")</f>
        <v>at or above it</v>
      </c>
      <c r="S300" s="15" t="n">
        <f aca="false">IF($O300&lt;$Q300,$E300*ROUND($Q300*$H300,2),$G300)</f>
        <v>34166.96</v>
      </c>
      <c r="T300" s="15" t="n">
        <f aca="false">IF($O300&lt;$Q300,ROUND($L300*$S300/$G300,2),$L300)</f>
        <v>690.24</v>
      </c>
      <c r="U300" s="15" t="n">
        <f aca="false">ROUND(($S300-$G300)-($T300-$L300),2)</f>
        <v>0</v>
      </c>
      <c r="V300" s="15" t="n">
        <f aca="false">IF($O300&lt;$Q300,ROUND($S300-$K300-$T300,2),$M300)</f>
        <v>11900.72</v>
      </c>
    </row>
    <row r="301" customFormat="false" ht="15" hidden="false" customHeight="false" outlineLevel="0" collapsed="false">
      <c r="B301" s="13" t="s">
        <v>227</v>
      </c>
      <c r="C301" s="13" t="s">
        <v>218</v>
      </c>
      <c r="D301" s="13" t="s">
        <v>52</v>
      </c>
      <c r="E301" s="24" t="n">
        <v>147</v>
      </c>
      <c r="F301" s="14" t="n">
        <v>20811.79</v>
      </c>
      <c r="G301" s="14" t="n">
        <v>20603.67</v>
      </c>
      <c r="H301" s="15" t="n">
        <f aca="false">INDEX('Your Inputs'!$C$8:$C$10,MATCH($D301,'Your Inputs'!$B$8:$B$10,0))</f>
        <v>148</v>
      </c>
      <c r="I301" s="15" t="n">
        <f aca="false">INDEX('Your Inputs'!$D$8:$D$10,MATCH($D301,'Your Inputs'!$B$8:$B$10,0))</f>
        <v>78</v>
      </c>
      <c r="J301" s="15" t="n">
        <f aca="false">ROUND($E301*$H301,2)</f>
        <v>21756</v>
      </c>
      <c r="K301" s="15" t="n">
        <f aca="false">ROUND($E301*$I301,2)</f>
        <v>11466</v>
      </c>
      <c r="L301" s="15" t="n">
        <f aca="false">ROUND($F301*'Your Inputs'!$C$31,2)</f>
        <v>416.24</v>
      </c>
      <c r="M301" s="15" t="n">
        <f aca="false">ROUND($G301-$K301-$L301,2)</f>
        <v>8721.43</v>
      </c>
      <c r="N301" s="15" t="n">
        <f aca="false">$G301/$E301</f>
        <v>140.161020408163</v>
      </c>
      <c r="O301" s="25" t="n">
        <f aca="false">$G301/$J301</f>
        <v>0.947033921676779</v>
      </c>
      <c r="P301" s="18" t="str">
        <f aca="false">$C301&amp;" | "&amp;$D301</f>
        <v>Small direct | Structural adhesives</v>
      </c>
      <c r="Q301" s="25" t="n">
        <f aca="false">INDEX('Your Floors'!$K$20:$K$31,MATCH($P301,'Your Floors'!$D$20:$D$31,0))</f>
        <v>0.939509972168612</v>
      </c>
      <c r="R301" s="18" t="str">
        <f aca="false">IF($O301&lt;$Q301,"below the floor","at or above it")</f>
        <v>at or above it</v>
      </c>
      <c r="S301" s="15" t="n">
        <f aca="false">IF($O301&lt;$Q301,$E301*ROUND($Q301*$H301,2),$G301)</f>
        <v>20603.67</v>
      </c>
      <c r="T301" s="15" t="n">
        <f aca="false">IF($O301&lt;$Q301,ROUND($L301*$S301/$G301,2),$L301)</f>
        <v>416.24</v>
      </c>
      <c r="U301" s="15" t="n">
        <f aca="false">ROUND(($S301-$G301)-($T301-$L301),2)</f>
        <v>0</v>
      </c>
      <c r="V301" s="15" t="n">
        <f aca="false">IF($O301&lt;$Q301,ROUND($S301-$K301-$T301,2),$M301)</f>
        <v>8721.43</v>
      </c>
    </row>
    <row r="302" customFormat="false" ht="15" hidden="false" customHeight="false" outlineLevel="0" collapsed="false">
      <c r="B302" s="13" t="s">
        <v>227</v>
      </c>
      <c r="C302" s="13" t="s">
        <v>218</v>
      </c>
      <c r="D302" s="13" t="s">
        <v>54</v>
      </c>
      <c r="E302" s="24" t="n">
        <v>495</v>
      </c>
      <c r="F302" s="14" t="n">
        <v>27897.21</v>
      </c>
      <c r="G302" s="14" t="n">
        <v>27618.24</v>
      </c>
      <c r="H302" s="15" t="n">
        <f aca="false">INDEX('Your Inputs'!$C$8:$C$10,MATCH($D302,'Your Inputs'!$B$8:$B$10,0))</f>
        <v>62</v>
      </c>
      <c r="I302" s="15" t="n">
        <f aca="false">INDEX('Your Inputs'!$D$8:$D$10,MATCH($D302,'Your Inputs'!$B$8:$B$10,0))</f>
        <v>36</v>
      </c>
      <c r="J302" s="15" t="n">
        <f aca="false">ROUND($E302*$H302,2)</f>
        <v>30690</v>
      </c>
      <c r="K302" s="15" t="n">
        <f aca="false">ROUND($E302*$I302,2)</f>
        <v>17820</v>
      </c>
      <c r="L302" s="15" t="n">
        <f aca="false">ROUND($F302*'Your Inputs'!$C$31,2)</f>
        <v>557.94</v>
      </c>
      <c r="M302" s="15" t="n">
        <f aca="false">ROUND($G302-$K302-$L302,2)</f>
        <v>9240.3</v>
      </c>
      <c r="N302" s="15" t="n">
        <f aca="false">$G302/$E302</f>
        <v>55.7944242424243</v>
      </c>
      <c r="O302" s="25" t="n">
        <f aca="false">$G302/$J302</f>
        <v>0.899910068426198</v>
      </c>
      <c r="P302" s="18" t="str">
        <f aca="false">$C302&amp;" | "&amp;$D302</f>
        <v>Small direct | Sealants</v>
      </c>
      <c r="Q302" s="25" t="n">
        <f aca="false">INDEX('Your Floors'!$K$20:$K$31,MATCH($P302,'Your Floors'!$D$20:$D$31,0))</f>
        <v>0.905849957217107</v>
      </c>
      <c r="R302" s="18" t="str">
        <f aca="false">IF($O302&lt;$Q302,"below the floor","at or above it")</f>
        <v>below the floor</v>
      </c>
      <c r="S302" s="15" t="n">
        <f aca="false">IF($O302&lt;$Q302,$E302*ROUND($Q302*$H302,2),$G302)</f>
        <v>27799.2</v>
      </c>
      <c r="T302" s="15" t="n">
        <f aca="false">IF($O302&lt;$Q302,ROUND($L302*$S302/$G302,2),$L302)</f>
        <v>561.6</v>
      </c>
      <c r="U302" s="15" t="n">
        <f aca="false">ROUND(($S302-$G302)-($T302-$L302),2)</f>
        <v>177.3</v>
      </c>
      <c r="V302" s="15" t="n">
        <f aca="false">IF($O302&lt;$Q302,ROUND($S302-$K302-$T302,2),$M302)</f>
        <v>9417.6</v>
      </c>
    </row>
    <row r="303" customFormat="false" ht="15" hidden="false" customHeight="false" outlineLevel="0" collapsed="false">
      <c r="B303" s="13" t="s">
        <v>227</v>
      </c>
      <c r="C303" s="13" t="s">
        <v>218</v>
      </c>
      <c r="D303" s="13" t="s">
        <v>56</v>
      </c>
      <c r="E303" s="24" t="n">
        <v>138</v>
      </c>
      <c r="F303" s="14" t="n">
        <v>12357.73</v>
      </c>
      <c r="G303" s="14" t="n">
        <v>12234.15</v>
      </c>
      <c r="H303" s="15" t="n">
        <f aca="false">INDEX('Your Inputs'!$C$8:$C$10,MATCH($D303,'Your Inputs'!$B$8:$B$10,0))</f>
        <v>96</v>
      </c>
      <c r="I303" s="15" t="n">
        <f aca="false">INDEX('Your Inputs'!$D$8:$D$10,MATCH($D303,'Your Inputs'!$B$8:$B$10,0))</f>
        <v>58</v>
      </c>
      <c r="J303" s="15" t="n">
        <f aca="false">ROUND($E303*$H303,2)</f>
        <v>13248</v>
      </c>
      <c r="K303" s="15" t="n">
        <f aca="false">ROUND($E303*$I303,2)</f>
        <v>8004</v>
      </c>
      <c r="L303" s="15" t="n">
        <f aca="false">ROUND($F303*'Your Inputs'!$C$31,2)</f>
        <v>247.15</v>
      </c>
      <c r="M303" s="15" t="n">
        <f aca="false">ROUND($G303-$K303-$L303,2)</f>
        <v>3983</v>
      </c>
      <c r="N303" s="15" t="n">
        <f aca="false">$G303/$E303</f>
        <v>88.6532608695652</v>
      </c>
      <c r="O303" s="25" t="n">
        <f aca="false">$G303/$J303</f>
        <v>0.923471467391304</v>
      </c>
      <c r="P303" s="18" t="str">
        <f aca="false">$C303&amp;" | "&amp;$D303</f>
        <v>Small direct | Protective coatings</v>
      </c>
      <c r="Q303" s="25" t="n">
        <f aca="false">INDEX('Your Floors'!$K$20:$K$31,MATCH($P303,'Your Floors'!$D$20:$D$31,0))</f>
        <v>0.922679993872549</v>
      </c>
      <c r="R303" s="18" t="str">
        <f aca="false">IF($O303&lt;$Q303,"below the floor","at or above it")</f>
        <v>at or above it</v>
      </c>
      <c r="S303" s="15" t="n">
        <f aca="false">IF($O303&lt;$Q303,$E303*ROUND($Q303*$H303,2),$G303)</f>
        <v>12234.15</v>
      </c>
      <c r="T303" s="15" t="n">
        <f aca="false">IF($O303&lt;$Q303,ROUND($L303*$S303/$G303,2),$L303)</f>
        <v>247.15</v>
      </c>
      <c r="U303" s="15" t="n">
        <f aca="false">ROUND(($S303-$G303)-($T303-$L303),2)</f>
        <v>0</v>
      </c>
      <c r="V303" s="15" t="n">
        <f aca="false">IF($O303&lt;$Q303,ROUND($S303-$K303-$T303,2),$M303)</f>
        <v>3983</v>
      </c>
    </row>
    <row r="304" customFormat="false" ht="15" hidden="false" customHeight="false" outlineLevel="0" collapsed="false">
      <c r="B304" s="13" t="s">
        <v>228</v>
      </c>
      <c r="C304" s="13" t="s">
        <v>218</v>
      </c>
      <c r="D304" s="13" t="s">
        <v>52</v>
      </c>
      <c r="E304" s="24" t="n">
        <v>190</v>
      </c>
      <c r="F304" s="14" t="n">
        <v>28120</v>
      </c>
      <c r="G304" s="14" t="n">
        <v>27838.8</v>
      </c>
      <c r="H304" s="15" t="n">
        <f aca="false">INDEX('Your Inputs'!$C$8:$C$10,MATCH($D304,'Your Inputs'!$B$8:$B$10,0))</f>
        <v>148</v>
      </c>
      <c r="I304" s="15" t="n">
        <f aca="false">INDEX('Your Inputs'!$D$8:$D$10,MATCH($D304,'Your Inputs'!$B$8:$B$10,0))</f>
        <v>78</v>
      </c>
      <c r="J304" s="15" t="n">
        <f aca="false">ROUND($E304*$H304,2)</f>
        <v>28120</v>
      </c>
      <c r="K304" s="15" t="n">
        <f aca="false">ROUND($E304*$I304,2)</f>
        <v>14820</v>
      </c>
      <c r="L304" s="15" t="n">
        <f aca="false">ROUND($F304*'Your Inputs'!$C$31,2)</f>
        <v>562.4</v>
      </c>
      <c r="M304" s="15" t="n">
        <f aca="false">ROUND($G304-$K304-$L304,2)</f>
        <v>12456.4</v>
      </c>
      <c r="N304" s="15" t="n">
        <f aca="false">$G304/$E304</f>
        <v>146.52</v>
      </c>
      <c r="O304" s="25" t="n">
        <f aca="false">$G304/$J304</f>
        <v>0.99</v>
      </c>
      <c r="P304" s="18" t="str">
        <f aca="false">$C304&amp;" | "&amp;$D304</f>
        <v>Small direct | Structural adhesives</v>
      </c>
      <c r="Q304" s="25" t="n">
        <f aca="false">INDEX('Your Floors'!$K$20:$K$31,MATCH($P304,'Your Floors'!$D$20:$D$31,0))</f>
        <v>0.939509972168612</v>
      </c>
      <c r="R304" s="18" t="str">
        <f aca="false">IF($O304&lt;$Q304,"below the floor","at or above it")</f>
        <v>at or above it</v>
      </c>
      <c r="S304" s="15" t="n">
        <f aca="false">IF($O304&lt;$Q304,$E304*ROUND($Q304*$H304,2),$G304)</f>
        <v>27838.8</v>
      </c>
      <c r="T304" s="15" t="n">
        <f aca="false">IF($O304&lt;$Q304,ROUND($L304*$S304/$G304,2),$L304)</f>
        <v>562.4</v>
      </c>
      <c r="U304" s="15" t="n">
        <f aca="false">ROUND(($S304-$G304)-($T304-$L304),2)</f>
        <v>0</v>
      </c>
      <c r="V304" s="15" t="n">
        <f aca="false">IF($O304&lt;$Q304,ROUND($S304-$K304-$T304,2),$M304)</f>
        <v>12456.4</v>
      </c>
    </row>
    <row r="305" customFormat="false" ht="15" hidden="false" customHeight="false" outlineLevel="0" collapsed="false">
      <c r="B305" s="13" t="s">
        <v>228</v>
      </c>
      <c r="C305" s="13" t="s">
        <v>218</v>
      </c>
      <c r="D305" s="13" t="s">
        <v>56</v>
      </c>
      <c r="E305" s="24" t="n">
        <v>229</v>
      </c>
      <c r="F305" s="14" t="n">
        <v>21984</v>
      </c>
      <c r="G305" s="14" t="n">
        <v>21764.16</v>
      </c>
      <c r="H305" s="15" t="n">
        <f aca="false">INDEX('Your Inputs'!$C$8:$C$10,MATCH($D305,'Your Inputs'!$B$8:$B$10,0))</f>
        <v>96</v>
      </c>
      <c r="I305" s="15" t="n">
        <f aca="false">INDEX('Your Inputs'!$D$8:$D$10,MATCH($D305,'Your Inputs'!$B$8:$B$10,0))</f>
        <v>58</v>
      </c>
      <c r="J305" s="15" t="n">
        <f aca="false">ROUND($E305*$H305,2)</f>
        <v>21984</v>
      </c>
      <c r="K305" s="15" t="n">
        <f aca="false">ROUND($E305*$I305,2)</f>
        <v>13282</v>
      </c>
      <c r="L305" s="15" t="n">
        <f aca="false">ROUND($F305*'Your Inputs'!$C$31,2)</f>
        <v>439.68</v>
      </c>
      <c r="M305" s="15" t="n">
        <f aca="false">ROUND($G305-$K305-$L305,2)</f>
        <v>8042.48</v>
      </c>
      <c r="N305" s="15" t="n">
        <f aca="false">$G305/$E305</f>
        <v>95.04</v>
      </c>
      <c r="O305" s="25" t="n">
        <f aca="false">$G305/$J305</f>
        <v>0.99</v>
      </c>
      <c r="P305" s="18" t="str">
        <f aca="false">$C305&amp;" | "&amp;$D305</f>
        <v>Small direct | Protective coatings</v>
      </c>
      <c r="Q305" s="25" t="n">
        <f aca="false">INDEX('Your Floors'!$K$20:$K$31,MATCH($P305,'Your Floors'!$D$20:$D$31,0))</f>
        <v>0.922679993872549</v>
      </c>
      <c r="R305" s="18" t="str">
        <f aca="false">IF($O305&lt;$Q305,"below the floor","at or above it")</f>
        <v>at or above it</v>
      </c>
      <c r="S305" s="15" t="n">
        <f aca="false">IF($O305&lt;$Q305,$E305*ROUND($Q305*$H305,2),$G305)</f>
        <v>21764.16</v>
      </c>
      <c r="T305" s="15" t="n">
        <f aca="false">IF($O305&lt;$Q305,ROUND($L305*$S305/$G305,2),$L305)</f>
        <v>439.68</v>
      </c>
      <c r="U305" s="15" t="n">
        <f aca="false">ROUND(($S305-$G305)-($T305-$L305),2)</f>
        <v>0</v>
      </c>
      <c r="V305" s="15" t="n">
        <f aca="false">IF($O305&lt;$Q305,ROUND($S305-$K305-$T305,2),$M305)</f>
        <v>8042.48</v>
      </c>
    </row>
    <row r="306" customFormat="false" ht="15" hidden="false" customHeight="false" outlineLevel="0" collapsed="false">
      <c r="B306" s="13" t="s">
        <v>229</v>
      </c>
      <c r="C306" s="13" t="s">
        <v>218</v>
      </c>
      <c r="D306" s="13" t="s">
        <v>52</v>
      </c>
      <c r="E306" s="24" t="n">
        <v>145</v>
      </c>
      <c r="F306" s="14" t="n">
        <v>21460</v>
      </c>
      <c r="G306" s="14" t="n">
        <v>21245.4</v>
      </c>
      <c r="H306" s="15" t="n">
        <f aca="false">INDEX('Your Inputs'!$C$8:$C$10,MATCH($D306,'Your Inputs'!$B$8:$B$10,0))</f>
        <v>148</v>
      </c>
      <c r="I306" s="15" t="n">
        <f aca="false">INDEX('Your Inputs'!$D$8:$D$10,MATCH($D306,'Your Inputs'!$B$8:$B$10,0))</f>
        <v>78</v>
      </c>
      <c r="J306" s="15" t="n">
        <f aca="false">ROUND($E306*$H306,2)</f>
        <v>21460</v>
      </c>
      <c r="K306" s="15" t="n">
        <f aca="false">ROUND($E306*$I306,2)</f>
        <v>11310</v>
      </c>
      <c r="L306" s="15" t="n">
        <f aca="false">ROUND($F306*'Your Inputs'!$C$31,2)</f>
        <v>429.2</v>
      </c>
      <c r="M306" s="15" t="n">
        <f aca="false">ROUND($G306-$K306-$L306,2)</f>
        <v>9506.2</v>
      </c>
      <c r="N306" s="15" t="n">
        <f aca="false">$G306/$E306</f>
        <v>146.52</v>
      </c>
      <c r="O306" s="25" t="n">
        <f aca="false">$G306/$J306</f>
        <v>0.99</v>
      </c>
      <c r="P306" s="18" t="str">
        <f aca="false">$C306&amp;" | "&amp;$D306</f>
        <v>Small direct | Structural adhesives</v>
      </c>
      <c r="Q306" s="25" t="n">
        <f aca="false">INDEX('Your Floors'!$K$20:$K$31,MATCH($P306,'Your Floors'!$D$20:$D$31,0))</f>
        <v>0.939509972168612</v>
      </c>
      <c r="R306" s="18" t="str">
        <f aca="false">IF($O306&lt;$Q306,"below the floor","at or above it")</f>
        <v>at or above it</v>
      </c>
      <c r="S306" s="15" t="n">
        <f aca="false">IF($O306&lt;$Q306,$E306*ROUND($Q306*$H306,2),$G306)</f>
        <v>21245.4</v>
      </c>
      <c r="T306" s="15" t="n">
        <f aca="false">IF($O306&lt;$Q306,ROUND($L306*$S306/$G306,2),$L306)</f>
        <v>429.2</v>
      </c>
      <c r="U306" s="15" t="n">
        <f aca="false">ROUND(($S306-$G306)-($T306-$L306),2)</f>
        <v>0</v>
      </c>
      <c r="V306" s="15" t="n">
        <f aca="false">IF($O306&lt;$Q306,ROUND($S306-$K306-$T306,2),$M306)</f>
        <v>9506.2</v>
      </c>
    </row>
    <row r="307" customFormat="false" ht="15" hidden="false" customHeight="false" outlineLevel="0" collapsed="false">
      <c r="B307" s="13" t="s">
        <v>229</v>
      </c>
      <c r="C307" s="13" t="s">
        <v>218</v>
      </c>
      <c r="D307" s="13" t="s">
        <v>54</v>
      </c>
      <c r="E307" s="24" t="n">
        <v>573</v>
      </c>
      <c r="F307" s="14" t="n">
        <v>35526</v>
      </c>
      <c r="G307" s="14" t="n">
        <v>35170.74</v>
      </c>
      <c r="H307" s="15" t="n">
        <f aca="false">INDEX('Your Inputs'!$C$8:$C$10,MATCH($D307,'Your Inputs'!$B$8:$B$10,0))</f>
        <v>62</v>
      </c>
      <c r="I307" s="15" t="n">
        <f aca="false">INDEX('Your Inputs'!$D$8:$D$10,MATCH($D307,'Your Inputs'!$B$8:$B$10,0))</f>
        <v>36</v>
      </c>
      <c r="J307" s="15" t="n">
        <f aca="false">ROUND($E307*$H307,2)</f>
        <v>35526</v>
      </c>
      <c r="K307" s="15" t="n">
        <f aca="false">ROUND($E307*$I307,2)</f>
        <v>20628</v>
      </c>
      <c r="L307" s="15" t="n">
        <f aca="false">ROUND($F307*'Your Inputs'!$C$31,2)</f>
        <v>710.52</v>
      </c>
      <c r="M307" s="15" t="n">
        <f aca="false">ROUND($G307-$K307-$L307,2)</f>
        <v>13832.22</v>
      </c>
      <c r="N307" s="15" t="n">
        <f aca="false">$G307/$E307</f>
        <v>61.38</v>
      </c>
      <c r="O307" s="25" t="n">
        <f aca="false">$G307/$J307</f>
        <v>0.99</v>
      </c>
      <c r="P307" s="18" t="str">
        <f aca="false">$C307&amp;" | "&amp;$D307</f>
        <v>Small direct | Sealants</v>
      </c>
      <c r="Q307" s="25" t="n">
        <f aca="false">INDEX('Your Floors'!$K$20:$K$31,MATCH($P307,'Your Floors'!$D$20:$D$31,0))</f>
        <v>0.905849957217107</v>
      </c>
      <c r="R307" s="18" t="str">
        <f aca="false">IF($O307&lt;$Q307,"below the floor","at or above it")</f>
        <v>at or above it</v>
      </c>
      <c r="S307" s="15" t="n">
        <f aca="false">IF($O307&lt;$Q307,$E307*ROUND($Q307*$H307,2),$G307)</f>
        <v>35170.74</v>
      </c>
      <c r="T307" s="15" t="n">
        <f aca="false">IF($O307&lt;$Q307,ROUND($L307*$S307/$G307,2),$L307)</f>
        <v>710.52</v>
      </c>
      <c r="U307" s="15" t="n">
        <f aca="false">ROUND(($S307-$G307)-($T307-$L307),2)</f>
        <v>0</v>
      </c>
      <c r="V307" s="15" t="n">
        <f aca="false">IF($O307&lt;$Q307,ROUND($S307-$K307-$T307,2),$M307)</f>
        <v>13832.22</v>
      </c>
    </row>
    <row r="308" customFormat="false" ht="15" hidden="false" customHeight="false" outlineLevel="0" collapsed="false">
      <c r="B308" s="13" t="s">
        <v>230</v>
      </c>
      <c r="C308" s="13" t="s">
        <v>218</v>
      </c>
      <c r="D308" s="13" t="s">
        <v>52</v>
      </c>
      <c r="E308" s="24" t="n">
        <v>249</v>
      </c>
      <c r="F308" s="14" t="n">
        <v>35429.51</v>
      </c>
      <c r="G308" s="14" t="n">
        <v>35075.21</v>
      </c>
      <c r="H308" s="15" t="n">
        <f aca="false">INDEX('Your Inputs'!$C$8:$C$10,MATCH($D308,'Your Inputs'!$B$8:$B$10,0))</f>
        <v>148</v>
      </c>
      <c r="I308" s="15" t="n">
        <f aca="false">INDEX('Your Inputs'!$D$8:$D$10,MATCH($D308,'Your Inputs'!$B$8:$B$10,0))</f>
        <v>78</v>
      </c>
      <c r="J308" s="15" t="n">
        <f aca="false">ROUND($E308*$H308,2)</f>
        <v>36852</v>
      </c>
      <c r="K308" s="15" t="n">
        <f aca="false">ROUND($E308*$I308,2)</f>
        <v>19422</v>
      </c>
      <c r="L308" s="15" t="n">
        <f aca="false">ROUND($F308*'Your Inputs'!$C$31,2)</f>
        <v>708.59</v>
      </c>
      <c r="M308" s="15" t="n">
        <f aca="false">ROUND($G308-$K308-$L308,2)</f>
        <v>14944.62</v>
      </c>
      <c r="N308" s="15" t="n">
        <f aca="false">$G308/$E308</f>
        <v>140.864297188755</v>
      </c>
      <c r="O308" s="25" t="n">
        <f aca="false">$G308/$J308</f>
        <v>0.951785791815912</v>
      </c>
      <c r="P308" s="18" t="str">
        <f aca="false">$C308&amp;" | "&amp;$D308</f>
        <v>Small direct | Structural adhesives</v>
      </c>
      <c r="Q308" s="25" t="n">
        <f aca="false">INDEX('Your Floors'!$K$20:$K$31,MATCH($P308,'Your Floors'!$D$20:$D$31,0))</f>
        <v>0.939509972168612</v>
      </c>
      <c r="R308" s="18" t="str">
        <f aca="false">IF($O308&lt;$Q308,"below the floor","at or above it")</f>
        <v>at or above it</v>
      </c>
      <c r="S308" s="15" t="n">
        <f aca="false">IF($O308&lt;$Q308,$E308*ROUND($Q308*$H308,2),$G308)</f>
        <v>35075.21</v>
      </c>
      <c r="T308" s="15" t="n">
        <f aca="false">IF($O308&lt;$Q308,ROUND($L308*$S308/$G308,2),$L308)</f>
        <v>708.59</v>
      </c>
      <c r="U308" s="15" t="n">
        <f aca="false">ROUND(($S308-$G308)-($T308-$L308),2)</f>
        <v>0</v>
      </c>
      <c r="V308" s="15" t="n">
        <f aca="false">IF($O308&lt;$Q308,ROUND($S308-$K308-$T308,2),$M308)</f>
        <v>14944.62</v>
      </c>
    </row>
    <row r="309" customFormat="false" ht="15" hidden="false" customHeight="false" outlineLevel="0" collapsed="false">
      <c r="B309" s="13" t="s">
        <v>230</v>
      </c>
      <c r="C309" s="13" t="s">
        <v>218</v>
      </c>
      <c r="D309" s="13" t="s">
        <v>54</v>
      </c>
      <c r="E309" s="24" t="n">
        <v>706</v>
      </c>
      <c r="F309" s="14" t="n">
        <v>41189.45</v>
      </c>
      <c r="G309" s="14" t="n">
        <v>40777.56</v>
      </c>
      <c r="H309" s="15" t="n">
        <f aca="false">INDEX('Your Inputs'!$C$8:$C$10,MATCH($D309,'Your Inputs'!$B$8:$B$10,0))</f>
        <v>62</v>
      </c>
      <c r="I309" s="15" t="n">
        <f aca="false">INDEX('Your Inputs'!$D$8:$D$10,MATCH($D309,'Your Inputs'!$B$8:$B$10,0))</f>
        <v>36</v>
      </c>
      <c r="J309" s="15" t="n">
        <f aca="false">ROUND($E309*$H309,2)</f>
        <v>43772</v>
      </c>
      <c r="K309" s="15" t="n">
        <f aca="false">ROUND($E309*$I309,2)</f>
        <v>25416</v>
      </c>
      <c r="L309" s="15" t="n">
        <f aca="false">ROUND($F309*'Your Inputs'!$C$31,2)</f>
        <v>823.79</v>
      </c>
      <c r="M309" s="15" t="n">
        <f aca="false">ROUND($G309-$K309-$L309,2)</f>
        <v>14537.77</v>
      </c>
      <c r="N309" s="15" t="n">
        <f aca="false">$G309/$E309</f>
        <v>57.7585835694051</v>
      </c>
      <c r="O309" s="25" t="n">
        <f aca="false">$G309/$J309</f>
        <v>0.93159005757105</v>
      </c>
      <c r="P309" s="18" t="str">
        <f aca="false">$C309&amp;" | "&amp;$D309</f>
        <v>Small direct | Sealants</v>
      </c>
      <c r="Q309" s="25" t="n">
        <f aca="false">INDEX('Your Floors'!$K$20:$K$31,MATCH($P309,'Your Floors'!$D$20:$D$31,0))</f>
        <v>0.905849957217107</v>
      </c>
      <c r="R309" s="18" t="str">
        <f aca="false">IF($O309&lt;$Q309,"below the floor","at or above it")</f>
        <v>at or above it</v>
      </c>
      <c r="S309" s="15" t="n">
        <f aca="false">IF($O309&lt;$Q309,$E309*ROUND($Q309*$H309,2),$G309)</f>
        <v>40777.56</v>
      </c>
      <c r="T309" s="15" t="n">
        <f aca="false">IF($O309&lt;$Q309,ROUND($L309*$S309/$G309,2),$L309)</f>
        <v>823.79</v>
      </c>
      <c r="U309" s="15" t="n">
        <f aca="false">ROUND(($S309-$G309)-($T309-$L309),2)</f>
        <v>0</v>
      </c>
      <c r="V309" s="15" t="n">
        <f aca="false">IF($O309&lt;$Q309,ROUND($S309-$K309-$T309,2),$M309)</f>
        <v>14537.77</v>
      </c>
    </row>
    <row r="310" customFormat="false" ht="15" hidden="false" customHeight="false" outlineLevel="0" collapsed="false">
      <c r="B310" s="13" t="s">
        <v>230</v>
      </c>
      <c r="C310" s="13" t="s">
        <v>218</v>
      </c>
      <c r="D310" s="13" t="s">
        <v>56</v>
      </c>
      <c r="E310" s="24" t="n">
        <v>132</v>
      </c>
      <c r="F310" s="14" t="n">
        <v>12053.61</v>
      </c>
      <c r="G310" s="14" t="n">
        <v>11933.07</v>
      </c>
      <c r="H310" s="15" t="n">
        <f aca="false">INDEX('Your Inputs'!$C$8:$C$10,MATCH($D310,'Your Inputs'!$B$8:$B$10,0))</f>
        <v>96</v>
      </c>
      <c r="I310" s="15" t="n">
        <f aca="false">INDEX('Your Inputs'!$D$8:$D$10,MATCH($D310,'Your Inputs'!$B$8:$B$10,0))</f>
        <v>58</v>
      </c>
      <c r="J310" s="15" t="n">
        <f aca="false">ROUND($E310*$H310,2)</f>
        <v>12672</v>
      </c>
      <c r="K310" s="15" t="n">
        <f aca="false">ROUND($E310*$I310,2)</f>
        <v>7656</v>
      </c>
      <c r="L310" s="15" t="n">
        <f aca="false">ROUND($F310*'Your Inputs'!$C$31,2)</f>
        <v>241.07</v>
      </c>
      <c r="M310" s="15" t="n">
        <f aca="false">ROUND($G310-$K310-$L310,2)</f>
        <v>4036</v>
      </c>
      <c r="N310" s="15" t="n">
        <f aca="false">$G310/$E310</f>
        <v>90.4020454545455</v>
      </c>
      <c r="O310" s="25" t="n">
        <f aca="false">$G310/$J310</f>
        <v>0.941687973484849</v>
      </c>
      <c r="P310" s="18" t="str">
        <f aca="false">$C310&amp;" | "&amp;$D310</f>
        <v>Small direct | Protective coatings</v>
      </c>
      <c r="Q310" s="25" t="n">
        <f aca="false">INDEX('Your Floors'!$K$20:$K$31,MATCH($P310,'Your Floors'!$D$20:$D$31,0))</f>
        <v>0.922679993872549</v>
      </c>
      <c r="R310" s="18" t="str">
        <f aca="false">IF($O310&lt;$Q310,"below the floor","at or above it")</f>
        <v>at or above it</v>
      </c>
      <c r="S310" s="15" t="n">
        <f aca="false">IF($O310&lt;$Q310,$E310*ROUND($Q310*$H310,2),$G310)</f>
        <v>11933.07</v>
      </c>
      <c r="T310" s="15" t="n">
        <f aca="false">IF($O310&lt;$Q310,ROUND($L310*$S310/$G310,2),$L310)</f>
        <v>241.07</v>
      </c>
      <c r="U310" s="15" t="n">
        <f aca="false">ROUND(($S310-$G310)-($T310-$L310),2)</f>
        <v>0</v>
      </c>
      <c r="V310" s="15" t="n">
        <f aca="false">IF($O310&lt;$Q310,ROUND($S310-$K310-$T310,2),$M310)</f>
        <v>4036</v>
      </c>
    </row>
    <row r="311" customFormat="false" ht="15" hidden="false" customHeight="false" outlineLevel="0" collapsed="false">
      <c r="B311" s="13" t="s">
        <v>231</v>
      </c>
      <c r="C311" s="13" t="s">
        <v>218</v>
      </c>
      <c r="D311" s="13" t="s">
        <v>52</v>
      </c>
      <c r="E311" s="24" t="n">
        <v>39</v>
      </c>
      <c r="F311" s="14" t="n">
        <v>5628.85</v>
      </c>
      <c r="G311" s="14" t="n">
        <v>5572.56</v>
      </c>
      <c r="H311" s="15" t="n">
        <f aca="false">INDEX('Your Inputs'!$C$8:$C$10,MATCH($D311,'Your Inputs'!$B$8:$B$10,0))</f>
        <v>148</v>
      </c>
      <c r="I311" s="15" t="n">
        <f aca="false">INDEX('Your Inputs'!$D$8:$D$10,MATCH($D311,'Your Inputs'!$B$8:$B$10,0))</f>
        <v>78</v>
      </c>
      <c r="J311" s="15" t="n">
        <f aca="false">ROUND($E311*$H311,2)</f>
        <v>5772</v>
      </c>
      <c r="K311" s="15" t="n">
        <f aca="false">ROUND($E311*$I311,2)</f>
        <v>3042</v>
      </c>
      <c r="L311" s="15" t="n">
        <f aca="false">ROUND($F311*'Your Inputs'!$C$31,2)</f>
        <v>112.58</v>
      </c>
      <c r="M311" s="15" t="n">
        <f aca="false">ROUND($G311-$K311-$L311,2)</f>
        <v>2417.98</v>
      </c>
      <c r="N311" s="15" t="n">
        <f aca="false">$G311/$E311</f>
        <v>142.886153846154</v>
      </c>
      <c r="O311" s="25" t="n">
        <f aca="false">$G311/$J311</f>
        <v>0.965446985446986</v>
      </c>
      <c r="P311" s="18" t="str">
        <f aca="false">$C311&amp;" | "&amp;$D311</f>
        <v>Small direct | Structural adhesives</v>
      </c>
      <c r="Q311" s="25" t="n">
        <f aca="false">INDEX('Your Floors'!$K$20:$K$31,MATCH($P311,'Your Floors'!$D$20:$D$31,0))</f>
        <v>0.939509972168612</v>
      </c>
      <c r="R311" s="18" t="str">
        <f aca="false">IF($O311&lt;$Q311,"below the floor","at or above it")</f>
        <v>at or above it</v>
      </c>
      <c r="S311" s="15" t="n">
        <f aca="false">IF($O311&lt;$Q311,$E311*ROUND($Q311*$H311,2),$G311)</f>
        <v>5572.56</v>
      </c>
      <c r="T311" s="15" t="n">
        <f aca="false">IF($O311&lt;$Q311,ROUND($L311*$S311/$G311,2),$L311)</f>
        <v>112.58</v>
      </c>
      <c r="U311" s="15" t="n">
        <f aca="false">ROUND(($S311-$G311)-($T311-$L311),2)</f>
        <v>0</v>
      </c>
      <c r="V311" s="15" t="n">
        <f aca="false">IF($O311&lt;$Q311,ROUND($S311-$K311-$T311,2),$M311)</f>
        <v>2417.98</v>
      </c>
    </row>
    <row r="312" customFormat="false" ht="15" hidden="false" customHeight="false" outlineLevel="0" collapsed="false">
      <c r="B312" s="13" t="s">
        <v>231</v>
      </c>
      <c r="C312" s="13" t="s">
        <v>218</v>
      </c>
      <c r="D312" s="13" t="s">
        <v>54</v>
      </c>
      <c r="E312" s="24" t="n">
        <v>130</v>
      </c>
      <c r="F312" s="14" t="n">
        <v>7640.88</v>
      </c>
      <c r="G312" s="14" t="n">
        <v>7564.47</v>
      </c>
      <c r="H312" s="15" t="n">
        <f aca="false">INDEX('Your Inputs'!$C$8:$C$10,MATCH($D312,'Your Inputs'!$B$8:$B$10,0))</f>
        <v>62</v>
      </c>
      <c r="I312" s="15" t="n">
        <f aca="false">INDEX('Your Inputs'!$D$8:$D$10,MATCH($D312,'Your Inputs'!$B$8:$B$10,0))</f>
        <v>36</v>
      </c>
      <c r="J312" s="15" t="n">
        <f aca="false">ROUND($E312*$H312,2)</f>
        <v>8060</v>
      </c>
      <c r="K312" s="15" t="n">
        <f aca="false">ROUND($E312*$I312,2)</f>
        <v>4680</v>
      </c>
      <c r="L312" s="15" t="n">
        <f aca="false">ROUND($F312*'Your Inputs'!$C$31,2)</f>
        <v>152.82</v>
      </c>
      <c r="M312" s="15" t="n">
        <f aca="false">ROUND($G312-$K312-$L312,2)</f>
        <v>2731.65</v>
      </c>
      <c r="N312" s="15" t="n">
        <f aca="false">$G312/$E312</f>
        <v>58.1882307692308</v>
      </c>
      <c r="O312" s="25" t="n">
        <f aca="false">$G312/$J312</f>
        <v>0.938519851116625</v>
      </c>
      <c r="P312" s="18" t="str">
        <f aca="false">$C312&amp;" | "&amp;$D312</f>
        <v>Small direct | Sealants</v>
      </c>
      <c r="Q312" s="25" t="n">
        <f aca="false">INDEX('Your Floors'!$K$20:$K$31,MATCH($P312,'Your Floors'!$D$20:$D$31,0))</f>
        <v>0.905849957217107</v>
      </c>
      <c r="R312" s="18" t="str">
        <f aca="false">IF($O312&lt;$Q312,"below the floor","at or above it")</f>
        <v>at or above it</v>
      </c>
      <c r="S312" s="15" t="n">
        <f aca="false">IF($O312&lt;$Q312,$E312*ROUND($Q312*$H312,2),$G312)</f>
        <v>7564.47</v>
      </c>
      <c r="T312" s="15" t="n">
        <f aca="false">IF($O312&lt;$Q312,ROUND($L312*$S312/$G312,2),$L312)</f>
        <v>152.82</v>
      </c>
      <c r="U312" s="15" t="n">
        <f aca="false">ROUND(($S312-$G312)-($T312-$L312),2)</f>
        <v>0</v>
      </c>
      <c r="V312" s="15" t="n">
        <f aca="false">IF($O312&lt;$Q312,ROUND($S312-$K312-$T312,2),$M312)</f>
        <v>2731.65</v>
      </c>
    </row>
    <row r="313" customFormat="false" ht="15" hidden="false" customHeight="false" outlineLevel="0" collapsed="false">
      <c r="B313" s="13" t="s">
        <v>231</v>
      </c>
      <c r="C313" s="13" t="s">
        <v>218</v>
      </c>
      <c r="D313" s="13" t="s">
        <v>56</v>
      </c>
      <c r="E313" s="24" t="n">
        <v>39</v>
      </c>
      <c r="F313" s="14" t="n">
        <v>3600.23</v>
      </c>
      <c r="G313" s="14" t="n">
        <v>3564.23</v>
      </c>
      <c r="H313" s="15" t="n">
        <f aca="false">INDEX('Your Inputs'!$C$8:$C$10,MATCH($D313,'Your Inputs'!$B$8:$B$10,0))</f>
        <v>96</v>
      </c>
      <c r="I313" s="15" t="n">
        <f aca="false">INDEX('Your Inputs'!$D$8:$D$10,MATCH($D313,'Your Inputs'!$B$8:$B$10,0))</f>
        <v>58</v>
      </c>
      <c r="J313" s="15" t="n">
        <f aca="false">ROUND($E313*$H313,2)</f>
        <v>3744</v>
      </c>
      <c r="K313" s="15" t="n">
        <f aca="false">ROUND($E313*$I313,2)</f>
        <v>2262</v>
      </c>
      <c r="L313" s="15" t="n">
        <f aca="false">ROUND($F313*'Your Inputs'!$C$31,2)</f>
        <v>72</v>
      </c>
      <c r="M313" s="15" t="n">
        <f aca="false">ROUND($G313-$K313-$L313,2)</f>
        <v>1230.23</v>
      </c>
      <c r="N313" s="15" t="n">
        <f aca="false">$G313/$E313</f>
        <v>91.3905128205128</v>
      </c>
      <c r="O313" s="25" t="n">
        <f aca="false">$G313/$J313</f>
        <v>0.951984508547009</v>
      </c>
      <c r="P313" s="18" t="str">
        <f aca="false">$C313&amp;" | "&amp;$D313</f>
        <v>Small direct | Protective coatings</v>
      </c>
      <c r="Q313" s="25" t="n">
        <f aca="false">INDEX('Your Floors'!$K$20:$K$31,MATCH($P313,'Your Floors'!$D$20:$D$31,0))</f>
        <v>0.922679993872549</v>
      </c>
      <c r="R313" s="18" t="str">
        <f aca="false">IF($O313&lt;$Q313,"below the floor","at or above it")</f>
        <v>at or above it</v>
      </c>
      <c r="S313" s="15" t="n">
        <f aca="false">IF($O313&lt;$Q313,$E313*ROUND($Q313*$H313,2),$G313)</f>
        <v>3564.23</v>
      </c>
      <c r="T313" s="15" t="n">
        <f aca="false">IF($O313&lt;$Q313,ROUND($L313*$S313/$G313,2),$L313)</f>
        <v>72</v>
      </c>
      <c r="U313" s="15" t="n">
        <f aca="false">ROUND(($S313-$G313)-($T313-$L313),2)</f>
        <v>0</v>
      </c>
      <c r="V313" s="15" t="n">
        <f aca="false">IF($O313&lt;$Q313,ROUND($S313-$K313-$T313,2),$M313)</f>
        <v>1230.23</v>
      </c>
    </row>
    <row r="314" customFormat="false" ht="15" hidden="false" customHeight="false" outlineLevel="0" collapsed="false">
      <c r="B314" s="13" t="s">
        <v>232</v>
      </c>
      <c r="C314" s="13" t="s">
        <v>218</v>
      </c>
      <c r="D314" s="13" t="s">
        <v>54</v>
      </c>
      <c r="E314" s="24" t="n">
        <v>896</v>
      </c>
      <c r="F314" s="14" t="n">
        <v>52996.61</v>
      </c>
      <c r="G314" s="14" t="n">
        <v>52466.64</v>
      </c>
      <c r="H314" s="15" t="n">
        <f aca="false">INDEX('Your Inputs'!$C$8:$C$10,MATCH($D314,'Your Inputs'!$B$8:$B$10,0))</f>
        <v>62</v>
      </c>
      <c r="I314" s="15" t="n">
        <f aca="false">INDEX('Your Inputs'!$D$8:$D$10,MATCH($D314,'Your Inputs'!$B$8:$B$10,0))</f>
        <v>36</v>
      </c>
      <c r="J314" s="15" t="n">
        <f aca="false">ROUND($E314*$H314,2)</f>
        <v>55552</v>
      </c>
      <c r="K314" s="15" t="n">
        <f aca="false">ROUND($E314*$I314,2)</f>
        <v>32256</v>
      </c>
      <c r="L314" s="15" t="n">
        <f aca="false">ROUND($F314*'Your Inputs'!$C$31,2)</f>
        <v>1059.93</v>
      </c>
      <c r="M314" s="15" t="n">
        <f aca="false">ROUND($G314-$K314-$L314,2)</f>
        <v>19150.71</v>
      </c>
      <c r="N314" s="15" t="n">
        <f aca="false">$G314/$E314</f>
        <v>58.5565178571429</v>
      </c>
      <c r="O314" s="25" t="n">
        <f aca="false">$G314/$J314</f>
        <v>0.944459965437788</v>
      </c>
      <c r="P314" s="18" t="str">
        <f aca="false">$C314&amp;" | "&amp;$D314</f>
        <v>Small direct | Sealants</v>
      </c>
      <c r="Q314" s="25" t="n">
        <f aca="false">INDEX('Your Floors'!$K$20:$K$31,MATCH($P314,'Your Floors'!$D$20:$D$31,0))</f>
        <v>0.905849957217107</v>
      </c>
      <c r="R314" s="18" t="str">
        <f aca="false">IF($O314&lt;$Q314,"below the floor","at or above it")</f>
        <v>at or above it</v>
      </c>
      <c r="S314" s="15" t="n">
        <f aca="false">IF($O314&lt;$Q314,$E314*ROUND($Q314*$H314,2),$G314)</f>
        <v>52466.64</v>
      </c>
      <c r="T314" s="15" t="n">
        <f aca="false">IF($O314&lt;$Q314,ROUND($L314*$S314/$G314,2),$L314)</f>
        <v>1059.93</v>
      </c>
      <c r="U314" s="15" t="n">
        <f aca="false">ROUND(($S314-$G314)-($T314-$L314),2)</f>
        <v>0</v>
      </c>
      <c r="V314" s="15" t="n">
        <f aca="false">IF($O314&lt;$Q314,ROUND($S314-$K314-$T314,2),$M314)</f>
        <v>19150.71</v>
      </c>
    </row>
    <row r="315" customFormat="false" ht="15" hidden="false" customHeight="false" outlineLevel="0" collapsed="false">
      <c r="B315" s="13" t="s">
        <v>233</v>
      </c>
      <c r="C315" s="13" t="s">
        <v>218</v>
      </c>
      <c r="D315" s="13" t="s">
        <v>52</v>
      </c>
      <c r="E315" s="24" t="n">
        <v>99</v>
      </c>
      <c r="F315" s="14" t="n">
        <v>14358.96</v>
      </c>
      <c r="G315" s="14" t="n">
        <v>14215.37</v>
      </c>
      <c r="H315" s="15" t="n">
        <f aca="false">INDEX('Your Inputs'!$C$8:$C$10,MATCH($D315,'Your Inputs'!$B$8:$B$10,0))</f>
        <v>148</v>
      </c>
      <c r="I315" s="15" t="n">
        <f aca="false">INDEX('Your Inputs'!$D$8:$D$10,MATCH($D315,'Your Inputs'!$B$8:$B$10,0))</f>
        <v>78</v>
      </c>
      <c r="J315" s="15" t="n">
        <f aca="false">ROUND($E315*$H315,2)</f>
        <v>14652</v>
      </c>
      <c r="K315" s="15" t="n">
        <f aca="false">ROUND($E315*$I315,2)</f>
        <v>7722</v>
      </c>
      <c r="L315" s="15" t="n">
        <f aca="false">ROUND($F315*'Your Inputs'!$C$31,2)</f>
        <v>287.18</v>
      </c>
      <c r="M315" s="15" t="n">
        <f aca="false">ROUND($G315-$K315-$L315,2)</f>
        <v>6206.19</v>
      </c>
      <c r="N315" s="15" t="n">
        <f aca="false">$G315/$E315</f>
        <v>143.589595959596</v>
      </c>
      <c r="O315" s="25" t="n">
        <f aca="false">$G315/$J315</f>
        <v>0.970199972699973</v>
      </c>
      <c r="P315" s="18" t="str">
        <f aca="false">$C315&amp;" | "&amp;$D315</f>
        <v>Small direct | Structural adhesives</v>
      </c>
      <c r="Q315" s="25" t="n">
        <f aca="false">INDEX('Your Floors'!$K$20:$K$31,MATCH($P315,'Your Floors'!$D$20:$D$31,0))</f>
        <v>0.939509972168612</v>
      </c>
      <c r="R315" s="18" t="str">
        <f aca="false">IF($O315&lt;$Q315,"below the floor","at or above it")</f>
        <v>at or above it</v>
      </c>
      <c r="S315" s="15" t="n">
        <f aca="false">IF($O315&lt;$Q315,$E315*ROUND($Q315*$H315,2),$G315)</f>
        <v>14215.37</v>
      </c>
      <c r="T315" s="15" t="n">
        <f aca="false">IF($O315&lt;$Q315,ROUND($L315*$S315/$G315,2),$L315)</f>
        <v>287.18</v>
      </c>
      <c r="U315" s="15" t="n">
        <f aca="false">ROUND(($S315-$G315)-($T315-$L315),2)</f>
        <v>0</v>
      </c>
      <c r="V315" s="15" t="n">
        <f aca="false">IF($O315&lt;$Q315,ROUND($S315-$K315-$T315,2),$M315)</f>
        <v>6206.19</v>
      </c>
    </row>
    <row r="316" customFormat="false" ht="15" hidden="false" customHeight="false" outlineLevel="0" collapsed="false">
      <c r="B316" s="13" t="s">
        <v>234</v>
      </c>
      <c r="C316" s="13" t="s">
        <v>218</v>
      </c>
      <c r="D316" s="13" t="s">
        <v>52</v>
      </c>
      <c r="E316" s="24" t="n">
        <v>514</v>
      </c>
      <c r="F316" s="14" t="n">
        <v>73477.94</v>
      </c>
      <c r="G316" s="14" t="n">
        <v>71273.6</v>
      </c>
      <c r="H316" s="15" t="n">
        <f aca="false">INDEX('Your Inputs'!$C$8:$C$10,MATCH($D316,'Your Inputs'!$B$8:$B$10,0))</f>
        <v>148</v>
      </c>
      <c r="I316" s="15" t="n">
        <f aca="false">INDEX('Your Inputs'!$D$8:$D$10,MATCH($D316,'Your Inputs'!$B$8:$B$10,0))</f>
        <v>78</v>
      </c>
      <c r="J316" s="15" t="n">
        <f aca="false">ROUND($E316*$H316,2)</f>
        <v>76072</v>
      </c>
      <c r="K316" s="15" t="n">
        <f aca="false">ROUND($E316*$I316,2)</f>
        <v>40092</v>
      </c>
      <c r="L316" s="15" t="n">
        <f aca="false">ROUND($F316*'Your Inputs'!$C$31,2)</f>
        <v>1469.56</v>
      </c>
      <c r="M316" s="15" t="n">
        <f aca="false">ROUND($G316-$K316-$L316,2)</f>
        <v>29712.04</v>
      </c>
      <c r="N316" s="15" t="n">
        <f aca="false">$G316/$E316</f>
        <v>138.664591439689</v>
      </c>
      <c r="O316" s="25" t="n">
        <f aca="false">$G316/$J316</f>
        <v>0.936922915133032</v>
      </c>
      <c r="P316" s="18" t="str">
        <f aca="false">$C316&amp;" | "&amp;$D316</f>
        <v>Small direct | Structural adhesives</v>
      </c>
      <c r="Q316" s="25" t="n">
        <f aca="false">INDEX('Your Floors'!$K$20:$K$31,MATCH($P316,'Your Floors'!$D$20:$D$31,0))</f>
        <v>0.939509972168612</v>
      </c>
      <c r="R316" s="18" t="str">
        <f aca="false">IF($O316&lt;$Q316,"below the floor","at or above it")</f>
        <v>below the floor</v>
      </c>
      <c r="S316" s="15" t="n">
        <f aca="false">IF($O316&lt;$Q316,$E316*ROUND($Q316*$H316,2),$G316)</f>
        <v>71471.7</v>
      </c>
      <c r="T316" s="15" t="n">
        <f aca="false">IF($O316&lt;$Q316,ROUND($L316*$S316/$G316,2),$L316)</f>
        <v>1473.64</v>
      </c>
      <c r="U316" s="15" t="n">
        <f aca="false">ROUND(($S316-$G316)-($T316-$L316),2)</f>
        <v>194.02</v>
      </c>
      <c r="V316" s="15" t="n">
        <f aca="false">IF($O316&lt;$Q316,ROUND($S316-$K316-$T316,2),$M316)</f>
        <v>29906.06</v>
      </c>
    </row>
    <row r="317" customFormat="false" ht="15" hidden="false" customHeight="false" outlineLevel="0" collapsed="false">
      <c r="B317" s="13" t="s">
        <v>234</v>
      </c>
      <c r="C317" s="13" t="s">
        <v>218</v>
      </c>
      <c r="D317" s="13" t="s">
        <v>54</v>
      </c>
      <c r="E317" s="24" t="n">
        <v>2274</v>
      </c>
      <c r="F317" s="14" t="n">
        <v>130907.36</v>
      </c>
      <c r="G317" s="14" t="n">
        <v>126980.14</v>
      </c>
      <c r="H317" s="15" t="n">
        <f aca="false">INDEX('Your Inputs'!$C$8:$C$10,MATCH($D317,'Your Inputs'!$B$8:$B$10,0))</f>
        <v>62</v>
      </c>
      <c r="I317" s="15" t="n">
        <f aca="false">INDEX('Your Inputs'!$D$8:$D$10,MATCH($D317,'Your Inputs'!$B$8:$B$10,0))</f>
        <v>36</v>
      </c>
      <c r="J317" s="15" t="n">
        <f aca="false">ROUND($E317*$H317,2)</f>
        <v>140988</v>
      </c>
      <c r="K317" s="15" t="n">
        <f aca="false">ROUND($E317*$I317,2)</f>
        <v>81864</v>
      </c>
      <c r="L317" s="15" t="n">
        <f aca="false">ROUND($F317*'Your Inputs'!$C$31,2)</f>
        <v>2618.15</v>
      </c>
      <c r="M317" s="15" t="n">
        <f aca="false">ROUND($G317-$K317-$L317,2)</f>
        <v>42497.99</v>
      </c>
      <c r="N317" s="15" t="n">
        <f aca="false">$G317/$E317</f>
        <v>55.8399912049252</v>
      </c>
      <c r="O317" s="25" t="n">
        <f aca="false">$G317/$J317</f>
        <v>0.900645019434278</v>
      </c>
      <c r="P317" s="18" t="str">
        <f aca="false">$C317&amp;" | "&amp;$D317</f>
        <v>Small direct | Sealants</v>
      </c>
      <c r="Q317" s="25" t="n">
        <f aca="false">INDEX('Your Floors'!$K$20:$K$31,MATCH($P317,'Your Floors'!$D$20:$D$31,0))</f>
        <v>0.905849957217107</v>
      </c>
      <c r="R317" s="18" t="str">
        <f aca="false">IF($O317&lt;$Q317,"below the floor","at or above it")</f>
        <v>below the floor</v>
      </c>
      <c r="S317" s="15" t="n">
        <f aca="false">IF($O317&lt;$Q317,$E317*ROUND($Q317*$H317,2),$G317)</f>
        <v>127707.84</v>
      </c>
      <c r="T317" s="15" t="n">
        <f aca="false">IF($O317&lt;$Q317,ROUND($L317*$S317/$G317,2),$L317)</f>
        <v>2633.15</v>
      </c>
      <c r="U317" s="15" t="n">
        <f aca="false">ROUND(($S317-$G317)-($T317-$L317),2)</f>
        <v>712.7</v>
      </c>
      <c r="V317" s="15" t="n">
        <f aca="false">IF($O317&lt;$Q317,ROUND($S317-$K317-$T317,2),$M317)</f>
        <v>43210.69</v>
      </c>
    </row>
    <row r="318" customFormat="false" ht="15" hidden="false" customHeight="false" outlineLevel="0" collapsed="false">
      <c r="B318" s="13" t="s">
        <v>234</v>
      </c>
      <c r="C318" s="13" t="s">
        <v>218</v>
      </c>
      <c r="D318" s="13" t="s">
        <v>56</v>
      </c>
      <c r="E318" s="24" t="n">
        <v>808</v>
      </c>
      <c r="F318" s="14" t="n">
        <v>73472.41</v>
      </c>
      <c r="G318" s="14" t="n">
        <v>71268.24</v>
      </c>
      <c r="H318" s="15" t="n">
        <f aca="false">INDEX('Your Inputs'!$C$8:$C$10,MATCH($D318,'Your Inputs'!$B$8:$B$10,0))</f>
        <v>96</v>
      </c>
      <c r="I318" s="15" t="n">
        <f aca="false">INDEX('Your Inputs'!$D$8:$D$10,MATCH($D318,'Your Inputs'!$B$8:$B$10,0))</f>
        <v>58</v>
      </c>
      <c r="J318" s="15" t="n">
        <f aca="false">ROUND($E318*$H318,2)</f>
        <v>77568</v>
      </c>
      <c r="K318" s="15" t="n">
        <f aca="false">ROUND($E318*$I318,2)</f>
        <v>46864</v>
      </c>
      <c r="L318" s="15" t="n">
        <f aca="false">ROUND($F318*'Your Inputs'!$C$31,2)</f>
        <v>1469.45</v>
      </c>
      <c r="M318" s="15" t="n">
        <f aca="false">ROUND($G318-$K318-$L318,2)</f>
        <v>22934.79</v>
      </c>
      <c r="N318" s="15" t="n">
        <f aca="false">$G318/$E318</f>
        <v>88.2032673267327</v>
      </c>
      <c r="O318" s="25" t="n">
        <f aca="false">$G318/$J318</f>
        <v>0.918784034653465</v>
      </c>
      <c r="P318" s="18" t="str">
        <f aca="false">$C318&amp;" | "&amp;$D318</f>
        <v>Small direct | Protective coatings</v>
      </c>
      <c r="Q318" s="25" t="n">
        <f aca="false">INDEX('Your Floors'!$K$20:$K$31,MATCH($P318,'Your Floors'!$D$20:$D$31,0))</f>
        <v>0.922679993872549</v>
      </c>
      <c r="R318" s="18" t="str">
        <f aca="false">IF($O318&lt;$Q318,"below the floor","at or above it")</f>
        <v>below the floor</v>
      </c>
      <c r="S318" s="15" t="n">
        <f aca="false">IF($O318&lt;$Q318,$E318*ROUND($Q318*$H318,2),$G318)</f>
        <v>71572.64</v>
      </c>
      <c r="T318" s="15" t="n">
        <f aca="false">IF($O318&lt;$Q318,ROUND($L318*$S318/$G318,2),$L318)</f>
        <v>1475.73</v>
      </c>
      <c r="U318" s="15" t="n">
        <f aca="false">ROUND(($S318-$G318)-($T318-$L318),2)</f>
        <v>298.12</v>
      </c>
      <c r="V318" s="15" t="n">
        <f aca="false">IF($O318&lt;$Q318,ROUND($S318-$K318-$T318,2),$M318)</f>
        <v>23232.91</v>
      </c>
    </row>
    <row r="319" customFormat="false" ht="15" hidden="false" customHeight="false" outlineLevel="0" collapsed="false">
      <c r="B319" s="13" t="s">
        <v>235</v>
      </c>
      <c r="C319" s="13" t="s">
        <v>218</v>
      </c>
      <c r="D319" s="13" t="s">
        <v>52</v>
      </c>
      <c r="E319" s="24" t="n">
        <v>28</v>
      </c>
      <c r="F319" s="14" t="n">
        <v>4105.46</v>
      </c>
      <c r="G319" s="14" t="n">
        <v>4064.41</v>
      </c>
      <c r="H319" s="15" t="n">
        <f aca="false">INDEX('Your Inputs'!$C$8:$C$10,MATCH($D319,'Your Inputs'!$B$8:$B$10,0))</f>
        <v>148</v>
      </c>
      <c r="I319" s="15" t="n">
        <f aca="false">INDEX('Your Inputs'!$D$8:$D$10,MATCH($D319,'Your Inputs'!$B$8:$B$10,0))</f>
        <v>78</v>
      </c>
      <c r="J319" s="15" t="n">
        <f aca="false">ROUND($E319*$H319,2)</f>
        <v>4144</v>
      </c>
      <c r="K319" s="15" t="n">
        <f aca="false">ROUND($E319*$I319,2)</f>
        <v>2184</v>
      </c>
      <c r="L319" s="15" t="n">
        <f aca="false">ROUND($F319*'Your Inputs'!$C$31,2)</f>
        <v>82.11</v>
      </c>
      <c r="M319" s="15" t="n">
        <f aca="false">ROUND($G319-$K319-$L319,2)</f>
        <v>1798.3</v>
      </c>
      <c r="N319" s="15" t="n">
        <f aca="false">$G319/$E319</f>
        <v>145.1575</v>
      </c>
      <c r="O319" s="25" t="n">
        <f aca="false">$G319/$J319</f>
        <v>0.980793918918919</v>
      </c>
      <c r="P319" s="18" t="str">
        <f aca="false">$C319&amp;" | "&amp;$D319</f>
        <v>Small direct | Structural adhesives</v>
      </c>
      <c r="Q319" s="25" t="n">
        <f aca="false">INDEX('Your Floors'!$K$20:$K$31,MATCH($P319,'Your Floors'!$D$20:$D$31,0))</f>
        <v>0.939509972168612</v>
      </c>
      <c r="R319" s="18" t="str">
        <f aca="false">IF($O319&lt;$Q319,"below the floor","at or above it")</f>
        <v>at or above it</v>
      </c>
      <c r="S319" s="15" t="n">
        <f aca="false">IF($O319&lt;$Q319,$E319*ROUND($Q319*$H319,2),$G319)</f>
        <v>4064.41</v>
      </c>
      <c r="T319" s="15" t="n">
        <f aca="false">IF($O319&lt;$Q319,ROUND($L319*$S319/$G319,2),$L319)</f>
        <v>82.11</v>
      </c>
      <c r="U319" s="15" t="n">
        <f aca="false">ROUND(($S319-$G319)-($T319-$L319),2)</f>
        <v>0</v>
      </c>
      <c r="V319" s="15" t="n">
        <f aca="false">IF($O319&lt;$Q319,ROUND($S319-$K319-$T319,2),$M319)</f>
        <v>1798.3</v>
      </c>
    </row>
    <row r="320" customFormat="false" ht="15" hidden="false" customHeight="false" outlineLevel="0" collapsed="false">
      <c r="B320" s="13" t="s">
        <v>235</v>
      </c>
      <c r="C320" s="13" t="s">
        <v>218</v>
      </c>
      <c r="D320" s="13" t="s">
        <v>54</v>
      </c>
      <c r="E320" s="24" t="n">
        <v>192</v>
      </c>
      <c r="F320" s="14" t="n">
        <v>11671.87</v>
      </c>
      <c r="G320" s="14" t="n">
        <v>11555.15</v>
      </c>
      <c r="H320" s="15" t="n">
        <f aca="false">INDEX('Your Inputs'!$C$8:$C$10,MATCH($D320,'Your Inputs'!$B$8:$B$10,0))</f>
        <v>62</v>
      </c>
      <c r="I320" s="15" t="n">
        <f aca="false">INDEX('Your Inputs'!$D$8:$D$10,MATCH($D320,'Your Inputs'!$B$8:$B$10,0))</f>
        <v>36</v>
      </c>
      <c r="J320" s="15" t="n">
        <f aca="false">ROUND($E320*$H320,2)</f>
        <v>11904</v>
      </c>
      <c r="K320" s="15" t="n">
        <f aca="false">ROUND($E320*$I320,2)</f>
        <v>6912</v>
      </c>
      <c r="L320" s="15" t="n">
        <f aca="false">ROUND($F320*'Your Inputs'!$C$31,2)</f>
        <v>233.44</v>
      </c>
      <c r="M320" s="15" t="n">
        <f aca="false">ROUND($G320-$K320-$L320,2)</f>
        <v>4409.71</v>
      </c>
      <c r="N320" s="15" t="n">
        <f aca="false">$G320/$E320</f>
        <v>60.1830729166667</v>
      </c>
      <c r="O320" s="25" t="n">
        <f aca="false">$G320/$J320</f>
        <v>0.970694724462366</v>
      </c>
      <c r="P320" s="18" t="str">
        <f aca="false">$C320&amp;" | "&amp;$D320</f>
        <v>Small direct | Sealants</v>
      </c>
      <c r="Q320" s="25" t="n">
        <f aca="false">INDEX('Your Floors'!$K$20:$K$31,MATCH($P320,'Your Floors'!$D$20:$D$31,0))</f>
        <v>0.905849957217107</v>
      </c>
      <c r="R320" s="18" t="str">
        <f aca="false">IF($O320&lt;$Q320,"below the floor","at or above it")</f>
        <v>at or above it</v>
      </c>
      <c r="S320" s="15" t="n">
        <f aca="false">IF($O320&lt;$Q320,$E320*ROUND($Q320*$H320,2),$G320)</f>
        <v>11555.15</v>
      </c>
      <c r="T320" s="15" t="n">
        <f aca="false">IF($O320&lt;$Q320,ROUND($L320*$S320/$G320,2),$L320)</f>
        <v>233.44</v>
      </c>
      <c r="U320" s="15" t="n">
        <f aca="false">ROUND(($S320-$G320)-($T320-$L320),2)</f>
        <v>0</v>
      </c>
      <c r="V320" s="15" t="n">
        <f aca="false">IF($O320&lt;$Q320,ROUND($S320-$K320-$T320,2),$M320)</f>
        <v>4409.71</v>
      </c>
    </row>
    <row r="321" customFormat="false" ht="15" hidden="false" customHeight="false" outlineLevel="0" collapsed="false">
      <c r="B321" s="13" t="s">
        <v>236</v>
      </c>
      <c r="C321" s="13" t="s">
        <v>218</v>
      </c>
      <c r="D321" s="13" t="s">
        <v>52</v>
      </c>
      <c r="E321" s="24" t="n">
        <v>41</v>
      </c>
      <c r="F321" s="14" t="n">
        <v>5898.7</v>
      </c>
      <c r="G321" s="14" t="n">
        <v>5839.71</v>
      </c>
      <c r="H321" s="15" t="n">
        <f aca="false">INDEX('Your Inputs'!$C$8:$C$10,MATCH($D321,'Your Inputs'!$B$8:$B$10,0))</f>
        <v>148</v>
      </c>
      <c r="I321" s="15" t="n">
        <f aca="false">INDEX('Your Inputs'!$D$8:$D$10,MATCH($D321,'Your Inputs'!$B$8:$B$10,0))</f>
        <v>78</v>
      </c>
      <c r="J321" s="15" t="n">
        <f aca="false">ROUND($E321*$H321,2)</f>
        <v>6068</v>
      </c>
      <c r="K321" s="15" t="n">
        <f aca="false">ROUND($E321*$I321,2)</f>
        <v>3198</v>
      </c>
      <c r="L321" s="15" t="n">
        <f aca="false">ROUND($F321*'Your Inputs'!$C$31,2)</f>
        <v>117.97</v>
      </c>
      <c r="M321" s="15" t="n">
        <f aca="false">ROUND($G321-$K321-$L321,2)</f>
        <v>2523.74</v>
      </c>
      <c r="N321" s="15" t="n">
        <f aca="false">$G321/$E321</f>
        <v>142.431951219512</v>
      </c>
      <c r="O321" s="25" t="n">
        <f aca="false">$G321/$J321</f>
        <v>0.962378048780488</v>
      </c>
      <c r="P321" s="18" t="str">
        <f aca="false">$C321&amp;" | "&amp;$D321</f>
        <v>Small direct | Structural adhesives</v>
      </c>
      <c r="Q321" s="25" t="n">
        <f aca="false">INDEX('Your Floors'!$K$20:$K$31,MATCH($P321,'Your Floors'!$D$20:$D$31,0))</f>
        <v>0.939509972168612</v>
      </c>
      <c r="R321" s="18" t="str">
        <f aca="false">IF($O321&lt;$Q321,"below the floor","at or above it")</f>
        <v>at or above it</v>
      </c>
      <c r="S321" s="15" t="n">
        <f aca="false">IF($O321&lt;$Q321,$E321*ROUND($Q321*$H321,2),$G321)</f>
        <v>5839.71</v>
      </c>
      <c r="T321" s="15" t="n">
        <f aca="false">IF($O321&lt;$Q321,ROUND($L321*$S321/$G321,2),$L321)</f>
        <v>117.97</v>
      </c>
      <c r="U321" s="15" t="n">
        <f aca="false">ROUND(($S321-$G321)-($T321-$L321),2)</f>
        <v>0</v>
      </c>
      <c r="V321" s="15" t="n">
        <f aca="false">IF($O321&lt;$Q321,ROUND($S321-$K321-$T321,2),$M321)</f>
        <v>2523.74</v>
      </c>
    </row>
    <row r="322" customFormat="false" ht="15" hidden="false" customHeight="false" outlineLevel="0" collapsed="false">
      <c r="B322" s="13" t="s">
        <v>236</v>
      </c>
      <c r="C322" s="13" t="s">
        <v>218</v>
      </c>
      <c r="D322" s="13" t="s">
        <v>54</v>
      </c>
      <c r="E322" s="24" t="n">
        <v>216</v>
      </c>
      <c r="F322" s="14" t="n">
        <v>12608.57</v>
      </c>
      <c r="G322" s="14" t="n">
        <v>12482.48</v>
      </c>
      <c r="H322" s="15" t="n">
        <f aca="false">INDEX('Your Inputs'!$C$8:$C$10,MATCH($D322,'Your Inputs'!$B$8:$B$10,0))</f>
        <v>62</v>
      </c>
      <c r="I322" s="15" t="n">
        <f aca="false">INDEX('Your Inputs'!$D$8:$D$10,MATCH($D322,'Your Inputs'!$B$8:$B$10,0))</f>
        <v>36</v>
      </c>
      <c r="J322" s="15" t="n">
        <f aca="false">ROUND($E322*$H322,2)</f>
        <v>13392</v>
      </c>
      <c r="K322" s="15" t="n">
        <f aca="false">ROUND($E322*$I322,2)</f>
        <v>7776</v>
      </c>
      <c r="L322" s="15" t="n">
        <f aca="false">ROUND($F322*'Your Inputs'!$C$31,2)</f>
        <v>252.17</v>
      </c>
      <c r="M322" s="15" t="n">
        <f aca="false">ROUND($G322-$K322-$L322,2)</f>
        <v>4454.31</v>
      </c>
      <c r="N322" s="15" t="n">
        <f aca="false">$G322/$E322</f>
        <v>57.7892592592593</v>
      </c>
      <c r="O322" s="25" t="n">
        <f aca="false">$G322/$J322</f>
        <v>0.932084826762246</v>
      </c>
      <c r="P322" s="18" t="str">
        <f aca="false">$C322&amp;" | "&amp;$D322</f>
        <v>Small direct | Sealants</v>
      </c>
      <c r="Q322" s="25" t="n">
        <f aca="false">INDEX('Your Floors'!$K$20:$K$31,MATCH($P322,'Your Floors'!$D$20:$D$31,0))</f>
        <v>0.905849957217107</v>
      </c>
      <c r="R322" s="18" t="str">
        <f aca="false">IF($O322&lt;$Q322,"below the floor","at or above it")</f>
        <v>at or above it</v>
      </c>
      <c r="S322" s="15" t="n">
        <f aca="false">IF($O322&lt;$Q322,$E322*ROUND($Q322*$H322,2),$G322)</f>
        <v>12482.48</v>
      </c>
      <c r="T322" s="15" t="n">
        <f aca="false">IF($O322&lt;$Q322,ROUND($L322*$S322/$G322,2),$L322)</f>
        <v>252.17</v>
      </c>
      <c r="U322" s="15" t="n">
        <f aca="false">ROUND(($S322-$G322)-($T322-$L322),2)</f>
        <v>0</v>
      </c>
      <c r="V322" s="15" t="n">
        <f aca="false">IF($O322&lt;$Q322,ROUND($S322-$K322-$T322,2),$M322)</f>
        <v>4454.31</v>
      </c>
    </row>
    <row r="323" customFormat="false" ht="15" hidden="false" customHeight="false" outlineLevel="0" collapsed="false">
      <c r="B323" s="13" t="s">
        <v>237</v>
      </c>
      <c r="C323" s="13" t="s">
        <v>218</v>
      </c>
      <c r="D323" s="13" t="s">
        <v>52</v>
      </c>
      <c r="E323" s="24" t="n">
        <v>322</v>
      </c>
      <c r="F323" s="14" t="n">
        <v>44930.08</v>
      </c>
      <c r="G323" s="14" t="n">
        <v>44480.78</v>
      </c>
      <c r="H323" s="15" t="n">
        <f aca="false">INDEX('Your Inputs'!$C$8:$C$10,MATCH($D323,'Your Inputs'!$B$8:$B$10,0))</f>
        <v>148</v>
      </c>
      <c r="I323" s="15" t="n">
        <f aca="false">INDEX('Your Inputs'!$D$8:$D$10,MATCH($D323,'Your Inputs'!$B$8:$B$10,0))</f>
        <v>78</v>
      </c>
      <c r="J323" s="15" t="n">
        <f aca="false">ROUND($E323*$H323,2)</f>
        <v>47656</v>
      </c>
      <c r="K323" s="15" t="n">
        <f aca="false">ROUND($E323*$I323,2)</f>
        <v>25116</v>
      </c>
      <c r="L323" s="15" t="n">
        <f aca="false">ROUND($F323*'Your Inputs'!$C$31,2)</f>
        <v>898.6</v>
      </c>
      <c r="M323" s="15" t="n">
        <f aca="false">ROUND($G323-$K323-$L323,2)</f>
        <v>18466.18</v>
      </c>
      <c r="N323" s="15" t="n">
        <f aca="false">$G323/$E323</f>
        <v>138.139068322981</v>
      </c>
      <c r="O323" s="25" t="n">
        <f aca="false">$G323/$J323</f>
        <v>0.933372083263388</v>
      </c>
      <c r="P323" s="18" t="str">
        <f aca="false">$C323&amp;" | "&amp;$D323</f>
        <v>Small direct | Structural adhesives</v>
      </c>
      <c r="Q323" s="25" t="n">
        <f aca="false">INDEX('Your Floors'!$K$20:$K$31,MATCH($P323,'Your Floors'!$D$20:$D$31,0))</f>
        <v>0.939509972168612</v>
      </c>
      <c r="R323" s="18" t="str">
        <f aca="false">IF($O323&lt;$Q323,"below the floor","at or above it")</f>
        <v>below the floor</v>
      </c>
      <c r="S323" s="15" t="n">
        <f aca="false">IF($O323&lt;$Q323,$E323*ROUND($Q323*$H323,2),$G323)</f>
        <v>44774.1</v>
      </c>
      <c r="T323" s="15" t="n">
        <f aca="false">IF($O323&lt;$Q323,ROUND($L323*$S323/$G323,2),$L323)</f>
        <v>904.53</v>
      </c>
      <c r="U323" s="15" t="n">
        <f aca="false">ROUND(($S323-$G323)-($T323-$L323),2)</f>
        <v>287.39</v>
      </c>
      <c r="V323" s="15" t="n">
        <f aca="false">IF($O323&lt;$Q323,ROUND($S323-$K323-$T323,2),$M323)</f>
        <v>18753.57</v>
      </c>
    </row>
    <row r="324" customFormat="false" ht="15" hidden="false" customHeight="false" outlineLevel="0" collapsed="false">
      <c r="B324" s="13" t="s">
        <v>237</v>
      </c>
      <c r="C324" s="13" t="s">
        <v>218</v>
      </c>
      <c r="D324" s="13" t="s">
        <v>54</v>
      </c>
      <c r="E324" s="24" t="n">
        <v>1016</v>
      </c>
      <c r="F324" s="14" t="n">
        <v>56818.78</v>
      </c>
      <c r="G324" s="14" t="n">
        <v>56250.59</v>
      </c>
      <c r="H324" s="15" t="n">
        <f aca="false">INDEX('Your Inputs'!$C$8:$C$10,MATCH($D324,'Your Inputs'!$B$8:$B$10,0))</f>
        <v>62</v>
      </c>
      <c r="I324" s="15" t="n">
        <f aca="false">INDEX('Your Inputs'!$D$8:$D$10,MATCH($D324,'Your Inputs'!$B$8:$B$10,0))</f>
        <v>36</v>
      </c>
      <c r="J324" s="15" t="n">
        <f aca="false">ROUND($E324*$H324,2)</f>
        <v>62992</v>
      </c>
      <c r="K324" s="15" t="n">
        <f aca="false">ROUND($E324*$I324,2)</f>
        <v>36576</v>
      </c>
      <c r="L324" s="15" t="n">
        <f aca="false">ROUND($F324*'Your Inputs'!$C$31,2)</f>
        <v>1136.38</v>
      </c>
      <c r="M324" s="15" t="n">
        <f aca="false">ROUND($G324-$K324-$L324,2)</f>
        <v>18538.21</v>
      </c>
      <c r="N324" s="15" t="n">
        <f aca="false">$G324/$E324</f>
        <v>55.3647539370079</v>
      </c>
      <c r="O324" s="25" t="n">
        <f aca="false">$G324/$J324</f>
        <v>0.892979902209804</v>
      </c>
      <c r="P324" s="18" t="str">
        <f aca="false">$C324&amp;" | "&amp;$D324</f>
        <v>Small direct | Sealants</v>
      </c>
      <c r="Q324" s="25" t="n">
        <f aca="false">INDEX('Your Floors'!$K$20:$K$31,MATCH($P324,'Your Floors'!$D$20:$D$31,0))</f>
        <v>0.905849957217107</v>
      </c>
      <c r="R324" s="18" t="str">
        <f aca="false">IF($O324&lt;$Q324,"below the floor","at or above it")</f>
        <v>below the floor</v>
      </c>
      <c r="S324" s="15" t="n">
        <f aca="false">IF($O324&lt;$Q324,$E324*ROUND($Q324*$H324,2),$G324)</f>
        <v>57058.56</v>
      </c>
      <c r="T324" s="15" t="n">
        <f aca="false">IF($O324&lt;$Q324,ROUND($L324*$S324/$G324,2),$L324)</f>
        <v>1152.7</v>
      </c>
      <c r="U324" s="15" t="n">
        <f aca="false">ROUND(($S324-$G324)-($T324-$L324),2)</f>
        <v>791.65</v>
      </c>
      <c r="V324" s="15" t="n">
        <f aca="false">IF($O324&lt;$Q324,ROUND($S324-$K324-$T324,2),$M324)</f>
        <v>19329.86</v>
      </c>
    </row>
    <row r="325" customFormat="false" ht="15" hidden="false" customHeight="false" outlineLevel="0" collapsed="false">
      <c r="B325" s="13" t="s">
        <v>237</v>
      </c>
      <c r="C325" s="13" t="s">
        <v>218</v>
      </c>
      <c r="D325" s="13" t="s">
        <v>56</v>
      </c>
      <c r="E325" s="24" t="n">
        <v>447</v>
      </c>
      <c r="F325" s="14" t="n">
        <v>39582.03</v>
      </c>
      <c r="G325" s="14" t="n">
        <v>39186.21</v>
      </c>
      <c r="H325" s="15" t="n">
        <f aca="false">INDEX('Your Inputs'!$C$8:$C$10,MATCH($D325,'Your Inputs'!$B$8:$B$10,0))</f>
        <v>96</v>
      </c>
      <c r="I325" s="15" t="n">
        <f aca="false">INDEX('Your Inputs'!$D$8:$D$10,MATCH($D325,'Your Inputs'!$B$8:$B$10,0))</f>
        <v>58</v>
      </c>
      <c r="J325" s="15" t="n">
        <f aca="false">ROUND($E325*$H325,2)</f>
        <v>42912</v>
      </c>
      <c r="K325" s="15" t="n">
        <f aca="false">ROUND($E325*$I325,2)</f>
        <v>25926</v>
      </c>
      <c r="L325" s="15" t="n">
        <f aca="false">ROUND($F325*'Your Inputs'!$C$31,2)</f>
        <v>791.64</v>
      </c>
      <c r="M325" s="15" t="n">
        <f aca="false">ROUND($G325-$K325-$L325,2)</f>
        <v>12468.57</v>
      </c>
      <c r="N325" s="15" t="n">
        <f aca="false">$G325/$E325</f>
        <v>87.6648993288591</v>
      </c>
      <c r="O325" s="25" t="n">
        <f aca="false">$G325/$J325</f>
        <v>0.913176034675615</v>
      </c>
      <c r="P325" s="18" t="str">
        <f aca="false">$C325&amp;" | "&amp;$D325</f>
        <v>Small direct | Protective coatings</v>
      </c>
      <c r="Q325" s="25" t="n">
        <f aca="false">INDEX('Your Floors'!$K$20:$K$31,MATCH($P325,'Your Floors'!$D$20:$D$31,0))</f>
        <v>0.922679993872549</v>
      </c>
      <c r="R325" s="18" t="str">
        <f aca="false">IF($O325&lt;$Q325,"below the floor","at or above it")</f>
        <v>below the floor</v>
      </c>
      <c r="S325" s="15" t="n">
        <f aca="false">IF($O325&lt;$Q325,$E325*ROUND($Q325*$H325,2),$G325)</f>
        <v>39595.26</v>
      </c>
      <c r="T325" s="15" t="n">
        <f aca="false">IF($O325&lt;$Q325,ROUND($L325*$S325/$G325,2),$L325)</f>
        <v>799.9</v>
      </c>
      <c r="U325" s="15" t="n">
        <f aca="false">ROUND(($S325-$G325)-($T325-$L325),2)</f>
        <v>400.79</v>
      </c>
      <c r="V325" s="15" t="n">
        <f aca="false">IF($O325&lt;$Q325,ROUND($S325-$K325-$T325,2),$M325)</f>
        <v>12869.36</v>
      </c>
    </row>
    <row r="326" customFormat="false" ht="15" hidden="false" customHeight="false" outlineLevel="0" collapsed="false">
      <c r="B326" s="13" t="s">
        <v>238</v>
      </c>
      <c r="C326" s="13" t="s">
        <v>218</v>
      </c>
      <c r="D326" s="13" t="s">
        <v>52</v>
      </c>
      <c r="E326" s="24" t="n">
        <v>143</v>
      </c>
      <c r="F326" s="14" t="n">
        <v>19887.81</v>
      </c>
      <c r="G326" s="14" t="n">
        <v>19688.93</v>
      </c>
      <c r="H326" s="15" t="n">
        <f aca="false">INDEX('Your Inputs'!$C$8:$C$10,MATCH($D326,'Your Inputs'!$B$8:$B$10,0))</f>
        <v>148</v>
      </c>
      <c r="I326" s="15" t="n">
        <f aca="false">INDEX('Your Inputs'!$D$8:$D$10,MATCH($D326,'Your Inputs'!$B$8:$B$10,0))</f>
        <v>78</v>
      </c>
      <c r="J326" s="15" t="n">
        <f aca="false">ROUND($E326*$H326,2)</f>
        <v>21164</v>
      </c>
      <c r="K326" s="15" t="n">
        <f aca="false">ROUND($E326*$I326,2)</f>
        <v>11154</v>
      </c>
      <c r="L326" s="15" t="n">
        <f aca="false">ROUND($F326*'Your Inputs'!$C$31,2)</f>
        <v>397.76</v>
      </c>
      <c r="M326" s="15" t="n">
        <f aca="false">ROUND($G326-$K326-$L326,2)</f>
        <v>8137.17</v>
      </c>
      <c r="N326" s="15" t="n">
        <f aca="false">$G326/$E326</f>
        <v>137.684825174825</v>
      </c>
      <c r="O326" s="25" t="n">
        <f aca="false">$G326/$J326</f>
        <v>0.930302872802873</v>
      </c>
      <c r="P326" s="18" t="str">
        <f aca="false">$C326&amp;" | "&amp;$D326</f>
        <v>Small direct | Structural adhesives</v>
      </c>
      <c r="Q326" s="25" t="n">
        <f aca="false">INDEX('Your Floors'!$K$20:$K$31,MATCH($P326,'Your Floors'!$D$20:$D$31,0))</f>
        <v>0.939509972168612</v>
      </c>
      <c r="R326" s="18" t="str">
        <f aca="false">IF($O326&lt;$Q326,"below the floor","at or above it")</f>
        <v>below the floor</v>
      </c>
      <c r="S326" s="15" t="n">
        <f aca="false">IF($O326&lt;$Q326,$E326*ROUND($Q326*$H326,2),$G326)</f>
        <v>19884.15</v>
      </c>
      <c r="T326" s="15" t="n">
        <f aca="false">IF($O326&lt;$Q326,ROUND($L326*$S326/$G326,2),$L326)</f>
        <v>401.7</v>
      </c>
      <c r="U326" s="15" t="n">
        <f aca="false">ROUND(($S326-$G326)-($T326-$L326),2)</f>
        <v>191.28</v>
      </c>
      <c r="V326" s="15" t="n">
        <f aca="false">IF($O326&lt;$Q326,ROUND($S326-$K326-$T326,2),$M326)</f>
        <v>8328.45</v>
      </c>
    </row>
    <row r="327" customFormat="false" ht="15" hidden="false" customHeight="false" outlineLevel="0" collapsed="false">
      <c r="B327" s="13" t="s">
        <v>238</v>
      </c>
      <c r="C327" s="13" t="s">
        <v>218</v>
      </c>
      <c r="D327" s="13" t="s">
        <v>56</v>
      </c>
      <c r="E327" s="24" t="n">
        <v>243</v>
      </c>
      <c r="F327" s="14" t="n">
        <v>21405.77</v>
      </c>
      <c r="G327" s="14" t="n">
        <v>21191.71</v>
      </c>
      <c r="H327" s="15" t="n">
        <f aca="false">INDEX('Your Inputs'!$C$8:$C$10,MATCH($D327,'Your Inputs'!$B$8:$B$10,0))</f>
        <v>96</v>
      </c>
      <c r="I327" s="15" t="n">
        <f aca="false">INDEX('Your Inputs'!$D$8:$D$10,MATCH($D327,'Your Inputs'!$B$8:$B$10,0))</f>
        <v>58</v>
      </c>
      <c r="J327" s="15" t="n">
        <f aca="false">ROUND($E327*$H327,2)</f>
        <v>23328</v>
      </c>
      <c r="K327" s="15" t="n">
        <f aca="false">ROUND($E327*$I327,2)</f>
        <v>14094</v>
      </c>
      <c r="L327" s="15" t="n">
        <f aca="false">ROUND($F327*'Your Inputs'!$C$31,2)</f>
        <v>428.12</v>
      </c>
      <c r="M327" s="15" t="n">
        <f aca="false">ROUND($G327-$K327-$L327,2)</f>
        <v>6669.59</v>
      </c>
      <c r="N327" s="15" t="n">
        <f aca="false">$G327/$E327</f>
        <v>87.208683127572</v>
      </c>
      <c r="O327" s="25" t="n">
        <f aca="false">$G327/$J327</f>
        <v>0.908423782578875</v>
      </c>
      <c r="P327" s="18" t="str">
        <f aca="false">$C327&amp;" | "&amp;$D327</f>
        <v>Small direct | Protective coatings</v>
      </c>
      <c r="Q327" s="25" t="n">
        <f aca="false">INDEX('Your Floors'!$K$20:$K$31,MATCH($P327,'Your Floors'!$D$20:$D$31,0))</f>
        <v>0.922679993872549</v>
      </c>
      <c r="R327" s="18" t="str">
        <f aca="false">IF($O327&lt;$Q327,"below the floor","at or above it")</f>
        <v>below the floor</v>
      </c>
      <c r="S327" s="15" t="n">
        <f aca="false">IF($O327&lt;$Q327,$E327*ROUND($Q327*$H327,2),$G327)</f>
        <v>21524.94</v>
      </c>
      <c r="T327" s="15" t="n">
        <f aca="false">IF($O327&lt;$Q327,ROUND($L327*$S327/$G327,2),$L327)</f>
        <v>434.85</v>
      </c>
      <c r="U327" s="15" t="n">
        <f aca="false">ROUND(($S327-$G327)-($T327-$L327),2)</f>
        <v>326.5</v>
      </c>
      <c r="V327" s="15" t="n">
        <f aca="false">IF($O327&lt;$Q327,ROUND($S327-$K327-$T327,2),$M327)</f>
        <v>6996.09</v>
      </c>
    </row>
    <row r="328" customFormat="false" ht="15" hidden="false" customHeight="false" outlineLevel="0" collapsed="false">
      <c r="B328" s="13" t="s">
        <v>239</v>
      </c>
      <c r="C328" s="13" t="s">
        <v>218</v>
      </c>
      <c r="D328" s="13" t="s">
        <v>52</v>
      </c>
      <c r="E328" s="24" t="n">
        <v>269</v>
      </c>
      <c r="F328" s="14" t="n">
        <v>36670.83</v>
      </c>
      <c r="G328" s="14" t="n">
        <v>36304.12</v>
      </c>
      <c r="H328" s="15" t="n">
        <f aca="false">INDEX('Your Inputs'!$C$8:$C$10,MATCH($D328,'Your Inputs'!$B$8:$B$10,0))</f>
        <v>148</v>
      </c>
      <c r="I328" s="15" t="n">
        <f aca="false">INDEX('Your Inputs'!$D$8:$D$10,MATCH($D328,'Your Inputs'!$B$8:$B$10,0))</f>
        <v>78</v>
      </c>
      <c r="J328" s="15" t="n">
        <f aca="false">ROUND($E328*$H328,2)</f>
        <v>39812</v>
      </c>
      <c r="K328" s="15" t="n">
        <f aca="false">ROUND($E328*$I328,2)</f>
        <v>20982</v>
      </c>
      <c r="L328" s="15" t="n">
        <f aca="false">ROUND($F328*'Your Inputs'!$C$31,2)</f>
        <v>733.42</v>
      </c>
      <c r="M328" s="15" t="n">
        <f aca="false">ROUND($G328-$K328-$L328,2)</f>
        <v>14588.7</v>
      </c>
      <c r="N328" s="15" t="n">
        <f aca="false">$G328/$E328</f>
        <v>134.959553903346</v>
      </c>
      <c r="O328" s="25" t="n">
        <f aca="false">$G328/$J328</f>
        <v>0.911888877725309</v>
      </c>
      <c r="P328" s="18" t="str">
        <f aca="false">$C328&amp;" | "&amp;$D328</f>
        <v>Small direct | Structural adhesives</v>
      </c>
      <c r="Q328" s="25" t="n">
        <f aca="false">INDEX('Your Floors'!$K$20:$K$31,MATCH($P328,'Your Floors'!$D$20:$D$31,0))</f>
        <v>0.939509972168612</v>
      </c>
      <c r="R328" s="18" t="str">
        <f aca="false">IF($O328&lt;$Q328,"below the floor","at or above it")</f>
        <v>below the floor</v>
      </c>
      <c r="S328" s="15" t="n">
        <f aca="false">IF($O328&lt;$Q328,$E328*ROUND($Q328*$H328,2),$G328)</f>
        <v>37404.45</v>
      </c>
      <c r="T328" s="15" t="n">
        <f aca="false">IF($O328&lt;$Q328,ROUND($L328*$S328/$G328,2),$L328)</f>
        <v>755.65</v>
      </c>
      <c r="U328" s="15" t="n">
        <f aca="false">ROUND(($S328-$G328)-($T328-$L328),2)</f>
        <v>1078.1</v>
      </c>
      <c r="V328" s="15" t="n">
        <f aca="false">IF($O328&lt;$Q328,ROUND($S328-$K328-$T328,2),$M328)</f>
        <v>15666.8</v>
      </c>
    </row>
    <row r="329" customFormat="false" ht="15" hidden="false" customHeight="false" outlineLevel="0" collapsed="false">
      <c r="B329" s="13" t="s">
        <v>239</v>
      </c>
      <c r="C329" s="13" t="s">
        <v>218</v>
      </c>
      <c r="D329" s="13" t="s">
        <v>54</v>
      </c>
      <c r="E329" s="24" t="n">
        <v>952</v>
      </c>
      <c r="F329" s="14" t="n">
        <v>50554.06</v>
      </c>
      <c r="G329" s="14" t="n">
        <v>50048.52</v>
      </c>
      <c r="H329" s="15" t="n">
        <f aca="false">INDEX('Your Inputs'!$C$8:$C$10,MATCH($D329,'Your Inputs'!$B$8:$B$10,0))</f>
        <v>62</v>
      </c>
      <c r="I329" s="15" t="n">
        <f aca="false">INDEX('Your Inputs'!$D$8:$D$10,MATCH($D329,'Your Inputs'!$B$8:$B$10,0))</f>
        <v>36</v>
      </c>
      <c r="J329" s="15" t="n">
        <f aca="false">ROUND($E329*$H329,2)</f>
        <v>59024</v>
      </c>
      <c r="K329" s="15" t="n">
        <f aca="false">ROUND($E329*$I329,2)</f>
        <v>34272</v>
      </c>
      <c r="L329" s="15" t="n">
        <f aca="false">ROUND($F329*'Your Inputs'!$C$31,2)</f>
        <v>1011.08</v>
      </c>
      <c r="M329" s="15" t="n">
        <f aca="false">ROUND($G329-$K329-$L329,2)</f>
        <v>14765.44</v>
      </c>
      <c r="N329" s="15" t="n">
        <f aca="false">$G329/$E329</f>
        <v>52.571974789916</v>
      </c>
      <c r="O329" s="25" t="n">
        <f aca="false">$G329/$J329</f>
        <v>0.847935077256709</v>
      </c>
      <c r="P329" s="18" t="str">
        <f aca="false">$C329&amp;" | "&amp;$D329</f>
        <v>Small direct | Sealants</v>
      </c>
      <c r="Q329" s="25" t="n">
        <f aca="false">INDEX('Your Floors'!$K$20:$K$31,MATCH($P329,'Your Floors'!$D$20:$D$31,0))</f>
        <v>0.905849957217107</v>
      </c>
      <c r="R329" s="18" t="str">
        <f aca="false">IF($O329&lt;$Q329,"below the floor","at or above it")</f>
        <v>below the floor</v>
      </c>
      <c r="S329" s="15" t="n">
        <f aca="false">IF($O329&lt;$Q329,$E329*ROUND($Q329*$H329,2),$G329)</f>
        <v>53464.32</v>
      </c>
      <c r="T329" s="15" t="n">
        <f aca="false">IF($O329&lt;$Q329,ROUND($L329*$S329/$G329,2),$L329)</f>
        <v>1080.09</v>
      </c>
      <c r="U329" s="15" t="n">
        <f aca="false">ROUND(($S329-$G329)-($T329-$L329),2)</f>
        <v>3346.79</v>
      </c>
      <c r="V329" s="15" t="n">
        <f aca="false">IF($O329&lt;$Q329,ROUND($S329-$K329-$T329,2),$M329)</f>
        <v>18112.23</v>
      </c>
    </row>
    <row r="330" customFormat="false" ht="15" hidden="false" customHeight="false" outlineLevel="0" collapsed="false">
      <c r="B330" s="13" t="s">
        <v>240</v>
      </c>
      <c r="C330" s="13" t="s">
        <v>218</v>
      </c>
      <c r="D330" s="13" t="s">
        <v>52</v>
      </c>
      <c r="E330" s="24" t="n">
        <v>41</v>
      </c>
      <c r="F330" s="14" t="n">
        <v>6068</v>
      </c>
      <c r="G330" s="14" t="n">
        <v>6007.32</v>
      </c>
      <c r="H330" s="15" t="n">
        <f aca="false">INDEX('Your Inputs'!$C$8:$C$10,MATCH($D330,'Your Inputs'!$B$8:$B$10,0))</f>
        <v>148</v>
      </c>
      <c r="I330" s="15" t="n">
        <f aca="false">INDEX('Your Inputs'!$D$8:$D$10,MATCH($D330,'Your Inputs'!$B$8:$B$10,0))</f>
        <v>78</v>
      </c>
      <c r="J330" s="15" t="n">
        <f aca="false">ROUND($E330*$H330,2)</f>
        <v>6068</v>
      </c>
      <c r="K330" s="15" t="n">
        <f aca="false">ROUND($E330*$I330,2)</f>
        <v>3198</v>
      </c>
      <c r="L330" s="15" t="n">
        <f aca="false">ROUND($F330*'Your Inputs'!$C$31,2)</f>
        <v>121.36</v>
      </c>
      <c r="M330" s="15" t="n">
        <f aca="false">ROUND($G330-$K330-$L330,2)</f>
        <v>2687.96</v>
      </c>
      <c r="N330" s="15" t="n">
        <f aca="false">$G330/$E330</f>
        <v>146.52</v>
      </c>
      <c r="O330" s="25" t="n">
        <f aca="false">$G330/$J330</f>
        <v>0.99</v>
      </c>
      <c r="P330" s="18" t="str">
        <f aca="false">$C330&amp;" | "&amp;$D330</f>
        <v>Small direct | Structural adhesives</v>
      </c>
      <c r="Q330" s="25" t="n">
        <f aca="false">INDEX('Your Floors'!$K$20:$K$31,MATCH($P330,'Your Floors'!$D$20:$D$31,0))</f>
        <v>0.939509972168612</v>
      </c>
      <c r="R330" s="18" t="str">
        <f aca="false">IF($O330&lt;$Q330,"below the floor","at or above it")</f>
        <v>at or above it</v>
      </c>
      <c r="S330" s="15" t="n">
        <f aca="false">IF($O330&lt;$Q330,$E330*ROUND($Q330*$H330,2),$G330)</f>
        <v>6007.32</v>
      </c>
      <c r="T330" s="15" t="n">
        <f aca="false">IF($O330&lt;$Q330,ROUND($L330*$S330/$G330,2),$L330)</f>
        <v>121.36</v>
      </c>
      <c r="U330" s="15" t="n">
        <f aca="false">ROUND(($S330-$G330)-($T330-$L330),2)</f>
        <v>0</v>
      </c>
      <c r="V330" s="15" t="n">
        <f aca="false">IF($O330&lt;$Q330,ROUND($S330-$K330-$T330,2),$M330)</f>
        <v>2687.96</v>
      </c>
    </row>
    <row r="331" customFormat="false" ht="15" hidden="false" customHeight="false" outlineLevel="0" collapsed="false">
      <c r="B331" s="13" t="s">
        <v>240</v>
      </c>
      <c r="C331" s="13" t="s">
        <v>218</v>
      </c>
      <c r="D331" s="13" t="s">
        <v>54</v>
      </c>
      <c r="E331" s="24" t="n">
        <v>711</v>
      </c>
      <c r="F331" s="14" t="n">
        <v>44082</v>
      </c>
      <c r="G331" s="14" t="n">
        <v>43641.18</v>
      </c>
      <c r="H331" s="15" t="n">
        <f aca="false">INDEX('Your Inputs'!$C$8:$C$10,MATCH($D331,'Your Inputs'!$B$8:$B$10,0))</f>
        <v>62</v>
      </c>
      <c r="I331" s="15" t="n">
        <f aca="false">INDEX('Your Inputs'!$D$8:$D$10,MATCH($D331,'Your Inputs'!$B$8:$B$10,0))</f>
        <v>36</v>
      </c>
      <c r="J331" s="15" t="n">
        <f aca="false">ROUND($E331*$H331,2)</f>
        <v>44082</v>
      </c>
      <c r="K331" s="15" t="n">
        <f aca="false">ROUND($E331*$I331,2)</f>
        <v>25596</v>
      </c>
      <c r="L331" s="15" t="n">
        <f aca="false">ROUND($F331*'Your Inputs'!$C$31,2)</f>
        <v>881.64</v>
      </c>
      <c r="M331" s="15" t="n">
        <f aca="false">ROUND($G331-$K331-$L331,2)</f>
        <v>17163.54</v>
      </c>
      <c r="N331" s="15" t="n">
        <f aca="false">$G331/$E331</f>
        <v>61.38</v>
      </c>
      <c r="O331" s="25" t="n">
        <f aca="false">$G331/$J331</f>
        <v>0.99</v>
      </c>
      <c r="P331" s="18" t="str">
        <f aca="false">$C331&amp;" | "&amp;$D331</f>
        <v>Small direct | Sealants</v>
      </c>
      <c r="Q331" s="25" t="n">
        <f aca="false">INDEX('Your Floors'!$K$20:$K$31,MATCH($P331,'Your Floors'!$D$20:$D$31,0))</f>
        <v>0.905849957217107</v>
      </c>
      <c r="R331" s="18" t="str">
        <f aca="false">IF($O331&lt;$Q331,"below the floor","at or above it")</f>
        <v>at or above it</v>
      </c>
      <c r="S331" s="15" t="n">
        <f aca="false">IF($O331&lt;$Q331,$E331*ROUND($Q331*$H331,2),$G331)</f>
        <v>43641.18</v>
      </c>
      <c r="T331" s="15" t="n">
        <f aca="false">IF($O331&lt;$Q331,ROUND($L331*$S331/$G331,2),$L331)</f>
        <v>881.64</v>
      </c>
      <c r="U331" s="15" t="n">
        <f aca="false">ROUND(($S331-$G331)-($T331-$L331),2)</f>
        <v>0</v>
      </c>
      <c r="V331" s="15" t="n">
        <f aca="false">IF($O331&lt;$Q331,ROUND($S331-$K331-$T331,2),$M331)</f>
        <v>17163.54</v>
      </c>
    </row>
    <row r="332" customFormat="false" ht="15" hidden="false" customHeight="false" outlineLevel="0" collapsed="false">
      <c r="B332" s="13" t="s">
        <v>240</v>
      </c>
      <c r="C332" s="13" t="s">
        <v>218</v>
      </c>
      <c r="D332" s="13" t="s">
        <v>56</v>
      </c>
      <c r="E332" s="24" t="n">
        <v>232</v>
      </c>
      <c r="F332" s="14" t="n">
        <v>22272</v>
      </c>
      <c r="G332" s="14" t="n">
        <v>22049.28</v>
      </c>
      <c r="H332" s="15" t="n">
        <f aca="false">INDEX('Your Inputs'!$C$8:$C$10,MATCH($D332,'Your Inputs'!$B$8:$B$10,0))</f>
        <v>96</v>
      </c>
      <c r="I332" s="15" t="n">
        <f aca="false">INDEX('Your Inputs'!$D$8:$D$10,MATCH($D332,'Your Inputs'!$B$8:$B$10,0))</f>
        <v>58</v>
      </c>
      <c r="J332" s="15" t="n">
        <f aca="false">ROUND($E332*$H332,2)</f>
        <v>22272</v>
      </c>
      <c r="K332" s="15" t="n">
        <f aca="false">ROUND($E332*$I332,2)</f>
        <v>13456</v>
      </c>
      <c r="L332" s="15" t="n">
        <f aca="false">ROUND($F332*'Your Inputs'!$C$31,2)</f>
        <v>445.44</v>
      </c>
      <c r="M332" s="15" t="n">
        <f aca="false">ROUND($G332-$K332-$L332,2)</f>
        <v>8147.84</v>
      </c>
      <c r="N332" s="15" t="n">
        <f aca="false">$G332/$E332</f>
        <v>95.04</v>
      </c>
      <c r="O332" s="25" t="n">
        <f aca="false">$G332/$J332</f>
        <v>0.99</v>
      </c>
      <c r="P332" s="18" t="str">
        <f aca="false">$C332&amp;" | "&amp;$D332</f>
        <v>Small direct | Protective coatings</v>
      </c>
      <c r="Q332" s="25" t="n">
        <f aca="false">INDEX('Your Floors'!$K$20:$K$31,MATCH($P332,'Your Floors'!$D$20:$D$31,0))</f>
        <v>0.922679993872549</v>
      </c>
      <c r="R332" s="18" t="str">
        <f aca="false">IF($O332&lt;$Q332,"below the floor","at or above it")</f>
        <v>at or above it</v>
      </c>
      <c r="S332" s="15" t="n">
        <f aca="false">IF($O332&lt;$Q332,$E332*ROUND($Q332*$H332,2),$G332)</f>
        <v>22049.28</v>
      </c>
      <c r="T332" s="15" t="n">
        <f aca="false">IF($O332&lt;$Q332,ROUND($L332*$S332/$G332,2),$L332)</f>
        <v>445.44</v>
      </c>
      <c r="U332" s="15" t="n">
        <f aca="false">ROUND(($S332-$G332)-($T332-$L332),2)</f>
        <v>0</v>
      </c>
      <c r="V332" s="15" t="n">
        <f aca="false">IF($O332&lt;$Q332,ROUND($S332-$K332-$T332,2),$M332)</f>
        <v>8147.84</v>
      </c>
    </row>
    <row r="333" customFormat="false" ht="15" hidden="false" customHeight="false" outlineLevel="0" collapsed="false">
      <c r="B333" s="13" t="s">
        <v>241</v>
      </c>
      <c r="C333" s="13" t="s">
        <v>218</v>
      </c>
      <c r="D333" s="13" t="s">
        <v>52</v>
      </c>
      <c r="E333" s="24" t="n">
        <v>85</v>
      </c>
      <c r="F333" s="14" t="n">
        <v>12580</v>
      </c>
      <c r="G333" s="14" t="n">
        <v>12454.2</v>
      </c>
      <c r="H333" s="15" t="n">
        <f aca="false">INDEX('Your Inputs'!$C$8:$C$10,MATCH($D333,'Your Inputs'!$B$8:$B$10,0))</f>
        <v>148</v>
      </c>
      <c r="I333" s="15" t="n">
        <f aca="false">INDEX('Your Inputs'!$D$8:$D$10,MATCH($D333,'Your Inputs'!$B$8:$B$10,0))</f>
        <v>78</v>
      </c>
      <c r="J333" s="15" t="n">
        <f aca="false">ROUND($E333*$H333,2)</f>
        <v>12580</v>
      </c>
      <c r="K333" s="15" t="n">
        <f aca="false">ROUND($E333*$I333,2)</f>
        <v>6630</v>
      </c>
      <c r="L333" s="15" t="n">
        <f aca="false">ROUND($F333*'Your Inputs'!$C$31,2)</f>
        <v>251.6</v>
      </c>
      <c r="M333" s="15" t="n">
        <f aca="false">ROUND($G333-$K333-$L333,2)</f>
        <v>5572.6</v>
      </c>
      <c r="N333" s="15" t="n">
        <f aca="false">$G333/$E333</f>
        <v>146.52</v>
      </c>
      <c r="O333" s="25" t="n">
        <f aca="false">$G333/$J333</f>
        <v>0.99</v>
      </c>
      <c r="P333" s="18" t="str">
        <f aca="false">$C333&amp;" | "&amp;$D333</f>
        <v>Small direct | Structural adhesives</v>
      </c>
      <c r="Q333" s="25" t="n">
        <f aca="false">INDEX('Your Floors'!$K$20:$K$31,MATCH($P333,'Your Floors'!$D$20:$D$31,0))</f>
        <v>0.939509972168612</v>
      </c>
      <c r="R333" s="18" t="str">
        <f aca="false">IF($O333&lt;$Q333,"below the floor","at or above it")</f>
        <v>at or above it</v>
      </c>
      <c r="S333" s="15" t="n">
        <f aca="false">IF($O333&lt;$Q333,$E333*ROUND($Q333*$H333,2),$G333)</f>
        <v>12454.2</v>
      </c>
      <c r="T333" s="15" t="n">
        <f aca="false">IF($O333&lt;$Q333,ROUND($L333*$S333/$G333,2),$L333)</f>
        <v>251.6</v>
      </c>
      <c r="U333" s="15" t="n">
        <f aca="false">ROUND(($S333-$G333)-($T333-$L333),2)</f>
        <v>0</v>
      </c>
      <c r="V333" s="15" t="n">
        <f aca="false">IF($O333&lt;$Q333,ROUND($S333-$K333-$T333,2),$M333)</f>
        <v>5572.6</v>
      </c>
    </row>
    <row r="334" customFormat="false" ht="15" hidden="false" customHeight="false" outlineLevel="0" collapsed="false">
      <c r="B334" s="13" t="s">
        <v>241</v>
      </c>
      <c r="C334" s="13" t="s">
        <v>218</v>
      </c>
      <c r="D334" s="13" t="s">
        <v>54</v>
      </c>
      <c r="E334" s="24" t="n">
        <v>310</v>
      </c>
      <c r="F334" s="14" t="n">
        <v>19220</v>
      </c>
      <c r="G334" s="14" t="n">
        <v>19027.8</v>
      </c>
      <c r="H334" s="15" t="n">
        <f aca="false">INDEX('Your Inputs'!$C$8:$C$10,MATCH($D334,'Your Inputs'!$B$8:$B$10,0))</f>
        <v>62</v>
      </c>
      <c r="I334" s="15" t="n">
        <f aca="false">INDEX('Your Inputs'!$D$8:$D$10,MATCH($D334,'Your Inputs'!$B$8:$B$10,0))</f>
        <v>36</v>
      </c>
      <c r="J334" s="15" t="n">
        <f aca="false">ROUND($E334*$H334,2)</f>
        <v>19220</v>
      </c>
      <c r="K334" s="15" t="n">
        <f aca="false">ROUND($E334*$I334,2)</f>
        <v>11160</v>
      </c>
      <c r="L334" s="15" t="n">
        <f aca="false">ROUND($F334*'Your Inputs'!$C$31,2)</f>
        <v>384.4</v>
      </c>
      <c r="M334" s="15" t="n">
        <f aca="false">ROUND($G334-$K334-$L334,2)</f>
        <v>7483.4</v>
      </c>
      <c r="N334" s="15" t="n">
        <f aca="false">$G334/$E334</f>
        <v>61.38</v>
      </c>
      <c r="O334" s="25" t="n">
        <f aca="false">$G334/$J334</f>
        <v>0.99</v>
      </c>
      <c r="P334" s="18" t="str">
        <f aca="false">$C334&amp;" | "&amp;$D334</f>
        <v>Small direct | Sealants</v>
      </c>
      <c r="Q334" s="25" t="n">
        <f aca="false">INDEX('Your Floors'!$K$20:$K$31,MATCH($P334,'Your Floors'!$D$20:$D$31,0))</f>
        <v>0.905849957217107</v>
      </c>
      <c r="R334" s="18" t="str">
        <f aca="false">IF($O334&lt;$Q334,"below the floor","at or above it")</f>
        <v>at or above it</v>
      </c>
      <c r="S334" s="15" t="n">
        <f aca="false">IF($O334&lt;$Q334,$E334*ROUND($Q334*$H334,2),$G334)</f>
        <v>19027.8</v>
      </c>
      <c r="T334" s="15" t="n">
        <f aca="false">IF($O334&lt;$Q334,ROUND($L334*$S334/$G334,2),$L334)</f>
        <v>384.4</v>
      </c>
      <c r="U334" s="15" t="n">
        <f aca="false">ROUND(($S334-$G334)-($T334-$L334),2)</f>
        <v>0</v>
      </c>
      <c r="V334" s="15" t="n">
        <f aca="false">IF($O334&lt;$Q334,ROUND($S334-$K334-$T334,2),$M334)</f>
        <v>7483.4</v>
      </c>
    </row>
    <row r="335" customFormat="false" ht="15" hidden="false" customHeight="false" outlineLevel="0" collapsed="false">
      <c r="B335" s="13" t="s">
        <v>241</v>
      </c>
      <c r="C335" s="13" t="s">
        <v>218</v>
      </c>
      <c r="D335" s="13" t="s">
        <v>56</v>
      </c>
      <c r="E335" s="24" t="n">
        <v>118</v>
      </c>
      <c r="F335" s="14" t="n">
        <v>11328</v>
      </c>
      <c r="G335" s="14" t="n">
        <v>11214.72</v>
      </c>
      <c r="H335" s="15" t="n">
        <f aca="false">INDEX('Your Inputs'!$C$8:$C$10,MATCH($D335,'Your Inputs'!$B$8:$B$10,0))</f>
        <v>96</v>
      </c>
      <c r="I335" s="15" t="n">
        <f aca="false">INDEX('Your Inputs'!$D$8:$D$10,MATCH($D335,'Your Inputs'!$B$8:$B$10,0))</f>
        <v>58</v>
      </c>
      <c r="J335" s="15" t="n">
        <f aca="false">ROUND($E335*$H335,2)</f>
        <v>11328</v>
      </c>
      <c r="K335" s="15" t="n">
        <f aca="false">ROUND($E335*$I335,2)</f>
        <v>6844</v>
      </c>
      <c r="L335" s="15" t="n">
        <f aca="false">ROUND($F335*'Your Inputs'!$C$31,2)</f>
        <v>226.56</v>
      </c>
      <c r="M335" s="15" t="n">
        <f aca="false">ROUND($G335-$K335-$L335,2)</f>
        <v>4144.16</v>
      </c>
      <c r="N335" s="15" t="n">
        <f aca="false">$G335/$E335</f>
        <v>95.04</v>
      </c>
      <c r="O335" s="25" t="n">
        <f aca="false">$G335/$J335</f>
        <v>0.99</v>
      </c>
      <c r="P335" s="18" t="str">
        <f aca="false">$C335&amp;" | "&amp;$D335</f>
        <v>Small direct | Protective coatings</v>
      </c>
      <c r="Q335" s="25" t="n">
        <f aca="false">INDEX('Your Floors'!$K$20:$K$31,MATCH($P335,'Your Floors'!$D$20:$D$31,0))</f>
        <v>0.922679993872549</v>
      </c>
      <c r="R335" s="18" t="str">
        <f aca="false">IF($O335&lt;$Q335,"below the floor","at or above it")</f>
        <v>at or above it</v>
      </c>
      <c r="S335" s="15" t="n">
        <f aca="false">IF($O335&lt;$Q335,$E335*ROUND($Q335*$H335,2),$G335)</f>
        <v>11214.72</v>
      </c>
      <c r="T335" s="15" t="n">
        <f aca="false">IF($O335&lt;$Q335,ROUND($L335*$S335/$G335,2),$L335)</f>
        <v>226.56</v>
      </c>
      <c r="U335" s="15" t="n">
        <f aca="false">ROUND(($S335-$G335)-($T335-$L335),2)</f>
        <v>0</v>
      </c>
      <c r="V335" s="15" t="n">
        <f aca="false">IF($O335&lt;$Q335,ROUND($S335-$K335-$T335,2),$M335)</f>
        <v>4144.16</v>
      </c>
    </row>
    <row r="336" customFormat="false" ht="15" hidden="false" customHeight="false" outlineLevel="0" collapsed="false">
      <c r="B336" s="13" t="s">
        <v>242</v>
      </c>
      <c r="C336" s="13" t="s">
        <v>218</v>
      </c>
      <c r="D336" s="13" t="s">
        <v>54</v>
      </c>
      <c r="E336" s="24" t="n">
        <v>555</v>
      </c>
      <c r="F336" s="14" t="n">
        <v>31485.15</v>
      </c>
      <c r="G336" s="14" t="n">
        <v>31170.3</v>
      </c>
      <c r="H336" s="15" t="n">
        <f aca="false">INDEX('Your Inputs'!$C$8:$C$10,MATCH($D336,'Your Inputs'!$B$8:$B$10,0))</f>
        <v>62</v>
      </c>
      <c r="I336" s="15" t="n">
        <f aca="false">INDEX('Your Inputs'!$D$8:$D$10,MATCH($D336,'Your Inputs'!$B$8:$B$10,0))</f>
        <v>36</v>
      </c>
      <c r="J336" s="15" t="n">
        <f aca="false">ROUND($E336*$H336,2)</f>
        <v>34410</v>
      </c>
      <c r="K336" s="15" t="n">
        <f aca="false">ROUND($E336*$I336,2)</f>
        <v>19980</v>
      </c>
      <c r="L336" s="15" t="n">
        <f aca="false">ROUND($F336*'Your Inputs'!$C$31,2)</f>
        <v>629.7</v>
      </c>
      <c r="M336" s="15" t="n">
        <f aca="false">ROUND($G336-$K336-$L336,2)</f>
        <v>10560.6</v>
      </c>
      <c r="N336" s="15" t="n">
        <f aca="false">$G336/$E336</f>
        <v>56.1627027027027</v>
      </c>
      <c r="O336" s="25" t="n">
        <f aca="false">$G336/$J336</f>
        <v>0.905850043591979</v>
      </c>
      <c r="P336" s="18" t="str">
        <f aca="false">$C336&amp;" | "&amp;$D336</f>
        <v>Small direct | Sealants</v>
      </c>
      <c r="Q336" s="25" t="n">
        <f aca="false">INDEX('Your Floors'!$K$20:$K$31,MATCH($P336,'Your Floors'!$D$20:$D$31,0))</f>
        <v>0.905849957217107</v>
      </c>
      <c r="R336" s="18" t="str">
        <f aca="false">IF($O336&lt;$Q336,"below the floor","at or above it")</f>
        <v>at or above it</v>
      </c>
      <c r="S336" s="15" t="n">
        <f aca="false">IF($O336&lt;$Q336,$E336*ROUND($Q336*$H336,2),$G336)</f>
        <v>31170.3</v>
      </c>
      <c r="T336" s="15" t="n">
        <f aca="false">IF($O336&lt;$Q336,ROUND($L336*$S336/$G336,2),$L336)</f>
        <v>629.7</v>
      </c>
      <c r="U336" s="15" t="n">
        <f aca="false">ROUND(($S336-$G336)-($T336-$L336),2)</f>
        <v>0</v>
      </c>
      <c r="V336" s="15" t="n">
        <f aca="false">IF($O336&lt;$Q336,ROUND($S336-$K336-$T336,2),$M336)</f>
        <v>10560.6</v>
      </c>
    </row>
    <row r="337" customFormat="false" ht="15" hidden="false" customHeight="false" outlineLevel="0" collapsed="false">
      <c r="B337" s="13" t="s">
        <v>242</v>
      </c>
      <c r="C337" s="13" t="s">
        <v>218</v>
      </c>
      <c r="D337" s="13" t="s">
        <v>56</v>
      </c>
      <c r="E337" s="24" t="n">
        <v>237</v>
      </c>
      <c r="F337" s="14" t="n">
        <v>21204.86</v>
      </c>
      <c r="G337" s="14" t="n">
        <v>20992.81</v>
      </c>
      <c r="H337" s="15" t="n">
        <f aca="false">INDEX('Your Inputs'!$C$8:$C$10,MATCH($D337,'Your Inputs'!$B$8:$B$10,0))</f>
        <v>96</v>
      </c>
      <c r="I337" s="15" t="n">
        <f aca="false">INDEX('Your Inputs'!$D$8:$D$10,MATCH($D337,'Your Inputs'!$B$8:$B$10,0))</f>
        <v>58</v>
      </c>
      <c r="J337" s="15" t="n">
        <f aca="false">ROUND($E337*$H337,2)</f>
        <v>22752</v>
      </c>
      <c r="K337" s="15" t="n">
        <f aca="false">ROUND($E337*$I337,2)</f>
        <v>13746</v>
      </c>
      <c r="L337" s="15" t="n">
        <f aca="false">ROUND($F337*'Your Inputs'!$C$31,2)</f>
        <v>424.1</v>
      </c>
      <c r="M337" s="15" t="n">
        <f aca="false">ROUND($G337-$K337-$L337,2)</f>
        <v>6822.71</v>
      </c>
      <c r="N337" s="15" t="n">
        <f aca="false">$G337/$E337</f>
        <v>88.5772573839663</v>
      </c>
      <c r="O337" s="25" t="n">
        <f aca="false">$G337/$J337</f>
        <v>0.922679764416315</v>
      </c>
      <c r="P337" s="18" t="str">
        <f aca="false">$C337&amp;" | "&amp;$D337</f>
        <v>Small direct | Protective coatings</v>
      </c>
      <c r="Q337" s="25" t="n">
        <f aca="false">INDEX('Your Floors'!$K$20:$K$31,MATCH($P337,'Your Floors'!$D$20:$D$31,0))</f>
        <v>0.922679993872549</v>
      </c>
      <c r="R337" s="18" t="str">
        <f aca="false">IF($O337&lt;$Q337,"below the floor","at or above it")</f>
        <v>below the floor</v>
      </c>
      <c r="S337" s="15" t="n">
        <f aca="false">IF($O337&lt;$Q337,$E337*ROUND($Q337*$H337,2),$G337)</f>
        <v>20993.46</v>
      </c>
      <c r="T337" s="15" t="n">
        <f aca="false">IF($O337&lt;$Q337,ROUND($L337*$S337/$G337,2),$L337)</f>
        <v>424.11</v>
      </c>
      <c r="U337" s="15" t="n">
        <f aca="false">ROUND(($S337-$G337)-($T337-$L337),2)</f>
        <v>0.64</v>
      </c>
      <c r="V337" s="15" t="n">
        <f aca="false">IF($O337&lt;$Q337,ROUND($S337-$K337-$T337,2),$M337)</f>
        <v>6823.35</v>
      </c>
    </row>
    <row r="338" customFormat="false" ht="15" hidden="false" customHeight="false" outlineLevel="0" collapsed="false">
      <c r="B338" s="13" t="s">
        <v>243</v>
      </c>
      <c r="C338" s="13" t="s">
        <v>218</v>
      </c>
      <c r="D338" s="13" t="s">
        <v>52</v>
      </c>
      <c r="E338" s="24" t="n">
        <v>151</v>
      </c>
      <c r="F338" s="14" t="n">
        <v>21000.42</v>
      </c>
      <c r="G338" s="14" t="n">
        <v>20790.42</v>
      </c>
      <c r="H338" s="15" t="n">
        <f aca="false">INDEX('Your Inputs'!$C$8:$C$10,MATCH($D338,'Your Inputs'!$B$8:$B$10,0))</f>
        <v>148</v>
      </c>
      <c r="I338" s="15" t="n">
        <f aca="false">INDEX('Your Inputs'!$D$8:$D$10,MATCH($D338,'Your Inputs'!$B$8:$B$10,0))</f>
        <v>78</v>
      </c>
      <c r="J338" s="15" t="n">
        <f aca="false">ROUND($E338*$H338,2)</f>
        <v>22348</v>
      </c>
      <c r="K338" s="15" t="n">
        <f aca="false">ROUND($E338*$I338,2)</f>
        <v>11778</v>
      </c>
      <c r="L338" s="15" t="n">
        <f aca="false">ROUND($F338*'Your Inputs'!$C$31,2)</f>
        <v>420.01</v>
      </c>
      <c r="M338" s="15" t="n">
        <f aca="false">ROUND($G338-$K338-$L338,2)</f>
        <v>8592.41</v>
      </c>
      <c r="N338" s="15" t="n">
        <f aca="false">$G338/$E338</f>
        <v>137.684900662252</v>
      </c>
      <c r="O338" s="25" t="n">
        <f aca="false">$G338/$J338</f>
        <v>0.930303382853052</v>
      </c>
      <c r="P338" s="18" t="str">
        <f aca="false">$C338&amp;" | "&amp;$D338</f>
        <v>Small direct | Structural adhesives</v>
      </c>
      <c r="Q338" s="25" t="n">
        <f aca="false">INDEX('Your Floors'!$K$20:$K$31,MATCH($P338,'Your Floors'!$D$20:$D$31,0))</f>
        <v>0.939509972168612</v>
      </c>
      <c r="R338" s="18" t="str">
        <f aca="false">IF($O338&lt;$Q338,"below the floor","at or above it")</f>
        <v>below the floor</v>
      </c>
      <c r="S338" s="15" t="n">
        <f aca="false">IF($O338&lt;$Q338,$E338*ROUND($Q338*$H338,2),$G338)</f>
        <v>20996.55</v>
      </c>
      <c r="T338" s="15" t="n">
        <f aca="false">IF($O338&lt;$Q338,ROUND($L338*$S338/$G338,2),$L338)</f>
        <v>424.17</v>
      </c>
      <c r="U338" s="15" t="n">
        <f aca="false">ROUND(($S338-$G338)-($T338-$L338),2)</f>
        <v>201.97</v>
      </c>
      <c r="V338" s="15" t="n">
        <f aca="false">IF($O338&lt;$Q338,ROUND($S338-$K338-$T338,2),$M338)</f>
        <v>8794.38</v>
      </c>
    </row>
    <row r="339" customFormat="false" ht="15" hidden="false" customHeight="false" outlineLevel="0" collapsed="false">
      <c r="B339" s="13" t="s">
        <v>243</v>
      </c>
      <c r="C339" s="13" t="s">
        <v>218</v>
      </c>
      <c r="D339" s="13" t="s">
        <v>56</v>
      </c>
      <c r="E339" s="24" t="n">
        <v>353</v>
      </c>
      <c r="F339" s="14" t="n">
        <v>31095.63</v>
      </c>
      <c r="G339" s="14" t="n">
        <v>30784.67</v>
      </c>
      <c r="H339" s="15" t="n">
        <f aca="false">INDEX('Your Inputs'!$C$8:$C$10,MATCH($D339,'Your Inputs'!$B$8:$B$10,0))</f>
        <v>96</v>
      </c>
      <c r="I339" s="15" t="n">
        <f aca="false">INDEX('Your Inputs'!$D$8:$D$10,MATCH($D339,'Your Inputs'!$B$8:$B$10,0))</f>
        <v>58</v>
      </c>
      <c r="J339" s="15" t="n">
        <f aca="false">ROUND($E339*$H339,2)</f>
        <v>33888</v>
      </c>
      <c r="K339" s="15" t="n">
        <f aca="false">ROUND($E339*$I339,2)</f>
        <v>20474</v>
      </c>
      <c r="L339" s="15" t="n">
        <f aca="false">ROUND($F339*'Your Inputs'!$C$31,2)</f>
        <v>621.91</v>
      </c>
      <c r="M339" s="15" t="n">
        <f aca="false">ROUND($G339-$K339-$L339,2)</f>
        <v>9688.76</v>
      </c>
      <c r="N339" s="15" t="n">
        <f aca="false">$G339/$E339</f>
        <v>87.2086968838527</v>
      </c>
      <c r="O339" s="25" t="n">
        <f aca="false">$G339/$J339</f>
        <v>0.908423925873465</v>
      </c>
      <c r="P339" s="18" t="str">
        <f aca="false">$C339&amp;" | "&amp;$D339</f>
        <v>Small direct | Protective coatings</v>
      </c>
      <c r="Q339" s="25" t="n">
        <f aca="false">INDEX('Your Floors'!$K$20:$K$31,MATCH($P339,'Your Floors'!$D$20:$D$31,0))</f>
        <v>0.922679993872549</v>
      </c>
      <c r="R339" s="18" t="str">
        <f aca="false">IF($O339&lt;$Q339,"below the floor","at or above it")</f>
        <v>below the floor</v>
      </c>
      <c r="S339" s="15" t="n">
        <f aca="false">IF($O339&lt;$Q339,$E339*ROUND($Q339*$H339,2),$G339)</f>
        <v>31268.74</v>
      </c>
      <c r="T339" s="15" t="n">
        <f aca="false">IF($O339&lt;$Q339,ROUND($L339*$S339/$G339,2),$L339)</f>
        <v>631.69</v>
      </c>
      <c r="U339" s="15" t="n">
        <f aca="false">ROUND(($S339-$G339)-($T339-$L339),2)</f>
        <v>474.29</v>
      </c>
      <c r="V339" s="15" t="n">
        <f aca="false">IF($O339&lt;$Q339,ROUND($S339-$K339-$T339,2),$M339)</f>
        <v>10163.05</v>
      </c>
    </row>
    <row r="340" customFormat="false" ht="15" hidden="false" customHeight="false" outlineLevel="0" collapsed="false">
      <c r="B340" s="13" t="s">
        <v>244</v>
      </c>
      <c r="C340" s="13" t="s">
        <v>218</v>
      </c>
      <c r="D340" s="13" t="s">
        <v>52</v>
      </c>
      <c r="E340" s="24" t="n">
        <v>52</v>
      </c>
      <c r="F340" s="14" t="n">
        <v>7422.79</v>
      </c>
      <c r="G340" s="14" t="n">
        <v>7348.56</v>
      </c>
      <c r="H340" s="15" t="n">
        <f aca="false">INDEX('Your Inputs'!$C$8:$C$10,MATCH($D340,'Your Inputs'!$B$8:$B$10,0))</f>
        <v>148</v>
      </c>
      <c r="I340" s="15" t="n">
        <f aca="false">INDEX('Your Inputs'!$D$8:$D$10,MATCH($D340,'Your Inputs'!$B$8:$B$10,0))</f>
        <v>78</v>
      </c>
      <c r="J340" s="15" t="n">
        <f aca="false">ROUND($E340*$H340,2)</f>
        <v>7696</v>
      </c>
      <c r="K340" s="15" t="n">
        <f aca="false">ROUND($E340*$I340,2)</f>
        <v>4056</v>
      </c>
      <c r="L340" s="15" t="n">
        <f aca="false">ROUND($F340*'Your Inputs'!$C$31,2)</f>
        <v>148.46</v>
      </c>
      <c r="M340" s="15" t="n">
        <f aca="false">ROUND($G340-$K340-$L340,2)</f>
        <v>3144.1</v>
      </c>
      <c r="N340" s="15" t="n">
        <f aca="false">$G340/$E340</f>
        <v>141.318461538462</v>
      </c>
      <c r="O340" s="25" t="n">
        <f aca="false">$G340/$J340</f>
        <v>0.95485446985447</v>
      </c>
      <c r="P340" s="18" t="str">
        <f aca="false">$C340&amp;" | "&amp;$D340</f>
        <v>Small direct | Structural adhesives</v>
      </c>
      <c r="Q340" s="25" t="n">
        <f aca="false">INDEX('Your Floors'!$K$20:$K$31,MATCH($P340,'Your Floors'!$D$20:$D$31,0))</f>
        <v>0.939509972168612</v>
      </c>
      <c r="R340" s="18" t="str">
        <f aca="false">IF($O340&lt;$Q340,"below the floor","at or above it")</f>
        <v>at or above it</v>
      </c>
      <c r="S340" s="15" t="n">
        <f aca="false">IF($O340&lt;$Q340,$E340*ROUND($Q340*$H340,2),$G340)</f>
        <v>7348.56</v>
      </c>
      <c r="T340" s="15" t="n">
        <f aca="false">IF($O340&lt;$Q340,ROUND($L340*$S340/$G340,2),$L340)</f>
        <v>148.46</v>
      </c>
      <c r="U340" s="15" t="n">
        <f aca="false">ROUND(($S340-$G340)-($T340-$L340),2)</f>
        <v>0</v>
      </c>
      <c r="V340" s="15" t="n">
        <f aca="false">IF($O340&lt;$Q340,ROUND($S340-$K340-$T340,2),$M340)</f>
        <v>3144.1</v>
      </c>
    </row>
    <row r="341" customFormat="false" ht="15" hidden="false" customHeight="false" outlineLevel="0" collapsed="false">
      <c r="B341" s="13" t="s">
        <v>244</v>
      </c>
      <c r="C341" s="13" t="s">
        <v>218</v>
      </c>
      <c r="D341" s="13" t="s">
        <v>54</v>
      </c>
      <c r="E341" s="24" t="n">
        <v>722</v>
      </c>
      <c r="F341" s="14" t="n">
        <v>42413.89</v>
      </c>
      <c r="G341" s="14" t="n">
        <v>41989.75</v>
      </c>
      <c r="H341" s="15" t="n">
        <f aca="false">INDEX('Your Inputs'!$C$8:$C$10,MATCH($D341,'Your Inputs'!$B$8:$B$10,0))</f>
        <v>62</v>
      </c>
      <c r="I341" s="15" t="n">
        <f aca="false">INDEX('Your Inputs'!$D$8:$D$10,MATCH($D341,'Your Inputs'!$B$8:$B$10,0))</f>
        <v>36</v>
      </c>
      <c r="J341" s="15" t="n">
        <f aca="false">ROUND($E341*$H341,2)</f>
        <v>44764</v>
      </c>
      <c r="K341" s="15" t="n">
        <f aca="false">ROUND($E341*$I341,2)</f>
        <v>25992</v>
      </c>
      <c r="L341" s="15" t="n">
        <f aca="false">ROUND($F341*'Your Inputs'!$C$31,2)</f>
        <v>848.28</v>
      </c>
      <c r="M341" s="15" t="n">
        <f aca="false">ROUND($G341-$K341-$L341,2)</f>
        <v>15149.47</v>
      </c>
      <c r="N341" s="15" t="n">
        <f aca="false">$G341/$E341</f>
        <v>58.1575484764543</v>
      </c>
      <c r="O341" s="25" t="n">
        <f aca="false">$G341/$J341</f>
        <v>0.938024975426682</v>
      </c>
      <c r="P341" s="18" t="str">
        <f aca="false">$C341&amp;" | "&amp;$D341</f>
        <v>Small direct | Sealants</v>
      </c>
      <c r="Q341" s="25" t="n">
        <f aca="false">INDEX('Your Floors'!$K$20:$K$31,MATCH($P341,'Your Floors'!$D$20:$D$31,0))</f>
        <v>0.905849957217107</v>
      </c>
      <c r="R341" s="18" t="str">
        <f aca="false">IF($O341&lt;$Q341,"below the floor","at or above it")</f>
        <v>at or above it</v>
      </c>
      <c r="S341" s="15" t="n">
        <f aca="false">IF($O341&lt;$Q341,$E341*ROUND($Q341*$H341,2),$G341)</f>
        <v>41989.75</v>
      </c>
      <c r="T341" s="15" t="n">
        <f aca="false">IF($O341&lt;$Q341,ROUND($L341*$S341/$G341,2),$L341)</f>
        <v>848.28</v>
      </c>
      <c r="U341" s="15" t="n">
        <f aca="false">ROUND(($S341-$G341)-($T341-$L341),2)</f>
        <v>0</v>
      </c>
      <c r="V341" s="15" t="n">
        <f aca="false">IF($O341&lt;$Q341,ROUND($S341-$K341-$T341,2),$M341)</f>
        <v>15149.47</v>
      </c>
    </row>
    <row r="342" customFormat="false" ht="15" hidden="false" customHeight="false" outlineLevel="0" collapsed="false">
      <c r="B342" s="13" t="s">
        <v>244</v>
      </c>
      <c r="C342" s="13" t="s">
        <v>218</v>
      </c>
      <c r="D342" s="13" t="s">
        <v>56</v>
      </c>
      <c r="E342" s="24" t="n">
        <v>135</v>
      </c>
      <c r="F342" s="14" t="n">
        <v>12389.76</v>
      </c>
      <c r="G342" s="14" t="n">
        <v>12265.86</v>
      </c>
      <c r="H342" s="15" t="n">
        <f aca="false">INDEX('Your Inputs'!$C$8:$C$10,MATCH($D342,'Your Inputs'!$B$8:$B$10,0))</f>
        <v>96</v>
      </c>
      <c r="I342" s="15" t="n">
        <f aca="false">INDEX('Your Inputs'!$D$8:$D$10,MATCH($D342,'Your Inputs'!$B$8:$B$10,0))</f>
        <v>58</v>
      </c>
      <c r="J342" s="15" t="n">
        <f aca="false">ROUND($E342*$H342,2)</f>
        <v>12960</v>
      </c>
      <c r="K342" s="15" t="n">
        <f aca="false">ROUND($E342*$I342,2)</f>
        <v>7830</v>
      </c>
      <c r="L342" s="15" t="n">
        <f aca="false">ROUND($F342*'Your Inputs'!$C$31,2)</f>
        <v>247.8</v>
      </c>
      <c r="M342" s="15" t="n">
        <f aca="false">ROUND($G342-$K342-$L342,2)</f>
        <v>4188.06</v>
      </c>
      <c r="N342" s="15" t="n">
        <f aca="false">$G342/$E342</f>
        <v>90.8582222222222</v>
      </c>
      <c r="O342" s="25" t="n">
        <f aca="false">$G342/$J342</f>
        <v>0.946439814814815</v>
      </c>
      <c r="P342" s="18" t="str">
        <f aca="false">$C342&amp;" | "&amp;$D342</f>
        <v>Small direct | Protective coatings</v>
      </c>
      <c r="Q342" s="25" t="n">
        <f aca="false">INDEX('Your Floors'!$K$20:$K$31,MATCH($P342,'Your Floors'!$D$20:$D$31,0))</f>
        <v>0.922679993872549</v>
      </c>
      <c r="R342" s="18" t="str">
        <f aca="false">IF($O342&lt;$Q342,"below the floor","at or above it")</f>
        <v>at or above it</v>
      </c>
      <c r="S342" s="15" t="n">
        <f aca="false">IF($O342&lt;$Q342,$E342*ROUND($Q342*$H342,2),$G342)</f>
        <v>12265.86</v>
      </c>
      <c r="T342" s="15" t="n">
        <f aca="false">IF($O342&lt;$Q342,ROUND($L342*$S342/$G342,2),$L342)</f>
        <v>247.8</v>
      </c>
      <c r="U342" s="15" t="n">
        <f aca="false">ROUND(($S342-$G342)-($T342-$L342),2)</f>
        <v>0</v>
      </c>
      <c r="V342" s="15" t="n">
        <f aca="false">IF($O342&lt;$Q342,ROUND($S342-$K342-$T342,2),$M342)</f>
        <v>4188.06</v>
      </c>
    </row>
    <row r="343" customFormat="false" ht="15" hidden="false" customHeight="false" outlineLevel="0" collapsed="false">
      <c r="B343" s="13" t="s">
        <v>245</v>
      </c>
      <c r="C343" s="13" t="s">
        <v>218</v>
      </c>
      <c r="D343" s="13" t="s">
        <v>54</v>
      </c>
      <c r="E343" s="24" t="n">
        <v>104</v>
      </c>
      <c r="F343" s="14" t="n">
        <v>6154.62</v>
      </c>
      <c r="G343" s="14" t="n">
        <v>6093.07</v>
      </c>
      <c r="H343" s="15" t="n">
        <f aca="false">INDEX('Your Inputs'!$C$8:$C$10,MATCH($D343,'Your Inputs'!$B$8:$B$10,0))</f>
        <v>62</v>
      </c>
      <c r="I343" s="15" t="n">
        <f aca="false">INDEX('Your Inputs'!$D$8:$D$10,MATCH($D343,'Your Inputs'!$B$8:$B$10,0))</f>
        <v>36</v>
      </c>
      <c r="J343" s="15" t="n">
        <f aca="false">ROUND($E343*$H343,2)</f>
        <v>6448</v>
      </c>
      <c r="K343" s="15" t="n">
        <f aca="false">ROUND($E343*$I343,2)</f>
        <v>3744</v>
      </c>
      <c r="L343" s="15" t="n">
        <f aca="false">ROUND($F343*'Your Inputs'!$C$31,2)</f>
        <v>123.09</v>
      </c>
      <c r="M343" s="15" t="n">
        <f aca="false">ROUND($G343-$K343-$L343,2)</f>
        <v>2225.98</v>
      </c>
      <c r="N343" s="15" t="n">
        <f aca="false">$G343/$E343</f>
        <v>58.5872115384615</v>
      </c>
      <c r="O343" s="25" t="n">
        <f aca="false">$G343/$J343</f>
        <v>0.944955024813896</v>
      </c>
      <c r="P343" s="18" t="str">
        <f aca="false">$C343&amp;" | "&amp;$D343</f>
        <v>Small direct | Sealants</v>
      </c>
      <c r="Q343" s="25" t="n">
        <f aca="false">INDEX('Your Floors'!$K$20:$K$31,MATCH($P343,'Your Floors'!$D$20:$D$31,0))</f>
        <v>0.905849957217107</v>
      </c>
      <c r="R343" s="18" t="str">
        <f aca="false">IF($O343&lt;$Q343,"below the floor","at or above it")</f>
        <v>at or above it</v>
      </c>
      <c r="S343" s="15" t="n">
        <f aca="false">IF($O343&lt;$Q343,$E343*ROUND($Q343*$H343,2),$G343)</f>
        <v>6093.07</v>
      </c>
      <c r="T343" s="15" t="n">
        <f aca="false">IF($O343&lt;$Q343,ROUND($L343*$S343/$G343,2),$L343)</f>
        <v>123.09</v>
      </c>
      <c r="U343" s="15" t="n">
        <f aca="false">ROUND(($S343-$G343)-($T343-$L343),2)</f>
        <v>0</v>
      </c>
      <c r="V343" s="15" t="n">
        <f aca="false">IF($O343&lt;$Q343,ROUND($S343-$K343-$T343,2),$M343)</f>
        <v>2225.98</v>
      </c>
    </row>
    <row r="344" customFormat="false" ht="15" hidden="false" customHeight="false" outlineLevel="0" collapsed="false">
      <c r="B344" s="13" t="s">
        <v>245</v>
      </c>
      <c r="C344" s="13" t="s">
        <v>218</v>
      </c>
      <c r="D344" s="13" t="s">
        <v>56</v>
      </c>
      <c r="E344" s="24" t="n">
        <v>45</v>
      </c>
      <c r="F344" s="14" t="n">
        <v>4174.85</v>
      </c>
      <c r="G344" s="14" t="n">
        <v>4133.1</v>
      </c>
      <c r="H344" s="15" t="n">
        <f aca="false">INDEX('Your Inputs'!$C$8:$C$10,MATCH($D344,'Your Inputs'!$B$8:$B$10,0))</f>
        <v>96</v>
      </c>
      <c r="I344" s="15" t="n">
        <f aca="false">INDEX('Your Inputs'!$D$8:$D$10,MATCH($D344,'Your Inputs'!$B$8:$B$10,0))</f>
        <v>58</v>
      </c>
      <c r="J344" s="15" t="n">
        <f aca="false">ROUND($E344*$H344,2)</f>
        <v>4320</v>
      </c>
      <c r="K344" s="15" t="n">
        <f aca="false">ROUND($E344*$I344,2)</f>
        <v>2610</v>
      </c>
      <c r="L344" s="15" t="n">
        <f aca="false">ROUND($F344*'Your Inputs'!$C$31,2)</f>
        <v>83.5</v>
      </c>
      <c r="M344" s="15" t="n">
        <f aca="false">ROUND($G344-$K344-$L344,2)</f>
        <v>1439.6</v>
      </c>
      <c r="N344" s="15" t="n">
        <f aca="false">$G344/$E344</f>
        <v>91.8466666666667</v>
      </c>
      <c r="O344" s="25" t="n">
        <f aca="false">$G344/$J344</f>
        <v>0.956736111111111</v>
      </c>
      <c r="P344" s="18" t="str">
        <f aca="false">$C344&amp;" | "&amp;$D344</f>
        <v>Small direct | Protective coatings</v>
      </c>
      <c r="Q344" s="25" t="n">
        <f aca="false">INDEX('Your Floors'!$K$20:$K$31,MATCH($P344,'Your Floors'!$D$20:$D$31,0))</f>
        <v>0.922679993872549</v>
      </c>
      <c r="R344" s="18" t="str">
        <f aca="false">IF($O344&lt;$Q344,"below the floor","at or above it")</f>
        <v>at or above it</v>
      </c>
      <c r="S344" s="15" t="n">
        <f aca="false">IF($O344&lt;$Q344,$E344*ROUND($Q344*$H344,2),$G344)</f>
        <v>4133.1</v>
      </c>
      <c r="T344" s="15" t="n">
        <f aca="false">IF($O344&lt;$Q344,ROUND($L344*$S344/$G344,2),$L344)</f>
        <v>83.5</v>
      </c>
      <c r="U344" s="15" t="n">
        <f aca="false">ROUND(($S344-$G344)-($T344-$L344),2)</f>
        <v>0</v>
      </c>
      <c r="V344" s="15" t="n">
        <f aca="false">IF($O344&lt;$Q344,ROUND($S344-$K344-$T344,2),$M344)</f>
        <v>1439.6</v>
      </c>
    </row>
    <row r="345" customFormat="false" ht="15" hidden="false" customHeight="false" outlineLevel="0" collapsed="false">
      <c r="B345" s="13" t="s">
        <v>246</v>
      </c>
      <c r="C345" s="13" t="s">
        <v>218</v>
      </c>
      <c r="D345" s="13" t="s">
        <v>52</v>
      </c>
      <c r="E345" s="24" t="n">
        <v>91</v>
      </c>
      <c r="F345" s="14" t="n">
        <v>13050.49</v>
      </c>
      <c r="G345" s="14" t="n">
        <v>12919.99</v>
      </c>
      <c r="H345" s="15" t="n">
        <f aca="false">INDEX('Your Inputs'!$C$8:$C$10,MATCH($D345,'Your Inputs'!$B$8:$B$10,0))</f>
        <v>148</v>
      </c>
      <c r="I345" s="15" t="n">
        <f aca="false">INDEX('Your Inputs'!$D$8:$D$10,MATCH($D345,'Your Inputs'!$B$8:$B$10,0))</f>
        <v>78</v>
      </c>
      <c r="J345" s="15" t="n">
        <f aca="false">ROUND($E345*$H345,2)</f>
        <v>13468</v>
      </c>
      <c r="K345" s="15" t="n">
        <f aca="false">ROUND($E345*$I345,2)</f>
        <v>7098</v>
      </c>
      <c r="L345" s="15" t="n">
        <f aca="false">ROUND($F345*'Your Inputs'!$C$31,2)</f>
        <v>261.01</v>
      </c>
      <c r="M345" s="15" t="n">
        <f aca="false">ROUND($G345-$K345-$L345,2)</f>
        <v>5560.98</v>
      </c>
      <c r="N345" s="15" t="n">
        <f aca="false">$G345/$E345</f>
        <v>141.977912087912</v>
      </c>
      <c r="O345" s="25" t="n">
        <f aca="false">$G345/$J345</f>
        <v>0.959310216810217</v>
      </c>
      <c r="P345" s="18" t="str">
        <f aca="false">$C345&amp;" | "&amp;$D345</f>
        <v>Small direct | Structural adhesives</v>
      </c>
      <c r="Q345" s="25" t="n">
        <f aca="false">INDEX('Your Floors'!$K$20:$K$31,MATCH($P345,'Your Floors'!$D$20:$D$31,0))</f>
        <v>0.939509972168612</v>
      </c>
      <c r="R345" s="18" t="str">
        <f aca="false">IF($O345&lt;$Q345,"below the floor","at or above it")</f>
        <v>at or above it</v>
      </c>
      <c r="S345" s="15" t="n">
        <f aca="false">IF($O345&lt;$Q345,$E345*ROUND($Q345*$H345,2),$G345)</f>
        <v>12919.99</v>
      </c>
      <c r="T345" s="15" t="n">
        <f aca="false">IF($O345&lt;$Q345,ROUND($L345*$S345/$G345,2),$L345)</f>
        <v>261.01</v>
      </c>
      <c r="U345" s="15" t="n">
        <f aca="false">ROUND(($S345-$G345)-($T345-$L345),2)</f>
        <v>0</v>
      </c>
      <c r="V345" s="15" t="n">
        <f aca="false">IF($O345&lt;$Q345,ROUND($S345-$K345-$T345,2),$M345)</f>
        <v>5560.98</v>
      </c>
    </row>
    <row r="346" customFormat="false" ht="15" hidden="false" customHeight="false" outlineLevel="0" collapsed="false">
      <c r="B346" s="13" t="s">
        <v>247</v>
      </c>
      <c r="C346" s="13" t="s">
        <v>218</v>
      </c>
      <c r="D346" s="13" t="s">
        <v>52</v>
      </c>
      <c r="E346" s="24" t="n">
        <v>328</v>
      </c>
      <c r="F346" s="14" t="n">
        <v>48544</v>
      </c>
      <c r="G346" s="14" t="n">
        <v>48058.56</v>
      </c>
      <c r="H346" s="15" t="n">
        <f aca="false">INDEX('Your Inputs'!$C$8:$C$10,MATCH($D346,'Your Inputs'!$B$8:$B$10,0))</f>
        <v>148</v>
      </c>
      <c r="I346" s="15" t="n">
        <f aca="false">INDEX('Your Inputs'!$D$8:$D$10,MATCH($D346,'Your Inputs'!$B$8:$B$10,0))</f>
        <v>78</v>
      </c>
      <c r="J346" s="15" t="n">
        <f aca="false">ROUND($E346*$H346,2)</f>
        <v>48544</v>
      </c>
      <c r="K346" s="15" t="n">
        <f aca="false">ROUND($E346*$I346,2)</f>
        <v>25584</v>
      </c>
      <c r="L346" s="15" t="n">
        <f aca="false">ROUND($F346*'Your Inputs'!$C$31,2)</f>
        <v>970.88</v>
      </c>
      <c r="M346" s="15" t="n">
        <f aca="false">ROUND($G346-$K346-$L346,2)</f>
        <v>21503.68</v>
      </c>
      <c r="N346" s="15" t="n">
        <f aca="false">$G346/$E346</f>
        <v>146.52</v>
      </c>
      <c r="O346" s="25" t="n">
        <f aca="false">$G346/$J346</f>
        <v>0.99</v>
      </c>
      <c r="P346" s="18" t="str">
        <f aca="false">$C346&amp;" | "&amp;$D346</f>
        <v>Small direct | Structural adhesives</v>
      </c>
      <c r="Q346" s="25" t="n">
        <f aca="false">INDEX('Your Floors'!$K$20:$K$31,MATCH($P346,'Your Floors'!$D$20:$D$31,0))</f>
        <v>0.939509972168612</v>
      </c>
      <c r="R346" s="18" t="str">
        <f aca="false">IF($O346&lt;$Q346,"below the floor","at or above it")</f>
        <v>at or above it</v>
      </c>
      <c r="S346" s="15" t="n">
        <f aca="false">IF($O346&lt;$Q346,$E346*ROUND($Q346*$H346,2),$G346)</f>
        <v>48058.56</v>
      </c>
      <c r="T346" s="15" t="n">
        <f aca="false">IF($O346&lt;$Q346,ROUND($L346*$S346/$G346,2),$L346)</f>
        <v>970.88</v>
      </c>
      <c r="U346" s="15" t="n">
        <f aca="false">ROUND(($S346-$G346)-($T346-$L346),2)</f>
        <v>0</v>
      </c>
      <c r="V346" s="15" t="n">
        <f aca="false">IF($O346&lt;$Q346,ROUND($S346-$K346-$T346,2),$M346)</f>
        <v>21503.68</v>
      </c>
    </row>
    <row r="347" customFormat="false" ht="15" hidden="false" customHeight="false" outlineLevel="0" collapsed="false">
      <c r="B347" s="13" t="s">
        <v>247</v>
      </c>
      <c r="C347" s="13" t="s">
        <v>218</v>
      </c>
      <c r="D347" s="13" t="s">
        <v>56</v>
      </c>
      <c r="E347" s="24" t="n">
        <v>184</v>
      </c>
      <c r="F347" s="14" t="n">
        <v>17664</v>
      </c>
      <c r="G347" s="14" t="n">
        <v>17487.36</v>
      </c>
      <c r="H347" s="15" t="n">
        <f aca="false">INDEX('Your Inputs'!$C$8:$C$10,MATCH($D347,'Your Inputs'!$B$8:$B$10,0))</f>
        <v>96</v>
      </c>
      <c r="I347" s="15" t="n">
        <f aca="false">INDEX('Your Inputs'!$D$8:$D$10,MATCH($D347,'Your Inputs'!$B$8:$B$10,0))</f>
        <v>58</v>
      </c>
      <c r="J347" s="15" t="n">
        <f aca="false">ROUND($E347*$H347,2)</f>
        <v>17664</v>
      </c>
      <c r="K347" s="15" t="n">
        <f aca="false">ROUND($E347*$I347,2)</f>
        <v>10672</v>
      </c>
      <c r="L347" s="15" t="n">
        <f aca="false">ROUND($F347*'Your Inputs'!$C$31,2)</f>
        <v>353.28</v>
      </c>
      <c r="M347" s="15" t="n">
        <f aca="false">ROUND($G347-$K347-$L347,2)</f>
        <v>6462.08</v>
      </c>
      <c r="N347" s="15" t="n">
        <f aca="false">$G347/$E347</f>
        <v>95.04</v>
      </c>
      <c r="O347" s="25" t="n">
        <f aca="false">$G347/$J347</f>
        <v>0.99</v>
      </c>
      <c r="P347" s="18" t="str">
        <f aca="false">$C347&amp;" | "&amp;$D347</f>
        <v>Small direct | Protective coatings</v>
      </c>
      <c r="Q347" s="25" t="n">
        <f aca="false">INDEX('Your Floors'!$K$20:$K$31,MATCH($P347,'Your Floors'!$D$20:$D$31,0))</f>
        <v>0.922679993872549</v>
      </c>
      <c r="R347" s="18" t="str">
        <f aca="false">IF($O347&lt;$Q347,"below the floor","at or above it")</f>
        <v>at or above it</v>
      </c>
      <c r="S347" s="15" t="n">
        <f aca="false">IF($O347&lt;$Q347,$E347*ROUND($Q347*$H347,2),$G347)</f>
        <v>17487.36</v>
      </c>
      <c r="T347" s="15" t="n">
        <f aca="false">IF($O347&lt;$Q347,ROUND($L347*$S347/$G347,2),$L347)</f>
        <v>353.28</v>
      </c>
      <c r="U347" s="15" t="n">
        <f aca="false">ROUND(($S347-$G347)-($T347-$L347),2)</f>
        <v>0</v>
      </c>
      <c r="V347" s="15" t="n">
        <f aca="false">IF($O347&lt;$Q347,ROUND($S347-$K347-$T347,2),$M347)</f>
        <v>6462.08</v>
      </c>
    </row>
    <row r="348" customFormat="false" ht="15" hidden="false" customHeight="false" outlineLevel="0" collapsed="false">
      <c r="B348" s="13" t="s">
        <v>248</v>
      </c>
      <c r="C348" s="13" t="s">
        <v>218</v>
      </c>
      <c r="D348" s="13" t="s">
        <v>52</v>
      </c>
      <c r="E348" s="24" t="n">
        <v>69</v>
      </c>
      <c r="F348" s="14" t="n">
        <v>10212</v>
      </c>
      <c r="G348" s="14" t="n">
        <v>10109.88</v>
      </c>
      <c r="H348" s="15" t="n">
        <f aca="false">INDEX('Your Inputs'!$C$8:$C$10,MATCH($D348,'Your Inputs'!$B$8:$B$10,0))</f>
        <v>148</v>
      </c>
      <c r="I348" s="15" t="n">
        <f aca="false">INDEX('Your Inputs'!$D$8:$D$10,MATCH($D348,'Your Inputs'!$B$8:$B$10,0))</f>
        <v>78</v>
      </c>
      <c r="J348" s="15" t="n">
        <f aca="false">ROUND($E348*$H348,2)</f>
        <v>10212</v>
      </c>
      <c r="K348" s="15" t="n">
        <f aca="false">ROUND($E348*$I348,2)</f>
        <v>5382</v>
      </c>
      <c r="L348" s="15" t="n">
        <f aca="false">ROUND($F348*'Your Inputs'!$C$31,2)</f>
        <v>204.24</v>
      </c>
      <c r="M348" s="15" t="n">
        <f aca="false">ROUND($G348-$K348-$L348,2)</f>
        <v>4523.64</v>
      </c>
      <c r="N348" s="15" t="n">
        <f aca="false">$G348/$E348</f>
        <v>146.52</v>
      </c>
      <c r="O348" s="25" t="n">
        <f aca="false">$G348/$J348</f>
        <v>0.99</v>
      </c>
      <c r="P348" s="18" t="str">
        <f aca="false">$C348&amp;" | "&amp;$D348</f>
        <v>Small direct | Structural adhesives</v>
      </c>
      <c r="Q348" s="25" t="n">
        <f aca="false">INDEX('Your Floors'!$K$20:$K$31,MATCH($P348,'Your Floors'!$D$20:$D$31,0))</f>
        <v>0.939509972168612</v>
      </c>
      <c r="R348" s="18" t="str">
        <f aca="false">IF($O348&lt;$Q348,"below the floor","at or above it")</f>
        <v>at or above it</v>
      </c>
      <c r="S348" s="15" t="n">
        <f aca="false">IF($O348&lt;$Q348,$E348*ROUND($Q348*$H348,2),$G348)</f>
        <v>10109.88</v>
      </c>
      <c r="T348" s="15" t="n">
        <f aca="false">IF($O348&lt;$Q348,ROUND($L348*$S348/$G348,2),$L348)</f>
        <v>204.24</v>
      </c>
      <c r="U348" s="15" t="n">
        <f aca="false">ROUND(($S348-$G348)-($T348-$L348),2)</f>
        <v>0</v>
      </c>
      <c r="V348" s="15" t="n">
        <f aca="false">IF($O348&lt;$Q348,ROUND($S348-$K348-$T348,2),$M348)</f>
        <v>4523.64</v>
      </c>
    </row>
    <row r="349" customFormat="false" ht="15" hidden="false" customHeight="false" outlineLevel="0" collapsed="false">
      <c r="B349" s="13" t="s">
        <v>248</v>
      </c>
      <c r="C349" s="13" t="s">
        <v>218</v>
      </c>
      <c r="D349" s="13" t="s">
        <v>54</v>
      </c>
      <c r="E349" s="24" t="n">
        <v>244</v>
      </c>
      <c r="F349" s="14" t="n">
        <v>15128</v>
      </c>
      <c r="G349" s="14" t="n">
        <v>14976.72</v>
      </c>
      <c r="H349" s="15" t="n">
        <f aca="false">INDEX('Your Inputs'!$C$8:$C$10,MATCH($D349,'Your Inputs'!$B$8:$B$10,0))</f>
        <v>62</v>
      </c>
      <c r="I349" s="15" t="n">
        <f aca="false">INDEX('Your Inputs'!$D$8:$D$10,MATCH($D349,'Your Inputs'!$B$8:$B$10,0))</f>
        <v>36</v>
      </c>
      <c r="J349" s="15" t="n">
        <f aca="false">ROUND($E349*$H349,2)</f>
        <v>15128</v>
      </c>
      <c r="K349" s="15" t="n">
        <f aca="false">ROUND($E349*$I349,2)</f>
        <v>8784</v>
      </c>
      <c r="L349" s="15" t="n">
        <f aca="false">ROUND($F349*'Your Inputs'!$C$31,2)</f>
        <v>302.56</v>
      </c>
      <c r="M349" s="15" t="n">
        <f aca="false">ROUND($G349-$K349-$L349,2)</f>
        <v>5890.16</v>
      </c>
      <c r="N349" s="15" t="n">
        <f aca="false">$G349/$E349</f>
        <v>61.38</v>
      </c>
      <c r="O349" s="25" t="n">
        <f aca="false">$G349/$J349</f>
        <v>0.99</v>
      </c>
      <c r="P349" s="18" t="str">
        <f aca="false">$C349&amp;" | "&amp;$D349</f>
        <v>Small direct | Sealants</v>
      </c>
      <c r="Q349" s="25" t="n">
        <f aca="false">INDEX('Your Floors'!$K$20:$K$31,MATCH($P349,'Your Floors'!$D$20:$D$31,0))</f>
        <v>0.905849957217107</v>
      </c>
      <c r="R349" s="18" t="str">
        <f aca="false">IF($O349&lt;$Q349,"below the floor","at or above it")</f>
        <v>at or above it</v>
      </c>
      <c r="S349" s="15" t="n">
        <f aca="false">IF($O349&lt;$Q349,$E349*ROUND($Q349*$H349,2),$G349)</f>
        <v>14976.72</v>
      </c>
      <c r="T349" s="15" t="n">
        <f aca="false">IF($O349&lt;$Q349,ROUND($L349*$S349/$G349,2),$L349)</f>
        <v>302.56</v>
      </c>
      <c r="U349" s="15" t="n">
        <f aca="false">ROUND(($S349-$G349)-($T349-$L349),2)</f>
        <v>0</v>
      </c>
      <c r="V349" s="15" t="n">
        <f aca="false">IF($O349&lt;$Q349,ROUND($S349-$K349-$T349,2),$M349)</f>
        <v>5890.16</v>
      </c>
    </row>
    <row r="350" customFormat="false" ht="15" hidden="false" customHeight="false" outlineLevel="0" collapsed="false">
      <c r="B350" s="13" t="s">
        <v>248</v>
      </c>
      <c r="C350" s="13" t="s">
        <v>218</v>
      </c>
      <c r="D350" s="13" t="s">
        <v>56</v>
      </c>
      <c r="E350" s="24" t="n">
        <v>77</v>
      </c>
      <c r="F350" s="14" t="n">
        <v>7392</v>
      </c>
      <c r="G350" s="14" t="n">
        <v>7318.08</v>
      </c>
      <c r="H350" s="15" t="n">
        <f aca="false">INDEX('Your Inputs'!$C$8:$C$10,MATCH($D350,'Your Inputs'!$B$8:$B$10,0))</f>
        <v>96</v>
      </c>
      <c r="I350" s="15" t="n">
        <f aca="false">INDEX('Your Inputs'!$D$8:$D$10,MATCH($D350,'Your Inputs'!$B$8:$B$10,0))</f>
        <v>58</v>
      </c>
      <c r="J350" s="15" t="n">
        <f aca="false">ROUND($E350*$H350,2)</f>
        <v>7392</v>
      </c>
      <c r="K350" s="15" t="n">
        <f aca="false">ROUND($E350*$I350,2)</f>
        <v>4466</v>
      </c>
      <c r="L350" s="15" t="n">
        <f aca="false">ROUND($F350*'Your Inputs'!$C$31,2)</f>
        <v>147.84</v>
      </c>
      <c r="M350" s="15" t="n">
        <f aca="false">ROUND($G350-$K350-$L350,2)</f>
        <v>2704.24</v>
      </c>
      <c r="N350" s="15" t="n">
        <f aca="false">$G350/$E350</f>
        <v>95.04</v>
      </c>
      <c r="O350" s="25" t="n">
        <f aca="false">$G350/$J350</f>
        <v>0.99</v>
      </c>
      <c r="P350" s="18" t="str">
        <f aca="false">$C350&amp;" | "&amp;$D350</f>
        <v>Small direct | Protective coatings</v>
      </c>
      <c r="Q350" s="25" t="n">
        <f aca="false">INDEX('Your Floors'!$K$20:$K$31,MATCH($P350,'Your Floors'!$D$20:$D$31,0))</f>
        <v>0.922679993872549</v>
      </c>
      <c r="R350" s="18" t="str">
        <f aca="false">IF($O350&lt;$Q350,"below the floor","at or above it")</f>
        <v>at or above it</v>
      </c>
      <c r="S350" s="15" t="n">
        <f aca="false">IF($O350&lt;$Q350,$E350*ROUND($Q350*$H350,2),$G350)</f>
        <v>7318.08</v>
      </c>
      <c r="T350" s="15" t="n">
        <f aca="false">IF($O350&lt;$Q350,ROUND($L350*$S350/$G350,2),$L350)</f>
        <v>147.84</v>
      </c>
      <c r="U350" s="15" t="n">
        <f aca="false">ROUND(($S350-$G350)-($T350-$L350),2)</f>
        <v>0</v>
      </c>
      <c r="V350" s="15" t="n">
        <f aca="false">IF($O350&lt;$Q350,ROUND($S350-$K350-$T350,2),$M350)</f>
        <v>2704.24</v>
      </c>
    </row>
    <row r="351" customFormat="false" ht="15" hidden="false" customHeight="false" outlineLevel="0" collapsed="false">
      <c r="B351" s="13" t="s">
        <v>249</v>
      </c>
      <c r="C351" s="13" t="s">
        <v>218</v>
      </c>
      <c r="D351" s="13" t="s">
        <v>54</v>
      </c>
      <c r="E351" s="24" t="n">
        <v>1545</v>
      </c>
      <c r="F351" s="14" t="n">
        <v>88270.48</v>
      </c>
      <c r="G351" s="14" t="n">
        <v>87387.78</v>
      </c>
      <c r="H351" s="15" t="n">
        <f aca="false">INDEX('Your Inputs'!$C$8:$C$10,MATCH($D351,'Your Inputs'!$B$8:$B$10,0))</f>
        <v>62</v>
      </c>
      <c r="I351" s="15" t="n">
        <f aca="false">INDEX('Your Inputs'!$D$8:$D$10,MATCH($D351,'Your Inputs'!$B$8:$B$10,0))</f>
        <v>36</v>
      </c>
      <c r="J351" s="15" t="n">
        <f aca="false">ROUND($E351*$H351,2)</f>
        <v>95790</v>
      </c>
      <c r="K351" s="15" t="n">
        <f aca="false">ROUND($E351*$I351,2)</f>
        <v>55620</v>
      </c>
      <c r="L351" s="15" t="n">
        <f aca="false">ROUND($F351*'Your Inputs'!$C$31,2)</f>
        <v>1765.41</v>
      </c>
      <c r="M351" s="15" t="n">
        <f aca="false">ROUND($G351-$K351-$L351,2)</f>
        <v>30002.37</v>
      </c>
      <c r="N351" s="15" t="n">
        <f aca="false">$G351/$E351</f>
        <v>56.5616699029126</v>
      </c>
      <c r="O351" s="25" t="n">
        <f aca="false">$G351/$J351</f>
        <v>0.912284998434075</v>
      </c>
      <c r="P351" s="18" t="str">
        <f aca="false">$C351&amp;" | "&amp;$D351</f>
        <v>Small direct | Sealants</v>
      </c>
      <c r="Q351" s="25" t="n">
        <f aca="false">INDEX('Your Floors'!$K$20:$K$31,MATCH($P351,'Your Floors'!$D$20:$D$31,0))</f>
        <v>0.905849957217107</v>
      </c>
      <c r="R351" s="18" t="str">
        <f aca="false">IF($O351&lt;$Q351,"below the floor","at or above it")</f>
        <v>at or above it</v>
      </c>
      <c r="S351" s="15" t="n">
        <f aca="false">IF($O351&lt;$Q351,$E351*ROUND($Q351*$H351,2),$G351)</f>
        <v>87387.78</v>
      </c>
      <c r="T351" s="15" t="n">
        <f aca="false">IF($O351&lt;$Q351,ROUND($L351*$S351/$G351,2),$L351)</f>
        <v>1765.41</v>
      </c>
      <c r="U351" s="15" t="n">
        <f aca="false">ROUND(($S351-$G351)-($T351-$L351),2)</f>
        <v>0</v>
      </c>
      <c r="V351" s="15" t="n">
        <f aca="false">IF($O351&lt;$Q351,ROUND($S351-$K351-$T351,2),$M351)</f>
        <v>30002.37</v>
      </c>
    </row>
    <row r="352" customFormat="false" ht="15" hidden="false" customHeight="false" outlineLevel="0" collapsed="false">
      <c r="B352" s="13" t="s">
        <v>249</v>
      </c>
      <c r="C352" s="13" t="s">
        <v>218</v>
      </c>
      <c r="D352" s="13" t="s">
        <v>56</v>
      </c>
      <c r="E352" s="24" t="n">
        <v>731</v>
      </c>
      <c r="F352" s="14" t="n">
        <v>65740.88</v>
      </c>
      <c r="G352" s="14" t="n">
        <v>65083.47</v>
      </c>
      <c r="H352" s="15" t="n">
        <f aca="false">INDEX('Your Inputs'!$C$8:$C$10,MATCH($D352,'Your Inputs'!$B$8:$B$10,0))</f>
        <v>96</v>
      </c>
      <c r="I352" s="15" t="n">
        <f aca="false">INDEX('Your Inputs'!$D$8:$D$10,MATCH($D352,'Your Inputs'!$B$8:$B$10,0))</f>
        <v>58</v>
      </c>
      <c r="J352" s="15" t="n">
        <f aca="false">ROUND($E352*$H352,2)</f>
        <v>70176</v>
      </c>
      <c r="K352" s="15" t="n">
        <f aca="false">ROUND($E352*$I352,2)</f>
        <v>42398</v>
      </c>
      <c r="L352" s="15" t="n">
        <f aca="false">ROUND($F352*'Your Inputs'!$C$31,2)</f>
        <v>1314.82</v>
      </c>
      <c r="M352" s="15" t="n">
        <f aca="false">ROUND($G352-$K352-$L352,2)</f>
        <v>21370.65</v>
      </c>
      <c r="N352" s="15" t="n">
        <f aca="false">$G352/$E352</f>
        <v>89.0334746922025</v>
      </c>
      <c r="O352" s="25" t="n">
        <f aca="false">$G352/$J352</f>
        <v>0.927432028043776</v>
      </c>
      <c r="P352" s="18" t="str">
        <f aca="false">$C352&amp;" | "&amp;$D352</f>
        <v>Small direct | Protective coatings</v>
      </c>
      <c r="Q352" s="25" t="n">
        <f aca="false">INDEX('Your Floors'!$K$20:$K$31,MATCH($P352,'Your Floors'!$D$20:$D$31,0))</f>
        <v>0.922679993872549</v>
      </c>
      <c r="R352" s="18" t="str">
        <f aca="false">IF($O352&lt;$Q352,"below the floor","at or above it")</f>
        <v>at or above it</v>
      </c>
      <c r="S352" s="15" t="n">
        <f aca="false">IF($O352&lt;$Q352,$E352*ROUND($Q352*$H352,2),$G352)</f>
        <v>65083.47</v>
      </c>
      <c r="T352" s="15" t="n">
        <f aca="false">IF($O352&lt;$Q352,ROUND($L352*$S352/$G352,2),$L352)</f>
        <v>1314.82</v>
      </c>
      <c r="U352" s="15" t="n">
        <f aca="false">ROUND(($S352-$G352)-($T352-$L352),2)</f>
        <v>0</v>
      </c>
      <c r="V352" s="15" t="n">
        <f aca="false">IF($O352&lt;$Q352,ROUND($S352-$K352-$T352,2),$M352)</f>
        <v>21370.65</v>
      </c>
    </row>
    <row r="353" customFormat="false" ht="15" hidden="false" customHeight="false" outlineLevel="0" collapsed="false">
      <c r="B353" s="13" t="s">
        <v>250</v>
      </c>
      <c r="C353" s="13" t="s">
        <v>218</v>
      </c>
      <c r="D353" s="13" t="s">
        <v>56</v>
      </c>
      <c r="E353" s="24" t="n">
        <v>59</v>
      </c>
      <c r="F353" s="14" t="n">
        <v>5664</v>
      </c>
      <c r="G353" s="14" t="n">
        <v>5607.36</v>
      </c>
      <c r="H353" s="15" t="n">
        <f aca="false">INDEX('Your Inputs'!$C$8:$C$10,MATCH($D353,'Your Inputs'!$B$8:$B$10,0))</f>
        <v>96</v>
      </c>
      <c r="I353" s="15" t="n">
        <f aca="false">INDEX('Your Inputs'!$D$8:$D$10,MATCH($D353,'Your Inputs'!$B$8:$B$10,0))</f>
        <v>58</v>
      </c>
      <c r="J353" s="15" t="n">
        <f aca="false">ROUND($E353*$H353,2)</f>
        <v>5664</v>
      </c>
      <c r="K353" s="15" t="n">
        <f aca="false">ROUND($E353*$I353,2)</f>
        <v>3422</v>
      </c>
      <c r="L353" s="15" t="n">
        <f aca="false">ROUND($F353*'Your Inputs'!$C$31,2)</f>
        <v>113.28</v>
      </c>
      <c r="M353" s="15" t="n">
        <f aca="false">ROUND($G353-$K353-$L353,2)</f>
        <v>2072.08</v>
      </c>
      <c r="N353" s="15" t="n">
        <f aca="false">$G353/$E353</f>
        <v>95.04</v>
      </c>
      <c r="O353" s="25" t="n">
        <f aca="false">$G353/$J353</f>
        <v>0.99</v>
      </c>
      <c r="P353" s="18" t="str">
        <f aca="false">$C353&amp;" | "&amp;$D353</f>
        <v>Small direct | Protective coatings</v>
      </c>
      <c r="Q353" s="25" t="n">
        <f aca="false">INDEX('Your Floors'!$K$20:$K$31,MATCH($P353,'Your Floors'!$D$20:$D$31,0))</f>
        <v>0.922679993872549</v>
      </c>
      <c r="R353" s="18" t="str">
        <f aca="false">IF($O353&lt;$Q353,"below the floor","at or above it")</f>
        <v>at or above it</v>
      </c>
      <c r="S353" s="15" t="n">
        <f aca="false">IF($O353&lt;$Q353,$E353*ROUND($Q353*$H353,2),$G353)</f>
        <v>5607.36</v>
      </c>
      <c r="T353" s="15" t="n">
        <f aca="false">IF($O353&lt;$Q353,ROUND($L353*$S353/$G353,2),$L353)</f>
        <v>113.28</v>
      </c>
      <c r="U353" s="15" t="n">
        <f aca="false">ROUND(($S353-$G353)-($T353-$L353),2)</f>
        <v>0</v>
      </c>
      <c r="V353" s="15" t="n">
        <f aca="false">IF($O353&lt;$Q353,ROUND($S353-$K353-$T353,2),$M353)</f>
        <v>2072.08</v>
      </c>
    </row>
    <row r="354" customFormat="false" ht="15" hidden="false" customHeight="false" outlineLevel="0" collapsed="false">
      <c r="B354" s="13" t="s">
        <v>251</v>
      </c>
      <c r="C354" s="13" t="s">
        <v>218</v>
      </c>
      <c r="D354" s="13" t="s">
        <v>52</v>
      </c>
      <c r="E354" s="24" t="n">
        <v>65</v>
      </c>
      <c r="F354" s="14" t="n">
        <v>9427.6</v>
      </c>
      <c r="G354" s="14" t="n">
        <v>9333.32</v>
      </c>
      <c r="H354" s="15" t="n">
        <f aca="false">INDEX('Your Inputs'!$C$8:$C$10,MATCH($D354,'Your Inputs'!$B$8:$B$10,0))</f>
        <v>148</v>
      </c>
      <c r="I354" s="15" t="n">
        <f aca="false">INDEX('Your Inputs'!$D$8:$D$10,MATCH($D354,'Your Inputs'!$B$8:$B$10,0))</f>
        <v>78</v>
      </c>
      <c r="J354" s="15" t="n">
        <f aca="false">ROUND($E354*$H354,2)</f>
        <v>9620</v>
      </c>
      <c r="K354" s="15" t="n">
        <f aca="false">ROUND($E354*$I354,2)</f>
        <v>5070</v>
      </c>
      <c r="L354" s="15" t="n">
        <f aca="false">ROUND($F354*'Your Inputs'!$C$31,2)</f>
        <v>188.55</v>
      </c>
      <c r="M354" s="15" t="n">
        <f aca="false">ROUND($G354-$K354-$L354,2)</f>
        <v>4074.77</v>
      </c>
      <c r="N354" s="15" t="n">
        <f aca="false">$G354/$E354</f>
        <v>143.589538461538</v>
      </c>
      <c r="O354" s="25" t="n">
        <f aca="false">$G354/$J354</f>
        <v>0.970199584199584</v>
      </c>
      <c r="P354" s="18" t="str">
        <f aca="false">$C354&amp;" | "&amp;$D354</f>
        <v>Small direct | Structural adhesives</v>
      </c>
      <c r="Q354" s="25" t="n">
        <f aca="false">INDEX('Your Floors'!$K$20:$K$31,MATCH($P354,'Your Floors'!$D$20:$D$31,0))</f>
        <v>0.939509972168612</v>
      </c>
      <c r="R354" s="18" t="str">
        <f aca="false">IF($O354&lt;$Q354,"below the floor","at or above it")</f>
        <v>at or above it</v>
      </c>
      <c r="S354" s="15" t="n">
        <f aca="false">IF($O354&lt;$Q354,$E354*ROUND($Q354*$H354,2),$G354)</f>
        <v>9333.32</v>
      </c>
      <c r="T354" s="15" t="n">
        <f aca="false">IF($O354&lt;$Q354,ROUND($L354*$S354/$G354,2),$L354)</f>
        <v>188.55</v>
      </c>
      <c r="U354" s="15" t="n">
        <f aca="false">ROUND(($S354-$G354)-($T354-$L354),2)</f>
        <v>0</v>
      </c>
      <c r="V354" s="15" t="n">
        <f aca="false">IF($O354&lt;$Q354,ROUND($S354-$K354-$T354,2),$M354)</f>
        <v>4074.77</v>
      </c>
    </row>
    <row r="355" customFormat="false" ht="15" hidden="false" customHeight="false" outlineLevel="0" collapsed="false">
      <c r="B355" s="13" t="s">
        <v>251</v>
      </c>
      <c r="C355" s="13" t="s">
        <v>218</v>
      </c>
      <c r="D355" s="13" t="s">
        <v>54</v>
      </c>
      <c r="E355" s="24" t="n">
        <v>518</v>
      </c>
      <c r="F355" s="14" t="n">
        <v>31473.68</v>
      </c>
      <c r="G355" s="14" t="n">
        <v>31158.94</v>
      </c>
      <c r="H355" s="15" t="n">
        <f aca="false">INDEX('Your Inputs'!$C$8:$C$10,MATCH($D355,'Your Inputs'!$B$8:$B$10,0))</f>
        <v>62</v>
      </c>
      <c r="I355" s="15" t="n">
        <f aca="false">INDEX('Your Inputs'!$D$8:$D$10,MATCH($D355,'Your Inputs'!$B$8:$B$10,0))</f>
        <v>36</v>
      </c>
      <c r="J355" s="15" t="n">
        <f aca="false">ROUND($E355*$H355,2)</f>
        <v>32116</v>
      </c>
      <c r="K355" s="15" t="n">
        <f aca="false">ROUND($E355*$I355,2)</f>
        <v>18648</v>
      </c>
      <c r="L355" s="15" t="n">
        <f aca="false">ROUND($F355*'Your Inputs'!$C$31,2)</f>
        <v>629.47</v>
      </c>
      <c r="M355" s="15" t="n">
        <f aca="false">ROUND($G355-$K355-$L355,2)</f>
        <v>11881.47</v>
      </c>
      <c r="N355" s="15" t="n">
        <f aca="false">$G355/$E355</f>
        <v>60.1523938223938</v>
      </c>
      <c r="O355" s="25" t="n">
        <f aca="false">$G355/$J355</f>
        <v>0.970199900361191</v>
      </c>
      <c r="P355" s="18" t="str">
        <f aca="false">$C355&amp;" | "&amp;$D355</f>
        <v>Small direct | Sealants</v>
      </c>
      <c r="Q355" s="25" t="n">
        <f aca="false">INDEX('Your Floors'!$K$20:$K$31,MATCH($P355,'Your Floors'!$D$20:$D$31,0))</f>
        <v>0.905849957217107</v>
      </c>
      <c r="R355" s="18" t="str">
        <f aca="false">IF($O355&lt;$Q355,"below the floor","at or above it")</f>
        <v>at or above it</v>
      </c>
      <c r="S355" s="15" t="n">
        <f aca="false">IF($O355&lt;$Q355,$E355*ROUND($Q355*$H355,2),$G355)</f>
        <v>31158.94</v>
      </c>
      <c r="T355" s="15" t="n">
        <f aca="false">IF($O355&lt;$Q355,ROUND($L355*$S355/$G355,2),$L355)</f>
        <v>629.47</v>
      </c>
      <c r="U355" s="15" t="n">
        <f aca="false">ROUND(($S355-$G355)-($T355-$L355),2)</f>
        <v>0</v>
      </c>
      <c r="V355" s="15" t="n">
        <f aca="false">IF($O355&lt;$Q355,ROUND($S355-$K355-$T355,2),$M355)</f>
        <v>11881.47</v>
      </c>
    </row>
    <row r="356" customFormat="false" ht="15" hidden="false" customHeight="false" outlineLevel="0" collapsed="false">
      <c r="B356" s="13" t="s">
        <v>251</v>
      </c>
      <c r="C356" s="13" t="s">
        <v>218</v>
      </c>
      <c r="D356" s="13" t="s">
        <v>56</v>
      </c>
      <c r="E356" s="24" t="n">
        <v>161</v>
      </c>
      <c r="F356" s="14" t="n">
        <v>15146.88</v>
      </c>
      <c r="G356" s="14" t="n">
        <v>14995.41</v>
      </c>
      <c r="H356" s="15" t="n">
        <f aca="false">INDEX('Your Inputs'!$C$8:$C$10,MATCH($D356,'Your Inputs'!$B$8:$B$10,0))</f>
        <v>96</v>
      </c>
      <c r="I356" s="15" t="n">
        <f aca="false">INDEX('Your Inputs'!$D$8:$D$10,MATCH($D356,'Your Inputs'!$B$8:$B$10,0))</f>
        <v>58</v>
      </c>
      <c r="J356" s="15" t="n">
        <f aca="false">ROUND($E356*$H356,2)</f>
        <v>15456</v>
      </c>
      <c r="K356" s="15" t="n">
        <f aca="false">ROUND($E356*$I356,2)</f>
        <v>9338</v>
      </c>
      <c r="L356" s="15" t="n">
        <f aca="false">ROUND($F356*'Your Inputs'!$C$31,2)</f>
        <v>302.94</v>
      </c>
      <c r="M356" s="15" t="n">
        <f aca="false">ROUND($G356-$K356-$L356,2)</f>
        <v>5354.47</v>
      </c>
      <c r="N356" s="15" t="n">
        <f aca="false">$G356/$E356</f>
        <v>93.1391925465839</v>
      </c>
      <c r="O356" s="25" t="n">
        <f aca="false">$G356/$J356</f>
        <v>0.970199922360248</v>
      </c>
      <c r="P356" s="18" t="str">
        <f aca="false">$C356&amp;" | "&amp;$D356</f>
        <v>Small direct | Protective coatings</v>
      </c>
      <c r="Q356" s="25" t="n">
        <f aca="false">INDEX('Your Floors'!$K$20:$K$31,MATCH($P356,'Your Floors'!$D$20:$D$31,0))</f>
        <v>0.922679993872549</v>
      </c>
      <c r="R356" s="18" t="str">
        <f aca="false">IF($O356&lt;$Q356,"below the floor","at or above it")</f>
        <v>at or above it</v>
      </c>
      <c r="S356" s="15" t="n">
        <f aca="false">IF($O356&lt;$Q356,$E356*ROUND($Q356*$H356,2),$G356)</f>
        <v>14995.41</v>
      </c>
      <c r="T356" s="15" t="n">
        <f aca="false">IF($O356&lt;$Q356,ROUND($L356*$S356/$G356,2),$L356)</f>
        <v>302.94</v>
      </c>
      <c r="U356" s="15" t="n">
        <f aca="false">ROUND(($S356-$G356)-($T356-$L356),2)</f>
        <v>0</v>
      </c>
      <c r="V356" s="15" t="n">
        <f aca="false">IF($O356&lt;$Q356,ROUND($S356-$K356-$T356,2),$M356)</f>
        <v>5354.47</v>
      </c>
    </row>
    <row r="357" customFormat="false" ht="15" hidden="false" customHeight="false" outlineLevel="0" collapsed="false">
      <c r="B357" s="13" t="s">
        <v>252</v>
      </c>
      <c r="C357" s="13" t="s">
        <v>218</v>
      </c>
      <c r="D357" s="13" t="s">
        <v>52</v>
      </c>
      <c r="E357" s="24" t="n">
        <v>240</v>
      </c>
      <c r="F357" s="14" t="n">
        <v>33598.37</v>
      </c>
      <c r="G357" s="14" t="n">
        <v>33262.39</v>
      </c>
      <c r="H357" s="15" t="n">
        <f aca="false">INDEX('Your Inputs'!$C$8:$C$10,MATCH($D357,'Your Inputs'!$B$8:$B$10,0))</f>
        <v>148</v>
      </c>
      <c r="I357" s="15" t="n">
        <f aca="false">INDEX('Your Inputs'!$D$8:$D$10,MATCH($D357,'Your Inputs'!$B$8:$B$10,0))</f>
        <v>78</v>
      </c>
      <c r="J357" s="15" t="n">
        <f aca="false">ROUND($E357*$H357,2)</f>
        <v>35520</v>
      </c>
      <c r="K357" s="15" t="n">
        <f aca="false">ROUND($E357*$I357,2)</f>
        <v>18720</v>
      </c>
      <c r="L357" s="15" t="n">
        <f aca="false">ROUND($F357*'Your Inputs'!$C$31,2)</f>
        <v>671.97</v>
      </c>
      <c r="M357" s="15" t="n">
        <f aca="false">ROUND($G357-$K357-$L357,2)</f>
        <v>13870.42</v>
      </c>
      <c r="N357" s="15" t="n">
        <f aca="false">$G357/$E357</f>
        <v>138.593291666667</v>
      </c>
      <c r="O357" s="25" t="n">
        <f aca="false">$G357/$J357</f>
        <v>0.93644115990991</v>
      </c>
      <c r="P357" s="18" t="str">
        <f aca="false">$C357&amp;" | "&amp;$D357</f>
        <v>Small direct | Structural adhesives</v>
      </c>
      <c r="Q357" s="25" t="n">
        <f aca="false">INDEX('Your Floors'!$K$20:$K$31,MATCH($P357,'Your Floors'!$D$20:$D$31,0))</f>
        <v>0.939509972168612</v>
      </c>
      <c r="R357" s="18" t="str">
        <f aca="false">IF($O357&lt;$Q357,"below the floor","at or above it")</f>
        <v>below the floor</v>
      </c>
      <c r="S357" s="15" t="n">
        <f aca="false">IF($O357&lt;$Q357,$E357*ROUND($Q357*$H357,2),$G357)</f>
        <v>33372</v>
      </c>
      <c r="T357" s="15" t="n">
        <f aca="false">IF($O357&lt;$Q357,ROUND($L357*$S357/$G357,2),$L357)</f>
        <v>674.18</v>
      </c>
      <c r="U357" s="15" t="n">
        <f aca="false">ROUND(($S357-$G357)-($T357-$L357),2)</f>
        <v>107.4</v>
      </c>
      <c r="V357" s="15" t="n">
        <f aca="false">IF($O357&lt;$Q357,ROUND($S357-$K357-$T357,2),$M357)</f>
        <v>13977.82</v>
      </c>
    </row>
    <row r="358" customFormat="false" ht="15" hidden="false" customHeight="false" outlineLevel="0" collapsed="false">
      <c r="B358" s="13" t="s">
        <v>252</v>
      </c>
      <c r="C358" s="13" t="s">
        <v>218</v>
      </c>
      <c r="D358" s="13" t="s">
        <v>54</v>
      </c>
      <c r="E358" s="24" t="n">
        <v>1116</v>
      </c>
      <c r="F358" s="14" t="n">
        <v>62860.93</v>
      </c>
      <c r="G358" s="14" t="n">
        <v>62232.32</v>
      </c>
      <c r="H358" s="15" t="n">
        <f aca="false">INDEX('Your Inputs'!$C$8:$C$10,MATCH($D358,'Your Inputs'!$B$8:$B$10,0))</f>
        <v>62</v>
      </c>
      <c r="I358" s="15" t="n">
        <f aca="false">INDEX('Your Inputs'!$D$8:$D$10,MATCH($D358,'Your Inputs'!$B$8:$B$10,0))</f>
        <v>36</v>
      </c>
      <c r="J358" s="15" t="n">
        <f aca="false">ROUND($E358*$H358,2)</f>
        <v>69192</v>
      </c>
      <c r="K358" s="15" t="n">
        <f aca="false">ROUND($E358*$I358,2)</f>
        <v>40176</v>
      </c>
      <c r="L358" s="15" t="n">
        <f aca="false">ROUND($F358*'Your Inputs'!$C$31,2)</f>
        <v>1257.22</v>
      </c>
      <c r="M358" s="15" t="n">
        <f aca="false">ROUND($G358-$K358-$L358,2)</f>
        <v>20799.1</v>
      </c>
      <c r="N358" s="15" t="n">
        <f aca="false">$G358/$E358</f>
        <v>55.7637275985663</v>
      </c>
      <c r="O358" s="25" t="n">
        <f aca="false">$G358/$J358</f>
        <v>0.899414961267199</v>
      </c>
      <c r="P358" s="18" t="str">
        <f aca="false">$C358&amp;" | "&amp;$D358</f>
        <v>Small direct | Sealants</v>
      </c>
      <c r="Q358" s="25" t="n">
        <f aca="false">INDEX('Your Floors'!$K$20:$K$31,MATCH($P358,'Your Floors'!$D$20:$D$31,0))</f>
        <v>0.905849957217107</v>
      </c>
      <c r="R358" s="18" t="str">
        <f aca="false">IF($O358&lt;$Q358,"below the floor","at or above it")</f>
        <v>below the floor</v>
      </c>
      <c r="S358" s="15" t="n">
        <f aca="false">IF($O358&lt;$Q358,$E358*ROUND($Q358*$H358,2),$G358)</f>
        <v>62674.56</v>
      </c>
      <c r="T358" s="15" t="n">
        <f aca="false">IF($O358&lt;$Q358,ROUND($L358*$S358/$G358,2),$L358)</f>
        <v>1266.15</v>
      </c>
      <c r="U358" s="15" t="n">
        <f aca="false">ROUND(($S358-$G358)-($T358-$L358),2)</f>
        <v>433.31</v>
      </c>
      <c r="V358" s="15" t="n">
        <f aca="false">IF($O358&lt;$Q358,ROUND($S358-$K358-$T358,2),$M358)</f>
        <v>21232.41</v>
      </c>
    </row>
    <row r="359" customFormat="false" ht="15" hidden="false" customHeight="false" outlineLevel="0" collapsed="false">
      <c r="B359" s="13" t="s">
        <v>252</v>
      </c>
      <c r="C359" s="13" t="s">
        <v>218</v>
      </c>
      <c r="D359" s="13" t="s">
        <v>56</v>
      </c>
      <c r="E359" s="24" t="n">
        <v>444</v>
      </c>
      <c r="F359" s="14" t="n">
        <v>39520.97</v>
      </c>
      <c r="G359" s="14" t="n">
        <v>39125.76</v>
      </c>
      <c r="H359" s="15" t="n">
        <f aca="false">INDEX('Your Inputs'!$C$8:$C$10,MATCH($D359,'Your Inputs'!$B$8:$B$10,0))</f>
        <v>96</v>
      </c>
      <c r="I359" s="15" t="n">
        <f aca="false">INDEX('Your Inputs'!$D$8:$D$10,MATCH($D359,'Your Inputs'!$B$8:$B$10,0))</f>
        <v>58</v>
      </c>
      <c r="J359" s="15" t="n">
        <f aca="false">ROUND($E359*$H359,2)</f>
        <v>42624</v>
      </c>
      <c r="K359" s="15" t="n">
        <f aca="false">ROUND($E359*$I359,2)</f>
        <v>25752</v>
      </c>
      <c r="L359" s="15" t="n">
        <f aca="false">ROUND($F359*'Your Inputs'!$C$31,2)</f>
        <v>790.42</v>
      </c>
      <c r="M359" s="15" t="n">
        <f aca="false">ROUND($G359-$K359-$L359,2)</f>
        <v>12583.34</v>
      </c>
      <c r="N359" s="15" t="n">
        <f aca="false">$G359/$E359</f>
        <v>88.1210810810811</v>
      </c>
      <c r="O359" s="25" t="n">
        <f aca="false">$G359/$J359</f>
        <v>0.917927927927928</v>
      </c>
      <c r="P359" s="18" t="str">
        <f aca="false">$C359&amp;" | "&amp;$D359</f>
        <v>Small direct | Protective coatings</v>
      </c>
      <c r="Q359" s="25" t="n">
        <f aca="false">INDEX('Your Floors'!$K$20:$K$31,MATCH($P359,'Your Floors'!$D$20:$D$31,0))</f>
        <v>0.922679993872549</v>
      </c>
      <c r="R359" s="18" t="str">
        <f aca="false">IF($O359&lt;$Q359,"below the floor","at or above it")</f>
        <v>below the floor</v>
      </c>
      <c r="S359" s="15" t="n">
        <f aca="false">IF($O359&lt;$Q359,$E359*ROUND($Q359*$H359,2),$G359)</f>
        <v>39329.52</v>
      </c>
      <c r="T359" s="15" t="n">
        <f aca="false">IF($O359&lt;$Q359,ROUND($L359*$S359/$G359,2),$L359)</f>
        <v>794.54</v>
      </c>
      <c r="U359" s="15" t="n">
        <f aca="false">ROUND(($S359-$G359)-($T359-$L359),2)</f>
        <v>199.64</v>
      </c>
      <c r="V359" s="15" t="n">
        <f aca="false">IF($O359&lt;$Q359,ROUND($S359-$K359-$T359,2),$M359)</f>
        <v>12782.98</v>
      </c>
    </row>
    <row r="360" customFormat="false" ht="15" hidden="false" customHeight="false" outlineLevel="0" collapsed="false">
      <c r="B360" s="13" t="s">
        <v>253</v>
      </c>
      <c r="C360" s="13" t="s">
        <v>218</v>
      </c>
      <c r="D360" s="13" t="s">
        <v>52</v>
      </c>
      <c r="E360" s="24" t="n">
        <v>197</v>
      </c>
      <c r="F360" s="14" t="n">
        <v>27669.04</v>
      </c>
      <c r="G360" s="14" t="n">
        <v>27392.35</v>
      </c>
      <c r="H360" s="15" t="n">
        <f aca="false">INDEX('Your Inputs'!$C$8:$C$10,MATCH($D360,'Your Inputs'!$B$8:$B$10,0))</f>
        <v>148</v>
      </c>
      <c r="I360" s="15" t="n">
        <f aca="false">INDEX('Your Inputs'!$D$8:$D$10,MATCH($D360,'Your Inputs'!$B$8:$B$10,0))</f>
        <v>78</v>
      </c>
      <c r="J360" s="15" t="n">
        <f aca="false">ROUND($E360*$H360,2)</f>
        <v>29156</v>
      </c>
      <c r="K360" s="15" t="n">
        <f aca="false">ROUND($E360*$I360,2)</f>
        <v>15366</v>
      </c>
      <c r="L360" s="15" t="n">
        <f aca="false">ROUND($F360*'Your Inputs'!$C$31,2)</f>
        <v>553.38</v>
      </c>
      <c r="M360" s="15" t="n">
        <f aca="false">ROUND($G360-$K360-$L360,2)</f>
        <v>11472.97</v>
      </c>
      <c r="N360" s="15" t="n">
        <f aca="false">$G360/$E360</f>
        <v>139.047461928934</v>
      </c>
      <c r="O360" s="25" t="n">
        <f aca="false">$G360/$J360</f>
        <v>0.939509877898203</v>
      </c>
      <c r="P360" s="18" t="str">
        <f aca="false">$C360&amp;" | "&amp;$D360</f>
        <v>Small direct | Structural adhesives</v>
      </c>
      <c r="Q360" s="25" t="n">
        <f aca="false">INDEX('Your Floors'!$K$20:$K$31,MATCH($P360,'Your Floors'!$D$20:$D$31,0))</f>
        <v>0.939509972168612</v>
      </c>
      <c r="R360" s="18" t="str">
        <f aca="false">IF($O360&lt;$Q360,"below the floor","at or above it")</f>
        <v>below the floor</v>
      </c>
      <c r="S360" s="15" t="n">
        <f aca="false">IF($O360&lt;$Q360,$E360*ROUND($Q360*$H360,2),$G360)</f>
        <v>27392.85</v>
      </c>
      <c r="T360" s="15" t="n">
        <f aca="false">IF($O360&lt;$Q360,ROUND($L360*$S360/$G360,2),$L360)</f>
        <v>553.39</v>
      </c>
      <c r="U360" s="15" t="n">
        <f aca="false">ROUND(($S360-$G360)-($T360-$L360),2)</f>
        <v>0.49</v>
      </c>
      <c r="V360" s="15" t="n">
        <f aca="false">IF($O360&lt;$Q360,ROUND($S360-$K360-$T360,2),$M360)</f>
        <v>11473.46</v>
      </c>
    </row>
    <row r="361" customFormat="false" ht="15" hidden="false" customHeight="false" outlineLevel="0" collapsed="false">
      <c r="B361" s="13" t="s">
        <v>253</v>
      </c>
      <c r="C361" s="13" t="s">
        <v>218</v>
      </c>
      <c r="D361" s="13" t="s">
        <v>56</v>
      </c>
      <c r="E361" s="24" t="n">
        <v>422</v>
      </c>
      <c r="F361" s="14" t="n">
        <v>37757.18</v>
      </c>
      <c r="G361" s="14" t="n">
        <v>37379.61</v>
      </c>
      <c r="H361" s="15" t="n">
        <f aca="false">INDEX('Your Inputs'!$C$8:$C$10,MATCH($D361,'Your Inputs'!$B$8:$B$10,0))</f>
        <v>96</v>
      </c>
      <c r="I361" s="15" t="n">
        <f aca="false">INDEX('Your Inputs'!$D$8:$D$10,MATCH($D361,'Your Inputs'!$B$8:$B$10,0))</f>
        <v>58</v>
      </c>
      <c r="J361" s="15" t="n">
        <f aca="false">ROUND($E361*$H361,2)</f>
        <v>40512</v>
      </c>
      <c r="K361" s="15" t="n">
        <f aca="false">ROUND($E361*$I361,2)</f>
        <v>24476</v>
      </c>
      <c r="L361" s="15" t="n">
        <f aca="false">ROUND($F361*'Your Inputs'!$C$31,2)</f>
        <v>755.14</v>
      </c>
      <c r="M361" s="15" t="n">
        <f aca="false">ROUND($G361-$K361-$L361,2)</f>
        <v>12148.47</v>
      </c>
      <c r="N361" s="15" t="n">
        <f aca="false">$G361/$E361</f>
        <v>88.5772748815166</v>
      </c>
      <c r="O361" s="25" t="n">
        <f aca="false">$G361/$J361</f>
        <v>0.922679946682464</v>
      </c>
      <c r="P361" s="18" t="str">
        <f aca="false">$C361&amp;" | "&amp;$D361</f>
        <v>Small direct | Protective coatings</v>
      </c>
      <c r="Q361" s="25" t="n">
        <f aca="false">INDEX('Your Floors'!$K$20:$K$31,MATCH($P361,'Your Floors'!$D$20:$D$31,0))</f>
        <v>0.922679993872549</v>
      </c>
      <c r="R361" s="18" t="str">
        <f aca="false">IF($O361&lt;$Q361,"below the floor","at or above it")</f>
        <v>below the floor</v>
      </c>
      <c r="S361" s="15" t="n">
        <f aca="false">IF($O361&lt;$Q361,$E361*ROUND($Q361*$H361,2),$G361)</f>
        <v>37380.76</v>
      </c>
      <c r="T361" s="15" t="n">
        <f aca="false">IF($O361&lt;$Q361,ROUND($L361*$S361/$G361,2),$L361)</f>
        <v>755.16</v>
      </c>
      <c r="U361" s="15" t="n">
        <f aca="false">ROUND(($S361-$G361)-($T361-$L361),2)</f>
        <v>1.13</v>
      </c>
      <c r="V361" s="15" t="n">
        <f aca="false">IF($O361&lt;$Q361,ROUND($S361-$K361-$T361,2),$M361)</f>
        <v>12149.6</v>
      </c>
    </row>
    <row r="362" customFormat="false" ht="15" hidden="false" customHeight="false" outlineLevel="0" collapsed="false">
      <c r="B362" s="13" t="s">
        <v>254</v>
      </c>
      <c r="C362" s="13" t="s">
        <v>218</v>
      </c>
      <c r="D362" s="13" t="s">
        <v>52</v>
      </c>
      <c r="E362" s="24" t="n">
        <v>13</v>
      </c>
      <c r="F362" s="14" t="n">
        <v>1849.73</v>
      </c>
      <c r="G362" s="14" t="n">
        <v>1831.23</v>
      </c>
      <c r="H362" s="15" t="n">
        <f aca="false">INDEX('Your Inputs'!$C$8:$C$10,MATCH($D362,'Your Inputs'!$B$8:$B$10,0))</f>
        <v>148</v>
      </c>
      <c r="I362" s="15" t="n">
        <f aca="false">INDEX('Your Inputs'!$D$8:$D$10,MATCH($D362,'Your Inputs'!$B$8:$B$10,0))</f>
        <v>78</v>
      </c>
      <c r="J362" s="15" t="n">
        <f aca="false">ROUND($E362*$H362,2)</f>
        <v>1924</v>
      </c>
      <c r="K362" s="15" t="n">
        <f aca="false">ROUND($E362*$I362,2)</f>
        <v>1014</v>
      </c>
      <c r="L362" s="15" t="n">
        <f aca="false">ROUND($F362*'Your Inputs'!$C$31,2)</f>
        <v>36.99</v>
      </c>
      <c r="M362" s="15" t="n">
        <f aca="false">ROUND($G362-$K362-$L362,2)</f>
        <v>780.24</v>
      </c>
      <c r="N362" s="15" t="n">
        <f aca="false">$G362/$E362</f>
        <v>140.863846153846</v>
      </c>
      <c r="O362" s="25" t="n">
        <f aca="false">$G362/$J362</f>
        <v>0.951782744282744</v>
      </c>
      <c r="P362" s="18" t="str">
        <f aca="false">$C362&amp;" | "&amp;$D362</f>
        <v>Small direct | Structural adhesives</v>
      </c>
      <c r="Q362" s="25" t="n">
        <f aca="false">INDEX('Your Floors'!$K$20:$K$31,MATCH($P362,'Your Floors'!$D$20:$D$31,0))</f>
        <v>0.939509972168612</v>
      </c>
      <c r="R362" s="18" t="str">
        <f aca="false">IF($O362&lt;$Q362,"below the floor","at or above it")</f>
        <v>at or above it</v>
      </c>
      <c r="S362" s="15" t="n">
        <f aca="false">IF($O362&lt;$Q362,$E362*ROUND($Q362*$H362,2),$G362)</f>
        <v>1831.23</v>
      </c>
      <c r="T362" s="15" t="n">
        <f aca="false">IF($O362&lt;$Q362,ROUND($L362*$S362/$G362,2),$L362)</f>
        <v>36.99</v>
      </c>
      <c r="U362" s="15" t="n">
        <f aca="false">ROUND(($S362-$G362)-($T362-$L362),2)</f>
        <v>0</v>
      </c>
      <c r="V362" s="15" t="n">
        <f aca="false">IF($O362&lt;$Q362,ROUND($S362-$K362-$T362,2),$M362)</f>
        <v>780.24</v>
      </c>
    </row>
    <row r="363" customFormat="false" ht="15" hidden="false" customHeight="false" outlineLevel="0" collapsed="false">
      <c r="B363" s="13" t="s">
        <v>254</v>
      </c>
      <c r="C363" s="13" t="s">
        <v>218</v>
      </c>
      <c r="D363" s="13" t="s">
        <v>56</v>
      </c>
      <c r="E363" s="24" t="n">
        <v>161</v>
      </c>
      <c r="F363" s="14" t="n">
        <v>14701.75</v>
      </c>
      <c r="G363" s="14" t="n">
        <v>14554.73</v>
      </c>
      <c r="H363" s="15" t="n">
        <f aca="false">INDEX('Your Inputs'!$C$8:$C$10,MATCH($D363,'Your Inputs'!$B$8:$B$10,0))</f>
        <v>96</v>
      </c>
      <c r="I363" s="15" t="n">
        <f aca="false">INDEX('Your Inputs'!$D$8:$D$10,MATCH($D363,'Your Inputs'!$B$8:$B$10,0))</f>
        <v>58</v>
      </c>
      <c r="J363" s="15" t="n">
        <f aca="false">ROUND($E363*$H363,2)</f>
        <v>15456</v>
      </c>
      <c r="K363" s="15" t="n">
        <f aca="false">ROUND($E363*$I363,2)</f>
        <v>9338</v>
      </c>
      <c r="L363" s="15" t="n">
        <f aca="false">ROUND($F363*'Your Inputs'!$C$31,2)</f>
        <v>294.04</v>
      </c>
      <c r="M363" s="15" t="n">
        <f aca="false">ROUND($G363-$K363-$L363,2)</f>
        <v>4922.69</v>
      </c>
      <c r="N363" s="15" t="n">
        <f aca="false">$G363/$E363</f>
        <v>90.402049689441</v>
      </c>
      <c r="O363" s="25" t="n">
        <f aca="false">$G363/$J363</f>
        <v>0.941688017598344</v>
      </c>
      <c r="P363" s="18" t="str">
        <f aca="false">$C363&amp;" | "&amp;$D363</f>
        <v>Small direct | Protective coatings</v>
      </c>
      <c r="Q363" s="25" t="n">
        <f aca="false">INDEX('Your Floors'!$K$20:$K$31,MATCH($P363,'Your Floors'!$D$20:$D$31,0))</f>
        <v>0.922679993872549</v>
      </c>
      <c r="R363" s="18" t="str">
        <f aca="false">IF($O363&lt;$Q363,"below the floor","at or above it")</f>
        <v>at or above it</v>
      </c>
      <c r="S363" s="15" t="n">
        <f aca="false">IF($O363&lt;$Q363,$E363*ROUND($Q363*$H363,2),$G363)</f>
        <v>14554.73</v>
      </c>
      <c r="T363" s="15" t="n">
        <f aca="false">IF($O363&lt;$Q363,ROUND($L363*$S363/$G363,2),$L363)</f>
        <v>294.04</v>
      </c>
      <c r="U363" s="15" t="n">
        <f aca="false">ROUND(($S363-$G363)-($T363-$L363),2)</f>
        <v>0</v>
      </c>
      <c r="V363" s="15" t="n">
        <f aca="false">IF($O363&lt;$Q363,ROUND($S363-$K363-$T363,2),$M363)</f>
        <v>4922.69</v>
      </c>
    </row>
    <row r="364" customFormat="false" ht="15" hidden="false" customHeight="false" outlineLevel="0" collapsed="false">
      <c r="B364" s="13" t="s">
        <v>255</v>
      </c>
      <c r="C364" s="13" t="s">
        <v>218</v>
      </c>
      <c r="D364" s="13" t="s">
        <v>52</v>
      </c>
      <c r="E364" s="24" t="n">
        <v>280</v>
      </c>
      <c r="F364" s="14" t="n">
        <v>38941.17</v>
      </c>
      <c r="G364" s="14" t="n">
        <v>38551.76</v>
      </c>
      <c r="H364" s="15" t="n">
        <f aca="false">INDEX('Your Inputs'!$C$8:$C$10,MATCH($D364,'Your Inputs'!$B$8:$B$10,0))</f>
        <v>148</v>
      </c>
      <c r="I364" s="15" t="n">
        <f aca="false">INDEX('Your Inputs'!$D$8:$D$10,MATCH($D364,'Your Inputs'!$B$8:$B$10,0))</f>
        <v>78</v>
      </c>
      <c r="J364" s="15" t="n">
        <f aca="false">ROUND($E364*$H364,2)</f>
        <v>41440</v>
      </c>
      <c r="K364" s="15" t="n">
        <f aca="false">ROUND($E364*$I364,2)</f>
        <v>21840</v>
      </c>
      <c r="L364" s="15" t="n">
        <f aca="false">ROUND($F364*'Your Inputs'!$C$31,2)</f>
        <v>778.82</v>
      </c>
      <c r="M364" s="15" t="n">
        <f aca="false">ROUND($G364-$K364-$L364,2)</f>
        <v>15932.94</v>
      </c>
      <c r="N364" s="15" t="n">
        <f aca="false">$G364/$E364</f>
        <v>137.684857142857</v>
      </c>
      <c r="O364" s="25" t="n">
        <f aca="false">$G364/$J364</f>
        <v>0.930303088803089</v>
      </c>
      <c r="P364" s="18" t="str">
        <f aca="false">$C364&amp;" | "&amp;$D364</f>
        <v>Small direct | Structural adhesives</v>
      </c>
      <c r="Q364" s="25" t="n">
        <f aca="false">INDEX('Your Floors'!$K$20:$K$31,MATCH($P364,'Your Floors'!$D$20:$D$31,0))</f>
        <v>0.939509972168612</v>
      </c>
      <c r="R364" s="18" t="str">
        <f aca="false">IF($O364&lt;$Q364,"below the floor","at or above it")</f>
        <v>below the floor</v>
      </c>
      <c r="S364" s="15" t="n">
        <f aca="false">IF($O364&lt;$Q364,$E364*ROUND($Q364*$H364,2),$G364)</f>
        <v>38934</v>
      </c>
      <c r="T364" s="15" t="n">
        <f aca="false">IF($O364&lt;$Q364,ROUND($L364*$S364/$G364,2),$L364)</f>
        <v>786.54</v>
      </c>
      <c r="U364" s="15" t="n">
        <f aca="false">ROUND(($S364-$G364)-($T364-$L364),2)</f>
        <v>374.52</v>
      </c>
      <c r="V364" s="15" t="n">
        <f aca="false">IF($O364&lt;$Q364,ROUND($S364-$K364-$T364,2),$M364)</f>
        <v>16307.46</v>
      </c>
    </row>
    <row r="365" customFormat="false" ht="15" hidden="false" customHeight="false" outlineLevel="0" collapsed="false">
      <c r="B365" s="13" t="s">
        <v>255</v>
      </c>
      <c r="C365" s="13" t="s">
        <v>218</v>
      </c>
      <c r="D365" s="13" t="s">
        <v>54</v>
      </c>
      <c r="E365" s="24" t="n">
        <v>846</v>
      </c>
      <c r="F365" s="14" t="n">
        <v>46970.77</v>
      </c>
      <c r="G365" s="14" t="n">
        <v>46501.06</v>
      </c>
      <c r="H365" s="15" t="n">
        <f aca="false">INDEX('Your Inputs'!$C$8:$C$10,MATCH($D365,'Your Inputs'!$B$8:$B$10,0))</f>
        <v>62</v>
      </c>
      <c r="I365" s="15" t="n">
        <f aca="false">INDEX('Your Inputs'!$D$8:$D$10,MATCH($D365,'Your Inputs'!$B$8:$B$10,0))</f>
        <v>36</v>
      </c>
      <c r="J365" s="15" t="n">
        <f aca="false">ROUND($E365*$H365,2)</f>
        <v>52452</v>
      </c>
      <c r="K365" s="15" t="n">
        <f aca="false">ROUND($E365*$I365,2)</f>
        <v>30456</v>
      </c>
      <c r="L365" s="15" t="n">
        <f aca="false">ROUND($F365*'Your Inputs'!$C$31,2)</f>
        <v>939.42</v>
      </c>
      <c r="M365" s="15" t="n">
        <f aca="false">ROUND($G365-$K365-$L365,2)</f>
        <v>15105.64</v>
      </c>
      <c r="N365" s="15" t="n">
        <f aca="false">$G365/$E365</f>
        <v>54.9657919621749</v>
      </c>
      <c r="O365" s="25" t="n">
        <f aca="false">$G365/$J365</f>
        <v>0.886545031647983</v>
      </c>
      <c r="P365" s="18" t="str">
        <f aca="false">$C365&amp;" | "&amp;$D365</f>
        <v>Small direct | Sealants</v>
      </c>
      <c r="Q365" s="25" t="n">
        <f aca="false">INDEX('Your Floors'!$K$20:$K$31,MATCH($P365,'Your Floors'!$D$20:$D$31,0))</f>
        <v>0.905849957217107</v>
      </c>
      <c r="R365" s="18" t="str">
        <f aca="false">IF($O365&lt;$Q365,"below the floor","at or above it")</f>
        <v>below the floor</v>
      </c>
      <c r="S365" s="15" t="n">
        <f aca="false">IF($O365&lt;$Q365,$E365*ROUND($Q365*$H365,2),$G365)</f>
        <v>47511.36</v>
      </c>
      <c r="T365" s="15" t="n">
        <f aca="false">IF($O365&lt;$Q365,ROUND($L365*$S365/$G365,2),$L365)</f>
        <v>959.83</v>
      </c>
      <c r="U365" s="15" t="n">
        <f aca="false">ROUND(($S365-$G365)-($T365-$L365),2)</f>
        <v>989.89</v>
      </c>
      <c r="V365" s="15" t="n">
        <f aca="false">IF($O365&lt;$Q365,ROUND($S365-$K365-$T365,2),$M365)</f>
        <v>16095.53</v>
      </c>
    </row>
    <row r="366" customFormat="false" ht="15" hidden="false" customHeight="false" outlineLevel="0" collapsed="false">
      <c r="B366" s="13" t="s">
        <v>255</v>
      </c>
      <c r="C366" s="13" t="s">
        <v>218</v>
      </c>
      <c r="D366" s="13" t="s">
        <v>56</v>
      </c>
      <c r="E366" s="24" t="n">
        <v>312</v>
      </c>
      <c r="F366" s="14" t="n">
        <v>27483.96</v>
      </c>
      <c r="G366" s="14" t="n">
        <v>27209.12</v>
      </c>
      <c r="H366" s="15" t="n">
        <f aca="false">INDEX('Your Inputs'!$C$8:$C$10,MATCH($D366,'Your Inputs'!$B$8:$B$10,0))</f>
        <v>96</v>
      </c>
      <c r="I366" s="15" t="n">
        <f aca="false">INDEX('Your Inputs'!$D$8:$D$10,MATCH($D366,'Your Inputs'!$B$8:$B$10,0))</f>
        <v>58</v>
      </c>
      <c r="J366" s="15" t="n">
        <f aca="false">ROUND($E366*$H366,2)</f>
        <v>29952</v>
      </c>
      <c r="K366" s="15" t="n">
        <f aca="false">ROUND($E366*$I366,2)</f>
        <v>18096</v>
      </c>
      <c r="L366" s="15" t="n">
        <f aca="false">ROUND($F366*'Your Inputs'!$C$31,2)</f>
        <v>549.68</v>
      </c>
      <c r="M366" s="15" t="n">
        <f aca="false">ROUND($G366-$K366-$L366,2)</f>
        <v>8563.44</v>
      </c>
      <c r="N366" s="15" t="n">
        <f aca="false">$G366/$E366</f>
        <v>87.208717948718</v>
      </c>
      <c r="O366" s="25" t="n">
        <f aca="false">$G366/$J366</f>
        <v>0.908424145299145</v>
      </c>
      <c r="P366" s="18" t="str">
        <f aca="false">$C366&amp;" | "&amp;$D366</f>
        <v>Small direct | Protective coatings</v>
      </c>
      <c r="Q366" s="25" t="n">
        <f aca="false">INDEX('Your Floors'!$K$20:$K$31,MATCH($P366,'Your Floors'!$D$20:$D$31,0))</f>
        <v>0.922679993872549</v>
      </c>
      <c r="R366" s="18" t="str">
        <f aca="false">IF($O366&lt;$Q366,"below the floor","at or above it")</f>
        <v>below the floor</v>
      </c>
      <c r="S366" s="15" t="n">
        <f aca="false">IF($O366&lt;$Q366,$E366*ROUND($Q366*$H366,2),$G366)</f>
        <v>27636.96</v>
      </c>
      <c r="T366" s="15" t="n">
        <f aca="false">IF($O366&lt;$Q366,ROUND($L366*$S366/$G366,2),$L366)</f>
        <v>558.32</v>
      </c>
      <c r="U366" s="15" t="n">
        <f aca="false">ROUND(($S366-$G366)-($T366-$L366),2)</f>
        <v>419.2</v>
      </c>
      <c r="V366" s="15" t="n">
        <f aca="false">IF($O366&lt;$Q366,ROUND($S366-$K366-$T366,2),$M366)</f>
        <v>8982.64</v>
      </c>
    </row>
    <row r="367" customFormat="false" ht="15" hidden="false" customHeight="false" outlineLevel="0" collapsed="false">
      <c r="B367" s="13" t="s">
        <v>256</v>
      </c>
      <c r="C367" s="13" t="s">
        <v>218</v>
      </c>
      <c r="D367" s="13" t="s">
        <v>52</v>
      </c>
      <c r="E367" s="24" t="n">
        <v>177</v>
      </c>
      <c r="F367" s="14" t="n">
        <v>25789.96</v>
      </c>
      <c r="G367" s="14" t="n">
        <v>25532.06</v>
      </c>
      <c r="H367" s="15" t="n">
        <f aca="false">INDEX('Your Inputs'!$C$8:$C$10,MATCH($D367,'Your Inputs'!$B$8:$B$10,0))</f>
        <v>148</v>
      </c>
      <c r="I367" s="15" t="n">
        <f aca="false">INDEX('Your Inputs'!$D$8:$D$10,MATCH($D367,'Your Inputs'!$B$8:$B$10,0))</f>
        <v>78</v>
      </c>
      <c r="J367" s="15" t="n">
        <f aca="false">ROUND($E367*$H367,2)</f>
        <v>26196</v>
      </c>
      <c r="K367" s="15" t="n">
        <f aca="false">ROUND($E367*$I367,2)</f>
        <v>13806</v>
      </c>
      <c r="L367" s="15" t="n">
        <f aca="false">ROUND($F367*'Your Inputs'!$C$31,2)</f>
        <v>515.8</v>
      </c>
      <c r="M367" s="15" t="n">
        <f aca="false">ROUND($G367-$K367-$L367,2)</f>
        <v>11210.26</v>
      </c>
      <c r="N367" s="15" t="n">
        <f aca="false">$G367/$E367</f>
        <v>144.248926553672</v>
      </c>
      <c r="O367" s="25" t="n">
        <f aca="false">$G367/$J367</f>
        <v>0.974654909146435</v>
      </c>
      <c r="P367" s="18" t="str">
        <f aca="false">$C367&amp;" | "&amp;$D367</f>
        <v>Small direct | Structural adhesives</v>
      </c>
      <c r="Q367" s="25" t="n">
        <f aca="false">INDEX('Your Floors'!$K$20:$K$31,MATCH($P367,'Your Floors'!$D$20:$D$31,0))</f>
        <v>0.939509972168612</v>
      </c>
      <c r="R367" s="18" t="str">
        <f aca="false">IF($O367&lt;$Q367,"below the floor","at or above it")</f>
        <v>at or above it</v>
      </c>
      <c r="S367" s="15" t="n">
        <f aca="false">IF($O367&lt;$Q367,$E367*ROUND($Q367*$H367,2),$G367)</f>
        <v>25532.06</v>
      </c>
      <c r="T367" s="15" t="n">
        <f aca="false">IF($O367&lt;$Q367,ROUND($L367*$S367/$G367,2),$L367)</f>
        <v>515.8</v>
      </c>
      <c r="U367" s="15" t="n">
        <f aca="false">ROUND(($S367-$G367)-($T367-$L367),2)</f>
        <v>0</v>
      </c>
      <c r="V367" s="15" t="n">
        <f aca="false">IF($O367&lt;$Q367,ROUND($S367-$K367-$T367,2),$M367)</f>
        <v>11210.26</v>
      </c>
    </row>
    <row r="368" customFormat="false" ht="15" hidden="false" customHeight="false" outlineLevel="0" collapsed="false">
      <c r="B368" s="13" t="s">
        <v>256</v>
      </c>
      <c r="C368" s="13" t="s">
        <v>218</v>
      </c>
      <c r="D368" s="13" t="s">
        <v>56</v>
      </c>
      <c r="E368" s="24" t="n">
        <v>285</v>
      </c>
      <c r="F368" s="14" t="n">
        <v>26703.36</v>
      </c>
      <c r="G368" s="14" t="n">
        <v>26436.33</v>
      </c>
      <c r="H368" s="15" t="n">
        <f aca="false">INDEX('Your Inputs'!$C$8:$C$10,MATCH($D368,'Your Inputs'!$B$8:$B$10,0))</f>
        <v>96</v>
      </c>
      <c r="I368" s="15" t="n">
        <f aca="false">INDEX('Your Inputs'!$D$8:$D$10,MATCH($D368,'Your Inputs'!$B$8:$B$10,0))</f>
        <v>58</v>
      </c>
      <c r="J368" s="15" t="n">
        <f aca="false">ROUND($E368*$H368,2)</f>
        <v>27360</v>
      </c>
      <c r="K368" s="15" t="n">
        <f aca="false">ROUND($E368*$I368,2)</f>
        <v>16530</v>
      </c>
      <c r="L368" s="15" t="n">
        <f aca="false">ROUND($F368*'Your Inputs'!$C$31,2)</f>
        <v>534.07</v>
      </c>
      <c r="M368" s="15" t="n">
        <f aca="false">ROUND($G368-$K368-$L368,2)</f>
        <v>9372.26</v>
      </c>
      <c r="N368" s="15" t="n">
        <f aca="false">$G368/$E368</f>
        <v>92.759052631579</v>
      </c>
      <c r="O368" s="25" t="n">
        <f aca="false">$G368/$J368</f>
        <v>0.966240131578947</v>
      </c>
      <c r="P368" s="18" t="str">
        <f aca="false">$C368&amp;" | "&amp;$D368</f>
        <v>Small direct | Protective coatings</v>
      </c>
      <c r="Q368" s="25" t="n">
        <f aca="false">INDEX('Your Floors'!$K$20:$K$31,MATCH($P368,'Your Floors'!$D$20:$D$31,0))</f>
        <v>0.922679993872549</v>
      </c>
      <c r="R368" s="18" t="str">
        <f aca="false">IF($O368&lt;$Q368,"below the floor","at or above it")</f>
        <v>at or above it</v>
      </c>
      <c r="S368" s="15" t="n">
        <f aca="false">IF($O368&lt;$Q368,$E368*ROUND($Q368*$H368,2),$G368)</f>
        <v>26436.33</v>
      </c>
      <c r="T368" s="15" t="n">
        <f aca="false">IF($O368&lt;$Q368,ROUND($L368*$S368/$G368,2),$L368)</f>
        <v>534.07</v>
      </c>
      <c r="U368" s="15" t="n">
        <f aca="false">ROUND(($S368-$G368)-($T368-$L368),2)</f>
        <v>0</v>
      </c>
      <c r="V368" s="15" t="n">
        <f aca="false">IF($O368&lt;$Q368,ROUND($S368-$K368-$T368,2),$M368)</f>
        <v>9372.26</v>
      </c>
    </row>
    <row r="369" customFormat="false" ht="15" hidden="false" customHeight="false" outlineLevel="0" collapsed="false">
      <c r="B369" s="13" t="s">
        <v>257</v>
      </c>
      <c r="C369" s="13" t="s">
        <v>218</v>
      </c>
      <c r="D369" s="13" t="s">
        <v>52</v>
      </c>
      <c r="E369" s="24" t="n">
        <v>71</v>
      </c>
      <c r="F369" s="14" t="n">
        <v>10149.68</v>
      </c>
      <c r="G369" s="14" t="n">
        <v>10048.18</v>
      </c>
      <c r="H369" s="15" t="n">
        <f aca="false">INDEX('Your Inputs'!$C$8:$C$10,MATCH($D369,'Your Inputs'!$B$8:$B$10,0))</f>
        <v>148</v>
      </c>
      <c r="I369" s="15" t="n">
        <f aca="false">INDEX('Your Inputs'!$D$8:$D$10,MATCH($D369,'Your Inputs'!$B$8:$B$10,0))</f>
        <v>78</v>
      </c>
      <c r="J369" s="15" t="n">
        <f aca="false">ROUND($E369*$H369,2)</f>
        <v>10508</v>
      </c>
      <c r="K369" s="15" t="n">
        <f aca="false">ROUND($E369*$I369,2)</f>
        <v>5538</v>
      </c>
      <c r="L369" s="15" t="n">
        <f aca="false">ROUND($F369*'Your Inputs'!$C$31,2)</f>
        <v>202.99</v>
      </c>
      <c r="M369" s="15" t="n">
        <f aca="false">ROUND($G369-$K369-$L369,2)</f>
        <v>4307.19</v>
      </c>
      <c r="N369" s="15" t="n">
        <f aca="false">$G369/$E369</f>
        <v>141.523661971831</v>
      </c>
      <c r="O369" s="25" t="n">
        <f aca="false">$G369/$J369</f>
        <v>0.956240959269128</v>
      </c>
      <c r="P369" s="18" t="str">
        <f aca="false">$C369&amp;" | "&amp;$D369</f>
        <v>Small direct | Structural adhesives</v>
      </c>
      <c r="Q369" s="25" t="n">
        <f aca="false">INDEX('Your Floors'!$K$20:$K$31,MATCH($P369,'Your Floors'!$D$20:$D$31,0))</f>
        <v>0.939509972168612</v>
      </c>
      <c r="R369" s="18" t="str">
        <f aca="false">IF($O369&lt;$Q369,"below the floor","at or above it")</f>
        <v>at or above it</v>
      </c>
      <c r="S369" s="15" t="n">
        <f aca="false">IF($O369&lt;$Q369,$E369*ROUND($Q369*$H369,2),$G369)</f>
        <v>10048.18</v>
      </c>
      <c r="T369" s="15" t="n">
        <f aca="false">IF($O369&lt;$Q369,ROUND($L369*$S369/$G369,2),$L369)</f>
        <v>202.99</v>
      </c>
      <c r="U369" s="15" t="n">
        <f aca="false">ROUND(($S369-$G369)-($T369-$L369),2)</f>
        <v>0</v>
      </c>
      <c r="V369" s="15" t="n">
        <f aca="false">IF($O369&lt;$Q369,ROUND($S369-$K369-$T369,2),$M369)</f>
        <v>4307.19</v>
      </c>
    </row>
    <row r="370" customFormat="false" ht="15" hidden="false" customHeight="false" outlineLevel="0" collapsed="false">
      <c r="B370" s="13" t="s">
        <v>257</v>
      </c>
      <c r="C370" s="13" t="s">
        <v>218</v>
      </c>
      <c r="D370" s="13" t="s">
        <v>56</v>
      </c>
      <c r="E370" s="24" t="n">
        <v>158</v>
      </c>
      <c r="F370" s="14" t="n">
        <v>14367.13</v>
      </c>
      <c r="G370" s="14" t="n">
        <v>14223.46</v>
      </c>
      <c r="H370" s="15" t="n">
        <f aca="false">INDEX('Your Inputs'!$C$8:$C$10,MATCH($D370,'Your Inputs'!$B$8:$B$10,0))</f>
        <v>96</v>
      </c>
      <c r="I370" s="15" t="n">
        <f aca="false">INDEX('Your Inputs'!$D$8:$D$10,MATCH($D370,'Your Inputs'!$B$8:$B$10,0))</f>
        <v>58</v>
      </c>
      <c r="J370" s="15" t="n">
        <f aca="false">ROUND($E370*$H370,2)</f>
        <v>15168</v>
      </c>
      <c r="K370" s="15" t="n">
        <f aca="false">ROUND($E370*$I370,2)</f>
        <v>9164</v>
      </c>
      <c r="L370" s="15" t="n">
        <f aca="false">ROUND($F370*'Your Inputs'!$C$31,2)</f>
        <v>287.34</v>
      </c>
      <c r="M370" s="15" t="n">
        <f aca="false">ROUND($G370-$K370-$L370,2)</f>
        <v>4772.12</v>
      </c>
      <c r="N370" s="15" t="n">
        <f aca="false">$G370/$E370</f>
        <v>90.0218987341772</v>
      </c>
      <c r="O370" s="25" t="n">
        <f aca="false">$G370/$J370</f>
        <v>0.937728111814346</v>
      </c>
      <c r="P370" s="18" t="str">
        <f aca="false">$C370&amp;" | "&amp;$D370</f>
        <v>Small direct | Protective coatings</v>
      </c>
      <c r="Q370" s="25" t="n">
        <f aca="false">INDEX('Your Floors'!$K$20:$K$31,MATCH($P370,'Your Floors'!$D$20:$D$31,0))</f>
        <v>0.922679993872549</v>
      </c>
      <c r="R370" s="18" t="str">
        <f aca="false">IF($O370&lt;$Q370,"below the floor","at or above it")</f>
        <v>at or above it</v>
      </c>
      <c r="S370" s="15" t="n">
        <f aca="false">IF($O370&lt;$Q370,$E370*ROUND($Q370*$H370,2),$G370)</f>
        <v>14223.46</v>
      </c>
      <c r="T370" s="15" t="n">
        <f aca="false">IF($O370&lt;$Q370,ROUND($L370*$S370/$G370,2),$L370)</f>
        <v>287.34</v>
      </c>
      <c r="U370" s="15" t="n">
        <f aca="false">ROUND(($S370-$G370)-($T370-$L370),2)</f>
        <v>0</v>
      </c>
      <c r="V370" s="15" t="n">
        <f aca="false">IF($O370&lt;$Q370,ROUND($S370-$K370-$T370,2),$M370)</f>
        <v>4772.12</v>
      </c>
    </row>
    <row r="371" customFormat="false" ht="15" hidden="false" customHeight="false" outlineLevel="0" collapsed="false">
      <c r="B371" s="13" t="s">
        <v>258</v>
      </c>
      <c r="C371" s="13" t="s">
        <v>218</v>
      </c>
      <c r="D371" s="13" t="s">
        <v>52</v>
      </c>
      <c r="E371" s="24" t="n">
        <v>261</v>
      </c>
      <c r="F371" s="14" t="n">
        <v>35700</v>
      </c>
      <c r="G371" s="14" t="n">
        <v>35343</v>
      </c>
      <c r="H371" s="15" t="n">
        <f aca="false">INDEX('Your Inputs'!$C$8:$C$10,MATCH($D371,'Your Inputs'!$B$8:$B$10,0))</f>
        <v>148</v>
      </c>
      <c r="I371" s="15" t="n">
        <f aca="false">INDEX('Your Inputs'!$D$8:$D$10,MATCH($D371,'Your Inputs'!$B$8:$B$10,0))</f>
        <v>78</v>
      </c>
      <c r="J371" s="15" t="n">
        <f aca="false">ROUND($E371*$H371,2)</f>
        <v>38628</v>
      </c>
      <c r="K371" s="15" t="n">
        <f aca="false">ROUND($E371*$I371,2)</f>
        <v>20358</v>
      </c>
      <c r="L371" s="15" t="n">
        <f aca="false">ROUND($F371*'Your Inputs'!$C$31,2)</f>
        <v>714</v>
      </c>
      <c r="M371" s="15" t="n">
        <f aca="false">ROUND($G371-$K371-$L371,2)</f>
        <v>14271</v>
      </c>
      <c r="N371" s="15" t="n">
        <f aca="false">$G371/$E371</f>
        <v>135.413793103448</v>
      </c>
      <c r="O371" s="25" t="n">
        <f aca="false">$G371/$J371</f>
        <v>0.914958061509786</v>
      </c>
      <c r="P371" s="18" t="str">
        <f aca="false">$C371&amp;" | "&amp;$D371</f>
        <v>Small direct | Structural adhesives</v>
      </c>
      <c r="Q371" s="25" t="n">
        <f aca="false">INDEX('Your Floors'!$K$20:$K$31,MATCH($P371,'Your Floors'!$D$20:$D$31,0))</f>
        <v>0.939509972168612</v>
      </c>
      <c r="R371" s="18" t="str">
        <f aca="false">IF($O371&lt;$Q371,"below the floor","at or above it")</f>
        <v>below the floor</v>
      </c>
      <c r="S371" s="15" t="n">
        <f aca="false">IF($O371&lt;$Q371,$E371*ROUND($Q371*$H371,2),$G371)</f>
        <v>36292.05</v>
      </c>
      <c r="T371" s="15" t="n">
        <f aca="false">IF($O371&lt;$Q371,ROUND($L371*$S371/$G371,2),$L371)</f>
        <v>733.17</v>
      </c>
      <c r="U371" s="15" t="n">
        <f aca="false">ROUND(($S371-$G371)-($T371-$L371),2)</f>
        <v>929.88</v>
      </c>
      <c r="V371" s="15" t="n">
        <f aca="false">IF($O371&lt;$Q371,ROUND($S371-$K371-$T371,2),$M371)</f>
        <v>15200.88</v>
      </c>
    </row>
    <row r="372" customFormat="false" ht="15" hidden="false" customHeight="false" outlineLevel="0" collapsed="false">
      <c r="B372" s="13" t="s">
        <v>258</v>
      </c>
      <c r="C372" s="13" t="s">
        <v>218</v>
      </c>
      <c r="D372" s="13" t="s">
        <v>54</v>
      </c>
      <c r="E372" s="24" t="n">
        <v>643</v>
      </c>
      <c r="F372" s="14" t="n">
        <v>34404.36</v>
      </c>
      <c r="G372" s="14" t="n">
        <v>34060.32</v>
      </c>
      <c r="H372" s="15" t="n">
        <f aca="false">INDEX('Your Inputs'!$C$8:$C$10,MATCH($D372,'Your Inputs'!$B$8:$B$10,0))</f>
        <v>62</v>
      </c>
      <c r="I372" s="15" t="n">
        <f aca="false">INDEX('Your Inputs'!$D$8:$D$10,MATCH($D372,'Your Inputs'!$B$8:$B$10,0))</f>
        <v>36</v>
      </c>
      <c r="J372" s="15" t="n">
        <f aca="false">ROUND($E372*$H372,2)</f>
        <v>39866</v>
      </c>
      <c r="K372" s="15" t="n">
        <f aca="false">ROUND($E372*$I372,2)</f>
        <v>23148</v>
      </c>
      <c r="L372" s="15" t="n">
        <f aca="false">ROUND($F372*'Your Inputs'!$C$31,2)</f>
        <v>688.09</v>
      </c>
      <c r="M372" s="15" t="n">
        <f aca="false">ROUND($G372-$K372-$L372,2)</f>
        <v>10224.23</v>
      </c>
      <c r="N372" s="15" t="n">
        <f aca="false">$G372/$E372</f>
        <v>52.9709486780715</v>
      </c>
      <c r="O372" s="25" t="n">
        <f aca="false">$G372/$J372</f>
        <v>0.854370139968896</v>
      </c>
      <c r="P372" s="18" t="str">
        <f aca="false">$C372&amp;" | "&amp;$D372</f>
        <v>Small direct | Sealants</v>
      </c>
      <c r="Q372" s="25" t="n">
        <f aca="false">INDEX('Your Floors'!$K$20:$K$31,MATCH($P372,'Your Floors'!$D$20:$D$31,0))</f>
        <v>0.905849957217107</v>
      </c>
      <c r="R372" s="18" t="str">
        <f aca="false">IF($O372&lt;$Q372,"below the floor","at or above it")</f>
        <v>below the floor</v>
      </c>
      <c r="S372" s="15" t="n">
        <f aca="false">IF($O372&lt;$Q372,$E372*ROUND($Q372*$H372,2),$G372)</f>
        <v>36110.88</v>
      </c>
      <c r="T372" s="15" t="n">
        <f aca="false">IF($O372&lt;$Q372,ROUND($L372*$S372/$G372,2),$L372)</f>
        <v>729.52</v>
      </c>
      <c r="U372" s="15" t="n">
        <f aca="false">ROUND(($S372-$G372)-($T372-$L372),2)</f>
        <v>2009.13</v>
      </c>
      <c r="V372" s="15" t="n">
        <f aca="false">IF($O372&lt;$Q372,ROUND($S372-$K372-$T372,2),$M372)</f>
        <v>12233.36</v>
      </c>
    </row>
    <row r="373" customFormat="false" ht="15" hidden="false" customHeight="false" outlineLevel="0" collapsed="false">
      <c r="B373" s="13" t="s">
        <v>258</v>
      </c>
      <c r="C373" s="13" t="s">
        <v>218</v>
      </c>
      <c r="D373" s="13" t="s">
        <v>56</v>
      </c>
      <c r="E373" s="24" t="n">
        <v>251</v>
      </c>
      <c r="F373" s="14" t="n">
        <v>21532.19</v>
      </c>
      <c r="G373" s="14" t="n">
        <v>21316.87</v>
      </c>
      <c r="H373" s="15" t="n">
        <f aca="false">INDEX('Your Inputs'!$C$8:$C$10,MATCH($D373,'Your Inputs'!$B$8:$B$10,0))</f>
        <v>96</v>
      </c>
      <c r="I373" s="15" t="n">
        <f aca="false">INDEX('Your Inputs'!$D$8:$D$10,MATCH($D373,'Your Inputs'!$B$8:$B$10,0))</f>
        <v>58</v>
      </c>
      <c r="J373" s="15" t="n">
        <f aca="false">ROUND($E373*$H373,2)</f>
        <v>24096</v>
      </c>
      <c r="K373" s="15" t="n">
        <f aca="false">ROUND($E373*$I373,2)</f>
        <v>14558</v>
      </c>
      <c r="L373" s="15" t="n">
        <f aca="false">ROUND($F373*'Your Inputs'!$C$31,2)</f>
        <v>430.64</v>
      </c>
      <c r="M373" s="15" t="n">
        <f aca="false">ROUND($G373-$K373-$L373,2)</f>
        <v>6328.23</v>
      </c>
      <c r="N373" s="15" t="n">
        <f aca="false">$G373/$E373</f>
        <v>84.9277689243028</v>
      </c>
      <c r="O373" s="25" t="n">
        <f aca="false">$G373/$J373</f>
        <v>0.884664259628154</v>
      </c>
      <c r="P373" s="18" t="str">
        <f aca="false">$C373&amp;" | "&amp;$D373</f>
        <v>Small direct | Protective coatings</v>
      </c>
      <c r="Q373" s="25" t="n">
        <f aca="false">INDEX('Your Floors'!$K$20:$K$31,MATCH($P373,'Your Floors'!$D$20:$D$31,0))</f>
        <v>0.922679993872549</v>
      </c>
      <c r="R373" s="18" t="str">
        <f aca="false">IF($O373&lt;$Q373,"below the floor","at or above it")</f>
        <v>below the floor</v>
      </c>
      <c r="S373" s="15" t="n">
        <f aca="false">IF($O373&lt;$Q373,$E373*ROUND($Q373*$H373,2),$G373)</f>
        <v>22233.58</v>
      </c>
      <c r="T373" s="15" t="n">
        <f aca="false">IF($O373&lt;$Q373,ROUND($L373*$S373/$G373,2),$L373)</f>
        <v>449.16</v>
      </c>
      <c r="U373" s="15" t="n">
        <f aca="false">ROUND(($S373-$G373)-($T373-$L373),2)</f>
        <v>898.19</v>
      </c>
      <c r="V373" s="15" t="n">
        <f aca="false">IF($O373&lt;$Q373,ROUND($S373-$K373-$T373,2),$M373)</f>
        <v>7226.42</v>
      </c>
    </row>
    <row r="374" customFormat="false" ht="15" hidden="false" customHeight="false" outlineLevel="0" collapsed="false">
      <c r="B374" s="13" t="s">
        <v>259</v>
      </c>
      <c r="C374" s="13" t="s">
        <v>218</v>
      </c>
      <c r="D374" s="13" t="s">
        <v>52</v>
      </c>
      <c r="E374" s="24" t="n">
        <v>262</v>
      </c>
      <c r="F374" s="14" t="n">
        <v>37279.25</v>
      </c>
      <c r="G374" s="14" t="n">
        <v>36906.46</v>
      </c>
      <c r="H374" s="15" t="n">
        <f aca="false">INDEX('Your Inputs'!$C$8:$C$10,MATCH($D374,'Your Inputs'!$B$8:$B$10,0))</f>
        <v>148</v>
      </c>
      <c r="I374" s="15" t="n">
        <f aca="false">INDEX('Your Inputs'!$D$8:$D$10,MATCH($D374,'Your Inputs'!$B$8:$B$10,0))</f>
        <v>78</v>
      </c>
      <c r="J374" s="15" t="n">
        <f aca="false">ROUND($E374*$H374,2)</f>
        <v>38776</v>
      </c>
      <c r="K374" s="15" t="n">
        <f aca="false">ROUND($E374*$I374,2)</f>
        <v>20436</v>
      </c>
      <c r="L374" s="15" t="n">
        <f aca="false">ROUND($F374*'Your Inputs'!$C$31,2)</f>
        <v>745.59</v>
      </c>
      <c r="M374" s="15" t="n">
        <f aca="false">ROUND($G374-$K374-$L374,2)</f>
        <v>15724.87</v>
      </c>
      <c r="N374" s="15" t="n">
        <f aca="false">$G374/$E374</f>
        <v>140.864351145038</v>
      </c>
      <c r="O374" s="25" t="n">
        <f aca="false">$G374/$J374</f>
        <v>0.951786156385393</v>
      </c>
      <c r="P374" s="18" t="str">
        <f aca="false">$C374&amp;" | "&amp;$D374</f>
        <v>Small direct | Structural adhesives</v>
      </c>
      <c r="Q374" s="25" t="n">
        <f aca="false">INDEX('Your Floors'!$K$20:$K$31,MATCH($P374,'Your Floors'!$D$20:$D$31,0))</f>
        <v>0.939509972168612</v>
      </c>
      <c r="R374" s="18" t="str">
        <f aca="false">IF($O374&lt;$Q374,"below the floor","at or above it")</f>
        <v>at or above it</v>
      </c>
      <c r="S374" s="15" t="n">
        <f aca="false">IF($O374&lt;$Q374,$E374*ROUND($Q374*$H374,2),$G374)</f>
        <v>36906.46</v>
      </c>
      <c r="T374" s="15" t="n">
        <f aca="false">IF($O374&lt;$Q374,ROUND($L374*$S374/$G374,2),$L374)</f>
        <v>745.59</v>
      </c>
      <c r="U374" s="15" t="n">
        <f aca="false">ROUND(($S374-$G374)-($T374-$L374),2)</f>
        <v>0</v>
      </c>
      <c r="V374" s="15" t="n">
        <f aca="false">IF($O374&lt;$Q374,ROUND($S374-$K374-$T374,2),$M374)</f>
        <v>15724.87</v>
      </c>
    </row>
    <row r="375" customFormat="false" ht="15" hidden="false" customHeight="false" outlineLevel="0" collapsed="false">
      <c r="B375" s="13" t="s">
        <v>259</v>
      </c>
      <c r="C375" s="13" t="s">
        <v>218</v>
      </c>
      <c r="D375" s="13" t="s">
        <v>54</v>
      </c>
      <c r="E375" s="24" t="n">
        <v>862</v>
      </c>
      <c r="F375" s="14" t="n">
        <v>50290.8</v>
      </c>
      <c r="G375" s="14" t="n">
        <v>49787.89</v>
      </c>
      <c r="H375" s="15" t="n">
        <f aca="false">INDEX('Your Inputs'!$C$8:$C$10,MATCH($D375,'Your Inputs'!$B$8:$B$10,0))</f>
        <v>62</v>
      </c>
      <c r="I375" s="15" t="n">
        <f aca="false">INDEX('Your Inputs'!$D$8:$D$10,MATCH($D375,'Your Inputs'!$B$8:$B$10,0))</f>
        <v>36</v>
      </c>
      <c r="J375" s="15" t="n">
        <f aca="false">ROUND($E375*$H375,2)</f>
        <v>53444</v>
      </c>
      <c r="K375" s="15" t="n">
        <f aca="false">ROUND($E375*$I375,2)</f>
        <v>31032</v>
      </c>
      <c r="L375" s="15" t="n">
        <f aca="false">ROUND($F375*'Your Inputs'!$C$31,2)</f>
        <v>1005.82</v>
      </c>
      <c r="M375" s="15" t="n">
        <f aca="false">ROUND($G375-$K375-$L375,2)</f>
        <v>17750.07</v>
      </c>
      <c r="N375" s="15" t="n">
        <f aca="false">$G375/$E375</f>
        <v>57.7585730858469</v>
      </c>
      <c r="O375" s="25" t="n">
        <f aca="false">$G375/$J375</f>
        <v>0.931589888481401</v>
      </c>
      <c r="P375" s="18" t="str">
        <f aca="false">$C375&amp;" | "&amp;$D375</f>
        <v>Small direct | Sealants</v>
      </c>
      <c r="Q375" s="25" t="n">
        <f aca="false">INDEX('Your Floors'!$K$20:$K$31,MATCH($P375,'Your Floors'!$D$20:$D$31,0))</f>
        <v>0.905849957217107</v>
      </c>
      <c r="R375" s="18" t="str">
        <f aca="false">IF($O375&lt;$Q375,"below the floor","at or above it")</f>
        <v>at or above it</v>
      </c>
      <c r="S375" s="15" t="n">
        <f aca="false">IF($O375&lt;$Q375,$E375*ROUND($Q375*$H375,2),$G375)</f>
        <v>49787.89</v>
      </c>
      <c r="T375" s="15" t="n">
        <f aca="false">IF($O375&lt;$Q375,ROUND($L375*$S375/$G375,2),$L375)</f>
        <v>1005.82</v>
      </c>
      <c r="U375" s="15" t="n">
        <f aca="false">ROUND(($S375-$G375)-($T375-$L375),2)</f>
        <v>0</v>
      </c>
      <c r="V375" s="15" t="n">
        <f aca="false">IF($O375&lt;$Q375,ROUND($S375-$K375-$T375,2),$M375)</f>
        <v>17750.07</v>
      </c>
    </row>
    <row r="376" customFormat="false" ht="15" hidden="false" customHeight="false" outlineLevel="0" collapsed="false">
      <c r="B376" s="13" t="s">
        <v>259</v>
      </c>
      <c r="C376" s="13" t="s">
        <v>218</v>
      </c>
      <c r="D376" s="13" t="s">
        <v>56</v>
      </c>
      <c r="E376" s="24" t="n">
        <v>219</v>
      </c>
      <c r="F376" s="14" t="n">
        <v>19998.03</v>
      </c>
      <c r="G376" s="14" t="n">
        <v>19798.05</v>
      </c>
      <c r="H376" s="15" t="n">
        <f aca="false">INDEX('Your Inputs'!$C$8:$C$10,MATCH($D376,'Your Inputs'!$B$8:$B$10,0))</f>
        <v>96</v>
      </c>
      <c r="I376" s="15" t="n">
        <f aca="false">INDEX('Your Inputs'!$D$8:$D$10,MATCH($D376,'Your Inputs'!$B$8:$B$10,0))</f>
        <v>58</v>
      </c>
      <c r="J376" s="15" t="n">
        <f aca="false">ROUND($E376*$H376,2)</f>
        <v>21024</v>
      </c>
      <c r="K376" s="15" t="n">
        <f aca="false">ROUND($E376*$I376,2)</f>
        <v>12702</v>
      </c>
      <c r="L376" s="15" t="n">
        <f aca="false">ROUND($F376*'Your Inputs'!$C$31,2)</f>
        <v>399.96</v>
      </c>
      <c r="M376" s="15" t="n">
        <f aca="false">ROUND($G376-$K376-$L376,2)</f>
        <v>6696.09</v>
      </c>
      <c r="N376" s="15" t="n">
        <f aca="false">$G376/$E376</f>
        <v>90.4020547945205</v>
      </c>
      <c r="O376" s="25" t="n">
        <f aca="false">$G376/$J376</f>
        <v>0.941688070776256</v>
      </c>
      <c r="P376" s="18" t="str">
        <f aca="false">$C376&amp;" | "&amp;$D376</f>
        <v>Small direct | Protective coatings</v>
      </c>
      <c r="Q376" s="25" t="n">
        <f aca="false">INDEX('Your Floors'!$K$20:$K$31,MATCH($P376,'Your Floors'!$D$20:$D$31,0))</f>
        <v>0.922679993872549</v>
      </c>
      <c r="R376" s="18" t="str">
        <f aca="false">IF($O376&lt;$Q376,"below the floor","at or above it")</f>
        <v>at or above it</v>
      </c>
      <c r="S376" s="15" t="n">
        <f aca="false">IF($O376&lt;$Q376,$E376*ROUND($Q376*$H376,2),$G376)</f>
        <v>19798.05</v>
      </c>
      <c r="T376" s="15" t="n">
        <f aca="false">IF($O376&lt;$Q376,ROUND($L376*$S376/$G376,2),$L376)</f>
        <v>399.96</v>
      </c>
      <c r="U376" s="15" t="n">
        <f aca="false">ROUND(($S376-$G376)-($T376-$L376),2)</f>
        <v>0</v>
      </c>
      <c r="V376" s="15" t="n">
        <f aca="false">IF($O376&lt;$Q376,ROUND($S376-$K376-$T376,2),$M376)</f>
        <v>6696.09</v>
      </c>
    </row>
    <row r="377" customFormat="false" ht="15" hidden="false" customHeight="false" outlineLevel="0" collapsed="false">
      <c r="B377" s="13" t="s">
        <v>260</v>
      </c>
      <c r="C377" s="13" t="s">
        <v>218</v>
      </c>
      <c r="D377" s="13" t="s">
        <v>54</v>
      </c>
      <c r="E377" s="24" t="n">
        <v>499</v>
      </c>
      <c r="F377" s="14" t="n">
        <v>29313.75</v>
      </c>
      <c r="G377" s="14" t="n">
        <v>29020.61</v>
      </c>
      <c r="H377" s="15" t="n">
        <f aca="false">INDEX('Your Inputs'!$C$8:$C$10,MATCH($D377,'Your Inputs'!$B$8:$B$10,0))</f>
        <v>62</v>
      </c>
      <c r="I377" s="15" t="n">
        <f aca="false">INDEX('Your Inputs'!$D$8:$D$10,MATCH($D377,'Your Inputs'!$B$8:$B$10,0))</f>
        <v>36</v>
      </c>
      <c r="J377" s="15" t="n">
        <f aca="false">ROUND($E377*$H377,2)</f>
        <v>30938</v>
      </c>
      <c r="K377" s="15" t="n">
        <f aca="false">ROUND($E377*$I377,2)</f>
        <v>17964</v>
      </c>
      <c r="L377" s="15" t="n">
        <f aca="false">ROUND($F377*'Your Inputs'!$C$31,2)</f>
        <v>586.28</v>
      </c>
      <c r="M377" s="15" t="n">
        <f aca="false">ROUND($G377-$K377-$L377,2)</f>
        <v>10470.33</v>
      </c>
      <c r="N377" s="15" t="n">
        <f aca="false">$G377/$E377</f>
        <v>58.1575350701403</v>
      </c>
      <c r="O377" s="25" t="n">
        <f aca="false">$G377/$J377</f>
        <v>0.938024759195811</v>
      </c>
      <c r="P377" s="18" t="str">
        <f aca="false">$C377&amp;" | "&amp;$D377</f>
        <v>Small direct | Sealants</v>
      </c>
      <c r="Q377" s="25" t="n">
        <f aca="false">INDEX('Your Floors'!$K$20:$K$31,MATCH($P377,'Your Floors'!$D$20:$D$31,0))</f>
        <v>0.905849957217107</v>
      </c>
      <c r="R377" s="18" t="str">
        <f aca="false">IF($O377&lt;$Q377,"below the floor","at or above it")</f>
        <v>at or above it</v>
      </c>
      <c r="S377" s="15" t="n">
        <f aca="false">IF($O377&lt;$Q377,$E377*ROUND($Q377*$H377,2),$G377)</f>
        <v>29020.61</v>
      </c>
      <c r="T377" s="15" t="n">
        <f aca="false">IF($O377&lt;$Q377,ROUND($L377*$S377/$G377,2),$L377)</f>
        <v>586.28</v>
      </c>
      <c r="U377" s="15" t="n">
        <f aca="false">ROUND(($S377-$G377)-($T377-$L377),2)</f>
        <v>0</v>
      </c>
      <c r="V377" s="15" t="n">
        <f aca="false">IF($O377&lt;$Q377,ROUND($S377-$K377-$T377,2),$M377)</f>
        <v>10470.33</v>
      </c>
    </row>
    <row r="378" customFormat="false" ht="15" hidden="false" customHeight="false" outlineLevel="0" collapsed="false">
      <c r="B378" s="13" t="s">
        <v>261</v>
      </c>
      <c r="C378" s="13" t="s">
        <v>218</v>
      </c>
      <c r="D378" s="13" t="s">
        <v>54</v>
      </c>
      <c r="E378" s="24" t="n">
        <v>2092</v>
      </c>
      <c r="F378" s="14" t="n">
        <v>122051.46</v>
      </c>
      <c r="G378" s="14" t="n">
        <v>120830.95</v>
      </c>
      <c r="H378" s="15" t="n">
        <f aca="false">INDEX('Your Inputs'!$C$8:$C$10,MATCH($D378,'Your Inputs'!$B$8:$B$10,0))</f>
        <v>62</v>
      </c>
      <c r="I378" s="15" t="n">
        <f aca="false">INDEX('Your Inputs'!$D$8:$D$10,MATCH($D378,'Your Inputs'!$B$8:$B$10,0))</f>
        <v>36</v>
      </c>
      <c r="J378" s="15" t="n">
        <f aca="false">ROUND($E378*$H378,2)</f>
        <v>129704</v>
      </c>
      <c r="K378" s="15" t="n">
        <f aca="false">ROUND($E378*$I378,2)</f>
        <v>75312</v>
      </c>
      <c r="L378" s="15" t="n">
        <f aca="false">ROUND($F378*'Your Inputs'!$C$31,2)</f>
        <v>2441.03</v>
      </c>
      <c r="M378" s="15" t="n">
        <f aca="false">ROUND($G378-$K378-$L378,2)</f>
        <v>43077.92</v>
      </c>
      <c r="N378" s="15" t="n">
        <f aca="false">$G378/$E378</f>
        <v>57.7585803059273</v>
      </c>
      <c r="O378" s="25" t="n">
        <f aca="false">$G378/$J378</f>
        <v>0.931590004934312</v>
      </c>
      <c r="P378" s="18" t="str">
        <f aca="false">$C378&amp;" | "&amp;$D378</f>
        <v>Small direct | Sealants</v>
      </c>
      <c r="Q378" s="25" t="n">
        <f aca="false">INDEX('Your Floors'!$K$20:$K$31,MATCH($P378,'Your Floors'!$D$20:$D$31,0))</f>
        <v>0.905849957217107</v>
      </c>
      <c r="R378" s="18" t="str">
        <f aca="false">IF($O378&lt;$Q378,"below the floor","at or above it")</f>
        <v>at or above it</v>
      </c>
      <c r="S378" s="15" t="n">
        <f aca="false">IF($O378&lt;$Q378,$E378*ROUND($Q378*$H378,2),$G378)</f>
        <v>120830.95</v>
      </c>
      <c r="T378" s="15" t="n">
        <f aca="false">IF($O378&lt;$Q378,ROUND($L378*$S378/$G378,2),$L378)</f>
        <v>2441.03</v>
      </c>
      <c r="U378" s="15" t="n">
        <f aca="false">ROUND(($S378-$G378)-($T378-$L378),2)</f>
        <v>0</v>
      </c>
      <c r="V378" s="15" t="n">
        <f aca="false">IF($O378&lt;$Q378,ROUND($S378-$K378-$T378,2),$M378)</f>
        <v>43077.92</v>
      </c>
    </row>
    <row r="379" customFormat="false" ht="15" hidden="false" customHeight="false" outlineLevel="0" collapsed="false">
      <c r="B379" s="13" t="s">
        <v>262</v>
      </c>
      <c r="C379" s="13" t="s">
        <v>218</v>
      </c>
      <c r="D379" s="13" t="s">
        <v>52</v>
      </c>
      <c r="E379" s="24" t="n">
        <v>107</v>
      </c>
      <c r="F379" s="14" t="n">
        <v>15492.36</v>
      </c>
      <c r="G379" s="14" t="n">
        <v>15337.44</v>
      </c>
      <c r="H379" s="15" t="n">
        <f aca="false">INDEX('Your Inputs'!$C$8:$C$10,MATCH($D379,'Your Inputs'!$B$8:$B$10,0))</f>
        <v>148</v>
      </c>
      <c r="I379" s="15" t="n">
        <f aca="false">INDEX('Your Inputs'!$D$8:$D$10,MATCH($D379,'Your Inputs'!$B$8:$B$10,0))</f>
        <v>78</v>
      </c>
      <c r="J379" s="15" t="n">
        <f aca="false">ROUND($E379*$H379,2)</f>
        <v>15836</v>
      </c>
      <c r="K379" s="15" t="n">
        <f aca="false">ROUND($E379*$I379,2)</f>
        <v>8346</v>
      </c>
      <c r="L379" s="15" t="n">
        <f aca="false">ROUND($F379*'Your Inputs'!$C$31,2)</f>
        <v>309.85</v>
      </c>
      <c r="M379" s="15" t="n">
        <f aca="false">ROUND($G379-$K379-$L379,2)</f>
        <v>6681.59</v>
      </c>
      <c r="N379" s="15" t="n">
        <f aca="false">$G379/$E379</f>
        <v>143.340560747664</v>
      </c>
      <c r="O379" s="25" t="n">
        <f aca="false">$G379/$J379</f>
        <v>0.968517302349078</v>
      </c>
      <c r="P379" s="18" t="str">
        <f aca="false">$C379&amp;" | "&amp;$D379</f>
        <v>Small direct | Structural adhesives</v>
      </c>
      <c r="Q379" s="25" t="n">
        <f aca="false">INDEX('Your Floors'!$K$20:$K$31,MATCH($P379,'Your Floors'!$D$20:$D$31,0))</f>
        <v>0.939509972168612</v>
      </c>
      <c r="R379" s="18" t="str">
        <f aca="false">IF($O379&lt;$Q379,"below the floor","at or above it")</f>
        <v>at or above it</v>
      </c>
      <c r="S379" s="15" t="n">
        <f aca="false">IF($O379&lt;$Q379,$E379*ROUND($Q379*$H379,2),$G379)</f>
        <v>15337.44</v>
      </c>
      <c r="T379" s="15" t="n">
        <f aca="false">IF($O379&lt;$Q379,ROUND($L379*$S379/$G379,2),$L379)</f>
        <v>309.85</v>
      </c>
      <c r="U379" s="15" t="n">
        <f aca="false">ROUND(($S379-$G379)-($T379-$L379),2)</f>
        <v>0</v>
      </c>
      <c r="V379" s="15" t="n">
        <f aca="false">IF($O379&lt;$Q379,ROUND($S379-$K379-$T379,2),$M379)</f>
        <v>6681.59</v>
      </c>
    </row>
    <row r="380" customFormat="false" ht="15" hidden="false" customHeight="false" outlineLevel="0" collapsed="false">
      <c r="B380" s="13" t="s">
        <v>263</v>
      </c>
      <c r="C380" s="13" t="s">
        <v>218</v>
      </c>
      <c r="D380" s="13" t="s">
        <v>54</v>
      </c>
      <c r="E380" s="24" t="n">
        <v>651</v>
      </c>
      <c r="F380" s="14" t="n">
        <v>39050.23</v>
      </c>
      <c r="G380" s="14" t="n">
        <v>38659.73</v>
      </c>
      <c r="H380" s="15" t="n">
        <f aca="false">INDEX('Your Inputs'!$C$8:$C$10,MATCH($D380,'Your Inputs'!$B$8:$B$10,0))</f>
        <v>62</v>
      </c>
      <c r="I380" s="15" t="n">
        <f aca="false">INDEX('Your Inputs'!$D$8:$D$10,MATCH($D380,'Your Inputs'!$B$8:$B$10,0))</f>
        <v>36</v>
      </c>
      <c r="J380" s="15" t="n">
        <f aca="false">ROUND($E380*$H380,2)</f>
        <v>40362</v>
      </c>
      <c r="K380" s="15" t="n">
        <f aca="false">ROUND($E380*$I380,2)</f>
        <v>23436</v>
      </c>
      <c r="L380" s="15" t="n">
        <f aca="false">ROUND($F380*'Your Inputs'!$C$31,2)</f>
        <v>781</v>
      </c>
      <c r="M380" s="15" t="n">
        <f aca="false">ROUND($G380-$K380-$L380,2)</f>
        <v>14442.73</v>
      </c>
      <c r="N380" s="15" t="n">
        <f aca="false">$G380/$E380</f>
        <v>59.3851459293395</v>
      </c>
      <c r="O380" s="25" t="n">
        <f aca="false">$G380/$J380</f>
        <v>0.957824934344185</v>
      </c>
      <c r="P380" s="18" t="str">
        <f aca="false">$C380&amp;" | "&amp;$D380</f>
        <v>Small direct | Sealants</v>
      </c>
      <c r="Q380" s="25" t="n">
        <f aca="false">INDEX('Your Floors'!$K$20:$K$31,MATCH($P380,'Your Floors'!$D$20:$D$31,0))</f>
        <v>0.905849957217107</v>
      </c>
      <c r="R380" s="18" t="str">
        <f aca="false">IF($O380&lt;$Q380,"below the floor","at or above it")</f>
        <v>at or above it</v>
      </c>
      <c r="S380" s="15" t="n">
        <f aca="false">IF($O380&lt;$Q380,$E380*ROUND($Q380*$H380,2),$G380)</f>
        <v>38659.73</v>
      </c>
      <c r="T380" s="15" t="n">
        <f aca="false">IF($O380&lt;$Q380,ROUND($L380*$S380/$G380,2),$L380)</f>
        <v>781</v>
      </c>
      <c r="U380" s="15" t="n">
        <f aca="false">ROUND(($S380-$G380)-($T380-$L380),2)</f>
        <v>0</v>
      </c>
      <c r="V380" s="15" t="n">
        <f aca="false">IF($O380&lt;$Q380,ROUND($S380-$K380-$T380,2),$M380)</f>
        <v>14442.73</v>
      </c>
    </row>
    <row r="381" customFormat="false" ht="15" hidden="false" customHeight="false" outlineLevel="0" collapsed="false">
      <c r="B381" s="13" t="s">
        <v>263</v>
      </c>
      <c r="C381" s="13" t="s">
        <v>218</v>
      </c>
      <c r="D381" s="13" t="s">
        <v>56</v>
      </c>
      <c r="E381" s="24" t="n">
        <v>278</v>
      </c>
      <c r="F381" s="14" t="n">
        <v>26047.49</v>
      </c>
      <c r="G381" s="14" t="n">
        <v>25787.02</v>
      </c>
      <c r="H381" s="15" t="n">
        <f aca="false">INDEX('Your Inputs'!$C$8:$C$10,MATCH($D381,'Your Inputs'!$B$8:$B$10,0))</f>
        <v>96</v>
      </c>
      <c r="I381" s="15" t="n">
        <f aca="false">INDEX('Your Inputs'!$D$8:$D$10,MATCH($D381,'Your Inputs'!$B$8:$B$10,0))</f>
        <v>58</v>
      </c>
      <c r="J381" s="15" t="n">
        <f aca="false">ROUND($E381*$H381,2)</f>
        <v>26688</v>
      </c>
      <c r="K381" s="15" t="n">
        <f aca="false">ROUND($E381*$I381,2)</f>
        <v>16124</v>
      </c>
      <c r="L381" s="15" t="n">
        <f aca="false">ROUND($F381*'Your Inputs'!$C$31,2)</f>
        <v>520.95</v>
      </c>
      <c r="M381" s="15" t="n">
        <f aca="false">ROUND($G381-$K381-$L381,2)</f>
        <v>9142.07</v>
      </c>
      <c r="N381" s="15" t="n">
        <f aca="false">$G381/$E381</f>
        <v>92.7590647482014</v>
      </c>
      <c r="O381" s="25" t="n">
        <f aca="false">$G381/$J381</f>
        <v>0.966240257793765</v>
      </c>
      <c r="P381" s="18" t="str">
        <f aca="false">$C381&amp;" | "&amp;$D381</f>
        <v>Small direct | Protective coatings</v>
      </c>
      <c r="Q381" s="25" t="n">
        <f aca="false">INDEX('Your Floors'!$K$20:$K$31,MATCH($P381,'Your Floors'!$D$20:$D$31,0))</f>
        <v>0.922679993872549</v>
      </c>
      <c r="R381" s="18" t="str">
        <f aca="false">IF($O381&lt;$Q381,"below the floor","at or above it")</f>
        <v>at or above it</v>
      </c>
      <c r="S381" s="15" t="n">
        <f aca="false">IF($O381&lt;$Q381,$E381*ROUND($Q381*$H381,2),$G381)</f>
        <v>25787.02</v>
      </c>
      <c r="T381" s="15" t="n">
        <f aca="false">IF($O381&lt;$Q381,ROUND($L381*$S381/$G381,2),$L381)</f>
        <v>520.95</v>
      </c>
      <c r="U381" s="15" t="n">
        <f aca="false">ROUND(($S381-$G381)-($T381-$L381),2)</f>
        <v>0</v>
      </c>
      <c r="V381" s="15" t="n">
        <f aca="false">IF($O381&lt;$Q381,ROUND($S381-$K381-$T381,2),$M381)</f>
        <v>9142.07</v>
      </c>
    </row>
    <row r="382" customFormat="false" ht="15" hidden="false" customHeight="false" outlineLevel="0" collapsed="false">
      <c r="B382" s="13" t="s">
        <v>264</v>
      </c>
      <c r="C382" s="13" t="s">
        <v>218</v>
      </c>
      <c r="D382" s="13" t="s">
        <v>52</v>
      </c>
      <c r="E382" s="24" t="n">
        <v>174</v>
      </c>
      <c r="F382" s="14" t="n">
        <v>25432.68</v>
      </c>
      <c r="G382" s="14" t="n">
        <v>25178.35</v>
      </c>
      <c r="H382" s="15" t="n">
        <f aca="false">INDEX('Your Inputs'!$C$8:$C$10,MATCH($D382,'Your Inputs'!$B$8:$B$10,0))</f>
        <v>148</v>
      </c>
      <c r="I382" s="15" t="n">
        <f aca="false">INDEX('Your Inputs'!$D$8:$D$10,MATCH($D382,'Your Inputs'!$B$8:$B$10,0))</f>
        <v>78</v>
      </c>
      <c r="J382" s="15" t="n">
        <f aca="false">ROUND($E382*$H382,2)</f>
        <v>25752</v>
      </c>
      <c r="K382" s="15" t="n">
        <f aca="false">ROUND($E382*$I382,2)</f>
        <v>13572</v>
      </c>
      <c r="L382" s="15" t="n">
        <f aca="false">ROUND($F382*'Your Inputs'!$C$31,2)</f>
        <v>508.65</v>
      </c>
      <c r="M382" s="15" t="n">
        <f aca="false">ROUND($G382-$K382-$L382,2)</f>
        <v>11097.7</v>
      </c>
      <c r="N382" s="15" t="n">
        <f aca="false">$G382/$E382</f>
        <v>144.70316091954</v>
      </c>
      <c r="O382" s="25" t="n">
        <f aca="false">$G382/$J382</f>
        <v>0.977724060267164</v>
      </c>
      <c r="P382" s="18" t="str">
        <f aca="false">$C382&amp;" | "&amp;$D382</f>
        <v>Small direct | Structural adhesives</v>
      </c>
      <c r="Q382" s="25" t="n">
        <f aca="false">INDEX('Your Floors'!$K$20:$K$31,MATCH($P382,'Your Floors'!$D$20:$D$31,0))</f>
        <v>0.939509972168612</v>
      </c>
      <c r="R382" s="18" t="str">
        <f aca="false">IF($O382&lt;$Q382,"below the floor","at or above it")</f>
        <v>at or above it</v>
      </c>
      <c r="S382" s="15" t="n">
        <f aca="false">IF($O382&lt;$Q382,$E382*ROUND($Q382*$H382,2),$G382)</f>
        <v>25178.35</v>
      </c>
      <c r="T382" s="15" t="n">
        <f aca="false">IF($O382&lt;$Q382,ROUND($L382*$S382/$G382,2),$L382)</f>
        <v>508.65</v>
      </c>
      <c r="U382" s="15" t="n">
        <f aca="false">ROUND(($S382-$G382)-($T382-$L382),2)</f>
        <v>0</v>
      </c>
      <c r="V382" s="15" t="n">
        <f aca="false">IF($O382&lt;$Q382,ROUND($S382-$K382-$T382,2),$M382)</f>
        <v>11097.7</v>
      </c>
    </row>
    <row r="383" customFormat="false" ht="15" hidden="false" customHeight="false" outlineLevel="0" collapsed="false">
      <c r="B383" s="13" t="s">
        <v>264</v>
      </c>
      <c r="C383" s="13" t="s">
        <v>218</v>
      </c>
      <c r="D383" s="13" t="s">
        <v>54</v>
      </c>
      <c r="E383" s="24" t="n">
        <v>1317</v>
      </c>
      <c r="F383" s="14" t="n">
        <v>79531</v>
      </c>
      <c r="G383" s="14" t="n">
        <v>78735.69</v>
      </c>
      <c r="H383" s="15" t="n">
        <f aca="false">INDEX('Your Inputs'!$C$8:$C$10,MATCH($D383,'Your Inputs'!$B$8:$B$10,0))</f>
        <v>62</v>
      </c>
      <c r="I383" s="15" t="n">
        <f aca="false">INDEX('Your Inputs'!$D$8:$D$10,MATCH($D383,'Your Inputs'!$B$8:$B$10,0))</f>
        <v>36</v>
      </c>
      <c r="J383" s="15" t="n">
        <f aca="false">ROUND($E383*$H383,2)</f>
        <v>81654</v>
      </c>
      <c r="K383" s="15" t="n">
        <f aca="false">ROUND($E383*$I383,2)</f>
        <v>47412</v>
      </c>
      <c r="L383" s="15" t="n">
        <f aca="false">ROUND($F383*'Your Inputs'!$C$31,2)</f>
        <v>1590.62</v>
      </c>
      <c r="M383" s="15" t="n">
        <f aca="false">ROUND($G383-$K383-$L383,2)</f>
        <v>29733.07</v>
      </c>
      <c r="N383" s="15" t="n">
        <f aca="false">$G383/$E383</f>
        <v>59.7841230068337</v>
      </c>
      <c r="O383" s="25" t="n">
        <f aca="false">$G383/$J383</f>
        <v>0.964260048497318</v>
      </c>
      <c r="P383" s="18" t="str">
        <f aca="false">$C383&amp;" | "&amp;$D383</f>
        <v>Small direct | Sealants</v>
      </c>
      <c r="Q383" s="25" t="n">
        <f aca="false">INDEX('Your Floors'!$K$20:$K$31,MATCH($P383,'Your Floors'!$D$20:$D$31,0))</f>
        <v>0.905849957217107</v>
      </c>
      <c r="R383" s="18" t="str">
        <f aca="false">IF($O383&lt;$Q383,"below the floor","at or above it")</f>
        <v>at or above it</v>
      </c>
      <c r="S383" s="15" t="n">
        <f aca="false">IF($O383&lt;$Q383,$E383*ROUND($Q383*$H383,2),$G383)</f>
        <v>78735.69</v>
      </c>
      <c r="T383" s="15" t="n">
        <f aca="false">IF($O383&lt;$Q383,ROUND($L383*$S383/$G383,2),$L383)</f>
        <v>1590.62</v>
      </c>
      <c r="U383" s="15" t="n">
        <f aca="false">ROUND(($S383-$G383)-($T383-$L383),2)</f>
        <v>0</v>
      </c>
      <c r="V383" s="15" t="n">
        <f aca="false">IF($O383&lt;$Q383,ROUND($S383-$K383-$T383,2),$M383)</f>
        <v>29733.07</v>
      </c>
    </row>
    <row r="384" customFormat="false" ht="15" hidden="false" customHeight="false" outlineLevel="0" collapsed="false">
      <c r="B384" s="13" t="s">
        <v>265</v>
      </c>
      <c r="C384" s="13" t="s">
        <v>218</v>
      </c>
      <c r="D384" s="13" t="s">
        <v>54</v>
      </c>
      <c r="E384" s="24" t="n">
        <v>2040</v>
      </c>
      <c r="F384" s="14" t="n">
        <v>111618.6</v>
      </c>
      <c r="G384" s="14" t="n">
        <v>108270.04</v>
      </c>
      <c r="H384" s="15" t="n">
        <f aca="false">INDEX('Your Inputs'!$C$8:$C$10,MATCH($D384,'Your Inputs'!$B$8:$B$10,0))</f>
        <v>62</v>
      </c>
      <c r="I384" s="15" t="n">
        <f aca="false">INDEX('Your Inputs'!$D$8:$D$10,MATCH($D384,'Your Inputs'!$B$8:$B$10,0))</f>
        <v>36</v>
      </c>
      <c r="J384" s="15" t="n">
        <f aca="false">ROUND($E384*$H384,2)</f>
        <v>126480</v>
      </c>
      <c r="K384" s="15" t="n">
        <f aca="false">ROUND($E384*$I384,2)</f>
        <v>73440</v>
      </c>
      <c r="L384" s="15" t="n">
        <f aca="false">ROUND($F384*'Your Inputs'!$C$31,2)</f>
        <v>2232.37</v>
      </c>
      <c r="M384" s="15" t="n">
        <f aca="false">ROUND($G384-$K384-$L384,2)</f>
        <v>32597.67</v>
      </c>
      <c r="N384" s="15" t="n">
        <f aca="false">$G384/$E384</f>
        <v>53.0735490196078</v>
      </c>
      <c r="O384" s="25" t="n">
        <f aca="false">$G384/$J384</f>
        <v>0.856024984187223</v>
      </c>
      <c r="P384" s="18" t="str">
        <f aca="false">$C384&amp;" | "&amp;$D384</f>
        <v>Small direct | Sealants</v>
      </c>
      <c r="Q384" s="25" t="n">
        <f aca="false">INDEX('Your Floors'!$K$20:$K$31,MATCH($P384,'Your Floors'!$D$20:$D$31,0))</f>
        <v>0.905849957217107</v>
      </c>
      <c r="R384" s="18" t="str">
        <f aca="false">IF($O384&lt;$Q384,"below the floor","at or above it")</f>
        <v>below the floor</v>
      </c>
      <c r="S384" s="15" t="n">
        <f aca="false">IF($O384&lt;$Q384,$E384*ROUND($Q384*$H384,2),$G384)</f>
        <v>114566.4</v>
      </c>
      <c r="T384" s="15" t="n">
        <f aca="false">IF($O384&lt;$Q384,ROUND($L384*$S384/$G384,2),$L384)</f>
        <v>2362.19</v>
      </c>
      <c r="U384" s="15" t="n">
        <f aca="false">ROUND(($S384-$G384)-($T384-$L384),2)</f>
        <v>6166.54</v>
      </c>
      <c r="V384" s="15" t="n">
        <f aca="false">IF($O384&lt;$Q384,ROUND($S384-$K384-$T384,2),$M384)</f>
        <v>38764.21</v>
      </c>
    </row>
    <row r="385" customFormat="false" ht="15" hidden="false" customHeight="false" outlineLevel="0" collapsed="false">
      <c r="B385" s="13" t="s">
        <v>265</v>
      </c>
      <c r="C385" s="13" t="s">
        <v>218</v>
      </c>
      <c r="D385" s="13" t="s">
        <v>56</v>
      </c>
      <c r="E385" s="24" t="n">
        <v>1087</v>
      </c>
      <c r="F385" s="14" t="n">
        <v>94751.62</v>
      </c>
      <c r="G385" s="14" t="n">
        <v>91909.07</v>
      </c>
      <c r="H385" s="15" t="n">
        <f aca="false">INDEX('Your Inputs'!$C$8:$C$10,MATCH($D385,'Your Inputs'!$B$8:$B$10,0))</f>
        <v>96</v>
      </c>
      <c r="I385" s="15" t="n">
        <f aca="false">INDEX('Your Inputs'!$D$8:$D$10,MATCH($D385,'Your Inputs'!$B$8:$B$10,0))</f>
        <v>58</v>
      </c>
      <c r="J385" s="15" t="n">
        <f aca="false">ROUND($E385*$H385,2)</f>
        <v>104352</v>
      </c>
      <c r="K385" s="15" t="n">
        <f aca="false">ROUND($E385*$I385,2)</f>
        <v>63046</v>
      </c>
      <c r="L385" s="15" t="n">
        <f aca="false">ROUND($F385*'Your Inputs'!$C$31,2)</f>
        <v>1895.03</v>
      </c>
      <c r="M385" s="15" t="n">
        <f aca="false">ROUND($G385-$K385-$L385,2)</f>
        <v>26968.04</v>
      </c>
      <c r="N385" s="15" t="n">
        <f aca="false">$G385/$E385</f>
        <v>84.5529622815087</v>
      </c>
      <c r="O385" s="25" t="n">
        <f aca="false">$G385/$J385</f>
        <v>0.880760023765716</v>
      </c>
      <c r="P385" s="18" t="str">
        <f aca="false">$C385&amp;" | "&amp;$D385</f>
        <v>Small direct | Protective coatings</v>
      </c>
      <c r="Q385" s="25" t="n">
        <f aca="false">INDEX('Your Floors'!$K$20:$K$31,MATCH($P385,'Your Floors'!$D$20:$D$31,0))</f>
        <v>0.922679993872549</v>
      </c>
      <c r="R385" s="18" t="str">
        <f aca="false">IF($O385&lt;$Q385,"below the floor","at or above it")</f>
        <v>below the floor</v>
      </c>
      <c r="S385" s="15" t="n">
        <f aca="false">IF($O385&lt;$Q385,$E385*ROUND($Q385*$H385,2),$G385)</f>
        <v>96286.46</v>
      </c>
      <c r="T385" s="15" t="n">
        <f aca="false">IF($O385&lt;$Q385,ROUND($L385*$S385/$G385,2),$L385)</f>
        <v>1985.29</v>
      </c>
      <c r="U385" s="15" t="n">
        <f aca="false">ROUND(($S385-$G385)-($T385-$L385),2)</f>
        <v>4287.13</v>
      </c>
      <c r="V385" s="15" t="n">
        <f aca="false">IF($O385&lt;$Q385,ROUND($S385-$K385-$T385,2),$M385)</f>
        <v>31255.17</v>
      </c>
    </row>
    <row r="386" customFormat="false" ht="15" hidden="false" customHeight="false" outlineLevel="0" collapsed="false">
      <c r="B386" s="13" t="s">
        <v>266</v>
      </c>
      <c r="C386" s="13" t="s">
        <v>218</v>
      </c>
      <c r="D386" s="13" t="s">
        <v>52</v>
      </c>
      <c r="E386" s="24" t="n">
        <v>125</v>
      </c>
      <c r="F386" s="14" t="n">
        <v>18155.9</v>
      </c>
      <c r="G386" s="14" t="n">
        <v>17974.34</v>
      </c>
      <c r="H386" s="15" t="n">
        <f aca="false">INDEX('Your Inputs'!$C$8:$C$10,MATCH($D386,'Your Inputs'!$B$8:$B$10,0))</f>
        <v>148</v>
      </c>
      <c r="I386" s="15" t="n">
        <f aca="false">INDEX('Your Inputs'!$D$8:$D$10,MATCH($D386,'Your Inputs'!$B$8:$B$10,0))</f>
        <v>78</v>
      </c>
      <c r="J386" s="15" t="n">
        <f aca="false">ROUND($E386*$H386,2)</f>
        <v>18500</v>
      </c>
      <c r="K386" s="15" t="n">
        <f aca="false">ROUND($E386*$I386,2)</f>
        <v>9750</v>
      </c>
      <c r="L386" s="15" t="n">
        <f aca="false">ROUND($F386*'Your Inputs'!$C$31,2)</f>
        <v>363.12</v>
      </c>
      <c r="M386" s="15" t="n">
        <f aca="false">ROUND($G386-$K386-$L386,2)</f>
        <v>7861.22</v>
      </c>
      <c r="N386" s="15" t="n">
        <f aca="false">$G386/$E386</f>
        <v>143.79472</v>
      </c>
      <c r="O386" s="25" t="n">
        <f aca="false">$G386/$J386</f>
        <v>0.971585945945946</v>
      </c>
      <c r="P386" s="18" t="str">
        <f aca="false">$C386&amp;" | "&amp;$D386</f>
        <v>Small direct | Structural adhesives</v>
      </c>
      <c r="Q386" s="25" t="n">
        <f aca="false">INDEX('Your Floors'!$K$20:$K$31,MATCH($P386,'Your Floors'!$D$20:$D$31,0))</f>
        <v>0.939509972168612</v>
      </c>
      <c r="R386" s="18" t="str">
        <f aca="false">IF($O386&lt;$Q386,"below the floor","at or above it")</f>
        <v>at or above it</v>
      </c>
      <c r="S386" s="15" t="n">
        <f aca="false">IF($O386&lt;$Q386,$E386*ROUND($Q386*$H386,2),$G386)</f>
        <v>17974.34</v>
      </c>
      <c r="T386" s="15" t="n">
        <f aca="false">IF($O386&lt;$Q386,ROUND($L386*$S386/$G386,2),$L386)</f>
        <v>363.12</v>
      </c>
      <c r="U386" s="15" t="n">
        <f aca="false">ROUND(($S386-$G386)-($T386-$L386),2)</f>
        <v>0</v>
      </c>
      <c r="V386" s="15" t="n">
        <f aca="false">IF($O386&lt;$Q386,ROUND($S386-$K386-$T386,2),$M386)</f>
        <v>7861.22</v>
      </c>
    </row>
    <row r="387" customFormat="false" ht="15" hidden="false" customHeight="false" outlineLevel="0" collapsed="false">
      <c r="B387" s="13" t="s">
        <v>266</v>
      </c>
      <c r="C387" s="13" t="s">
        <v>218</v>
      </c>
      <c r="D387" s="13" t="s">
        <v>54</v>
      </c>
      <c r="E387" s="24" t="n">
        <v>607</v>
      </c>
      <c r="F387" s="14" t="n">
        <v>36166.27</v>
      </c>
      <c r="G387" s="14" t="n">
        <v>35804.61</v>
      </c>
      <c r="H387" s="15" t="n">
        <f aca="false">INDEX('Your Inputs'!$C$8:$C$10,MATCH($D387,'Your Inputs'!$B$8:$B$10,0))</f>
        <v>62</v>
      </c>
      <c r="I387" s="15" t="n">
        <f aca="false">INDEX('Your Inputs'!$D$8:$D$10,MATCH($D387,'Your Inputs'!$B$8:$B$10,0))</f>
        <v>36</v>
      </c>
      <c r="J387" s="15" t="n">
        <f aca="false">ROUND($E387*$H387,2)</f>
        <v>37634</v>
      </c>
      <c r="K387" s="15" t="n">
        <f aca="false">ROUND($E387*$I387,2)</f>
        <v>21852</v>
      </c>
      <c r="L387" s="15" t="n">
        <f aca="false">ROUND($F387*'Your Inputs'!$C$31,2)</f>
        <v>723.33</v>
      </c>
      <c r="M387" s="15" t="n">
        <f aca="false">ROUND($G387-$K387-$L387,2)</f>
        <v>13229.28</v>
      </c>
      <c r="N387" s="15" t="n">
        <f aca="false">$G387/$E387</f>
        <v>58.9861779242175</v>
      </c>
      <c r="O387" s="25" t="n">
        <f aca="false">$G387/$J387</f>
        <v>0.951389966519637</v>
      </c>
      <c r="P387" s="18" t="str">
        <f aca="false">$C387&amp;" | "&amp;$D387</f>
        <v>Small direct | Sealants</v>
      </c>
      <c r="Q387" s="25" t="n">
        <f aca="false">INDEX('Your Floors'!$K$20:$K$31,MATCH($P387,'Your Floors'!$D$20:$D$31,0))</f>
        <v>0.905849957217107</v>
      </c>
      <c r="R387" s="18" t="str">
        <f aca="false">IF($O387&lt;$Q387,"below the floor","at or above it")</f>
        <v>at or above it</v>
      </c>
      <c r="S387" s="15" t="n">
        <f aca="false">IF($O387&lt;$Q387,$E387*ROUND($Q387*$H387,2),$G387)</f>
        <v>35804.61</v>
      </c>
      <c r="T387" s="15" t="n">
        <f aca="false">IF($O387&lt;$Q387,ROUND($L387*$S387/$G387,2),$L387)</f>
        <v>723.33</v>
      </c>
      <c r="U387" s="15" t="n">
        <f aca="false">ROUND(($S387-$G387)-($T387-$L387),2)</f>
        <v>0</v>
      </c>
      <c r="V387" s="15" t="n">
        <f aca="false">IF($O387&lt;$Q387,ROUND($S387-$K387-$T387,2),$M387)</f>
        <v>13229.28</v>
      </c>
    </row>
    <row r="388" customFormat="false" ht="15" hidden="false" customHeight="false" outlineLevel="0" collapsed="false">
      <c r="B388" s="13" t="s">
        <v>266</v>
      </c>
      <c r="C388" s="13" t="s">
        <v>218</v>
      </c>
      <c r="D388" s="13" t="s">
        <v>56</v>
      </c>
      <c r="E388" s="24" t="n">
        <v>134</v>
      </c>
      <c r="F388" s="14" t="n">
        <v>12493.52</v>
      </c>
      <c r="G388" s="14" t="n">
        <v>12368.58</v>
      </c>
      <c r="H388" s="15" t="n">
        <f aca="false">INDEX('Your Inputs'!$C$8:$C$10,MATCH($D388,'Your Inputs'!$B$8:$B$10,0))</f>
        <v>96</v>
      </c>
      <c r="I388" s="15" t="n">
        <f aca="false">INDEX('Your Inputs'!$D$8:$D$10,MATCH($D388,'Your Inputs'!$B$8:$B$10,0))</f>
        <v>58</v>
      </c>
      <c r="J388" s="15" t="n">
        <f aca="false">ROUND($E388*$H388,2)</f>
        <v>12864</v>
      </c>
      <c r="K388" s="15" t="n">
        <f aca="false">ROUND($E388*$I388,2)</f>
        <v>7772</v>
      </c>
      <c r="L388" s="15" t="n">
        <f aca="false">ROUND($F388*'Your Inputs'!$C$31,2)</f>
        <v>249.87</v>
      </c>
      <c r="M388" s="15" t="n">
        <f aca="false">ROUND($G388-$K388-$L388,2)</f>
        <v>4346.71</v>
      </c>
      <c r="N388" s="15" t="n">
        <f aca="false">$G388/$E388</f>
        <v>92.3028358208955</v>
      </c>
      <c r="O388" s="25" t="n">
        <f aca="false">$G388/$J388</f>
        <v>0.961487873134328</v>
      </c>
      <c r="P388" s="18" t="str">
        <f aca="false">$C388&amp;" | "&amp;$D388</f>
        <v>Small direct | Protective coatings</v>
      </c>
      <c r="Q388" s="25" t="n">
        <f aca="false">INDEX('Your Floors'!$K$20:$K$31,MATCH($P388,'Your Floors'!$D$20:$D$31,0))</f>
        <v>0.922679993872549</v>
      </c>
      <c r="R388" s="18" t="str">
        <f aca="false">IF($O388&lt;$Q388,"below the floor","at or above it")</f>
        <v>at or above it</v>
      </c>
      <c r="S388" s="15" t="n">
        <f aca="false">IF($O388&lt;$Q388,$E388*ROUND($Q388*$H388,2),$G388)</f>
        <v>12368.58</v>
      </c>
      <c r="T388" s="15" t="n">
        <f aca="false">IF($O388&lt;$Q388,ROUND($L388*$S388/$G388,2),$L388)</f>
        <v>249.87</v>
      </c>
      <c r="U388" s="15" t="n">
        <f aca="false">ROUND(($S388-$G388)-($T388-$L388),2)</f>
        <v>0</v>
      </c>
      <c r="V388" s="15" t="n">
        <f aca="false">IF($O388&lt;$Q388,ROUND($S388-$K388-$T388,2),$M388)</f>
        <v>4346.71</v>
      </c>
    </row>
    <row r="389" customFormat="false" ht="15" hidden="false" customHeight="false" outlineLevel="0" collapsed="false">
      <c r="B389" s="13" t="s">
        <v>267</v>
      </c>
      <c r="C389" s="13" t="s">
        <v>218</v>
      </c>
      <c r="D389" s="13" t="s">
        <v>52</v>
      </c>
      <c r="E389" s="24" t="n">
        <v>148</v>
      </c>
      <c r="F389" s="14" t="n">
        <v>20786.9</v>
      </c>
      <c r="G389" s="14" t="n">
        <v>20579.03</v>
      </c>
      <c r="H389" s="15" t="n">
        <f aca="false">INDEX('Your Inputs'!$C$8:$C$10,MATCH($D389,'Your Inputs'!$B$8:$B$10,0))</f>
        <v>148</v>
      </c>
      <c r="I389" s="15" t="n">
        <f aca="false">INDEX('Your Inputs'!$D$8:$D$10,MATCH($D389,'Your Inputs'!$B$8:$B$10,0))</f>
        <v>78</v>
      </c>
      <c r="J389" s="15" t="n">
        <f aca="false">ROUND($E389*$H389,2)</f>
        <v>21904</v>
      </c>
      <c r="K389" s="15" t="n">
        <f aca="false">ROUND($E389*$I389,2)</f>
        <v>11544</v>
      </c>
      <c r="L389" s="15" t="n">
        <f aca="false">ROUND($F389*'Your Inputs'!$C$31,2)</f>
        <v>415.74</v>
      </c>
      <c r="M389" s="15" t="n">
        <f aca="false">ROUND($G389-$K389-$L389,2)</f>
        <v>8619.29</v>
      </c>
      <c r="N389" s="15" t="n">
        <f aca="false">$G389/$E389</f>
        <v>139.0475</v>
      </c>
      <c r="O389" s="25" t="n">
        <f aca="false">$G389/$J389</f>
        <v>0.939510135135135</v>
      </c>
      <c r="P389" s="18" t="str">
        <f aca="false">$C389&amp;" | "&amp;$D389</f>
        <v>Small direct | Structural adhesives</v>
      </c>
      <c r="Q389" s="25" t="n">
        <f aca="false">INDEX('Your Floors'!$K$20:$K$31,MATCH($P389,'Your Floors'!$D$20:$D$31,0))</f>
        <v>0.939509972168612</v>
      </c>
      <c r="R389" s="18" t="str">
        <f aca="false">IF($O389&lt;$Q389,"below the floor","at or above it")</f>
        <v>at or above it</v>
      </c>
      <c r="S389" s="15" t="n">
        <f aca="false">IF($O389&lt;$Q389,$E389*ROUND($Q389*$H389,2),$G389)</f>
        <v>20579.03</v>
      </c>
      <c r="T389" s="15" t="n">
        <f aca="false">IF($O389&lt;$Q389,ROUND($L389*$S389/$G389,2),$L389)</f>
        <v>415.74</v>
      </c>
      <c r="U389" s="15" t="n">
        <f aca="false">ROUND(($S389-$G389)-($T389-$L389),2)</f>
        <v>0</v>
      </c>
      <c r="V389" s="15" t="n">
        <f aca="false">IF($O389&lt;$Q389,ROUND($S389-$K389-$T389,2),$M389)</f>
        <v>8619.29</v>
      </c>
    </row>
    <row r="390" customFormat="false" ht="15" hidden="false" customHeight="false" outlineLevel="0" collapsed="false">
      <c r="B390" s="13" t="s">
        <v>267</v>
      </c>
      <c r="C390" s="13" t="s">
        <v>218</v>
      </c>
      <c r="D390" s="13" t="s">
        <v>54</v>
      </c>
      <c r="E390" s="24" t="n">
        <v>518</v>
      </c>
      <c r="F390" s="14" t="n">
        <v>29386.14</v>
      </c>
      <c r="G390" s="14" t="n">
        <v>29092.28</v>
      </c>
      <c r="H390" s="15" t="n">
        <f aca="false">INDEX('Your Inputs'!$C$8:$C$10,MATCH($D390,'Your Inputs'!$B$8:$B$10,0))</f>
        <v>62</v>
      </c>
      <c r="I390" s="15" t="n">
        <f aca="false">INDEX('Your Inputs'!$D$8:$D$10,MATCH($D390,'Your Inputs'!$B$8:$B$10,0))</f>
        <v>36</v>
      </c>
      <c r="J390" s="15" t="n">
        <f aca="false">ROUND($E390*$H390,2)</f>
        <v>32116</v>
      </c>
      <c r="K390" s="15" t="n">
        <f aca="false">ROUND($E390*$I390,2)</f>
        <v>18648</v>
      </c>
      <c r="L390" s="15" t="n">
        <f aca="false">ROUND($F390*'Your Inputs'!$C$31,2)</f>
        <v>587.72</v>
      </c>
      <c r="M390" s="15" t="n">
        <f aca="false">ROUND($G390-$K390-$L390,2)</f>
        <v>9856.56</v>
      </c>
      <c r="N390" s="15" t="n">
        <f aca="false">$G390/$E390</f>
        <v>56.1627027027027</v>
      </c>
      <c r="O390" s="25" t="n">
        <f aca="false">$G390/$J390</f>
        <v>0.905850043591979</v>
      </c>
      <c r="P390" s="18" t="str">
        <f aca="false">$C390&amp;" | "&amp;$D390</f>
        <v>Small direct | Sealants</v>
      </c>
      <c r="Q390" s="25" t="n">
        <f aca="false">INDEX('Your Floors'!$K$20:$K$31,MATCH($P390,'Your Floors'!$D$20:$D$31,0))</f>
        <v>0.905849957217107</v>
      </c>
      <c r="R390" s="18" t="str">
        <f aca="false">IF($O390&lt;$Q390,"below the floor","at or above it")</f>
        <v>at or above it</v>
      </c>
      <c r="S390" s="15" t="n">
        <f aca="false">IF($O390&lt;$Q390,$E390*ROUND($Q390*$H390,2),$G390)</f>
        <v>29092.28</v>
      </c>
      <c r="T390" s="15" t="n">
        <f aca="false">IF($O390&lt;$Q390,ROUND($L390*$S390/$G390,2),$L390)</f>
        <v>587.72</v>
      </c>
      <c r="U390" s="15" t="n">
        <f aca="false">ROUND(($S390-$G390)-($T390-$L390),2)</f>
        <v>0</v>
      </c>
      <c r="V390" s="15" t="n">
        <f aca="false">IF($O390&lt;$Q390,ROUND($S390-$K390-$T390,2),$M390)</f>
        <v>9856.56</v>
      </c>
    </row>
    <row r="391" customFormat="false" ht="15" hidden="false" customHeight="false" outlineLevel="0" collapsed="false">
      <c r="B391" s="13" t="s">
        <v>267</v>
      </c>
      <c r="C391" s="13" t="s">
        <v>218</v>
      </c>
      <c r="D391" s="13" t="s">
        <v>56</v>
      </c>
      <c r="E391" s="24" t="n">
        <v>114</v>
      </c>
      <c r="F391" s="14" t="n">
        <v>10199.81</v>
      </c>
      <c r="G391" s="14" t="n">
        <v>10097.81</v>
      </c>
      <c r="H391" s="15" t="n">
        <f aca="false">INDEX('Your Inputs'!$C$8:$C$10,MATCH($D391,'Your Inputs'!$B$8:$B$10,0))</f>
        <v>96</v>
      </c>
      <c r="I391" s="15" t="n">
        <f aca="false">INDEX('Your Inputs'!$D$8:$D$10,MATCH($D391,'Your Inputs'!$B$8:$B$10,0))</f>
        <v>58</v>
      </c>
      <c r="J391" s="15" t="n">
        <f aca="false">ROUND($E391*$H391,2)</f>
        <v>10944</v>
      </c>
      <c r="K391" s="15" t="n">
        <f aca="false">ROUND($E391*$I391,2)</f>
        <v>6612</v>
      </c>
      <c r="L391" s="15" t="n">
        <f aca="false">ROUND($F391*'Your Inputs'!$C$31,2)</f>
        <v>204</v>
      </c>
      <c r="M391" s="15" t="n">
        <f aca="false">ROUND($G391-$K391-$L391,2)</f>
        <v>3281.81</v>
      </c>
      <c r="N391" s="15" t="n">
        <f aca="false">$G391/$E391</f>
        <v>88.5772807017544</v>
      </c>
      <c r="O391" s="25" t="n">
        <f aca="false">$G391/$J391</f>
        <v>0.922680007309942</v>
      </c>
      <c r="P391" s="18" t="str">
        <f aca="false">$C391&amp;" | "&amp;$D391</f>
        <v>Small direct | Protective coatings</v>
      </c>
      <c r="Q391" s="25" t="n">
        <f aca="false">INDEX('Your Floors'!$K$20:$K$31,MATCH($P391,'Your Floors'!$D$20:$D$31,0))</f>
        <v>0.922679993872549</v>
      </c>
      <c r="R391" s="18" t="str">
        <f aca="false">IF($O391&lt;$Q391,"below the floor","at or above it")</f>
        <v>at or above it</v>
      </c>
      <c r="S391" s="15" t="n">
        <f aca="false">IF($O391&lt;$Q391,$E391*ROUND($Q391*$H391,2),$G391)</f>
        <v>10097.81</v>
      </c>
      <c r="T391" s="15" t="n">
        <f aca="false">IF($O391&lt;$Q391,ROUND($L391*$S391/$G391,2),$L391)</f>
        <v>204</v>
      </c>
      <c r="U391" s="15" t="n">
        <f aca="false">ROUND(($S391-$G391)-($T391-$L391),2)</f>
        <v>0</v>
      </c>
      <c r="V391" s="15" t="n">
        <f aca="false">IF($O391&lt;$Q391,ROUND($S391-$K391-$T391,2),$M391)</f>
        <v>3281.81</v>
      </c>
    </row>
    <row r="392" customFormat="false" ht="15" hidden="false" customHeight="false" outlineLevel="0" collapsed="false">
      <c r="B392" s="13" t="s">
        <v>268</v>
      </c>
      <c r="C392" s="13" t="s">
        <v>218</v>
      </c>
      <c r="D392" s="13" t="s">
        <v>52</v>
      </c>
      <c r="E392" s="24" t="n">
        <v>100</v>
      </c>
      <c r="F392" s="14" t="n">
        <v>14366.36</v>
      </c>
      <c r="G392" s="14" t="n">
        <v>14222.7</v>
      </c>
      <c r="H392" s="15" t="n">
        <f aca="false">INDEX('Your Inputs'!$C$8:$C$10,MATCH($D392,'Your Inputs'!$B$8:$B$10,0))</f>
        <v>148</v>
      </c>
      <c r="I392" s="15" t="n">
        <f aca="false">INDEX('Your Inputs'!$D$8:$D$10,MATCH($D392,'Your Inputs'!$B$8:$B$10,0))</f>
        <v>78</v>
      </c>
      <c r="J392" s="15" t="n">
        <f aca="false">ROUND($E392*$H392,2)</f>
        <v>14800</v>
      </c>
      <c r="K392" s="15" t="n">
        <f aca="false">ROUND($E392*$I392,2)</f>
        <v>7800</v>
      </c>
      <c r="L392" s="15" t="n">
        <f aca="false">ROUND($F392*'Your Inputs'!$C$31,2)</f>
        <v>287.33</v>
      </c>
      <c r="M392" s="15" t="n">
        <f aca="false">ROUND($G392-$K392-$L392,2)</f>
        <v>6135.37</v>
      </c>
      <c r="N392" s="15" t="n">
        <f aca="false">$G392/$E392</f>
        <v>142.227</v>
      </c>
      <c r="O392" s="25" t="n">
        <f aca="false">$G392/$J392</f>
        <v>0.960993243243243</v>
      </c>
      <c r="P392" s="18" t="str">
        <f aca="false">$C392&amp;" | "&amp;$D392</f>
        <v>Small direct | Structural adhesives</v>
      </c>
      <c r="Q392" s="25" t="n">
        <f aca="false">INDEX('Your Floors'!$K$20:$K$31,MATCH($P392,'Your Floors'!$D$20:$D$31,0))</f>
        <v>0.939509972168612</v>
      </c>
      <c r="R392" s="18" t="str">
        <f aca="false">IF($O392&lt;$Q392,"below the floor","at or above it")</f>
        <v>at or above it</v>
      </c>
      <c r="S392" s="15" t="n">
        <f aca="false">IF($O392&lt;$Q392,$E392*ROUND($Q392*$H392,2),$G392)</f>
        <v>14222.7</v>
      </c>
      <c r="T392" s="15" t="n">
        <f aca="false">IF($O392&lt;$Q392,ROUND($L392*$S392/$G392,2),$L392)</f>
        <v>287.33</v>
      </c>
      <c r="U392" s="15" t="n">
        <f aca="false">ROUND(($S392-$G392)-($T392-$L392),2)</f>
        <v>0</v>
      </c>
      <c r="V392" s="15" t="n">
        <f aca="false">IF($O392&lt;$Q392,ROUND($S392-$K392-$T392,2),$M392)</f>
        <v>6135.37</v>
      </c>
    </row>
    <row r="393" customFormat="false" ht="15" hidden="false" customHeight="false" outlineLevel="0" collapsed="false">
      <c r="B393" s="13" t="s">
        <v>268</v>
      </c>
      <c r="C393" s="13" t="s">
        <v>218</v>
      </c>
      <c r="D393" s="13" t="s">
        <v>54</v>
      </c>
      <c r="E393" s="24" t="n">
        <v>481</v>
      </c>
      <c r="F393" s="14" t="n">
        <v>28644.03</v>
      </c>
      <c r="G393" s="14" t="n">
        <v>28357.59</v>
      </c>
      <c r="H393" s="15" t="n">
        <f aca="false">INDEX('Your Inputs'!$C$8:$C$10,MATCH($D393,'Your Inputs'!$B$8:$B$10,0))</f>
        <v>62</v>
      </c>
      <c r="I393" s="15" t="n">
        <f aca="false">INDEX('Your Inputs'!$D$8:$D$10,MATCH($D393,'Your Inputs'!$B$8:$B$10,0))</f>
        <v>36</v>
      </c>
      <c r="J393" s="15" t="n">
        <f aca="false">ROUND($E393*$H393,2)</f>
        <v>29822</v>
      </c>
      <c r="K393" s="15" t="n">
        <f aca="false">ROUND($E393*$I393,2)</f>
        <v>17316</v>
      </c>
      <c r="L393" s="15" t="n">
        <f aca="false">ROUND($F393*'Your Inputs'!$C$31,2)</f>
        <v>572.88</v>
      </c>
      <c r="M393" s="15" t="n">
        <f aca="false">ROUND($G393-$K393-$L393,2)</f>
        <v>10468.71</v>
      </c>
      <c r="N393" s="15" t="n">
        <f aca="false">$G393/$E393</f>
        <v>58.9554885654886</v>
      </c>
      <c r="O393" s="25" t="n">
        <f aca="false">$G393/$J393</f>
        <v>0.950894976862719</v>
      </c>
      <c r="P393" s="18" t="str">
        <f aca="false">$C393&amp;" | "&amp;$D393</f>
        <v>Small direct | Sealants</v>
      </c>
      <c r="Q393" s="25" t="n">
        <f aca="false">INDEX('Your Floors'!$K$20:$K$31,MATCH($P393,'Your Floors'!$D$20:$D$31,0))</f>
        <v>0.905849957217107</v>
      </c>
      <c r="R393" s="18" t="str">
        <f aca="false">IF($O393&lt;$Q393,"below the floor","at or above it")</f>
        <v>at or above it</v>
      </c>
      <c r="S393" s="15" t="n">
        <f aca="false">IF($O393&lt;$Q393,$E393*ROUND($Q393*$H393,2),$G393)</f>
        <v>28357.59</v>
      </c>
      <c r="T393" s="15" t="n">
        <f aca="false">IF($O393&lt;$Q393,ROUND($L393*$S393/$G393,2),$L393)</f>
        <v>572.88</v>
      </c>
      <c r="U393" s="15" t="n">
        <f aca="false">ROUND(($S393-$G393)-($T393-$L393),2)</f>
        <v>0</v>
      </c>
      <c r="V393" s="15" t="n">
        <f aca="false">IF($O393&lt;$Q393,ROUND($S393-$K393-$T393,2),$M393)</f>
        <v>10468.71</v>
      </c>
    </row>
    <row r="394" customFormat="false" ht="15" hidden="false" customHeight="false" outlineLevel="0" collapsed="false">
      <c r="B394" s="13" t="s">
        <v>268</v>
      </c>
      <c r="C394" s="13" t="s">
        <v>218</v>
      </c>
      <c r="D394" s="13" t="s">
        <v>56</v>
      </c>
      <c r="E394" s="24" t="n">
        <v>164</v>
      </c>
      <c r="F394" s="14" t="n">
        <v>15202.41</v>
      </c>
      <c r="G394" s="14" t="n">
        <v>15050.39</v>
      </c>
      <c r="H394" s="15" t="n">
        <f aca="false">INDEX('Your Inputs'!$C$8:$C$10,MATCH($D394,'Your Inputs'!$B$8:$B$10,0))</f>
        <v>96</v>
      </c>
      <c r="I394" s="15" t="n">
        <f aca="false">INDEX('Your Inputs'!$D$8:$D$10,MATCH($D394,'Your Inputs'!$B$8:$B$10,0))</f>
        <v>58</v>
      </c>
      <c r="J394" s="15" t="n">
        <f aca="false">ROUND($E394*$H394,2)</f>
        <v>15744</v>
      </c>
      <c r="K394" s="15" t="n">
        <f aca="false">ROUND($E394*$I394,2)</f>
        <v>9512</v>
      </c>
      <c r="L394" s="15" t="n">
        <f aca="false">ROUND($F394*'Your Inputs'!$C$31,2)</f>
        <v>304.05</v>
      </c>
      <c r="M394" s="15" t="n">
        <f aca="false">ROUND($G394-$K394-$L394,2)</f>
        <v>5234.34</v>
      </c>
      <c r="N394" s="15" t="n">
        <f aca="false">$G394/$E394</f>
        <v>91.7706707317073</v>
      </c>
      <c r="O394" s="25" t="n">
        <f aca="false">$G394/$J394</f>
        <v>0.955944486788618</v>
      </c>
      <c r="P394" s="18" t="str">
        <f aca="false">$C394&amp;" | "&amp;$D394</f>
        <v>Small direct | Protective coatings</v>
      </c>
      <c r="Q394" s="25" t="n">
        <f aca="false">INDEX('Your Floors'!$K$20:$K$31,MATCH($P394,'Your Floors'!$D$20:$D$31,0))</f>
        <v>0.922679993872549</v>
      </c>
      <c r="R394" s="18" t="str">
        <f aca="false">IF($O394&lt;$Q394,"below the floor","at or above it")</f>
        <v>at or above it</v>
      </c>
      <c r="S394" s="15" t="n">
        <f aca="false">IF($O394&lt;$Q394,$E394*ROUND($Q394*$H394,2),$G394)</f>
        <v>15050.39</v>
      </c>
      <c r="T394" s="15" t="n">
        <f aca="false">IF($O394&lt;$Q394,ROUND($L394*$S394/$G394,2),$L394)</f>
        <v>304.05</v>
      </c>
      <c r="U394" s="15" t="n">
        <f aca="false">ROUND(($S394-$G394)-($T394-$L394),2)</f>
        <v>0</v>
      </c>
      <c r="V394" s="15" t="n">
        <f aca="false">IF($O394&lt;$Q394,ROUND($S394-$K394-$T394,2),$M394)</f>
        <v>5234.34</v>
      </c>
    </row>
    <row r="395" customFormat="false" ht="15" hidden="false" customHeight="false" outlineLevel="0" collapsed="false">
      <c r="B395" s="13" t="s">
        <v>269</v>
      </c>
      <c r="C395" s="13" t="s">
        <v>218</v>
      </c>
      <c r="D395" s="13" t="s">
        <v>52</v>
      </c>
      <c r="E395" s="24" t="n">
        <v>139</v>
      </c>
      <c r="F395" s="14" t="n">
        <v>20160.56</v>
      </c>
      <c r="G395" s="14" t="n">
        <v>19958.95</v>
      </c>
      <c r="H395" s="15" t="n">
        <f aca="false">INDEX('Your Inputs'!$C$8:$C$10,MATCH($D395,'Your Inputs'!$B$8:$B$10,0))</f>
        <v>148</v>
      </c>
      <c r="I395" s="15" t="n">
        <f aca="false">INDEX('Your Inputs'!$D$8:$D$10,MATCH($D395,'Your Inputs'!$B$8:$B$10,0))</f>
        <v>78</v>
      </c>
      <c r="J395" s="15" t="n">
        <f aca="false">ROUND($E395*$H395,2)</f>
        <v>20572</v>
      </c>
      <c r="K395" s="15" t="n">
        <f aca="false">ROUND($E395*$I395,2)</f>
        <v>10842</v>
      </c>
      <c r="L395" s="15" t="n">
        <f aca="false">ROUND($F395*'Your Inputs'!$C$31,2)</f>
        <v>403.21</v>
      </c>
      <c r="M395" s="15" t="n">
        <f aca="false">ROUND($G395-$K395-$L395,2)</f>
        <v>8713.74</v>
      </c>
      <c r="N395" s="15" t="n">
        <f aca="false">$G395/$E395</f>
        <v>143.589568345324</v>
      </c>
      <c r="O395" s="25" t="n">
        <f aca="false">$G395/$J395</f>
        <v>0.970199786117052</v>
      </c>
      <c r="P395" s="18" t="str">
        <f aca="false">$C395&amp;" | "&amp;$D395</f>
        <v>Small direct | Structural adhesives</v>
      </c>
      <c r="Q395" s="25" t="n">
        <f aca="false">INDEX('Your Floors'!$K$20:$K$31,MATCH($P395,'Your Floors'!$D$20:$D$31,0))</f>
        <v>0.939509972168612</v>
      </c>
      <c r="R395" s="18" t="str">
        <f aca="false">IF($O395&lt;$Q395,"below the floor","at or above it")</f>
        <v>at or above it</v>
      </c>
      <c r="S395" s="15" t="n">
        <f aca="false">IF($O395&lt;$Q395,$E395*ROUND($Q395*$H395,2),$G395)</f>
        <v>19958.95</v>
      </c>
      <c r="T395" s="15" t="n">
        <f aca="false">IF($O395&lt;$Q395,ROUND($L395*$S395/$G395,2),$L395)</f>
        <v>403.21</v>
      </c>
      <c r="U395" s="15" t="n">
        <f aca="false">ROUND(($S395-$G395)-($T395-$L395),2)</f>
        <v>0</v>
      </c>
      <c r="V395" s="15" t="n">
        <f aca="false">IF($O395&lt;$Q395,ROUND($S395-$K395-$T395,2),$M395)</f>
        <v>8713.74</v>
      </c>
    </row>
    <row r="396" customFormat="false" ht="15" hidden="false" customHeight="false" outlineLevel="0" collapsed="false">
      <c r="B396" s="13" t="s">
        <v>269</v>
      </c>
      <c r="C396" s="13" t="s">
        <v>218</v>
      </c>
      <c r="D396" s="13" t="s">
        <v>56</v>
      </c>
      <c r="E396" s="24" t="n">
        <v>302</v>
      </c>
      <c r="F396" s="14" t="n">
        <v>28412.16</v>
      </c>
      <c r="G396" s="14" t="n">
        <v>28128.04</v>
      </c>
      <c r="H396" s="15" t="n">
        <f aca="false">INDEX('Your Inputs'!$C$8:$C$10,MATCH($D396,'Your Inputs'!$B$8:$B$10,0))</f>
        <v>96</v>
      </c>
      <c r="I396" s="15" t="n">
        <f aca="false">INDEX('Your Inputs'!$D$8:$D$10,MATCH($D396,'Your Inputs'!$B$8:$B$10,0))</f>
        <v>58</v>
      </c>
      <c r="J396" s="15" t="n">
        <f aca="false">ROUND($E396*$H396,2)</f>
        <v>28992</v>
      </c>
      <c r="K396" s="15" t="n">
        <f aca="false">ROUND($E396*$I396,2)</f>
        <v>17516</v>
      </c>
      <c r="L396" s="15" t="n">
        <f aca="false">ROUND($F396*'Your Inputs'!$C$31,2)</f>
        <v>568.24</v>
      </c>
      <c r="M396" s="15" t="n">
        <f aca="false">ROUND($G396-$K396-$L396,2)</f>
        <v>10043.8</v>
      </c>
      <c r="N396" s="15" t="n">
        <f aca="false">$G396/$E396</f>
        <v>93.1392052980133</v>
      </c>
      <c r="O396" s="25" t="n">
        <f aca="false">$G396/$J396</f>
        <v>0.970200055187638</v>
      </c>
      <c r="P396" s="18" t="str">
        <f aca="false">$C396&amp;" | "&amp;$D396</f>
        <v>Small direct | Protective coatings</v>
      </c>
      <c r="Q396" s="25" t="n">
        <f aca="false">INDEX('Your Floors'!$K$20:$K$31,MATCH($P396,'Your Floors'!$D$20:$D$31,0))</f>
        <v>0.922679993872549</v>
      </c>
      <c r="R396" s="18" t="str">
        <f aca="false">IF($O396&lt;$Q396,"below the floor","at or above it")</f>
        <v>at or above it</v>
      </c>
      <c r="S396" s="15" t="n">
        <f aca="false">IF($O396&lt;$Q396,$E396*ROUND($Q396*$H396,2),$G396)</f>
        <v>28128.04</v>
      </c>
      <c r="T396" s="15" t="n">
        <f aca="false">IF($O396&lt;$Q396,ROUND($L396*$S396/$G396,2),$L396)</f>
        <v>568.24</v>
      </c>
      <c r="U396" s="15" t="n">
        <f aca="false">ROUND(($S396-$G396)-($T396-$L396),2)</f>
        <v>0</v>
      </c>
      <c r="V396" s="15" t="n">
        <f aca="false">IF($O396&lt;$Q396,ROUND($S396-$K396-$T396,2),$M396)</f>
        <v>10043.8</v>
      </c>
    </row>
    <row r="397" customFormat="false" ht="15" hidden="false" customHeight="false" outlineLevel="0" collapsed="false">
      <c r="B397" s="13" t="s">
        <v>270</v>
      </c>
      <c r="C397" s="13" t="s">
        <v>218</v>
      </c>
      <c r="D397" s="13" t="s">
        <v>52</v>
      </c>
      <c r="E397" s="24" t="n">
        <v>145</v>
      </c>
      <c r="F397" s="14" t="n">
        <v>20661.69</v>
      </c>
      <c r="G397" s="14" t="n">
        <v>20455.07</v>
      </c>
      <c r="H397" s="15" t="n">
        <f aca="false">INDEX('Your Inputs'!$C$8:$C$10,MATCH($D397,'Your Inputs'!$B$8:$B$10,0))</f>
        <v>148</v>
      </c>
      <c r="I397" s="15" t="n">
        <f aca="false">INDEX('Your Inputs'!$D$8:$D$10,MATCH($D397,'Your Inputs'!$B$8:$B$10,0))</f>
        <v>78</v>
      </c>
      <c r="J397" s="15" t="n">
        <f aca="false">ROUND($E397*$H397,2)</f>
        <v>21460</v>
      </c>
      <c r="K397" s="15" t="n">
        <f aca="false">ROUND($E397*$I397,2)</f>
        <v>11310</v>
      </c>
      <c r="L397" s="15" t="n">
        <f aca="false">ROUND($F397*'Your Inputs'!$C$31,2)</f>
        <v>413.23</v>
      </c>
      <c r="M397" s="15" t="n">
        <f aca="false">ROUND($G397-$K397-$L397,2)</f>
        <v>8731.84</v>
      </c>
      <c r="N397" s="15" t="n">
        <f aca="false">$G397/$E397</f>
        <v>141.069448275862</v>
      </c>
      <c r="O397" s="25" t="n">
        <f aca="false">$G397/$J397</f>
        <v>0.953171947809879</v>
      </c>
      <c r="P397" s="18" t="str">
        <f aca="false">$C397&amp;" | "&amp;$D397</f>
        <v>Small direct | Structural adhesives</v>
      </c>
      <c r="Q397" s="25" t="n">
        <f aca="false">INDEX('Your Floors'!$K$20:$K$31,MATCH($P397,'Your Floors'!$D$20:$D$31,0))</f>
        <v>0.939509972168612</v>
      </c>
      <c r="R397" s="18" t="str">
        <f aca="false">IF($O397&lt;$Q397,"below the floor","at or above it")</f>
        <v>at or above it</v>
      </c>
      <c r="S397" s="15" t="n">
        <f aca="false">IF($O397&lt;$Q397,$E397*ROUND($Q397*$H397,2),$G397)</f>
        <v>20455.07</v>
      </c>
      <c r="T397" s="15" t="n">
        <f aca="false">IF($O397&lt;$Q397,ROUND($L397*$S397/$G397,2),$L397)</f>
        <v>413.23</v>
      </c>
      <c r="U397" s="15" t="n">
        <f aca="false">ROUND(($S397-$G397)-($T397-$L397),2)</f>
        <v>0</v>
      </c>
      <c r="V397" s="15" t="n">
        <f aca="false">IF($O397&lt;$Q397,ROUND($S397-$K397-$T397,2),$M397)</f>
        <v>8731.84</v>
      </c>
    </row>
    <row r="398" customFormat="false" ht="15" hidden="false" customHeight="false" outlineLevel="0" collapsed="false">
      <c r="B398" s="13" t="s">
        <v>270</v>
      </c>
      <c r="C398" s="13" t="s">
        <v>218</v>
      </c>
      <c r="D398" s="13" t="s">
        <v>54</v>
      </c>
      <c r="E398" s="24" t="n">
        <v>567</v>
      </c>
      <c r="F398" s="14" t="n">
        <v>32411.99</v>
      </c>
      <c r="G398" s="14" t="n">
        <v>32087.87</v>
      </c>
      <c r="H398" s="15" t="n">
        <f aca="false">INDEX('Your Inputs'!$C$8:$C$10,MATCH($D398,'Your Inputs'!$B$8:$B$10,0))</f>
        <v>62</v>
      </c>
      <c r="I398" s="15" t="n">
        <f aca="false">INDEX('Your Inputs'!$D$8:$D$10,MATCH($D398,'Your Inputs'!$B$8:$B$10,0))</f>
        <v>36</v>
      </c>
      <c r="J398" s="15" t="n">
        <f aca="false">ROUND($E398*$H398,2)</f>
        <v>35154</v>
      </c>
      <c r="K398" s="15" t="n">
        <f aca="false">ROUND($E398*$I398,2)</f>
        <v>20412</v>
      </c>
      <c r="L398" s="15" t="n">
        <f aca="false">ROUND($F398*'Your Inputs'!$C$31,2)</f>
        <v>648.24</v>
      </c>
      <c r="M398" s="15" t="n">
        <f aca="false">ROUND($G398-$K398-$L398,2)</f>
        <v>11027.63</v>
      </c>
      <c r="N398" s="15" t="n">
        <f aca="false">$G398/$E398</f>
        <v>56.5923633156966</v>
      </c>
      <c r="O398" s="25" t="n">
        <f aca="false">$G398/$J398</f>
        <v>0.912780053478978</v>
      </c>
      <c r="P398" s="18" t="str">
        <f aca="false">$C398&amp;" | "&amp;$D398</f>
        <v>Small direct | Sealants</v>
      </c>
      <c r="Q398" s="25" t="n">
        <f aca="false">INDEX('Your Floors'!$K$20:$K$31,MATCH($P398,'Your Floors'!$D$20:$D$31,0))</f>
        <v>0.905849957217107</v>
      </c>
      <c r="R398" s="18" t="str">
        <f aca="false">IF($O398&lt;$Q398,"below the floor","at or above it")</f>
        <v>at or above it</v>
      </c>
      <c r="S398" s="15" t="n">
        <f aca="false">IF($O398&lt;$Q398,$E398*ROUND($Q398*$H398,2),$G398)</f>
        <v>32087.87</v>
      </c>
      <c r="T398" s="15" t="n">
        <f aca="false">IF($O398&lt;$Q398,ROUND($L398*$S398/$G398,2),$L398)</f>
        <v>648.24</v>
      </c>
      <c r="U398" s="15" t="n">
        <f aca="false">ROUND(($S398-$G398)-($T398-$L398),2)</f>
        <v>0</v>
      </c>
      <c r="V398" s="15" t="n">
        <f aca="false">IF($O398&lt;$Q398,ROUND($S398-$K398-$T398,2),$M398)</f>
        <v>11027.63</v>
      </c>
    </row>
    <row r="399" customFormat="false" ht="15" hidden="false" customHeight="false" outlineLevel="0" collapsed="false">
      <c r="B399" s="13" t="s">
        <v>270</v>
      </c>
      <c r="C399" s="13" t="s">
        <v>218</v>
      </c>
      <c r="D399" s="13" t="s">
        <v>56</v>
      </c>
      <c r="E399" s="24" t="n">
        <v>152</v>
      </c>
      <c r="F399" s="14" t="n">
        <v>13751.5</v>
      </c>
      <c r="G399" s="14" t="n">
        <v>13613.98</v>
      </c>
      <c r="H399" s="15" t="n">
        <f aca="false">INDEX('Your Inputs'!$C$8:$C$10,MATCH($D399,'Your Inputs'!$B$8:$B$10,0))</f>
        <v>96</v>
      </c>
      <c r="I399" s="15" t="n">
        <f aca="false">INDEX('Your Inputs'!$D$8:$D$10,MATCH($D399,'Your Inputs'!$B$8:$B$10,0))</f>
        <v>58</v>
      </c>
      <c r="J399" s="15" t="n">
        <f aca="false">ROUND($E399*$H399,2)</f>
        <v>14592</v>
      </c>
      <c r="K399" s="15" t="n">
        <f aca="false">ROUND($E399*$I399,2)</f>
        <v>8816</v>
      </c>
      <c r="L399" s="15" t="n">
        <f aca="false">ROUND($F399*'Your Inputs'!$C$31,2)</f>
        <v>275.03</v>
      </c>
      <c r="M399" s="15" t="n">
        <f aca="false">ROUND($G399-$K399-$L399,2)</f>
        <v>4522.95</v>
      </c>
      <c r="N399" s="15" t="n">
        <f aca="false">$G399/$E399</f>
        <v>89.5656578947368</v>
      </c>
      <c r="O399" s="25" t="n">
        <f aca="false">$G399/$J399</f>
        <v>0.932975603070176</v>
      </c>
      <c r="P399" s="18" t="str">
        <f aca="false">$C399&amp;" | "&amp;$D399</f>
        <v>Small direct | Protective coatings</v>
      </c>
      <c r="Q399" s="25" t="n">
        <f aca="false">INDEX('Your Floors'!$K$20:$K$31,MATCH($P399,'Your Floors'!$D$20:$D$31,0))</f>
        <v>0.922679993872549</v>
      </c>
      <c r="R399" s="18" t="str">
        <f aca="false">IF($O399&lt;$Q399,"below the floor","at or above it")</f>
        <v>at or above it</v>
      </c>
      <c r="S399" s="15" t="n">
        <f aca="false">IF($O399&lt;$Q399,$E399*ROUND($Q399*$H399,2),$G399)</f>
        <v>13613.98</v>
      </c>
      <c r="T399" s="15" t="n">
        <f aca="false">IF($O399&lt;$Q399,ROUND($L399*$S399/$G399,2),$L399)</f>
        <v>275.03</v>
      </c>
      <c r="U399" s="15" t="n">
        <f aca="false">ROUND(($S399-$G399)-($T399-$L399),2)</f>
        <v>0</v>
      </c>
      <c r="V399" s="15" t="n">
        <f aca="false">IF($O399&lt;$Q399,ROUND($S399-$K399-$T399,2),$M399)</f>
        <v>4522.95</v>
      </c>
    </row>
    <row r="400" customFormat="false" ht="15" hidden="false" customHeight="false" outlineLevel="0" collapsed="false">
      <c r="B400" s="13" t="s">
        <v>271</v>
      </c>
      <c r="C400" s="13" t="s">
        <v>218</v>
      </c>
      <c r="D400" s="13" t="s">
        <v>54</v>
      </c>
      <c r="E400" s="24" t="n">
        <v>507</v>
      </c>
      <c r="F400" s="14" t="n">
        <v>27756.22</v>
      </c>
      <c r="G400" s="14" t="n">
        <v>27478.66</v>
      </c>
      <c r="H400" s="15" t="n">
        <f aca="false">INDEX('Your Inputs'!$C$8:$C$10,MATCH($D400,'Your Inputs'!$B$8:$B$10,0))</f>
        <v>62</v>
      </c>
      <c r="I400" s="15" t="n">
        <f aca="false">INDEX('Your Inputs'!$D$8:$D$10,MATCH($D400,'Your Inputs'!$B$8:$B$10,0))</f>
        <v>36</v>
      </c>
      <c r="J400" s="15" t="n">
        <f aca="false">ROUND($E400*$H400,2)</f>
        <v>31434</v>
      </c>
      <c r="K400" s="15" t="n">
        <f aca="false">ROUND($E400*$I400,2)</f>
        <v>18252</v>
      </c>
      <c r="L400" s="15" t="n">
        <f aca="false">ROUND($F400*'Your Inputs'!$C$31,2)</f>
        <v>555.12</v>
      </c>
      <c r="M400" s="15" t="n">
        <f aca="false">ROUND($G400-$K400-$L400,2)</f>
        <v>8671.54</v>
      </c>
      <c r="N400" s="15" t="n">
        <f aca="false">$G400/$E400</f>
        <v>54.1985404339251</v>
      </c>
      <c r="O400" s="25" t="n">
        <f aca="false">$G400/$J400</f>
        <v>0.874170006998791</v>
      </c>
      <c r="P400" s="18" t="str">
        <f aca="false">$C400&amp;" | "&amp;$D400</f>
        <v>Small direct | Sealants</v>
      </c>
      <c r="Q400" s="25" t="n">
        <f aca="false">INDEX('Your Floors'!$K$20:$K$31,MATCH($P400,'Your Floors'!$D$20:$D$31,0))</f>
        <v>0.905849957217107</v>
      </c>
      <c r="R400" s="18" t="str">
        <f aca="false">IF($O400&lt;$Q400,"below the floor","at or above it")</f>
        <v>below the floor</v>
      </c>
      <c r="S400" s="15" t="n">
        <f aca="false">IF($O400&lt;$Q400,$E400*ROUND($Q400*$H400,2),$G400)</f>
        <v>28473.12</v>
      </c>
      <c r="T400" s="15" t="n">
        <f aca="false">IF($O400&lt;$Q400,ROUND($L400*$S400/$G400,2),$L400)</f>
        <v>575.21</v>
      </c>
      <c r="U400" s="15" t="n">
        <f aca="false">ROUND(($S400-$G400)-($T400-$L400),2)</f>
        <v>974.37</v>
      </c>
      <c r="V400" s="15" t="n">
        <f aca="false">IF($O400&lt;$Q400,ROUND($S400-$K400-$T400,2),$M400)</f>
        <v>9645.91</v>
      </c>
    </row>
    <row r="401" customFormat="false" ht="15" hidden="false" customHeight="false" outlineLevel="0" collapsed="false">
      <c r="B401" s="13" t="s">
        <v>271</v>
      </c>
      <c r="C401" s="13" t="s">
        <v>218</v>
      </c>
      <c r="D401" s="13" t="s">
        <v>56</v>
      </c>
      <c r="E401" s="24" t="n">
        <v>192</v>
      </c>
      <c r="F401" s="14" t="n">
        <v>16839.48</v>
      </c>
      <c r="G401" s="14" t="n">
        <v>16671.09</v>
      </c>
      <c r="H401" s="15" t="n">
        <f aca="false">INDEX('Your Inputs'!$C$8:$C$10,MATCH($D401,'Your Inputs'!$B$8:$B$10,0))</f>
        <v>96</v>
      </c>
      <c r="I401" s="15" t="n">
        <f aca="false">INDEX('Your Inputs'!$D$8:$D$10,MATCH($D401,'Your Inputs'!$B$8:$B$10,0))</f>
        <v>58</v>
      </c>
      <c r="J401" s="15" t="n">
        <f aca="false">ROUND($E401*$H401,2)</f>
        <v>18432</v>
      </c>
      <c r="K401" s="15" t="n">
        <f aca="false">ROUND($E401*$I401,2)</f>
        <v>11136</v>
      </c>
      <c r="L401" s="15" t="n">
        <f aca="false">ROUND($F401*'Your Inputs'!$C$31,2)</f>
        <v>336.79</v>
      </c>
      <c r="M401" s="15" t="n">
        <f aca="false">ROUND($G401-$K401-$L401,2)</f>
        <v>5198.3</v>
      </c>
      <c r="N401" s="15" t="n">
        <f aca="false">$G401/$E401</f>
        <v>86.82859375</v>
      </c>
      <c r="O401" s="25" t="n">
        <f aca="false">$G401/$J401</f>
        <v>0.904464518229167</v>
      </c>
      <c r="P401" s="18" t="str">
        <f aca="false">$C401&amp;" | "&amp;$D401</f>
        <v>Small direct | Protective coatings</v>
      </c>
      <c r="Q401" s="25" t="n">
        <f aca="false">INDEX('Your Floors'!$K$20:$K$31,MATCH($P401,'Your Floors'!$D$20:$D$31,0))</f>
        <v>0.922679993872549</v>
      </c>
      <c r="R401" s="18" t="str">
        <f aca="false">IF($O401&lt;$Q401,"below the floor","at or above it")</f>
        <v>below the floor</v>
      </c>
      <c r="S401" s="15" t="n">
        <f aca="false">IF($O401&lt;$Q401,$E401*ROUND($Q401*$H401,2),$G401)</f>
        <v>17007.36</v>
      </c>
      <c r="T401" s="15" t="n">
        <f aca="false">IF($O401&lt;$Q401,ROUND($L401*$S401/$G401,2),$L401)</f>
        <v>343.58</v>
      </c>
      <c r="U401" s="15" t="n">
        <f aca="false">ROUND(($S401-$G401)-($T401-$L401),2)</f>
        <v>329.48</v>
      </c>
      <c r="V401" s="15" t="n">
        <f aca="false">IF($O401&lt;$Q401,ROUND($S401-$K401-$T401,2),$M401)</f>
        <v>5527.78</v>
      </c>
    </row>
    <row r="402" customFormat="false" ht="15" hidden="false" customHeight="false" outlineLevel="0" collapsed="false">
      <c r="B402" s="13" t="s">
        <v>272</v>
      </c>
      <c r="C402" s="13" t="s">
        <v>218</v>
      </c>
      <c r="D402" s="13" t="s">
        <v>52</v>
      </c>
      <c r="E402" s="24" t="n">
        <v>85</v>
      </c>
      <c r="F402" s="14" t="n">
        <v>12073.03</v>
      </c>
      <c r="G402" s="14" t="n">
        <v>11952.3</v>
      </c>
      <c r="H402" s="15" t="n">
        <f aca="false">INDEX('Your Inputs'!$C$8:$C$10,MATCH($D402,'Your Inputs'!$B$8:$B$10,0))</f>
        <v>148</v>
      </c>
      <c r="I402" s="15" t="n">
        <f aca="false">INDEX('Your Inputs'!$D$8:$D$10,MATCH($D402,'Your Inputs'!$B$8:$B$10,0))</f>
        <v>78</v>
      </c>
      <c r="J402" s="15" t="n">
        <f aca="false">ROUND($E402*$H402,2)</f>
        <v>12580</v>
      </c>
      <c r="K402" s="15" t="n">
        <f aca="false">ROUND($E402*$I402,2)</f>
        <v>6630</v>
      </c>
      <c r="L402" s="15" t="n">
        <f aca="false">ROUND($F402*'Your Inputs'!$C$31,2)</f>
        <v>241.46</v>
      </c>
      <c r="M402" s="15" t="n">
        <f aca="false">ROUND($G402-$K402-$L402,2)</f>
        <v>5080.84</v>
      </c>
      <c r="N402" s="15" t="n">
        <f aca="false">$G402/$E402</f>
        <v>140.615294117647</v>
      </c>
      <c r="O402" s="25" t="n">
        <f aca="false">$G402/$J402</f>
        <v>0.95010333863275</v>
      </c>
      <c r="P402" s="18" t="str">
        <f aca="false">$C402&amp;" | "&amp;$D402</f>
        <v>Small direct | Structural adhesives</v>
      </c>
      <c r="Q402" s="25" t="n">
        <f aca="false">INDEX('Your Floors'!$K$20:$K$31,MATCH($P402,'Your Floors'!$D$20:$D$31,0))</f>
        <v>0.939509972168612</v>
      </c>
      <c r="R402" s="18" t="str">
        <f aca="false">IF($O402&lt;$Q402,"below the floor","at or above it")</f>
        <v>at or above it</v>
      </c>
      <c r="S402" s="15" t="n">
        <f aca="false">IF($O402&lt;$Q402,$E402*ROUND($Q402*$H402,2),$G402)</f>
        <v>11952.3</v>
      </c>
      <c r="T402" s="15" t="n">
        <f aca="false">IF($O402&lt;$Q402,ROUND($L402*$S402/$G402,2),$L402)</f>
        <v>241.46</v>
      </c>
      <c r="U402" s="15" t="n">
        <f aca="false">ROUND(($S402-$G402)-($T402-$L402),2)</f>
        <v>0</v>
      </c>
      <c r="V402" s="15" t="n">
        <f aca="false">IF($O402&lt;$Q402,ROUND($S402-$K402-$T402,2),$M402)</f>
        <v>5080.84</v>
      </c>
    </row>
    <row r="403" customFormat="false" ht="15" hidden="false" customHeight="false" outlineLevel="0" collapsed="false">
      <c r="B403" s="13" t="s">
        <v>272</v>
      </c>
      <c r="C403" s="13" t="s">
        <v>218</v>
      </c>
      <c r="D403" s="13" t="s">
        <v>54</v>
      </c>
      <c r="E403" s="24" t="n">
        <v>240</v>
      </c>
      <c r="F403" s="14" t="n">
        <v>13622.64</v>
      </c>
      <c r="G403" s="14" t="n">
        <v>13486.41</v>
      </c>
      <c r="H403" s="15" t="n">
        <f aca="false">INDEX('Your Inputs'!$C$8:$C$10,MATCH($D403,'Your Inputs'!$B$8:$B$10,0))</f>
        <v>62</v>
      </c>
      <c r="I403" s="15" t="n">
        <f aca="false">INDEX('Your Inputs'!$D$8:$D$10,MATCH($D403,'Your Inputs'!$B$8:$B$10,0))</f>
        <v>36</v>
      </c>
      <c r="J403" s="15" t="n">
        <f aca="false">ROUND($E403*$H403,2)</f>
        <v>14880</v>
      </c>
      <c r="K403" s="15" t="n">
        <f aca="false">ROUND($E403*$I403,2)</f>
        <v>8640</v>
      </c>
      <c r="L403" s="15" t="n">
        <f aca="false">ROUND($F403*'Your Inputs'!$C$31,2)</f>
        <v>272.45</v>
      </c>
      <c r="M403" s="15" t="n">
        <f aca="false">ROUND($G403-$K403-$L403,2)</f>
        <v>4573.96</v>
      </c>
      <c r="N403" s="15" t="n">
        <f aca="false">$G403/$E403</f>
        <v>56.193375</v>
      </c>
      <c r="O403" s="25" t="n">
        <f aca="false">$G403/$J403</f>
        <v>0.906344758064516</v>
      </c>
      <c r="P403" s="18" t="str">
        <f aca="false">$C403&amp;" | "&amp;$D403</f>
        <v>Small direct | Sealants</v>
      </c>
      <c r="Q403" s="25" t="n">
        <f aca="false">INDEX('Your Floors'!$K$20:$K$31,MATCH($P403,'Your Floors'!$D$20:$D$31,0))</f>
        <v>0.905849957217107</v>
      </c>
      <c r="R403" s="18" t="str">
        <f aca="false">IF($O403&lt;$Q403,"below the floor","at or above it")</f>
        <v>at or above it</v>
      </c>
      <c r="S403" s="15" t="n">
        <f aca="false">IF($O403&lt;$Q403,$E403*ROUND($Q403*$H403,2),$G403)</f>
        <v>13486.41</v>
      </c>
      <c r="T403" s="15" t="n">
        <f aca="false">IF($O403&lt;$Q403,ROUND($L403*$S403/$G403,2),$L403)</f>
        <v>272.45</v>
      </c>
      <c r="U403" s="15" t="n">
        <f aca="false">ROUND(($S403-$G403)-($T403-$L403),2)</f>
        <v>0</v>
      </c>
      <c r="V403" s="15" t="n">
        <f aca="false">IF($O403&lt;$Q403,ROUND($S403-$K403-$T403,2),$M403)</f>
        <v>4573.96</v>
      </c>
    </row>
    <row r="404" customFormat="false" ht="15" hidden="false" customHeight="false" outlineLevel="0" collapsed="false">
      <c r="B404" s="13" t="s">
        <v>272</v>
      </c>
      <c r="C404" s="13" t="s">
        <v>218</v>
      </c>
      <c r="D404" s="13" t="s">
        <v>56</v>
      </c>
      <c r="E404" s="24" t="n">
        <v>111</v>
      </c>
      <c r="F404" s="14" t="n">
        <v>9991.07</v>
      </c>
      <c r="G404" s="14" t="n">
        <v>9891.16</v>
      </c>
      <c r="H404" s="15" t="n">
        <f aca="false">INDEX('Your Inputs'!$C$8:$C$10,MATCH($D404,'Your Inputs'!$B$8:$B$10,0))</f>
        <v>96</v>
      </c>
      <c r="I404" s="15" t="n">
        <f aca="false">INDEX('Your Inputs'!$D$8:$D$10,MATCH($D404,'Your Inputs'!$B$8:$B$10,0))</f>
        <v>58</v>
      </c>
      <c r="J404" s="15" t="n">
        <f aca="false">ROUND($E404*$H404,2)</f>
        <v>10656</v>
      </c>
      <c r="K404" s="15" t="n">
        <f aca="false">ROUND($E404*$I404,2)</f>
        <v>6438</v>
      </c>
      <c r="L404" s="15" t="n">
        <f aca="false">ROUND($F404*'Your Inputs'!$C$31,2)</f>
        <v>199.82</v>
      </c>
      <c r="M404" s="15" t="n">
        <f aca="false">ROUND($G404-$K404-$L404,2)</f>
        <v>3253.34</v>
      </c>
      <c r="N404" s="15" t="n">
        <f aca="false">$G404/$E404</f>
        <v>89.1095495495495</v>
      </c>
      <c r="O404" s="25" t="n">
        <f aca="false">$G404/$J404</f>
        <v>0.928224474474474</v>
      </c>
      <c r="P404" s="18" t="str">
        <f aca="false">$C404&amp;" | "&amp;$D404</f>
        <v>Small direct | Protective coatings</v>
      </c>
      <c r="Q404" s="25" t="n">
        <f aca="false">INDEX('Your Floors'!$K$20:$K$31,MATCH($P404,'Your Floors'!$D$20:$D$31,0))</f>
        <v>0.922679993872549</v>
      </c>
      <c r="R404" s="18" t="str">
        <f aca="false">IF($O404&lt;$Q404,"below the floor","at or above it")</f>
        <v>at or above it</v>
      </c>
      <c r="S404" s="15" t="n">
        <f aca="false">IF($O404&lt;$Q404,$E404*ROUND($Q404*$H404,2),$G404)</f>
        <v>9891.16</v>
      </c>
      <c r="T404" s="15" t="n">
        <f aca="false">IF($O404&lt;$Q404,ROUND($L404*$S404/$G404,2),$L404)</f>
        <v>199.82</v>
      </c>
      <c r="U404" s="15" t="n">
        <f aca="false">ROUND(($S404-$G404)-($T404-$L404),2)</f>
        <v>0</v>
      </c>
      <c r="V404" s="15" t="n">
        <f aca="false">IF($O404&lt;$Q404,ROUND($S404-$K404-$T404,2),$M404)</f>
        <v>3253.34</v>
      </c>
    </row>
    <row r="405" customFormat="false" ht="15" hidden="false" customHeight="false" outlineLevel="0" collapsed="false">
      <c r="B405" s="13" t="s">
        <v>273</v>
      </c>
      <c r="C405" s="13" t="s">
        <v>218</v>
      </c>
      <c r="D405" s="13" t="s">
        <v>54</v>
      </c>
      <c r="E405" s="24" t="n">
        <v>401</v>
      </c>
      <c r="F405" s="14" t="n">
        <v>24862</v>
      </c>
      <c r="G405" s="14" t="n">
        <v>24613.38</v>
      </c>
      <c r="H405" s="15" t="n">
        <f aca="false">INDEX('Your Inputs'!$C$8:$C$10,MATCH($D405,'Your Inputs'!$B$8:$B$10,0))</f>
        <v>62</v>
      </c>
      <c r="I405" s="15" t="n">
        <f aca="false">INDEX('Your Inputs'!$D$8:$D$10,MATCH($D405,'Your Inputs'!$B$8:$B$10,0))</f>
        <v>36</v>
      </c>
      <c r="J405" s="15" t="n">
        <f aca="false">ROUND($E405*$H405,2)</f>
        <v>24862</v>
      </c>
      <c r="K405" s="15" t="n">
        <f aca="false">ROUND($E405*$I405,2)</f>
        <v>14436</v>
      </c>
      <c r="L405" s="15" t="n">
        <f aca="false">ROUND($F405*'Your Inputs'!$C$31,2)</f>
        <v>497.24</v>
      </c>
      <c r="M405" s="15" t="n">
        <f aca="false">ROUND($G405-$K405-$L405,2)</f>
        <v>9680.14</v>
      </c>
      <c r="N405" s="15" t="n">
        <f aca="false">$G405/$E405</f>
        <v>61.38</v>
      </c>
      <c r="O405" s="25" t="n">
        <f aca="false">$G405/$J405</f>
        <v>0.99</v>
      </c>
      <c r="P405" s="18" t="str">
        <f aca="false">$C405&amp;" | "&amp;$D405</f>
        <v>Small direct | Sealants</v>
      </c>
      <c r="Q405" s="25" t="n">
        <f aca="false">INDEX('Your Floors'!$K$20:$K$31,MATCH($P405,'Your Floors'!$D$20:$D$31,0))</f>
        <v>0.905849957217107</v>
      </c>
      <c r="R405" s="18" t="str">
        <f aca="false">IF($O405&lt;$Q405,"below the floor","at or above it")</f>
        <v>at or above it</v>
      </c>
      <c r="S405" s="15" t="n">
        <f aca="false">IF($O405&lt;$Q405,$E405*ROUND($Q405*$H405,2),$G405)</f>
        <v>24613.38</v>
      </c>
      <c r="T405" s="15" t="n">
        <f aca="false">IF($O405&lt;$Q405,ROUND($L405*$S405/$G405,2),$L405)</f>
        <v>497.24</v>
      </c>
      <c r="U405" s="15" t="n">
        <f aca="false">ROUND(($S405-$G405)-($T405-$L405),2)</f>
        <v>0</v>
      </c>
      <c r="V405" s="15" t="n">
        <f aca="false">IF($O405&lt;$Q405,ROUND($S405-$K405-$T405,2),$M405)</f>
        <v>9680.14</v>
      </c>
    </row>
    <row r="406" customFormat="false" ht="15" hidden="false" customHeight="false" outlineLevel="0" collapsed="false">
      <c r="B406" s="13" t="s">
        <v>273</v>
      </c>
      <c r="C406" s="13" t="s">
        <v>218</v>
      </c>
      <c r="D406" s="13" t="s">
        <v>56</v>
      </c>
      <c r="E406" s="24" t="n">
        <v>215</v>
      </c>
      <c r="F406" s="14" t="n">
        <v>20640</v>
      </c>
      <c r="G406" s="14" t="n">
        <v>20433.6</v>
      </c>
      <c r="H406" s="15" t="n">
        <f aca="false">INDEX('Your Inputs'!$C$8:$C$10,MATCH($D406,'Your Inputs'!$B$8:$B$10,0))</f>
        <v>96</v>
      </c>
      <c r="I406" s="15" t="n">
        <f aca="false">INDEX('Your Inputs'!$D$8:$D$10,MATCH($D406,'Your Inputs'!$B$8:$B$10,0))</f>
        <v>58</v>
      </c>
      <c r="J406" s="15" t="n">
        <f aca="false">ROUND($E406*$H406,2)</f>
        <v>20640</v>
      </c>
      <c r="K406" s="15" t="n">
        <f aca="false">ROUND($E406*$I406,2)</f>
        <v>12470</v>
      </c>
      <c r="L406" s="15" t="n">
        <f aca="false">ROUND($F406*'Your Inputs'!$C$31,2)</f>
        <v>412.8</v>
      </c>
      <c r="M406" s="15" t="n">
        <f aca="false">ROUND($G406-$K406-$L406,2)</f>
        <v>7550.8</v>
      </c>
      <c r="N406" s="15" t="n">
        <f aca="false">$G406/$E406</f>
        <v>95.04</v>
      </c>
      <c r="O406" s="25" t="n">
        <f aca="false">$G406/$J406</f>
        <v>0.99</v>
      </c>
      <c r="P406" s="18" t="str">
        <f aca="false">$C406&amp;" | "&amp;$D406</f>
        <v>Small direct | Protective coatings</v>
      </c>
      <c r="Q406" s="25" t="n">
        <f aca="false">INDEX('Your Floors'!$K$20:$K$31,MATCH($P406,'Your Floors'!$D$20:$D$31,0))</f>
        <v>0.922679993872549</v>
      </c>
      <c r="R406" s="18" t="str">
        <f aca="false">IF($O406&lt;$Q406,"below the floor","at or above it")</f>
        <v>at or above it</v>
      </c>
      <c r="S406" s="15" t="n">
        <f aca="false">IF($O406&lt;$Q406,$E406*ROUND($Q406*$H406,2),$G406)</f>
        <v>20433.6</v>
      </c>
      <c r="T406" s="15" t="n">
        <f aca="false">IF($O406&lt;$Q406,ROUND($L406*$S406/$G406,2),$L406)</f>
        <v>412.8</v>
      </c>
      <c r="U406" s="15" t="n">
        <f aca="false">ROUND(($S406-$G406)-($T406-$L406),2)</f>
        <v>0</v>
      </c>
      <c r="V406" s="15" t="n">
        <f aca="false">IF($O406&lt;$Q406,ROUND($S406-$K406-$T406,2),$M406)</f>
        <v>7550.8</v>
      </c>
    </row>
    <row r="407" customFormat="false" ht="15" hidden="false" customHeight="false" outlineLevel="0" collapsed="false">
      <c r="B407" s="13" t="s">
        <v>274</v>
      </c>
      <c r="C407" s="13" t="s">
        <v>218</v>
      </c>
      <c r="D407" s="13" t="s">
        <v>52</v>
      </c>
      <c r="E407" s="24" t="n">
        <v>80</v>
      </c>
      <c r="F407" s="14" t="n">
        <v>11840</v>
      </c>
      <c r="G407" s="14" t="n">
        <v>11721.6</v>
      </c>
      <c r="H407" s="15" t="n">
        <f aca="false">INDEX('Your Inputs'!$C$8:$C$10,MATCH($D407,'Your Inputs'!$B$8:$B$10,0))</f>
        <v>148</v>
      </c>
      <c r="I407" s="15" t="n">
        <f aca="false">INDEX('Your Inputs'!$D$8:$D$10,MATCH($D407,'Your Inputs'!$B$8:$B$10,0))</f>
        <v>78</v>
      </c>
      <c r="J407" s="15" t="n">
        <f aca="false">ROUND($E407*$H407,2)</f>
        <v>11840</v>
      </c>
      <c r="K407" s="15" t="n">
        <f aca="false">ROUND($E407*$I407,2)</f>
        <v>6240</v>
      </c>
      <c r="L407" s="15" t="n">
        <f aca="false">ROUND($F407*'Your Inputs'!$C$31,2)</f>
        <v>236.8</v>
      </c>
      <c r="M407" s="15" t="n">
        <f aca="false">ROUND($G407-$K407-$L407,2)</f>
        <v>5244.8</v>
      </c>
      <c r="N407" s="15" t="n">
        <f aca="false">$G407/$E407</f>
        <v>146.52</v>
      </c>
      <c r="O407" s="25" t="n">
        <f aca="false">$G407/$J407</f>
        <v>0.99</v>
      </c>
      <c r="P407" s="18" t="str">
        <f aca="false">$C407&amp;" | "&amp;$D407</f>
        <v>Small direct | Structural adhesives</v>
      </c>
      <c r="Q407" s="25" t="n">
        <f aca="false">INDEX('Your Floors'!$K$20:$K$31,MATCH($P407,'Your Floors'!$D$20:$D$31,0))</f>
        <v>0.939509972168612</v>
      </c>
      <c r="R407" s="18" t="str">
        <f aca="false">IF($O407&lt;$Q407,"below the floor","at or above it")</f>
        <v>at or above it</v>
      </c>
      <c r="S407" s="15" t="n">
        <f aca="false">IF($O407&lt;$Q407,$E407*ROUND($Q407*$H407,2),$G407)</f>
        <v>11721.6</v>
      </c>
      <c r="T407" s="15" t="n">
        <f aca="false">IF($O407&lt;$Q407,ROUND($L407*$S407/$G407,2),$L407)</f>
        <v>236.8</v>
      </c>
      <c r="U407" s="15" t="n">
        <f aca="false">ROUND(($S407-$G407)-($T407-$L407),2)</f>
        <v>0</v>
      </c>
      <c r="V407" s="15" t="n">
        <f aca="false">IF($O407&lt;$Q407,ROUND($S407-$K407-$T407,2),$M407)</f>
        <v>5244.8</v>
      </c>
    </row>
    <row r="408" customFormat="false" ht="15" hidden="false" customHeight="false" outlineLevel="0" collapsed="false">
      <c r="B408" s="13" t="s">
        <v>274</v>
      </c>
      <c r="C408" s="13" t="s">
        <v>218</v>
      </c>
      <c r="D408" s="13" t="s">
        <v>54</v>
      </c>
      <c r="E408" s="24" t="n">
        <v>538</v>
      </c>
      <c r="F408" s="14" t="n">
        <v>33356</v>
      </c>
      <c r="G408" s="14" t="n">
        <v>33022.44</v>
      </c>
      <c r="H408" s="15" t="n">
        <f aca="false">INDEX('Your Inputs'!$C$8:$C$10,MATCH($D408,'Your Inputs'!$B$8:$B$10,0))</f>
        <v>62</v>
      </c>
      <c r="I408" s="15" t="n">
        <f aca="false">INDEX('Your Inputs'!$D$8:$D$10,MATCH($D408,'Your Inputs'!$B$8:$B$10,0))</f>
        <v>36</v>
      </c>
      <c r="J408" s="15" t="n">
        <f aca="false">ROUND($E408*$H408,2)</f>
        <v>33356</v>
      </c>
      <c r="K408" s="15" t="n">
        <f aca="false">ROUND($E408*$I408,2)</f>
        <v>19368</v>
      </c>
      <c r="L408" s="15" t="n">
        <f aca="false">ROUND($F408*'Your Inputs'!$C$31,2)</f>
        <v>667.12</v>
      </c>
      <c r="M408" s="15" t="n">
        <f aca="false">ROUND($G408-$K408-$L408,2)</f>
        <v>12987.32</v>
      </c>
      <c r="N408" s="15" t="n">
        <f aca="false">$G408/$E408</f>
        <v>61.38</v>
      </c>
      <c r="O408" s="25" t="n">
        <f aca="false">$G408/$J408</f>
        <v>0.99</v>
      </c>
      <c r="P408" s="18" t="str">
        <f aca="false">$C408&amp;" | "&amp;$D408</f>
        <v>Small direct | Sealants</v>
      </c>
      <c r="Q408" s="25" t="n">
        <f aca="false">INDEX('Your Floors'!$K$20:$K$31,MATCH($P408,'Your Floors'!$D$20:$D$31,0))</f>
        <v>0.905849957217107</v>
      </c>
      <c r="R408" s="18" t="str">
        <f aca="false">IF($O408&lt;$Q408,"below the floor","at or above it")</f>
        <v>at or above it</v>
      </c>
      <c r="S408" s="15" t="n">
        <f aca="false">IF($O408&lt;$Q408,$E408*ROUND($Q408*$H408,2),$G408)</f>
        <v>33022.44</v>
      </c>
      <c r="T408" s="15" t="n">
        <f aca="false">IF($O408&lt;$Q408,ROUND($L408*$S408/$G408,2),$L408)</f>
        <v>667.12</v>
      </c>
      <c r="U408" s="15" t="n">
        <f aca="false">ROUND(($S408-$G408)-($T408-$L408),2)</f>
        <v>0</v>
      </c>
      <c r="V408" s="15" t="n">
        <f aca="false">IF($O408&lt;$Q408,ROUND($S408-$K408-$T408,2),$M408)</f>
        <v>12987.32</v>
      </c>
    </row>
    <row r="409" customFormat="false" ht="15" hidden="false" customHeight="false" outlineLevel="0" collapsed="false">
      <c r="B409" s="13" t="s">
        <v>275</v>
      </c>
      <c r="C409" s="13" t="s">
        <v>218</v>
      </c>
      <c r="D409" s="13" t="s">
        <v>52</v>
      </c>
      <c r="E409" s="24" t="n">
        <v>214</v>
      </c>
      <c r="F409" s="14" t="n">
        <v>30297.44</v>
      </c>
      <c r="G409" s="14" t="n">
        <v>29994.47</v>
      </c>
      <c r="H409" s="15" t="n">
        <f aca="false">INDEX('Your Inputs'!$C$8:$C$10,MATCH($D409,'Your Inputs'!$B$8:$B$10,0))</f>
        <v>148</v>
      </c>
      <c r="I409" s="15" t="n">
        <f aca="false">INDEX('Your Inputs'!$D$8:$D$10,MATCH($D409,'Your Inputs'!$B$8:$B$10,0))</f>
        <v>78</v>
      </c>
      <c r="J409" s="15" t="n">
        <f aca="false">ROUND($E409*$H409,2)</f>
        <v>31672</v>
      </c>
      <c r="K409" s="15" t="n">
        <f aca="false">ROUND($E409*$I409,2)</f>
        <v>16692</v>
      </c>
      <c r="L409" s="15" t="n">
        <f aca="false">ROUND($F409*'Your Inputs'!$C$31,2)</f>
        <v>605.95</v>
      </c>
      <c r="M409" s="15" t="n">
        <f aca="false">ROUND($G409-$K409-$L409,2)</f>
        <v>12696.52</v>
      </c>
      <c r="N409" s="15" t="n">
        <f aca="false">$G409/$E409</f>
        <v>140.161074766355</v>
      </c>
      <c r="O409" s="25" t="n">
        <f aca="false">$G409/$J409</f>
        <v>0.947034288961859</v>
      </c>
      <c r="P409" s="18" t="str">
        <f aca="false">$C409&amp;" | "&amp;$D409</f>
        <v>Small direct | Structural adhesives</v>
      </c>
      <c r="Q409" s="25" t="n">
        <f aca="false">INDEX('Your Floors'!$K$20:$K$31,MATCH($P409,'Your Floors'!$D$20:$D$31,0))</f>
        <v>0.939509972168612</v>
      </c>
      <c r="R409" s="18" t="str">
        <f aca="false">IF($O409&lt;$Q409,"below the floor","at or above it")</f>
        <v>at or above it</v>
      </c>
      <c r="S409" s="15" t="n">
        <f aca="false">IF($O409&lt;$Q409,$E409*ROUND($Q409*$H409,2),$G409)</f>
        <v>29994.47</v>
      </c>
      <c r="T409" s="15" t="n">
        <f aca="false">IF($O409&lt;$Q409,ROUND($L409*$S409/$G409,2),$L409)</f>
        <v>605.95</v>
      </c>
      <c r="U409" s="15" t="n">
        <f aca="false">ROUND(($S409-$G409)-($T409-$L409),2)</f>
        <v>0</v>
      </c>
      <c r="V409" s="15" t="n">
        <f aca="false">IF($O409&lt;$Q409,ROUND($S409-$K409-$T409,2),$M409)</f>
        <v>12696.52</v>
      </c>
    </row>
    <row r="410" customFormat="false" ht="15" hidden="false" customHeight="false" outlineLevel="0" collapsed="false">
      <c r="B410" s="13" t="s">
        <v>275</v>
      </c>
      <c r="C410" s="13" t="s">
        <v>218</v>
      </c>
      <c r="D410" s="13" t="s">
        <v>56</v>
      </c>
      <c r="E410" s="24" t="n">
        <v>283</v>
      </c>
      <c r="F410" s="14" t="n">
        <v>25342.31</v>
      </c>
      <c r="G410" s="14" t="n">
        <v>25088.89</v>
      </c>
      <c r="H410" s="15" t="n">
        <f aca="false">INDEX('Your Inputs'!$C$8:$C$10,MATCH($D410,'Your Inputs'!$B$8:$B$10,0))</f>
        <v>96</v>
      </c>
      <c r="I410" s="15" t="n">
        <f aca="false">INDEX('Your Inputs'!$D$8:$D$10,MATCH($D410,'Your Inputs'!$B$8:$B$10,0))</f>
        <v>58</v>
      </c>
      <c r="J410" s="15" t="n">
        <f aca="false">ROUND($E410*$H410,2)</f>
        <v>27168</v>
      </c>
      <c r="K410" s="15" t="n">
        <f aca="false">ROUND($E410*$I410,2)</f>
        <v>16414</v>
      </c>
      <c r="L410" s="15" t="n">
        <f aca="false">ROUND($F410*'Your Inputs'!$C$31,2)</f>
        <v>506.85</v>
      </c>
      <c r="M410" s="15" t="n">
        <f aca="false">ROUND($G410-$K410-$L410,2)</f>
        <v>8168.04</v>
      </c>
      <c r="N410" s="15" t="n">
        <f aca="false">$G410/$E410</f>
        <v>88.6533215547703</v>
      </c>
      <c r="O410" s="25" t="n">
        <f aca="false">$G410/$J410</f>
        <v>0.923472099528857</v>
      </c>
      <c r="P410" s="18" t="str">
        <f aca="false">$C410&amp;" | "&amp;$D410</f>
        <v>Small direct | Protective coatings</v>
      </c>
      <c r="Q410" s="25" t="n">
        <f aca="false">INDEX('Your Floors'!$K$20:$K$31,MATCH($P410,'Your Floors'!$D$20:$D$31,0))</f>
        <v>0.922679993872549</v>
      </c>
      <c r="R410" s="18" t="str">
        <f aca="false">IF($O410&lt;$Q410,"below the floor","at or above it")</f>
        <v>at or above it</v>
      </c>
      <c r="S410" s="15" t="n">
        <f aca="false">IF($O410&lt;$Q410,$E410*ROUND($Q410*$H410,2),$G410)</f>
        <v>25088.89</v>
      </c>
      <c r="T410" s="15" t="n">
        <f aca="false">IF($O410&lt;$Q410,ROUND($L410*$S410/$G410,2),$L410)</f>
        <v>506.85</v>
      </c>
      <c r="U410" s="15" t="n">
        <f aca="false">ROUND(($S410-$G410)-($T410-$L410),2)</f>
        <v>0</v>
      </c>
      <c r="V410" s="15" t="n">
        <f aca="false">IF($O410&lt;$Q410,ROUND($S410-$K410-$T410,2),$M410)</f>
        <v>8168.04</v>
      </c>
    </row>
    <row r="411" customFormat="false" ht="15" hidden="false" customHeight="false" outlineLevel="0" collapsed="false">
      <c r="B411" s="13" t="s">
        <v>276</v>
      </c>
      <c r="C411" s="13" t="s">
        <v>218</v>
      </c>
      <c r="D411" s="13" t="s">
        <v>52</v>
      </c>
      <c r="E411" s="24" t="n">
        <v>437</v>
      </c>
      <c r="F411" s="14" t="n">
        <v>59172.07</v>
      </c>
      <c r="G411" s="14" t="n">
        <v>57396.91</v>
      </c>
      <c r="H411" s="15" t="n">
        <f aca="false">INDEX('Your Inputs'!$C$8:$C$10,MATCH($D411,'Your Inputs'!$B$8:$B$10,0))</f>
        <v>148</v>
      </c>
      <c r="I411" s="15" t="n">
        <f aca="false">INDEX('Your Inputs'!$D$8:$D$10,MATCH($D411,'Your Inputs'!$B$8:$B$10,0))</f>
        <v>78</v>
      </c>
      <c r="J411" s="15" t="n">
        <f aca="false">ROUND($E411*$H411,2)</f>
        <v>64676</v>
      </c>
      <c r="K411" s="15" t="n">
        <f aca="false">ROUND($E411*$I411,2)</f>
        <v>34086</v>
      </c>
      <c r="L411" s="15" t="n">
        <f aca="false">ROUND($F411*'Your Inputs'!$C$31,2)</f>
        <v>1183.44</v>
      </c>
      <c r="M411" s="15" t="n">
        <f aca="false">ROUND($G411-$K411-$L411,2)</f>
        <v>22127.47</v>
      </c>
      <c r="N411" s="15" t="n">
        <f aca="false">$G411/$E411</f>
        <v>131.343043478261</v>
      </c>
      <c r="O411" s="25" t="n">
        <f aca="false">$G411/$J411</f>
        <v>0.887452996474736</v>
      </c>
      <c r="P411" s="18" t="str">
        <f aca="false">$C411&amp;" | "&amp;$D411</f>
        <v>Small direct | Structural adhesives</v>
      </c>
      <c r="Q411" s="25" t="n">
        <f aca="false">INDEX('Your Floors'!$K$20:$K$31,MATCH($P411,'Your Floors'!$D$20:$D$31,0))</f>
        <v>0.939509972168612</v>
      </c>
      <c r="R411" s="18" t="str">
        <f aca="false">IF($O411&lt;$Q411,"below the floor","at or above it")</f>
        <v>below the floor</v>
      </c>
      <c r="S411" s="15" t="n">
        <f aca="false">IF($O411&lt;$Q411,$E411*ROUND($Q411*$H411,2),$G411)</f>
        <v>60764.85</v>
      </c>
      <c r="T411" s="15" t="n">
        <f aca="false">IF($O411&lt;$Q411,ROUND($L411*$S411/$G411,2),$L411)</f>
        <v>1252.88</v>
      </c>
      <c r="U411" s="15" t="n">
        <f aca="false">ROUND(($S411-$G411)-($T411-$L411),2)</f>
        <v>3298.5</v>
      </c>
      <c r="V411" s="15" t="n">
        <f aca="false">IF($O411&lt;$Q411,ROUND($S411-$K411-$T411,2),$M411)</f>
        <v>25425.97</v>
      </c>
    </row>
    <row r="412" customFormat="false" ht="15" hidden="false" customHeight="false" outlineLevel="0" collapsed="false">
      <c r="B412" s="13" t="s">
        <v>276</v>
      </c>
      <c r="C412" s="13" t="s">
        <v>218</v>
      </c>
      <c r="D412" s="13" t="s">
        <v>54</v>
      </c>
      <c r="E412" s="24" t="n">
        <v>2402</v>
      </c>
      <c r="F412" s="14" t="n">
        <v>125617.39</v>
      </c>
      <c r="G412" s="14" t="n">
        <v>121848.87</v>
      </c>
      <c r="H412" s="15" t="n">
        <f aca="false">INDEX('Your Inputs'!$C$8:$C$10,MATCH($D412,'Your Inputs'!$B$8:$B$10,0))</f>
        <v>62</v>
      </c>
      <c r="I412" s="15" t="n">
        <f aca="false">INDEX('Your Inputs'!$D$8:$D$10,MATCH($D412,'Your Inputs'!$B$8:$B$10,0))</f>
        <v>36</v>
      </c>
      <c r="J412" s="15" t="n">
        <f aca="false">ROUND($E412*$H412,2)</f>
        <v>148924</v>
      </c>
      <c r="K412" s="15" t="n">
        <f aca="false">ROUND($E412*$I412,2)</f>
        <v>86472</v>
      </c>
      <c r="L412" s="15" t="n">
        <f aca="false">ROUND($F412*'Your Inputs'!$C$31,2)</f>
        <v>2512.35</v>
      </c>
      <c r="M412" s="15" t="n">
        <f aca="false">ROUND($G412-$K412-$L412,2)</f>
        <v>32864.52</v>
      </c>
      <c r="N412" s="15" t="n">
        <f aca="false">$G412/$E412</f>
        <v>50.728089092423</v>
      </c>
      <c r="O412" s="25" t="n">
        <f aca="false">$G412/$J412</f>
        <v>0.818194985361661</v>
      </c>
      <c r="P412" s="18" t="str">
        <f aca="false">$C412&amp;" | "&amp;$D412</f>
        <v>Small direct | Sealants</v>
      </c>
      <c r="Q412" s="25" t="n">
        <f aca="false">INDEX('Your Floors'!$K$20:$K$31,MATCH($P412,'Your Floors'!$D$20:$D$31,0))</f>
        <v>0.905849957217107</v>
      </c>
      <c r="R412" s="18" t="str">
        <f aca="false">IF($O412&lt;$Q412,"below the floor","at or above it")</f>
        <v>below the floor</v>
      </c>
      <c r="S412" s="15" t="n">
        <f aca="false">IF($O412&lt;$Q412,$E412*ROUND($Q412*$H412,2),$G412)</f>
        <v>134896.32</v>
      </c>
      <c r="T412" s="15" t="n">
        <f aca="false">IF($O412&lt;$Q412,ROUND($L412*$S412/$G412,2),$L412)</f>
        <v>2781.37</v>
      </c>
      <c r="U412" s="15" t="n">
        <f aca="false">ROUND(($S412-$G412)-($T412-$L412),2)</f>
        <v>12778.43</v>
      </c>
      <c r="V412" s="15" t="n">
        <f aca="false">IF($O412&lt;$Q412,ROUND($S412-$K412-$T412,2),$M412)</f>
        <v>45642.95</v>
      </c>
    </row>
    <row r="413" customFormat="false" ht="15" hidden="false" customHeight="false" outlineLevel="0" collapsed="false">
      <c r="B413" s="13" t="s">
        <v>276</v>
      </c>
      <c r="C413" s="13" t="s">
        <v>218</v>
      </c>
      <c r="D413" s="13" t="s">
        <v>56</v>
      </c>
      <c r="E413" s="24" t="n">
        <v>762</v>
      </c>
      <c r="F413" s="14" t="n">
        <v>64315.24</v>
      </c>
      <c r="G413" s="14" t="n">
        <v>62385.79</v>
      </c>
      <c r="H413" s="15" t="n">
        <f aca="false">INDEX('Your Inputs'!$C$8:$C$10,MATCH($D413,'Your Inputs'!$B$8:$B$10,0))</f>
        <v>96</v>
      </c>
      <c r="I413" s="15" t="n">
        <f aca="false">INDEX('Your Inputs'!$D$8:$D$10,MATCH($D413,'Your Inputs'!$B$8:$B$10,0))</f>
        <v>58</v>
      </c>
      <c r="J413" s="15" t="n">
        <f aca="false">ROUND($E413*$H413,2)</f>
        <v>73152</v>
      </c>
      <c r="K413" s="15" t="n">
        <f aca="false">ROUND($E413*$I413,2)</f>
        <v>44196</v>
      </c>
      <c r="L413" s="15" t="n">
        <f aca="false">ROUND($F413*'Your Inputs'!$C$31,2)</f>
        <v>1286.3</v>
      </c>
      <c r="M413" s="15" t="n">
        <f aca="false">ROUND($G413-$K413-$L413,2)</f>
        <v>16903.49</v>
      </c>
      <c r="N413" s="15" t="n">
        <f aca="false">$G413/$E413</f>
        <v>81.8711154855643</v>
      </c>
      <c r="O413" s="25" t="n">
        <f aca="false">$G413/$J413</f>
        <v>0.852824119641295</v>
      </c>
      <c r="P413" s="18" t="str">
        <f aca="false">$C413&amp;" | "&amp;$D413</f>
        <v>Small direct | Protective coatings</v>
      </c>
      <c r="Q413" s="25" t="n">
        <f aca="false">INDEX('Your Floors'!$K$20:$K$31,MATCH($P413,'Your Floors'!$D$20:$D$31,0))</f>
        <v>0.922679993872549</v>
      </c>
      <c r="R413" s="18" t="str">
        <f aca="false">IF($O413&lt;$Q413,"below the floor","at or above it")</f>
        <v>below the floor</v>
      </c>
      <c r="S413" s="15" t="n">
        <f aca="false">IF($O413&lt;$Q413,$E413*ROUND($Q413*$H413,2),$G413)</f>
        <v>67497.96</v>
      </c>
      <c r="T413" s="15" t="n">
        <f aca="false">IF($O413&lt;$Q413,ROUND($L413*$S413/$G413,2),$L413)</f>
        <v>1391.71</v>
      </c>
      <c r="U413" s="15" t="n">
        <f aca="false">ROUND(($S413-$G413)-($T413-$L413),2)</f>
        <v>5006.76</v>
      </c>
      <c r="V413" s="15" t="n">
        <f aca="false">IF($O413&lt;$Q413,ROUND($S413-$K413-$T413,2),$M413)</f>
        <v>21910.25</v>
      </c>
    </row>
    <row r="414" customFormat="false" ht="15" hidden="false" customHeight="false" outlineLevel="0" collapsed="false">
      <c r="B414" s="13" t="s">
        <v>277</v>
      </c>
      <c r="C414" s="13" t="s">
        <v>218</v>
      </c>
      <c r="D414" s="13" t="s">
        <v>52</v>
      </c>
      <c r="E414" s="24" t="n">
        <v>186</v>
      </c>
      <c r="F414" s="14" t="n">
        <v>26759.97</v>
      </c>
      <c r="G414" s="14" t="n">
        <v>26492.37</v>
      </c>
      <c r="H414" s="15" t="n">
        <f aca="false">INDEX('Your Inputs'!$C$8:$C$10,MATCH($D414,'Your Inputs'!$B$8:$B$10,0))</f>
        <v>148</v>
      </c>
      <c r="I414" s="15" t="n">
        <f aca="false">INDEX('Your Inputs'!$D$8:$D$10,MATCH($D414,'Your Inputs'!$B$8:$B$10,0))</f>
        <v>78</v>
      </c>
      <c r="J414" s="15" t="n">
        <f aca="false">ROUND($E414*$H414,2)</f>
        <v>27528</v>
      </c>
      <c r="K414" s="15" t="n">
        <f aca="false">ROUND($E414*$I414,2)</f>
        <v>14508</v>
      </c>
      <c r="L414" s="15" t="n">
        <f aca="false">ROUND($F414*'Your Inputs'!$C$31,2)</f>
        <v>535.2</v>
      </c>
      <c r="M414" s="15" t="n">
        <f aca="false">ROUND($G414-$K414-$L414,2)</f>
        <v>11449.17</v>
      </c>
      <c r="N414" s="15" t="n">
        <f aca="false">$G414/$E414</f>
        <v>142.432096774194</v>
      </c>
      <c r="O414" s="25" t="n">
        <f aca="false">$G414/$J414</f>
        <v>0.962379032258064</v>
      </c>
      <c r="P414" s="18" t="str">
        <f aca="false">$C414&amp;" | "&amp;$D414</f>
        <v>Small direct | Structural adhesives</v>
      </c>
      <c r="Q414" s="25" t="n">
        <f aca="false">INDEX('Your Floors'!$K$20:$K$31,MATCH($P414,'Your Floors'!$D$20:$D$31,0))</f>
        <v>0.939509972168612</v>
      </c>
      <c r="R414" s="18" t="str">
        <f aca="false">IF($O414&lt;$Q414,"below the floor","at or above it")</f>
        <v>at or above it</v>
      </c>
      <c r="S414" s="15" t="n">
        <f aca="false">IF($O414&lt;$Q414,$E414*ROUND($Q414*$H414,2),$G414)</f>
        <v>26492.37</v>
      </c>
      <c r="T414" s="15" t="n">
        <f aca="false">IF($O414&lt;$Q414,ROUND($L414*$S414/$G414,2),$L414)</f>
        <v>535.2</v>
      </c>
      <c r="U414" s="15" t="n">
        <f aca="false">ROUND(($S414-$G414)-($T414-$L414),2)</f>
        <v>0</v>
      </c>
      <c r="V414" s="15" t="n">
        <f aca="false">IF($O414&lt;$Q414,ROUND($S414-$K414-$T414,2),$M414)</f>
        <v>11449.17</v>
      </c>
    </row>
    <row r="415" customFormat="false" ht="15" hidden="false" customHeight="false" outlineLevel="0" collapsed="false">
      <c r="B415" s="13" t="s">
        <v>277</v>
      </c>
      <c r="C415" s="13" t="s">
        <v>218</v>
      </c>
      <c r="D415" s="13" t="s">
        <v>54</v>
      </c>
      <c r="E415" s="24" t="n">
        <v>836</v>
      </c>
      <c r="F415" s="14" t="n">
        <v>48799.83</v>
      </c>
      <c r="G415" s="14" t="n">
        <v>48311.83</v>
      </c>
      <c r="H415" s="15" t="n">
        <f aca="false">INDEX('Your Inputs'!$C$8:$C$10,MATCH($D415,'Your Inputs'!$B$8:$B$10,0))</f>
        <v>62</v>
      </c>
      <c r="I415" s="15" t="n">
        <f aca="false">INDEX('Your Inputs'!$D$8:$D$10,MATCH($D415,'Your Inputs'!$B$8:$B$10,0))</f>
        <v>36</v>
      </c>
      <c r="J415" s="15" t="n">
        <f aca="false">ROUND($E415*$H415,2)</f>
        <v>51832</v>
      </c>
      <c r="K415" s="15" t="n">
        <f aca="false">ROUND($E415*$I415,2)</f>
        <v>30096</v>
      </c>
      <c r="L415" s="15" t="n">
        <f aca="false">ROUND($F415*'Your Inputs'!$C$31,2)</f>
        <v>976</v>
      </c>
      <c r="M415" s="15" t="n">
        <f aca="false">ROUND($G415-$K415-$L415,2)</f>
        <v>17239.83</v>
      </c>
      <c r="N415" s="15" t="n">
        <f aca="false">$G415/$E415</f>
        <v>57.7892703349282</v>
      </c>
      <c r="O415" s="25" t="n">
        <f aca="false">$G415/$J415</f>
        <v>0.932085005402068</v>
      </c>
      <c r="P415" s="18" t="str">
        <f aca="false">$C415&amp;" | "&amp;$D415</f>
        <v>Small direct | Sealants</v>
      </c>
      <c r="Q415" s="25" t="n">
        <f aca="false">INDEX('Your Floors'!$K$20:$K$31,MATCH($P415,'Your Floors'!$D$20:$D$31,0))</f>
        <v>0.905849957217107</v>
      </c>
      <c r="R415" s="18" t="str">
        <f aca="false">IF($O415&lt;$Q415,"below the floor","at or above it")</f>
        <v>at or above it</v>
      </c>
      <c r="S415" s="15" t="n">
        <f aca="false">IF($O415&lt;$Q415,$E415*ROUND($Q415*$H415,2),$G415)</f>
        <v>48311.83</v>
      </c>
      <c r="T415" s="15" t="n">
        <f aca="false">IF($O415&lt;$Q415,ROUND($L415*$S415/$G415,2),$L415)</f>
        <v>976</v>
      </c>
      <c r="U415" s="15" t="n">
        <f aca="false">ROUND(($S415-$G415)-($T415-$L415),2)</f>
        <v>0</v>
      </c>
      <c r="V415" s="15" t="n">
        <f aca="false">IF($O415&lt;$Q415,ROUND($S415-$K415-$T415,2),$M415)</f>
        <v>17239.83</v>
      </c>
    </row>
    <row r="416" customFormat="false" ht="15" hidden="false" customHeight="false" outlineLevel="0" collapsed="false">
      <c r="B416" s="13" t="s">
        <v>277</v>
      </c>
      <c r="C416" s="13" t="s">
        <v>218</v>
      </c>
      <c r="D416" s="13" t="s">
        <v>56</v>
      </c>
      <c r="E416" s="24" t="n">
        <v>150</v>
      </c>
      <c r="F416" s="14" t="n">
        <v>13777.92</v>
      </c>
      <c r="G416" s="14" t="n">
        <v>13640.14</v>
      </c>
      <c r="H416" s="15" t="n">
        <f aca="false">INDEX('Your Inputs'!$C$8:$C$10,MATCH($D416,'Your Inputs'!$B$8:$B$10,0))</f>
        <v>96</v>
      </c>
      <c r="I416" s="15" t="n">
        <f aca="false">INDEX('Your Inputs'!$D$8:$D$10,MATCH($D416,'Your Inputs'!$B$8:$B$10,0))</f>
        <v>58</v>
      </c>
      <c r="J416" s="15" t="n">
        <f aca="false">ROUND($E416*$H416,2)</f>
        <v>14400</v>
      </c>
      <c r="K416" s="15" t="n">
        <f aca="false">ROUND($E416*$I416,2)</f>
        <v>8700</v>
      </c>
      <c r="L416" s="15" t="n">
        <f aca="false">ROUND($F416*'Your Inputs'!$C$31,2)</f>
        <v>275.56</v>
      </c>
      <c r="M416" s="15" t="n">
        <f aca="false">ROUND($G416-$K416-$L416,2)</f>
        <v>4664.58</v>
      </c>
      <c r="N416" s="15" t="n">
        <f aca="false">$G416/$E416</f>
        <v>90.9342666666667</v>
      </c>
      <c r="O416" s="25" t="n">
        <f aca="false">$G416/$J416</f>
        <v>0.947231944444444</v>
      </c>
      <c r="P416" s="18" t="str">
        <f aca="false">$C416&amp;" | "&amp;$D416</f>
        <v>Small direct | Protective coatings</v>
      </c>
      <c r="Q416" s="25" t="n">
        <f aca="false">INDEX('Your Floors'!$K$20:$K$31,MATCH($P416,'Your Floors'!$D$20:$D$31,0))</f>
        <v>0.922679993872549</v>
      </c>
      <c r="R416" s="18" t="str">
        <f aca="false">IF($O416&lt;$Q416,"below the floor","at or above it")</f>
        <v>at or above it</v>
      </c>
      <c r="S416" s="15" t="n">
        <f aca="false">IF($O416&lt;$Q416,$E416*ROUND($Q416*$H416,2),$G416)</f>
        <v>13640.14</v>
      </c>
      <c r="T416" s="15" t="n">
        <f aca="false">IF($O416&lt;$Q416,ROUND($L416*$S416/$G416,2),$L416)</f>
        <v>275.56</v>
      </c>
      <c r="U416" s="15" t="n">
        <f aca="false">ROUND(($S416-$G416)-($T416-$L416),2)</f>
        <v>0</v>
      </c>
      <c r="V416" s="15" t="n">
        <f aca="false">IF($O416&lt;$Q416,ROUND($S416-$K416-$T416,2),$M416)</f>
        <v>4664.58</v>
      </c>
    </row>
    <row r="417" customFormat="false" ht="15" hidden="false" customHeight="false" outlineLevel="0" collapsed="false">
      <c r="B417" s="13" t="s">
        <v>278</v>
      </c>
      <c r="C417" s="13" t="s">
        <v>218</v>
      </c>
      <c r="D417" s="13" t="s">
        <v>52</v>
      </c>
      <c r="E417" s="24" t="n">
        <v>285</v>
      </c>
      <c r="F417" s="14" t="n">
        <v>41205.64</v>
      </c>
      <c r="G417" s="14" t="n">
        <v>40793.58</v>
      </c>
      <c r="H417" s="15" t="n">
        <f aca="false">INDEX('Your Inputs'!$C$8:$C$10,MATCH($D417,'Your Inputs'!$B$8:$B$10,0))</f>
        <v>148</v>
      </c>
      <c r="I417" s="15" t="n">
        <f aca="false">INDEX('Your Inputs'!$D$8:$D$10,MATCH($D417,'Your Inputs'!$B$8:$B$10,0))</f>
        <v>78</v>
      </c>
      <c r="J417" s="15" t="n">
        <f aca="false">ROUND($E417*$H417,2)</f>
        <v>42180</v>
      </c>
      <c r="K417" s="15" t="n">
        <f aca="false">ROUND($E417*$I417,2)</f>
        <v>22230</v>
      </c>
      <c r="L417" s="15" t="n">
        <f aca="false">ROUND($F417*'Your Inputs'!$C$31,2)</f>
        <v>824.11</v>
      </c>
      <c r="M417" s="15" t="n">
        <f aca="false">ROUND($G417-$K417-$L417,2)</f>
        <v>17739.47</v>
      </c>
      <c r="N417" s="15" t="n">
        <f aca="false">$G417/$E417</f>
        <v>143.135368421053</v>
      </c>
      <c r="O417" s="25" t="n">
        <f aca="false">$G417/$J417</f>
        <v>0.967130867709815</v>
      </c>
      <c r="P417" s="18" t="str">
        <f aca="false">$C417&amp;" | "&amp;$D417</f>
        <v>Small direct | Structural adhesives</v>
      </c>
      <c r="Q417" s="25" t="n">
        <f aca="false">INDEX('Your Floors'!$K$20:$K$31,MATCH($P417,'Your Floors'!$D$20:$D$31,0))</f>
        <v>0.939509972168612</v>
      </c>
      <c r="R417" s="18" t="str">
        <f aca="false">IF($O417&lt;$Q417,"below the floor","at or above it")</f>
        <v>at or above it</v>
      </c>
      <c r="S417" s="15" t="n">
        <f aca="false">IF($O417&lt;$Q417,$E417*ROUND($Q417*$H417,2),$G417)</f>
        <v>40793.58</v>
      </c>
      <c r="T417" s="15" t="n">
        <f aca="false">IF($O417&lt;$Q417,ROUND($L417*$S417/$G417,2),$L417)</f>
        <v>824.11</v>
      </c>
      <c r="U417" s="15" t="n">
        <f aca="false">ROUND(($S417-$G417)-($T417-$L417),2)</f>
        <v>0</v>
      </c>
      <c r="V417" s="15" t="n">
        <f aca="false">IF($O417&lt;$Q417,ROUND($S417-$K417-$T417,2),$M417)</f>
        <v>17739.47</v>
      </c>
    </row>
    <row r="418" customFormat="false" ht="15" hidden="false" customHeight="false" outlineLevel="0" collapsed="false">
      <c r="B418" s="13" t="s">
        <v>278</v>
      </c>
      <c r="C418" s="13" t="s">
        <v>218</v>
      </c>
      <c r="D418" s="13" t="s">
        <v>56</v>
      </c>
      <c r="E418" s="24" t="n">
        <v>446</v>
      </c>
      <c r="F418" s="14" t="n">
        <v>41754.16</v>
      </c>
      <c r="G418" s="14" t="n">
        <v>41336.62</v>
      </c>
      <c r="H418" s="15" t="n">
        <f aca="false">INDEX('Your Inputs'!$C$8:$C$10,MATCH($D418,'Your Inputs'!$B$8:$B$10,0))</f>
        <v>96</v>
      </c>
      <c r="I418" s="15" t="n">
        <f aca="false">INDEX('Your Inputs'!$D$8:$D$10,MATCH($D418,'Your Inputs'!$B$8:$B$10,0))</f>
        <v>58</v>
      </c>
      <c r="J418" s="15" t="n">
        <f aca="false">ROUND($E418*$H418,2)</f>
        <v>42816</v>
      </c>
      <c r="K418" s="15" t="n">
        <f aca="false">ROUND($E418*$I418,2)</f>
        <v>25868</v>
      </c>
      <c r="L418" s="15" t="n">
        <f aca="false">ROUND($F418*'Your Inputs'!$C$31,2)</f>
        <v>835.08</v>
      </c>
      <c r="M418" s="15" t="n">
        <f aca="false">ROUND($G418-$K418-$L418,2)</f>
        <v>14633.54</v>
      </c>
      <c r="N418" s="15" t="n">
        <f aca="false">$G418/$E418</f>
        <v>92.6830044843049</v>
      </c>
      <c r="O418" s="25" t="n">
        <f aca="false">$G418/$J418</f>
        <v>0.965447963378176</v>
      </c>
      <c r="P418" s="18" t="str">
        <f aca="false">$C418&amp;" | "&amp;$D418</f>
        <v>Small direct | Protective coatings</v>
      </c>
      <c r="Q418" s="25" t="n">
        <f aca="false">INDEX('Your Floors'!$K$20:$K$31,MATCH($P418,'Your Floors'!$D$20:$D$31,0))</f>
        <v>0.922679993872549</v>
      </c>
      <c r="R418" s="18" t="str">
        <f aca="false">IF($O418&lt;$Q418,"below the floor","at or above it")</f>
        <v>at or above it</v>
      </c>
      <c r="S418" s="15" t="n">
        <f aca="false">IF($O418&lt;$Q418,$E418*ROUND($Q418*$H418,2),$G418)</f>
        <v>41336.62</v>
      </c>
      <c r="T418" s="15" t="n">
        <f aca="false">IF($O418&lt;$Q418,ROUND($L418*$S418/$G418,2),$L418)</f>
        <v>835.08</v>
      </c>
      <c r="U418" s="15" t="n">
        <f aca="false">ROUND(($S418-$G418)-($T418-$L418),2)</f>
        <v>0</v>
      </c>
      <c r="V418" s="15" t="n">
        <f aca="false">IF($O418&lt;$Q418,ROUND($S418-$K418-$T418,2),$M418)</f>
        <v>14633.54</v>
      </c>
    </row>
    <row r="419" customFormat="false" ht="15" hidden="false" customHeight="false" outlineLevel="0" collapsed="false">
      <c r="B419" s="13" t="s">
        <v>279</v>
      </c>
      <c r="C419" s="13" t="s">
        <v>218</v>
      </c>
      <c r="D419" s="13" t="s">
        <v>52</v>
      </c>
      <c r="E419" s="24" t="n">
        <v>53</v>
      </c>
      <c r="F419" s="14" t="n">
        <v>7687.12</v>
      </c>
      <c r="G419" s="14" t="n">
        <v>7610.25</v>
      </c>
      <c r="H419" s="15" t="n">
        <f aca="false">INDEX('Your Inputs'!$C$8:$C$10,MATCH($D419,'Your Inputs'!$B$8:$B$10,0))</f>
        <v>148</v>
      </c>
      <c r="I419" s="15" t="n">
        <f aca="false">INDEX('Your Inputs'!$D$8:$D$10,MATCH($D419,'Your Inputs'!$B$8:$B$10,0))</f>
        <v>78</v>
      </c>
      <c r="J419" s="15" t="n">
        <f aca="false">ROUND($E419*$H419,2)</f>
        <v>7844</v>
      </c>
      <c r="K419" s="15" t="n">
        <f aca="false">ROUND($E419*$I419,2)</f>
        <v>4134</v>
      </c>
      <c r="L419" s="15" t="n">
        <f aca="false">ROUND($F419*'Your Inputs'!$C$31,2)</f>
        <v>153.74</v>
      </c>
      <c r="M419" s="15" t="n">
        <f aca="false">ROUND($G419-$K419-$L419,2)</f>
        <v>3322.51</v>
      </c>
      <c r="N419" s="15" t="n">
        <f aca="false">$G419/$E419</f>
        <v>143.589622641509</v>
      </c>
      <c r="O419" s="25" t="n">
        <f aca="false">$G419/$J419</f>
        <v>0.970200152983172</v>
      </c>
      <c r="P419" s="18" t="str">
        <f aca="false">$C419&amp;" | "&amp;$D419</f>
        <v>Small direct | Structural adhesives</v>
      </c>
      <c r="Q419" s="25" t="n">
        <f aca="false">INDEX('Your Floors'!$K$20:$K$31,MATCH($P419,'Your Floors'!$D$20:$D$31,0))</f>
        <v>0.939509972168612</v>
      </c>
      <c r="R419" s="18" t="str">
        <f aca="false">IF($O419&lt;$Q419,"below the floor","at or above it")</f>
        <v>at or above it</v>
      </c>
      <c r="S419" s="15" t="n">
        <f aca="false">IF($O419&lt;$Q419,$E419*ROUND($Q419*$H419,2),$G419)</f>
        <v>7610.25</v>
      </c>
      <c r="T419" s="15" t="n">
        <f aca="false">IF($O419&lt;$Q419,ROUND($L419*$S419/$G419,2),$L419)</f>
        <v>153.74</v>
      </c>
      <c r="U419" s="15" t="n">
        <f aca="false">ROUND(($S419-$G419)-($T419-$L419),2)</f>
        <v>0</v>
      </c>
      <c r="V419" s="15" t="n">
        <f aca="false">IF($O419&lt;$Q419,ROUND($S419-$K419-$T419,2),$M419)</f>
        <v>3322.51</v>
      </c>
    </row>
    <row r="420" customFormat="false" ht="15" hidden="false" customHeight="false" outlineLevel="0" collapsed="false">
      <c r="B420" s="13" t="s">
        <v>279</v>
      </c>
      <c r="C420" s="13" t="s">
        <v>218</v>
      </c>
      <c r="D420" s="13" t="s">
        <v>56</v>
      </c>
      <c r="E420" s="24" t="n">
        <v>196</v>
      </c>
      <c r="F420" s="14" t="n">
        <v>18439.68</v>
      </c>
      <c r="G420" s="14" t="n">
        <v>18255.28</v>
      </c>
      <c r="H420" s="15" t="n">
        <f aca="false">INDEX('Your Inputs'!$C$8:$C$10,MATCH($D420,'Your Inputs'!$B$8:$B$10,0))</f>
        <v>96</v>
      </c>
      <c r="I420" s="15" t="n">
        <f aca="false">INDEX('Your Inputs'!$D$8:$D$10,MATCH($D420,'Your Inputs'!$B$8:$B$10,0))</f>
        <v>58</v>
      </c>
      <c r="J420" s="15" t="n">
        <f aca="false">ROUND($E420*$H420,2)</f>
        <v>18816</v>
      </c>
      <c r="K420" s="15" t="n">
        <f aca="false">ROUND($E420*$I420,2)</f>
        <v>11368</v>
      </c>
      <c r="L420" s="15" t="n">
        <f aca="false">ROUND($F420*'Your Inputs'!$C$31,2)</f>
        <v>368.79</v>
      </c>
      <c r="M420" s="15" t="n">
        <f aca="false">ROUND($G420-$K420-$L420,2)</f>
        <v>6518.49</v>
      </c>
      <c r="N420" s="15" t="n">
        <f aca="false">$G420/$E420</f>
        <v>93.1391836734694</v>
      </c>
      <c r="O420" s="25" t="n">
        <f aca="false">$G420/$J420</f>
        <v>0.970199829931973</v>
      </c>
      <c r="P420" s="18" t="str">
        <f aca="false">$C420&amp;" | "&amp;$D420</f>
        <v>Small direct | Protective coatings</v>
      </c>
      <c r="Q420" s="25" t="n">
        <f aca="false">INDEX('Your Floors'!$K$20:$K$31,MATCH($P420,'Your Floors'!$D$20:$D$31,0))</f>
        <v>0.922679993872549</v>
      </c>
      <c r="R420" s="18" t="str">
        <f aca="false">IF($O420&lt;$Q420,"below the floor","at or above it")</f>
        <v>at or above it</v>
      </c>
      <c r="S420" s="15" t="n">
        <f aca="false">IF($O420&lt;$Q420,$E420*ROUND($Q420*$H420,2),$G420)</f>
        <v>18255.28</v>
      </c>
      <c r="T420" s="15" t="n">
        <f aca="false">IF($O420&lt;$Q420,ROUND($L420*$S420/$G420,2),$L420)</f>
        <v>368.79</v>
      </c>
      <c r="U420" s="15" t="n">
        <f aca="false">ROUND(($S420-$G420)-($T420-$L420),2)</f>
        <v>0</v>
      </c>
      <c r="V420" s="15" t="n">
        <f aca="false">IF($O420&lt;$Q420,ROUND($S420-$K420-$T420,2),$M420)</f>
        <v>6518.49</v>
      </c>
    </row>
    <row r="421" customFormat="false" ht="15" hidden="false" customHeight="false" outlineLevel="0" collapsed="false">
      <c r="B421" s="13" t="s">
        <v>280</v>
      </c>
      <c r="C421" s="13" t="s">
        <v>218</v>
      </c>
      <c r="D421" s="13" t="s">
        <v>52</v>
      </c>
      <c r="E421" s="24" t="n">
        <v>105</v>
      </c>
      <c r="F421" s="14" t="n">
        <v>15443.65</v>
      </c>
      <c r="G421" s="14" t="n">
        <v>15289.21</v>
      </c>
      <c r="H421" s="15" t="n">
        <f aca="false">INDEX('Your Inputs'!$C$8:$C$10,MATCH($D421,'Your Inputs'!$B$8:$B$10,0))</f>
        <v>148</v>
      </c>
      <c r="I421" s="15" t="n">
        <f aca="false">INDEX('Your Inputs'!$D$8:$D$10,MATCH($D421,'Your Inputs'!$B$8:$B$10,0))</f>
        <v>78</v>
      </c>
      <c r="J421" s="15" t="n">
        <f aca="false">ROUND($E421*$H421,2)</f>
        <v>15540</v>
      </c>
      <c r="K421" s="15" t="n">
        <f aca="false">ROUND($E421*$I421,2)</f>
        <v>8190</v>
      </c>
      <c r="L421" s="15" t="n">
        <f aca="false">ROUND($F421*'Your Inputs'!$C$31,2)</f>
        <v>308.87</v>
      </c>
      <c r="M421" s="15" t="n">
        <f aca="false">ROUND($G421-$K421-$L421,2)</f>
        <v>6790.34</v>
      </c>
      <c r="N421" s="15" t="n">
        <f aca="false">$G421/$E421</f>
        <v>145.611523809524</v>
      </c>
      <c r="O421" s="25" t="n">
        <f aca="false">$G421/$J421</f>
        <v>0.983861647361647</v>
      </c>
      <c r="P421" s="18" t="str">
        <f aca="false">$C421&amp;" | "&amp;$D421</f>
        <v>Small direct | Structural adhesives</v>
      </c>
      <c r="Q421" s="25" t="n">
        <f aca="false">INDEX('Your Floors'!$K$20:$K$31,MATCH($P421,'Your Floors'!$D$20:$D$31,0))</f>
        <v>0.939509972168612</v>
      </c>
      <c r="R421" s="18" t="str">
        <f aca="false">IF($O421&lt;$Q421,"below the floor","at or above it")</f>
        <v>at or above it</v>
      </c>
      <c r="S421" s="15" t="n">
        <f aca="false">IF($O421&lt;$Q421,$E421*ROUND($Q421*$H421,2),$G421)</f>
        <v>15289.21</v>
      </c>
      <c r="T421" s="15" t="n">
        <f aca="false">IF($O421&lt;$Q421,ROUND($L421*$S421/$G421,2),$L421)</f>
        <v>308.87</v>
      </c>
      <c r="U421" s="15" t="n">
        <f aca="false">ROUND(($S421-$G421)-($T421-$L421),2)</f>
        <v>0</v>
      </c>
      <c r="V421" s="15" t="n">
        <f aca="false">IF($O421&lt;$Q421,ROUND($S421-$K421-$T421,2),$M421)</f>
        <v>6790.34</v>
      </c>
    </row>
    <row r="422" customFormat="false" ht="15" hidden="false" customHeight="false" outlineLevel="0" collapsed="false">
      <c r="B422" s="13" t="s">
        <v>280</v>
      </c>
      <c r="C422" s="13" t="s">
        <v>218</v>
      </c>
      <c r="D422" s="13" t="s">
        <v>54</v>
      </c>
      <c r="E422" s="24" t="n">
        <v>779</v>
      </c>
      <c r="F422" s="14" t="n">
        <v>47670.13</v>
      </c>
      <c r="G422" s="14" t="n">
        <v>47193.43</v>
      </c>
      <c r="H422" s="15" t="n">
        <f aca="false">INDEX('Your Inputs'!$C$8:$C$10,MATCH($D422,'Your Inputs'!$B$8:$B$10,0))</f>
        <v>62</v>
      </c>
      <c r="I422" s="15" t="n">
        <f aca="false">INDEX('Your Inputs'!$D$8:$D$10,MATCH($D422,'Your Inputs'!$B$8:$B$10,0))</f>
        <v>36</v>
      </c>
      <c r="J422" s="15" t="n">
        <f aca="false">ROUND($E422*$H422,2)</f>
        <v>48298</v>
      </c>
      <c r="K422" s="15" t="n">
        <f aca="false">ROUND($E422*$I422,2)</f>
        <v>28044</v>
      </c>
      <c r="L422" s="15" t="n">
        <f aca="false">ROUND($F422*'Your Inputs'!$C$31,2)</f>
        <v>953.4</v>
      </c>
      <c r="M422" s="15" t="n">
        <f aca="false">ROUND($G422-$K422-$L422,2)</f>
        <v>18196.03</v>
      </c>
      <c r="N422" s="15" t="n">
        <f aca="false">$G422/$E422</f>
        <v>60.5820667522465</v>
      </c>
      <c r="O422" s="25" t="n">
        <f aca="false">$G422/$J422</f>
        <v>0.977130108907201</v>
      </c>
      <c r="P422" s="18" t="str">
        <f aca="false">$C422&amp;" | "&amp;$D422</f>
        <v>Small direct | Sealants</v>
      </c>
      <c r="Q422" s="25" t="n">
        <f aca="false">INDEX('Your Floors'!$K$20:$K$31,MATCH($P422,'Your Floors'!$D$20:$D$31,0))</f>
        <v>0.905849957217107</v>
      </c>
      <c r="R422" s="18" t="str">
        <f aca="false">IF($O422&lt;$Q422,"below the floor","at or above it")</f>
        <v>at or above it</v>
      </c>
      <c r="S422" s="15" t="n">
        <f aca="false">IF($O422&lt;$Q422,$E422*ROUND($Q422*$H422,2),$G422)</f>
        <v>47193.43</v>
      </c>
      <c r="T422" s="15" t="n">
        <f aca="false">IF($O422&lt;$Q422,ROUND($L422*$S422/$G422,2),$L422)</f>
        <v>953.4</v>
      </c>
      <c r="U422" s="15" t="n">
        <f aca="false">ROUND(($S422-$G422)-($T422-$L422),2)</f>
        <v>0</v>
      </c>
      <c r="V422" s="15" t="n">
        <f aca="false">IF($O422&lt;$Q422,ROUND($S422-$K422-$T422,2),$M422)</f>
        <v>18196.03</v>
      </c>
    </row>
    <row r="423" customFormat="false" ht="15" hidden="false" customHeight="false" outlineLevel="0" collapsed="false">
      <c r="B423" s="13" t="s">
        <v>280</v>
      </c>
      <c r="C423" s="13" t="s">
        <v>218</v>
      </c>
      <c r="D423" s="13" t="s">
        <v>56</v>
      </c>
      <c r="E423" s="24" t="n">
        <v>349</v>
      </c>
      <c r="F423" s="14" t="n">
        <v>33182.36</v>
      </c>
      <c r="G423" s="14" t="n">
        <v>32850.54</v>
      </c>
      <c r="H423" s="15" t="n">
        <f aca="false">INDEX('Your Inputs'!$C$8:$C$10,MATCH($D423,'Your Inputs'!$B$8:$B$10,0))</f>
        <v>96</v>
      </c>
      <c r="I423" s="15" t="n">
        <f aca="false">INDEX('Your Inputs'!$D$8:$D$10,MATCH($D423,'Your Inputs'!$B$8:$B$10,0))</f>
        <v>58</v>
      </c>
      <c r="J423" s="15" t="n">
        <f aca="false">ROUND($E423*$H423,2)</f>
        <v>33504</v>
      </c>
      <c r="K423" s="15" t="n">
        <f aca="false">ROUND($E423*$I423,2)</f>
        <v>20242</v>
      </c>
      <c r="L423" s="15" t="n">
        <f aca="false">ROUND($F423*'Your Inputs'!$C$31,2)</f>
        <v>663.65</v>
      </c>
      <c r="M423" s="15" t="n">
        <f aca="false">ROUND($G423-$K423-$L423,2)</f>
        <v>11944.89</v>
      </c>
      <c r="N423" s="15" t="n">
        <f aca="false">$G423/$E423</f>
        <v>94.1276217765043</v>
      </c>
      <c r="O423" s="25" t="n">
        <f aca="false">$G423/$J423</f>
        <v>0.98049606017192</v>
      </c>
      <c r="P423" s="18" t="str">
        <f aca="false">$C423&amp;" | "&amp;$D423</f>
        <v>Small direct | Protective coatings</v>
      </c>
      <c r="Q423" s="25" t="n">
        <f aca="false">INDEX('Your Floors'!$K$20:$K$31,MATCH($P423,'Your Floors'!$D$20:$D$31,0))</f>
        <v>0.922679993872549</v>
      </c>
      <c r="R423" s="18" t="str">
        <f aca="false">IF($O423&lt;$Q423,"below the floor","at or above it")</f>
        <v>at or above it</v>
      </c>
      <c r="S423" s="15" t="n">
        <f aca="false">IF($O423&lt;$Q423,$E423*ROUND($Q423*$H423,2),$G423)</f>
        <v>32850.54</v>
      </c>
      <c r="T423" s="15" t="n">
        <f aca="false">IF($O423&lt;$Q423,ROUND($L423*$S423/$G423,2),$L423)</f>
        <v>663.65</v>
      </c>
      <c r="U423" s="15" t="n">
        <f aca="false">ROUND(($S423-$G423)-($T423-$L423),2)</f>
        <v>0</v>
      </c>
      <c r="V423" s="15" t="n">
        <f aca="false">IF($O423&lt;$Q423,ROUND($S423-$K423-$T423,2),$M423)</f>
        <v>11944.89</v>
      </c>
    </row>
    <row r="424" customFormat="false" ht="15" hidden="false" customHeight="false" outlineLevel="0" collapsed="false">
      <c r="B424" s="13" t="s">
        <v>281</v>
      </c>
      <c r="C424" s="13" t="s">
        <v>218</v>
      </c>
      <c r="D424" s="13" t="s">
        <v>54</v>
      </c>
      <c r="E424" s="24" t="n">
        <v>591</v>
      </c>
      <c r="F424" s="14" t="n">
        <v>34974.79</v>
      </c>
      <c r="G424" s="14" t="n">
        <v>34625.04</v>
      </c>
      <c r="H424" s="15" t="n">
        <f aca="false">INDEX('Your Inputs'!$C$8:$C$10,MATCH($D424,'Your Inputs'!$B$8:$B$10,0))</f>
        <v>62</v>
      </c>
      <c r="I424" s="15" t="n">
        <f aca="false">INDEX('Your Inputs'!$D$8:$D$10,MATCH($D424,'Your Inputs'!$B$8:$B$10,0))</f>
        <v>36</v>
      </c>
      <c r="J424" s="15" t="n">
        <f aca="false">ROUND($E424*$H424,2)</f>
        <v>36642</v>
      </c>
      <c r="K424" s="15" t="n">
        <f aca="false">ROUND($E424*$I424,2)</f>
        <v>21276</v>
      </c>
      <c r="L424" s="15" t="n">
        <f aca="false">ROUND($F424*'Your Inputs'!$C$31,2)</f>
        <v>699.5</v>
      </c>
      <c r="M424" s="15" t="n">
        <f aca="false">ROUND($G424-$K424-$L424,2)</f>
        <v>12649.54</v>
      </c>
      <c r="N424" s="15" t="n">
        <f aca="false">$G424/$E424</f>
        <v>58.5872081218274</v>
      </c>
      <c r="O424" s="25" t="n">
        <f aca="false">$G424/$J424</f>
        <v>0.944954969706894</v>
      </c>
      <c r="P424" s="18" t="str">
        <f aca="false">$C424&amp;" | "&amp;$D424</f>
        <v>Small direct | Sealants</v>
      </c>
      <c r="Q424" s="25" t="n">
        <f aca="false">INDEX('Your Floors'!$K$20:$K$31,MATCH($P424,'Your Floors'!$D$20:$D$31,0))</f>
        <v>0.905849957217107</v>
      </c>
      <c r="R424" s="18" t="str">
        <f aca="false">IF($O424&lt;$Q424,"below the floor","at or above it")</f>
        <v>at or above it</v>
      </c>
      <c r="S424" s="15" t="n">
        <f aca="false">IF($O424&lt;$Q424,$E424*ROUND($Q424*$H424,2),$G424)</f>
        <v>34625.04</v>
      </c>
      <c r="T424" s="15" t="n">
        <f aca="false">IF($O424&lt;$Q424,ROUND($L424*$S424/$G424,2),$L424)</f>
        <v>699.5</v>
      </c>
      <c r="U424" s="15" t="n">
        <f aca="false">ROUND(($S424-$G424)-($T424-$L424),2)</f>
        <v>0</v>
      </c>
      <c r="V424" s="15" t="n">
        <f aca="false">IF($O424&lt;$Q424,ROUND($S424-$K424-$T424,2),$M424)</f>
        <v>12649.54</v>
      </c>
    </row>
    <row r="425" customFormat="false" ht="15" hidden="false" customHeight="false" outlineLevel="0" collapsed="false">
      <c r="B425" s="13" t="s">
        <v>281</v>
      </c>
      <c r="C425" s="13" t="s">
        <v>218</v>
      </c>
      <c r="D425" s="13" t="s">
        <v>56</v>
      </c>
      <c r="E425" s="24" t="n">
        <v>157</v>
      </c>
      <c r="F425" s="14" t="n">
        <v>14565.58</v>
      </c>
      <c r="G425" s="14" t="n">
        <v>14419.92</v>
      </c>
      <c r="H425" s="15" t="n">
        <f aca="false">INDEX('Your Inputs'!$C$8:$C$10,MATCH($D425,'Your Inputs'!$B$8:$B$10,0))</f>
        <v>96</v>
      </c>
      <c r="I425" s="15" t="n">
        <f aca="false">INDEX('Your Inputs'!$D$8:$D$10,MATCH($D425,'Your Inputs'!$B$8:$B$10,0))</f>
        <v>58</v>
      </c>
      <c r="J425" s="15" t="n">
        <f aca="false">ROUND($E425*$H425,2)</f>
        <v>15072</v>
      </c>
      <c r="K425" s="15" t="n">
        <f aca="false">ROUND($E425*$I425,2)</f>
        <v>9106</v>
      </c>
      <c r="L425" s="15" t="n">
        <f aca="false">ROUND($F425*'Your Inputs'!$C$31,2)</f>
        <v>291.31</v>
      </c>
      <c r="M425" s="15" t="n">
        <f aca="false">ROUND($G425-$K425-$L425,2)</f>
        <v>5022.61</v>
      </c>
      <c r="N425" s="15" t="n">
        <f aca="false">$G425/$E425</f>
        <v>91.8466242038217</v>
      </c>
      <c r="O425" s="25" t="n">
        <f aca="false">$G425/$J425</f>
        <v>0.956735668789809</v>
      </c>
      <c r="P425" s="18" t="str">
        <f aca="false">$C425&amp;" | "&amp;$D425</f>
        <v>Small direct | Protective coatings</v>
      </c>
      <c r="Q425" s="25" t="n">
        <f aca="false">INDEX('Your Floors'!$K$20:$K$31,MATCH($P425,'Your Floors'!$D$20:$D$31,0))</f>
        <v>0.922679993872549</v>
      </c>
      <c r="R425" s="18" t="str">
        <f aca="false">IF($O425&lt;$Q425,"below the floor","at or above it")</f>
        <v>at or above it</v>
      </c>
      <c r="S425" s="15" t="n">
        <f aca="false">IF($O425&lt;$Q425,$E425*ROUND($Q425*$H425,2),$G425)</f>
        <v>14419.92</v>
      </c>
      <c r="T425" s="15" t="n">
        <f aca="false">IF($O425&lt;$Q425,ROUND($L425*$S425/$G425,2),$L425)</f>
        <v>291.31</v>
      </c>
      <c r="U425" s="15" t="n">
        <f aca="false">ROUND(($S425-$G425)-($T425-$L425),2)</f>
        <v>0</v>
      </c>
      <c r="V425" s="15" t="n">
        <f aca="false">IF($O425&lt;$Q425,ROUND($S425-$K425-$T425,2),$M425)</f>
        <v>5022.61</v>
      </c>
    </row>
    <row r="426" customFormat="false" ht="15" hidden="false" customHeight="false" outlineLevel="0" collapsed="false">
      <c r="B426" s="13" t="s">
        <v>282</v>
      </c>
      <c r="C426" s="13" t="s">
        <v>218</v>
      </c>
      <c r="D426" s="13" t="s">
        <v>52</v>
      </c>
      <c r="E426" s="24" t="n">
        <v>265</v>
      </c>
      <c r="F426" s="14" t="n">
        <v>37219.78</v>
      </c>
      <c r="G426" s="14" t="n">
        <v>36847.58</v>
      </c>
      <c r="H426" s="15" t="n">
        <f aca="false">INDEX('Your Inputs'!$C$8:$C$10,MATCH($D426,'Your Inputs'!$B$8:$B$10,0))</f>
        <v>148</v>
      </c>
      <c r="I426" s="15" t="n">
        <f aca="false">INDEX('Your Inputs'!$D$8:$D$10,MATCH($D426,'Your Inputs'!$B$8:$B$10,0))</f>
        <v>78</v>
      </c>
      <c r="J426" s="15" t="n">
        <f aca="false">ROUND($E426*$H426,2)</f>
        <v>39220</v>
      </c>
      <c r="K426" s="15" t="n">
        <f aca="false">ROUND($E426*$I426,2)</f>
        <v>20670</v>
      </c>
      <c r="L426" s="15" t="n">
        <f aca="false">ROUND($F426*'Your Inputs'!$C$31,2)</f>
        <v>744.4</v>
      </c>
      <c r="M426" s="15" t="n">
        <f aca="false">ROUND($G426-$K426-$L426,2)</f>
        <v>15433.18</v>
      </c>
      <c r="N426" s="15" t="n">
        <f aca="false">$G426/$E426</f>
        <v>139.047471698113</v>
      </c>
      <c r="O426" s="25" t="n">
        <f aca="false">$G426/$J426</f>
        <v>0.93950994390617</v>
      </c>
      <c r="P426" s="18" t="str">
        <f aca="false">$C426&amp;" | "&amp;$D426</f>
        <v>Small direct | Structural adhesives</v>
      </c>
      <c r="Q426" s="25" t="n">
        <f aca="false">INDEX('Your Floors'!$K$20:$K$31,MATCH($P426,'Your Floors'!$D$20:$D$31,0))</f>
        <v>0.939509972168612</v>
      </c>
      <c r="R426" s="18" t="str">
        <f aca="false">IF($O426&lt;$Q426,"below the floor","at or above it")</f>
        <v>below the floor</v>
      </c>
      <c r="S426" s="15" t="n">
        <f aca="false">IF($O426&lt;$Q426,$E426*ROUND($Q426*$H426,2),$G426)</f>
        <v>36848.25</v>
      </c>
      <c r="T426" s="15" t="n">
        <f aca="false">IF($O426&lt;$Q426,ROUND($L426*$S426/$G426,2),$L426)</f>
        <v>744.41</v>
      </c>
      <c r="U426" s="15" t="n">
        <f aca="false">ROUND(($S426-$G426)-($T426-$L426),2)</f>
        <v>0.66</v>
      </c>
      <c r="V426" s="15" t="n">
        <f aca="false">IF($O426&lt;$Q426,ROUND($S426-$K426-$T426,2),$M426)</f>
        <v>15433.84</v>
      </c>
    </row>
    <row r="427" customFormat="false" ht="15" hidden="false" customHeight="false" outlineLevel="0" collapsed="false">
      <c r="B427" s="13" t="s">
        <v>282</v>
      </c>
      <c r="C427" s="13" t="s">
        <v>218</v>
      </c>
      <c r="D427" s="13" t="s">
        <v>56</v>
      </c>
      <c r="E427" s="24" t="n">
        <v>272</v>
      </c>
      <c r="F427" s="14" t="n">
        <v>24336.38</v>
      </c>
      <c r="G427" s="14" t="n">
        <v>24093.02</v>
      </c>
      <c r="H427" s="15" t="n">
        <f aca="false">INDEX('Your Inputs'!$C$8:$C$10,MATCH($D427,'Your Inputs'!$B$8:$B$10,0))</f>
        <v>96</v>
      </c>
      <c r="I427" s="15" t="n">
        <f aca="false">INDEX('Your Inputs'!$D$8:$D$10,MATCH($D427,'Your Inputs'!$B$8:$B$10,0))</f>
        <v>58</v>
      </c>
      <c r="J427" s="15" t="n">
        <f aca="false">ROUND($E427*$H427,2)</f>
        <v>26112</v>
      </c>
      <c r="K427" s="15" t="n">
        <f aca="false">ROUND($E427*$I427,2)</f>
        <v>15776</v>
      </c>
      <c r="L427" s="15" t="n">
        <f aca="false">ROUND($F427*'Your Inputs'!$C$31,2)</f>
        <v>486.73</v>
      </c>
      <c r="M427" s="15" t="n">
        <f aca="false">ROUND($G427-$K427-$L427,2)</f>
        <v>7830.29</v>
      </c>
      <c r="N427" s="15" t="n">
        <f aca="false">$G427/$E427</f>
        <v>88.5772794117647</v>
      </c>
      <c r="O427" s="25" t="n">
        <f aca="false">$G427/$J427</f>
        <v>0.922679993872549</v>
      </c>
      <c r="P427" s="18" t="str">
        <f aca="false">$C427&amp;" | "&amp;$D427</f>
        <v>Small direct | Protective coatings</v>
      </c>
      <c r="Q427" s="25" t="n">
        <f aca="false">INDEX('Your Floors'!$K$20:$K$31,MATCH($P427,'Your Floors'!$D$20:$D$31,0))</f>
        <v>0.922679993872549</v>
      </c>
      <c r="R427" s="18" t="str">
        <f aca="false">IF($O427&lt;$Q427,"below the floor","at or above it")</f>
        <v>at or above it</v>
      </c>
      <c r="S427" s="15" t="n">
        <f aca="false">IF($O427&lt;$Q427,$E427*ROUND($Q427*$H427,2),$G427)</f>
        <v>24093.02</v>
      </c>
      <c r="T427" s="15" t="n">
        <f aca="false">IF($O427&lt;$Q427,ROUND($L427*$S427/$G427,2),$L427)</f>
        <v>486.73</v>
      </c>
      <c r="U427" s="15" t="n">
        <f aca="false">ROUND(($S427-$G427)-($T427-$L427),2)</f>
        <v>0</v>
      </c>
      <c r="V427" s="15" t="n">
        <f aca="false">IF($O427&lt;$Q427,ROUND($S427-$K427-$T427,2),$M427)</f>
        <v>7830.29</v>
      </c>
    </row>
    <row r="428" customFormat="false" ht="15" hidden="false" customHeight="false" outlineLevel="0" collapsed="false">
      <c r="B428" s="13" t="s">
        <v>283</v>
      </c>
      <c r="C428" s="13" t="s">
        <v>218</v>
      </c>
      <c r="D428" s="13" t="s">
        <v>54</v>
      </c>
      <c r="E428" s="24" t="n">
        <v>2123</v>
      </c>
      <c r="F428" s="14" t="n">
        <v>120437.79</v>
      </c>
      <c r="G428" s="14" t="n">
        <v>119233.41</v>
      </c>
      <c r="H428" s="15" t="n">
        <f aca="false">INDEX('Your Inputs'!$C$8:$C$10,MATCH($D428,'Your Inputs'!$B$8:$B$10,0))</f>
        <v>62</v>
      </c>
      <c r="I428" s="15" t="n">
        <f aca="false">INDEX('Your Inputs'!$D$8:$D$10,MATCH($D428,'Your Inputs'!$B$8:$B$10,0))</f>
        <v>36</v>
      </c>
      <c r="J428" s="15" t="n">
        <f aca="false">ROUND($E428*$H428,2)</f>
        <v>131626</v>
      </c>
      <c r="K428" s="15" t="n">
        <f aca="false">ROUND($E428*$I428,2)</f>
        <v>76428</v>
      </c>
      <c r="L428" s="15" t="n">
        <f aca="false">ROUND($F428*'Your Inputs'!$C$31,2)</f>
        <v>2408.76</v>
      </c>
      <c r="M428" s="15" t="n">
        <f aca="false">ROUND($G428-$K428-$L428,2)</f>
        <v>40396.65</v>
      </c>
      <c r="N428" s="15" t="n">
        <f aca="false">$G428/$E428</f>
        <v>56.1626990108337</v>
      </c>
      <c r="O428" s="25" t="n">
        <f aca="false">$G428/$J428</f>
        <v>0.905849984045705</v>
      </c>
      <c r="P428" s="18" t="str">
        <f aca="false">$C428&amp;" | "&amp;$D428</f>
        <v>Small direct | Sealants</v>
      </c>
      <c r="Q428" s="25" t="n">
        <f aca="false">INDEX('Your Floors'!$K$20:$K$31,MATCH($P428,'Your Floors'!$D$20:$D$31,0))</f>
        <v>0.905849957217107</v>
      </c>
      <c r="R428" s="18" t="str">
        <f aca="false">IF($O428&lt;$Q428,"below the floor","at or above it")</f>
        <v>at or above it</v>
      </c>
      <c r="S428" s="15" t="n">
        <f aca="false">IF($O428&lt;$Q428,$E428*ROUND($Q428*$H428,2),$G428)</f>
        <v>119233.41</v>
      </c>
      <c r="T428" s="15" t="n">
        <f aca="false">IF($O428&lt;$Q428,ROUND($L428*$S428/$G428,2),$L428)</f>
        <v>2408.76</v>
      </c>
      <c r="U428" s="15" t="n">
        <f aca="false">ROUND(($S428-$G428)-($T428-$L428),2)</f>
        <v>0</v>
      </c>
      <c r="V428" s="15" t="n">
        <f aca="false">IF($O428&lt;$Q428,ROUND($S428-$K428-$T428,2),$M428)</f>
        <v>40396.65</v>
      </c>
    </row>
    <row r="429" customFormat="false" ht="15" hidden="false" customHeight="false" outlineLevel="0" collapsed="false">
      <c r="B429" s="13" t="s">
        <v>283</v>
      </c>
      <c r="C429" s="13" t="s">
        <v>218</v>
      </c>
      <c r="D429" s="13" t="s">
        <v>56</v>
      </c>
      <c r="E429" s="24" t="n">
        <v>838</v>
      </c>
      <c r="F429" s="14" t="n">
        <v>74977.54</v>
      </c>
      <c r="G429" s="14" t="n">
        <v>74227.76</v>
      </c>
      <c r="H429" s="15" t="n">
        <f aca="false">INDEX('Your Inputs'!$C$8:$C$10,MATCH($D429,'Your Inputs'!$B$8:$B$10,0))</f>
        <v>96</v>
      </c>
      <c r="I429" s="15" t="n">
        <f aca="false">INDEX('Your Inputs'!$D$8:$D$10,MATCH($D429,'Your Inputs'!$B$8:$B$10,0))</f>
        <v>58</v>
      </c>
      <c r="J429" s="15" t="n">
        <f aca="false">ROUND($E429*$H429,2)</f>
        <v>80448</v>
      </c>
      <c r="K429" s="15" t="n">
        <f aca="false">ROUND($E429*$I429,2)</f>
        <v>48604</v>
      </c>
      <c r="L429" s="15" t="n">
        <f aca="false">ROUND($F429*'Your Inputs'!$C$31,2)</f>
        <v>1499.55</v>
      </c>
      <c r="M429" s="15" t="n">
        <f aca="false">ROUND($G429-$K429-$L429,2)</f>
        <v>24124.21</v>
      </c>
      <c r="N429" s="15" t="n">
        <f aca="false">$G429/$E429</f>
        <v>88.5772792362768</v>
      </c>
      <c r="O429" s="25" t="n">
        <f aca="false">$G429/$J429</f>
        <v>0.92267999204455</v>
      </c>
      <c r="P429" s="18" t="str">
        <f aca="false">$C429&amp;" | "&amp;$D429</f>
        <v>Small direct | Protective coatings</v>
      </c>
      <c r="Q429" s="25" t="n">
        <f aca="false">INDEX('Your Floors'!$K$20:$K$31,MATCH($P429,'Your Floors'!$D$20:$D$31,0))</f>
        <v>0.922679993872549</v>
      </c>
      <c r="R429" s="18" t="str">
        <f aca="false">IF($O429&lt;$Q429,"below the floor","at or above it")</f>
        <v>below the floor</v>
      </c>
      <c r="S429" s="15" t="n">
        <f aca="false">IF($O429&lt;$Q429,$E429*ROUND($Q429*$H429,2),$G429)</f>
        <v>74230.04</v>
      </c>
      <c r="T429" s="15" t="n">
        <f aca="false">IF($O429&lt;$Q429,ROUND($L429*$S429/$G429,2),$L429)</f>
        <v>1499.6</v>
      </c>
      <c r="U429" s="15" t="n">
        <f aca="false">ROUND(($S429-$G429)-($T429-$L429),2)</f>
        <v>2.23</v>
      </c>
      <c r="V429" s="15" t="n">
        <f aca="false">IF($O429&lt;$Q429,ROUND($S429-$K429-$T429,2),$M429)</f>
        <v>24126.44</v>
      </c>
    </row>
    <row r="430" customFormat="false" ht="15" hidden="false" customHeight="false" outlineLevel="0" collapsed="false">
      <c r="B430" s="13" t="s">
        <v>284</v>
      </c>
      <c r="C430" s="13" t="s">
        <v>218</v>
      </c>
      <c r="D430" s="13" t="s">
        <v>54</v>
      </c>
      <c r="E430" s="24" t="n">
        <v>2393</v>
      </c>
      <c r="F430" s="14" t="n">
        <v>142505.54</v>
      </c>
      <c r="G430" s="14" t="n">
        <v>138230.37</v>
      </c>
      <c r="H430" s="15" t="n">
        <f aca="false">INDEX('Your Inputs'!$C$8:$C$10,MATCH($D430,'Your Inputs'!$B$8:$B$10,0))</f>
        <v>62</v>
      </c>
      <c r="I430" s="15" t="n">
        <f aca="false">INDEX('Your Inputs'!$D$8:$D$10,MATCH($D430,'Your Inputs'!$B$8:$B$10,0))</f>
        <v>36</v>
      </c>
      <c r="J430" s="15" t="n">
        <f aca="false">ROUND($E430*$H430,2)</f>
        <v>148366</v>
      </c>
      <c r="K430" s="15" t="n">
        <f aca="false">ROUND($E430*$I430,2)</f>
        <v>86148</v>
      </c>
      <c r="L430" s="15" t="n">
        <f aca="false">ROUND($F430*'Your Inputs'!$C$31,2)</f>
        <v>2850.11</v>
      </c>
      <c r="M430" s="15" t="n">
        <f aca="false">ROUND($G430-$K430-$L430,2)</f>
        <v>49232.26</v>
      </c>
      <c r="N430" s="15" t="n">
        <f aca="false">$G430/$E430</f>
        <v>57.7644671959883</v>
      </c>
      <c r="O430" s="25" t="n">
        <f aca="false">$G430/$J430</f>
        <v>0.931684954774005</v>
      </c>
      <c r="P430" s="18" t="str">
        <f aca="false">$C430&amp;" | "&amp;$D430</f>
        <v>Small direct | Sealants</v>
      </c>
      <c r="Q430" s="25" t="n">
        <f aca="false">INDEX('Your Floors'!$K$20:$K$31,MATCH($P430,'Your Floors'!$D$20:$D$31,0))</f>
        <v>0.905849957217107</v>
      </c>
      <c r="R430" s="18" t="str">
        <f aca="false">IF($O430&lt;$Q430,"below the floor","at or above it")</f>
        <v>at or above it</v>
      </c>
      <c r="S430" s="15" t="n">
        <f aca="false">IF($O430&lt;$Q430,$E430*ROUND($Q430*$H430,2),$G430)</f>
        <v>138230.37</v>
      </c>
      <c r="T430" s="15" t="n">
        <f aca="false">IF($O430&lt;$Q430,ROUND($L430*$S430/$G430,2),$L430)</f>
        <v>2850.11</v>
      </c>
      <c r="U430" s="15" t="n">
        <f aca="false">ROUND(($S430-$G430)-($T430-$L430),2)</f>
        <v>0</v>
      </c>
      <c r="V430" s="15" t="n">
        <f aca="false">IF($O430&lt;$Q430,ROUND($S430-$K430-$T430,2),$M430)</f>
        <v>49232.26</v>
      </c>
    </row>
    <row r="431" customFormat="false" ht="15" hidden="false" customHeight="false" outlineLevel="0" collapsed="false">
      <c r="B431" s="13" t="s">
        <v>284</v>
      </c>
      <c r="C431" s="13" t="s">
        <v>218</v>
      </c>
      <c r="D431" s="13" t="s">
        <v>56</v>
      </c>
      <c r="E431" s="24" t="n">
        <v>640</v>
      </c>
      <c r="F431" s="14" t="n">
        <v>59326.46</v>
      </c>
      <c r="G431" s="14" t="n">
        <v>57546.67</v>
      </c>
      <c r="H431" s="15" t="n">
        <f aca="false">INDEX('Your Inputs'!$C$8:$C$10,MATCH($D431,'Your Inputs'!$B$8:$B$10,0))</f>
        <v>96</v>
      </c>
      <c r="I431" s="15" t="n">
        <f aca="false">INDEX('Your Inputs'!$D$8:$D$10,MATCH($D431,'Your Inputs'!$B$8:$B$10,0))</f>
        <v>58</v>
      </c>
      <c r="J431" s="15" t="n">
        <f aca="false">ROUND($E431*$H431,2)</f>
        <v>61440</v>
      </c>
      <c r="K431" s="15" t="n">
        <f aca="false">ROUND($E431*$I431,2)</f>
        <v>37120</v>
      </c>
      <c r="L431" s="15" t="n">
        <f aca="false">ROUND($F431*'Your Inputs'!$C$31,2)</f>
        <v>1186.53</v>
      </c>
      <c r="M431" s="15" t="n">
        <f aca="false">ROUND($G431-$K431-$L431,2)</f>
        <v>19240.14</v>
      </c>
      <c r="N431" s="15" t="n">
        <f aca="false">$G431/$E431</f>
        <v>89.916671875</v>
      </c>
      <c r="O431" s="25" t="n">
        <f aca="false">$G431/$J431</f>
        <v>0.936631998697917</v>
      </c>
      <c r="P431" s="18" t="str">
        <f aca="false">$C431&amp;" | "&amp;$D431</f>
        <v>Small direct | Protective coatings</v>
      </c>
      <c r="Q431" s="25" t="n">
        <f aca="false">INDEX('Your Floors'!$K$20:$K$31,MATCH($P431,'Your Floors'!$D$20:$D$31,0))</f>
        <v>0.922679993872549</v>
      </c>
      <c r="R431" s="18" t="str">
        <f aca="false">IF($O431&lt;$Q431,"below the floor","at or above it")</f>
        <v>at or above it</v>
      </c>
      <c r="S431" s="15" t="n">
        <f aca="false">IF($O431&lt;$Q431,$E431*ROUND($Q431*$H431,2),$G431)</f>
        <v>57546.67</v>
      </c>
      <c r="T431" s="15" t="n">
        <f aca="false">IF($O431&lt;$Q431,ROUND($L431*$S431/$G431,2),$L431)</f>
        <v>1186.53</v>
      </c>
      <c r="U431" s="15" t="n">
        <f aca="false">ROUND(($S431-$G431)-($T431-$L431),2)</f>
        <v>0</v>
      </c>
      <c r="V431" s="15" t="n">
        <f aca="false">IF($O431&lt;$Q431,ROUND($S431-$K431-$T431,2),$M431)</f>
        <v>19240.14</v>
      </c>
    </row>
    <row r="432" customFormat="false" ht="15" hidden="false" customHeight="false" outlineLevel="0" collapsed="false">
      <c r="B432" s="13" t="s">
        <v>285</v>
      </c>
      <c r="C432" s="13" t="s">
        <v>218</v>
      </c>
      <c r="D432" s="13" t="s">
        <v>52</v>
      </c>
      <c r="E432" s="24" t="n">
        <v>31</v>
      </c>
      <c r="F432" s="14" t="n">
        <v>4453.57</v>
      </c>
      <c r="G432" s="14" t="n">
        <v>4409.03</v>
      </c>
      <c r="H432" s="15" t="n">
        <f aca="false">INDEX('Your Inputs'!$C$8:$C$10,MATCH($D432,'Your Inputs'!$B$8:$B$10,0))</f>
        <v>148</v>
      </c>
      <c r="I432" s="15" t="n">
        <f aca="false">INDEX('Your Inputs'!$D$8:$D$10,MATCH($D432,'Your Inputs'!$B$8:$B$10,0))</f>
        <v>78</v>
      </c>
      <c r="J432" s="15" t="n">
        <f aca="false">ROUND($E432*$H432,2)</f>
        <v>4588</v>
      </c>
      <c r="K432" s="15" t="n">
        <f aca="false">ROUND($E432*$I432,2)</f>
        <v>2418</v>
      </c>
      <c r="L432" s="15" t="n">
        <f aca="false">ROUND($F432*'Your Inputs'!$C$31,2)</f>
        <v>89.07</v>
      </c>
      <c r="M432" s="15" t="n">
        <f aca="false">ROUND($G432-$K432-$L432,2)</f>
        <v>1901.96</v>
      </c>
      <c r="N432" s="15" t="n">
        <f aca="false">$G432/$E432</f>
        <v>142.226774193548</v>
      </c>
      <c r="O432" s="25" t="n">
        <f aca="false">$G432/$J432</f>
        <v>0.960991717523976</v>
      </c>
      <c r="P432" s="18" t="str">
        <f aca="false">$C432&amp;" | "&amp;$D432</f>
        <v>Small direct | Structural adhesives</v>
      </c>
      <c r="Q432" s="25" t="n">
        <f aca="false">INDEX('Your Floors'!$K$20:$K$31,MATCH($P432,'Your Floors'!$D$20:$D$31,0))</f>
        <v>0.939509972168612</v>
      </c>
      <c r="R432" s="18" t="str">
        <f aca="false">IF($O432&lt;$Q432,"below the floor","at or above it")</f>
        <v>at or above it</v>
      </c>
      <c r="S432" s="15" t="n">
        <f aca="false">IF($O432&lt;$Q432,$E432*ROUND($Q432*$H432,2),$G432)</f>
        <v>4409.03</v>
      </c>
      <c r="T432" s="15" t="n">
        <f aca="false">IF($O432&lt;$Q432,ROUND($L432*$S432/$G432,2),$L432)</f>
        <v>89.07</v>
      </c>
      <c r="U432" s="15" t="n">
        <f aca="false">ROUND(($S432-$G432)-($T432-$L432),2)</f>
        <v>0</v>
      </c>
      <c r="V432" s="15" t="n">
        <f aca="false">IF($O432&lt;$Q432,ROUND($S432-$K432-$T432,2),$M432)</f>
        <v>1901.96</v>
      </c>
    </row>
    <row r="433" customFormat="false" ht="15" hidden="false" customHeight="false" outlineLevel="0" collapsed="false">
      <c r="B433" s="13" t="s">
        <v>285</v>
      </c>
      <c r="C433" s="13" t="s">
        <v>218</v>
      </c>
      <c r="D433" s="13" t="s">
        <v>54</v>
      </c>
      <c r="E433" s="24" t="n">
        <v>984</v>
      </c>
      <c r="F433" s="14" t="n">
        <v>58598.18</v>
      </c>
      <c r="G433" s="14" t="n">
        <v>58012.2</v>
      </c>
      <c r="H433" s="15" t="n">
        <f aca="false">INDEX('Your Inputs'!$C$8:$C$10,MATCH($D433,'Your Inputs'!$B$8:$B$10,0))</f>
        <v>62</v>
      </c>
      <c r="I433" s="15" t="n">
        <f aca="false">INDEX('Your Inputs'!$D$8:$D$10,MATCH($D433,'Your Inputs'!$B$8:$B$10,0))</f>
        <v>36</v>
      </c>
      <c r="J433" s="15" t="n">
        <f aca="false">ROUND($E433*$H433,2)</f>
        <v>61008</v>
      </c>
      <c r="K433" s="15" t="n">
        <f aca="false">ROUND($E433*$I433,2)</f>
        <v>35424</v>
      </c>
      <c r="L433" s="15" t="n">
        <f aca="false">ROUND($F433*'Your Inputs'!$C$31,2)</f>
        <v>1171.96</v>
      </c>
      <c r="M433" s="15" t="n">
        <f aca="false">ROUND($G433-$K433-$L433,2)</f>
        <v>21416.24</v>
      </c>
      <c r="N433" s="15" t="n">
        <f aca="false">$G433/$E433</f>
        <v>58.9554878048781</v>
      </c>
      <c r="O433" s="25" t="n">
        <f aca="false">$G433/$J433</f>
        <v>0.950894964594807</v>
      </c>
      <c r="P433" s="18" t="str">
        <f aca="false">$C433&amp;" | "&amp;$D433</f>
        <v>Small direct | Sealants</v>
      </c>
      <c r="Q433" s="25" t="n">
        <f aca="false">INDEX('Your Floors'!$K$20:$K$31,MATCH($P433,'Your Floors'!$D$20:$D$31,0))</f>
        <v>0.905849957217107</v>
      </c>
      <c r="R433" s="18" t="str">
        <f aca="false">IF($O433&lt;$Q433,"below the floor","at or above it")</f>
        <v>at or above it</v>
      </c>
      <c r="S433" s="15" t="n">
        <f aca="false">IF($O433&lt;$Q433,$E433*ROUND($Q433*$H433,2),$G433)</f>
        <v>58012.2</v>
      </c>
      <c r="T433" s="15" t="n">
        <f aca="false">IF($O433&lt;$Q433,ROUND($L433*$S433/$G433,2),$L433)</f>
        <v>1171.96</v>
      </c>
      <c r="U433" s="15" t="n">
        <f aca="false">ROUND(($S433-$G433)-($T433-$L433),2)</f>
        <v>0</v>
      </c>
      <c r="V433" s="15" t="n">
        <f aca="false">IF($O433&lt;$Q433,ROUND($S433-$K433-$T433,2),$M433)</f>
        <v>21416.24</v>
      </c>
    </row>
    <row r="434" customFormat="false" ht="15" hidden="false" customHeight="false" outlineLevel="0" collapsed="false">
      <c r="B434" s="13" t="s">
        <v>285</v>
      </c>
      <c r="C434" s="13" t="s">
        <v>218</v>
      </c>
      <c r="D434" s="13" t="s">
        <v>56</v>
      </c>
      <c r="E434" s="24" t="n">
        <v>465</v>
      </c>
      <c r="F434" s="14" t="n">
        <v>43104.38</v>
      </c>
      <c r="G434" s="14" t="n">
        <v>42673.34</v>
      </c>
      <c r="H434" s="15" t="n">
        <f aca="false">INDEX('Your Inputs'!$C$8:$C$10,MATCH($D434,'Your Inputs'!$B$8:$B$10,0))</f>
        <v>96</v>
      </c>
      <c r="I434" s="15" t="n">
        <f aca="false">INDEX('Your Inputs'!$D$8:$D$10,MATCH($D434,'Your Inputs'!$B$8:$B$10,0))</f>
        <v>58</v>
      </c>
      <c r="J434" s="15" t="n">
        <f aca="false">ROUND($E434*$H434,2)</f>
        <v>44640</v>
      </c>
      <c r="K434" s="15" t="n">
        <f aca="false">ROUND($E434*$I434,2)</f>
        <v>26970</v>
      </c>
      <c r="L434" s="15" t="n">
        <f aca="false">ROUND($F434*'Your Inputs'!$C$31,2)</f>
        <v>862.09</v>
      </c>
      <c r="M434" s="15" t="n">
        <f aca="false">ROUND($G434-$K434-$L434,2)</f>
        <v>14841.25</v>
      </c>
      <c r="N434" s="15" t="n">
        <f aca="false">$G434/$E434</f>
        <v>91.770623655914</v>
      </c>
      <c r="O434" s="25" t="n">
        <f aca="false">$G434/$J434</f>
        <v>0.955943996415771</v>
      </c>
      <c r="P434" s="18" t="str">
        <f aca="false">$C434&amp;" | "&amp;$D434</f>
        <v>Small direct | Protective coatings</v>
      </c>
      <c r="Q434" s="25" t="n">
        <f aca="false">INDEX('Your Floors'!$K$20:$K$31,MATCH($P434,'Your Floors'!$D$20:$D$31,0))</f>
        <v>0.922679993872549</v>
      </c>
      <c r="R434" s="18" t="str">
        <f aca="false">IF($O434&lt;$Q434,"below the floor","at or above it")</f>
        <v>at or above it</v>
      </c>
      <c r="S434" s="15" t="n">
        <f aca="false">IF($O434&lt;$Q434,$E434*ROUND($Q434*$H434,2),$G434)</f>
        <v>42673.34</v>
      </c>
      <c r="T434" s="15" t="n">
        <f aca="false">IF($O434&lt;$Q434,ROUND($L434*$S434/$G434,2),$L434)</f>
        <v>862.09</v>
      </c>
      <c r="U434" s="15" t="n">
        <f aca="false">ROUND(($S434-$G434)-($T434-$L434),2)</f>
        <v>0</v>
      </c>
      <c r="V434" s="15" t="n">
        <f aca="false">IF($O434&lt;$Q434,ROUND($S434-$K434-$T434,2),$M434)</f>
        <v>14841.25</v>
      </c>
    </row>
    <row r="435" customFormat="false" ht="15" hidden="false" customHeight="false" outlineLevel="0" collapsed="false">
      <c r="B435" s="13" t="s">
        <v>286</v>
      </c>
      <c r="C435" s="13" t="s">
        <v>218</v>
      </c>
      <c r="D435" s="13" t="s">
        <v>52</v>
      </c>
      <c r="E435" s="24" t="n">
        <v>57</v>
      </c>
      <c r="F435" s="14" t="n">
        <v>8031.92</v>
      </c>
      <c r="G435" s="14" t="n">
        <v>7951.6</v>
      </c>
      <c r="H435" s="15" t="n">
        <f aca="false">INDEX('Your Inputs'!$C$8:$C$10,MATCH($D435,'Your Inputs'!$B$8:$B$10,0))</f>
        <v>148</v>
      </c>
      <c r="I435" s="15" t="n">
        <f aca="false">INDEX('Your Inputs'!$D$8:$D$10,MATCH($D435,'Your Inputs'!$B$8:$B$10,0))</f>
        <v>78</v>
      </c>
      <c r="J435" s="15" t="n">
        <f aca="false">ROUND($E435*$H435,2)</f>
        <v>8436</v>
      </c>
      <c r="K435" s="15" t="n">
        <f aca="false">ROUND($E435*$I435,2)</f>
        <v>4446</v>
      </c>
      <c r="L435" s="15" t="n">
        <f aca="false">ROUND($F435*'Your Inputs'!$C$31,2)</f>
        <v>160.64</v>
      </c>
      <c r="M435" s="15" t="n">
        <f aca="false">ROUND($G435-$K435-$L435,2)</f>
        <v>3344.96</v>
      </c>
      <c r="N435" s="15" t="n">
        <f aca="false">$G435/$E435</f>
        <v>139.501754385965</v>
      </c>
      <c r="O435" s="25" t="n">
        <f aca="false">$G435/$J435</f>
        <v>0.94257942152679</v>
      </c>
      <c r="P435" s="18" t="str">
        <f aca="false">$C435&amp;" | "&amp;$D435</f>
        <v>Small direct | Structural adhesives</v>
      </c>
      <c r="Q435" s="25" t="n">
        <f aca="false">INDEX('Your Floors'!$K$20:$K$31,MATCH($P435,'Your Floors'!$D$20:$D$31,0))</f>
        <v>0.939509972168612</v>
      </c>
      <c r="R435" s="18" t="str">
        <f aca="false">IF($O435&lt;$Q435,"below the floor","at or above it")</f>
        <v>at or above it</v>
      </c>
      <c r="S435" s="15" t="n">
        <f aca="false">IF($O435&lt;$Q435,$E435*ROUND($Q435*$H435,2),$G435)</f>
        <v>7951.6</v>
      </c>
      <c r="T435" s="15" t="n">
        <f aca="false">IF($O435&lt;$Q435,ROUND($L435*$S435/$G435,2),$L435)</f>
        <v>160.64</v>
      </c>
      <c r="U435" s="15" t="n">
        <f aca="false">ROUND(($S435-$G435)-($T435-$L435),2)</f>
        <v>0</v>
      </c>
      <c r="V435" s="15" t="n">
        <f aca="false">IF($O435&lt;$Q435,ROUND($S435-$K435-$T435,2),$M435)</f>
        <v>3344.96</v>
      </c>
    </row>
    <row r="436" customFormat="false" ht="15" hidden="false" customHeight="false" outlineLevel="0" collapsed="false">
      <c r="B436" s="13" t="s">
        <v>286</v>
      </c>
      <c r="C436" s="13" t="s">
        <v>218</v>
      </c>
      <c r="D436" s="13" t="s">
        <v>54</v>
      </c>
      <c r="E436" s="24" t="n">
        <v>1868</v>
      </c>
      <c r="F436" s="14" t="n">
        <v>106724.44</v>
      </c>
      <c r="G436" s="14" t="n">
        <v>105657.2</v>
      </c>
      <c r="H436" s="15" t="n">
        <f aca="false">INDEX('Your Inputs'!$C$8:$C$10,MATCH($D436,'Your Inputs'!$B$8:$B$10,0))</f>
        <v>62</v>
      </c>
      <c r="I436" s="15" t="n">
        <f aca="false">INDEX('Your Inputs'!$D$8:$D$10,MATCH($D436,'Your Inputs'!$B$8:$B$10,0))</f>
        <v>36</v>
      </c>
      <c r="J436" s="15" t="n">
        <f aca="false">ROUND($E436*$H436,2)</f>
        <v>115816</v>
      </c>
      <c r="K436" s="15" t="n">
        <f aca="false">ROUND($E436*$I436,2)</f>
        <v>67248</v>
      </c>
      <c r="L436" s="15" t="n">
        <f aca="false">ROUND($F436*'Your Inputs'!$C$31,2)</f>
        <v>2134.49</v>
      </c>
      <c r="M436" s="15" t="n">
        <f aca="false">ROUND($G436-$K436-$L436,2)</f>
        <v>36274.71</v>
      </c>
      <c r="N436" s="15" t="n">
        <f aca="false">$G436/$E436</f>
        <v>56.561670235546</v>
      </c>
      <c r="O436" s="25" t="n">
        <f aca="false">$G436/$J436</f>
        <v>0.91228500379913</v>
      </c>
      <c r="P436" s="18" t="str">
        <f aca="false">$C436&amp;" | "&amp;$D436</f>
        <v>Small direct | Sealants</v>
      </c>
      <c r="Q436" s="25" t="n">
        <f aca="false">INDEX('Your Floors'!$K$20:$K$31,MATCH($P436,'Your Floors'!$D$20:$D$31,0))</f>
        <v>0.905849957217107</v>
      </c>
      <c r="R436" s="18" t="str">
        <f aca="false">IF($O436&lt;$Q436,"below the floor","at or above it")</f>
        <v>at or above it</v>
      </c>
      <c r="S436" s="15" t="n">
        <f aca="false">IF($O436&lt;$Q436,$E436*ROUND($Q436*$H436,2),$G436)</f>
        <v>105657.2</v>
      </c>
      <c r="T436" s="15" t="n">
        <f aca="false">IF($O436&lt;$Q436,ROUND($L436*$S436/$G436,2),$L436)</f>
        <v>2134.49</v>
      </c>
      <c r="U436" s="15" t="n">
        <f aca="false">ROUND(($S436-$G436)-($T436-$L436),2)</f>
        <v>0</v>
      </c>
      <c r="V436" s="15" t="n">
        <f aca="false">IF($O436&lt;$Q436,ROUND($S436-$K436-$T436,2),$M436)</f>
        <v>36274.71</v>
      </c>
    </row>
    <row r="437" customFormat="false" ht="15" hidden="false" customHeight="false" outlineLevel="0" collapsed="false">
      <c r="B437" s="13" t="s">
        <v>286</v>
      </c>
      <c r="C437" s="13" t="s">
        <v>218</v>
      </c>
      <c r="D437" s="13" t="s">
        <v>56</v>
      </c>
      <c r="E437" s="24" t="n">
        <v>683</v>
      </c>
      <c r="F437" s="14" t="n">
        <v>61424.1</v>
      </c>
      <c r="G437" s="14" t="n">
        <v>60809.86</v>
      </c>
      <c r="H437" s="15" t="n">
        <f aca="false">INDEX('Your Inputs'!$C$8:$C$10,MATCH($D437,'Your Inputs'!$B$8:$B$10,0))</f>
        <v>96</v>
      </c>
      <c r="I437" s="15" t="n">
        <f aca="false">INDEX('Your Inputs'!$D$8:$D$10,MATCH($D437,'Your Inputs'!$B$8:$B$10,0))</f>
        <v>58</v>
      </c>
      <c r="J437" s="15" t="n">
        <f aca="false">ROUND($E437*$H437,2)</f>
        <v>65568</v>
      </c>
      <c r="K437" s="15" t="n">
        <f aca="false">ROUND($E437*$I437,2)</f>
        <v>39614</v>
      </c>
      <c r="L437" s="15" t="n">
        <f aca="false">ROUND($F437*'Your Inputs'!$C$31,2)</f>
        <v>1228.48</v>
      </c>
      <c r="M437" s="15" t="n">
        <f aca="false">ROUND($G437-$K437-$L437,2)</f>
        <v>19967.38</v>
      </c>
      <c r="N437" s="15" t="n">
        <f aca="false">$G437/$E437</f>
        <v>89.0334699853587</v>
      </c>
      <c r="O437" s="25" t="n">
        <f aca="false">$G437/$J437</f>
        <v>0.927431979014153</v>
      </c>
      <c r="P437" s="18" t="str">
        <f aca="false">$C437&amp;" | "&amp;$D437</f>
        <v>Small direct | Protective coatings</v>
      </c>
      <c r="Q437" s="25" t="n">
        <f aca="false">INDEX('Your Floors'!$K$20:$K$31,MATCH($P437,'Your Floors'!$D$20:$D$31,0))</f>
        <v>0.922679993872549</v>
      </c>
      <c r="R437" s="18" t="str">
        <f aca="false">IF($O437&lt;$Q437,"below the floor","at or above it")</f>
        <v>at or above it</v>
      </c>
      <c r="S437" s="15" t="n">
        <f aca="false">IF($O437&lt;$Q437,$E437*ROUND($Q437*$H437,2),$G437)</f>
        <v>60809.86</v>
      </c>
      <c r="T437" s="15" t="n">
        <f aca="false">IF($O437&lt;$Q437,ROUND($L437*$S437/$G437,2),$L437)</f>
        <v>1228.48</v>
      </c>
      <c r="U437" s="15" t="n">
        <f aca="false">ROUND(($S437-$G437)-($T437-$L437),2)</f>
        <v>0</v>
      </c>
      <c r="V437" s="15" t="n">
        <f aca="false">IF($O437&lt;$Q437,ROUND($S437-$K437-$T437,2),$M437)</f>
        <v>19967.38</v>
      </c>
    </row>
    <row r="438" customFormat="false" ht="15" hidden="false" customHeight="false" outlineLevel="0" collapsed="false">
      <c r="B438" s="13" t="s">
        <v>287</v>
      </c>
      <c r="C438" s="13" t="s">
        <v>218</v>
      </c>
      <c r="D438" s="13" t="s">
        <v>52</v>
      </c>
      <c r="E438" s="24" t="n">
        <v>611</v>
      </c>
      <c r="F438" s="14" t="n">
        <v>83573.56</v>
      </c>
      <c r="G438" s="14" t="n">
        <v>82737.82</v>
      </c>
      <c r="H438" s="15" t="n">
        <f aca="false">INDEX('Your Inputs'!$C$8:$C$10,MATCH($D438,'Your Inputs'!$B$8:$B$10,0))</f>
        <v>148</v>
      </c>
      <c r="I438" s="15" t="n">
        <f aca="false">INDEX('Your Inputs'!$D$8:$D$10,MATCH($D438,'Your Inputs'!$B$8:$B$10,0))</f>
        <v>78</v>
      </c>
      <c r="J438" s="15" t="n">
        <f aca="false">ROUND($E438*$H438,2)</f>
        <v>90428</v>
      </c>
      <c r="K438" s="15" t="n">
        <f aca="false">ROUND($E438*$I438,2)</f>
        <v>47658</v>
      </c>
      <c r="L438" s="15" t="n">
        <f aca="false">ROUND($F438*'Your Inputs'!$C$31,2)</f>
        <v>1671.47</v>
      </c>
      <c r="M438" s="15" t="n">
        <f aca="false">ROUND($G438-$K438-$L438,2)</f>
        <v>33408.35</v>
      </c>
      <c r="N438" s="15" t="n">
        <f aca="false">$G438/$E438</f>
        <v>135.413780687398</v>
      </c>
      <c r="O438" s="25" t="n">
        <f aca="false">$G438/$J438</f>
        <v>0.914957977617552</v>
      </c>
      <c r="P438" s="18" t="str">
        <f aca="false">$C438&amp;" | "&amp;$D438</f>
        <v>Small direct | Structural adhesives</v>
      </c>
      <c r="Q438" s="25" t="n">
        <f aca="false">INDEX('Your Floors'!$K$20:$K$31,MATCH($P438,'Your Floors'!$D$20:$D$31,0))</f>
        <v>0.939509972168612</v>
      </c>
      <c r="R438" s="18" t="str">
        <f aca="false">IF($O438&lt;$Q438,"below the floor","at or above it")</f>
        <v>below the floor</v>
      </c>
      <c r="S438" s="15" t="n">
        <f aca="false">IF($O438&lt;$Q438,$E438*ROUND($Q438*$H438,2),$G438)</f>
        <v>84959.55</v>
      </c>
      <c r="T438" s="15" t="n">
        <f aca="false">IF($O438&lt;$Q438,ROUND($L438*$S438/$G438,2),$L438)</f>
        <v>1716.35</v>
      </c>
      <c r="U438" s="15" t="n">
        <f aca="false">ROUND(($S438-$G438)-($T438-$L438),2)</f>
        <v>2176.85</v>
      </c>
      <c r="V438" s="15" t="n">
        <f aca="false">IF($O438&lt;$Q438,ROUND($S438-$K438-$T438,2),$M438)</f>
        <v>35585.2</v>
      </c>
    </row>
    <row r="439" customFormat="false" ht="15" hidden="false" customHeight="false" outlineLevel="0" collapsed="false">
      <c r="B439" s="13" t="s">
        <v>287</v>
      </c>
      <c r="C439" s="13" t="s">
        <v>218</v>
      </c>
      <c r="D439" s="13" t="s">
        <v>54</v>
      </c>
      <c r="E439" s="24" t="n">
        <v>1859</v>
      </c>
      <c r="F439" s="14" t="n">
        <v>99467.65</v>
      </c>
      <c r="G439" s="14" t="n">
        <v>98472.97</v>
      </c>
      <c r="H439" s="15" t="n">
        <f aca="false">INDEX('Your Inputs'!$C$8:$C$10,MATCH($D439,'Your Inputs'!$B$8:$B$10,0))</f>
        <v>62</v>
      </c>
      <c r="I439" s="15" t="n">
        <f aca="false">INDEX('Your Inputs'!$D$8:$D$10,MATCH($D439,'Your Inputs'!$B$8:$B$10,0))</f>
        <v>36</v>
      </c>
      <c r="J439" s="15" t="n">
        <f aca="false">ROUND($E439*$H439,2)</f>
        <v>115258</v>
      </c>
      <c r="K439" s="15" t="n">
        <f aca="false">ROUND($E439*$I439,2)</f>
        <v>66924</v>
      </c>
      <c r="L439" s="15" t="n">
        <f aca="false">ROUND($F439*'Your Inputs'!$C$31,2)</f>
        <v>1989.35</v>
      </c>
      <c r="M439" s="15" t="n">
        <f aca="false">ROUND($G439-$K439-$L439,2)</f>
        <v>29559.62</v>
      </c>
      <c r="N439" s="15" t="n">
        <f aca="false">$G439/$E439</f>
        <v>52.9709359870898</v>
      </c>
      <c r="O439" s="25" t="n">
        <f aca="false">$G439/$J439</f>
        <v>0.854369935275643</v>
      </c>
      <c r="P439" s="18" t="str">
        <f aca="false">$C439&amp;" | "&amp;$D439</f>
        <v>Small direct | Sealants</v>
      </c>
      <c r="Q439" s="25" t="n">
        <f aca="false">INDEX('Your Floors'!$K$20:$K$31,MATCH($P439,'Your Floors'!$D$20:$D$31,0))</f>
        <v>0.905849957217107</v>
      </c>
      <c r="R439" s="18" t="str">
        <f aca="false">IF($O439&lt;$Q439,"below the floor","at or above it")</f>
        <v>below the floor</v>
      </c>
      <c r="S439" s="15" t="n">
        <f aca="false">IF($O439&lt;$Q439,$E439*ROUND($Q439*$H439,2),$G439)</f>
        <v>104401.44</v>
      </c>
      <c r="T439" s="15" t="n">
        <f aca="false">IF($O439&lt;$Q439,ROUND($L439*$S439/$G439,2),$L439)</f>
        <v>2109.12</v>
      </c>
      <c r="U439" s="15" t="n">
        <f aca="false">ROUND(($S439-$G439)-($T439-$L439),2)</f>
        <v>5808.7</v>
      </c>
      <c r="V439" s="15" t="n">
        <f aca="false">IF($O439&lt;$Q439,ROUND($S439-$K439-$T439,2),$M439)</f>
        <v>35368.32</v>
      </c>
    </row>
    <row r="440" customFormat="false" ht="15" hidden="false" customHeight="false" outlineLevel="0" collapsed="false">
      <c r="B440" s="13" t="s">
        <v>287</v>
      </c>
      <c r="C440" s="13" t="s">
        <v>218</v>
      </c>
      <c r="D440" s="13" t="s">
        <v>56</v>
      </c>
      <c r="E440" s="24" t="n">
        <v>378</v>
      </c>
      <c r="F440" s="14" t="n">
        <v>32426.96</v>
      </c>
      <c r="G440" s="14" t="n">
        <v>32102.69</v>
      </c>
      <c r="H440" s="15" t="n">
        <f aca="false">INDEX('Your Inputs'!$C$8:$C$10,MATCH($D440,'Your Inputs'!$B$8:$B$10,0))</f>
        <v>96</v>
      </c>
      <c r="I440" s="15" t="n">
        <f aca="false">INDEX('Your Inputs'!$D$8:$D$10,MATCH($D440,'Your Inputs'!$B$8:$B$10,0))</f>
        <v>58</v>
      </c>
      <c r="J440" s="15" t="n">
        <f aca="false">ROUND($E440*$H440,2)</f>
        <v>36288</v>
      </c>
      <c r="K440" s="15" t="n">
        <f aca="false">ROUND($E440*$I440,2)</f>
        <v>21924</v>
      </c>
      <c r="L440" s="15" t="n">
        <f aca="false">ROUND($F440*'Your Inputs'!$C$31,2)</f>
        <v>648.54</v>
      </c>
      <c r="M440" s="15" t="n">
        <f aca="false">ROUND($G440-$K440-$L440,2)</f>
        <v>9530.15</v>
      </c>
      <c r="N440" s="15" t="n">
        <f aca="false">$G440/$E440</f>
        <v>84.9277513227513</v>
      </c>
      <c r="O440" s="25" t="n">
        <f aca="false">$G440/$J440</f>
        <v>0.88466407627866</v>
      </c>
      <c r="P440" s="18" t="str">
        <f aca="false">$C440&amp;" | "&amp;$D440</f>
        <v>Small direct | Protective coatings</v>
      </c>
      <c r="Q440" s="25" t="n">
        <f aca="false">INDEX('Your Floors'!$K$20:$K$31,MATCH($P440,'Your Floors'!$D$20:$D$31,0))</f>
        <v>0.922679993872549</v>
      </c>
      <c r="R440" s="18" t="str">
        <f aca="false">IF($O440&lt;$Q440,"below the floor","at or above it")</f>
        <v>below the floor</v>
      </c>
      <c r="S440" s="15" t="n">
        <f aca="false">IF($O440&lt;$Q440,$E440*ROUND($Q440*$H440,2),$G440)</f>
        <v>33483.24</v>
      </c>
      <c r="T440" s="15" t="n">
        <f aca="false">IF($O440&lt;$Q440,ROUND($L440*$S440/$G440,2),$L440)</f>
        <v>676.43</v>
      </c>
      <c r="U440" s="15" t="n">
        <f aca="false">ROUND(($S440-$G440)-($T440-$L440),2)</f>
        <v>1352.66</v>
      </c>
      <c r="V440" s="15" t="n">
        <f aca="false">IF($O440&lt;$Q440,ROUND($S440-$K440-$T440,2),$M440)</f>
        <v>10882.81</v>
      </c>
    </row>
    <row r="441" customFormat="false" ht="15" hidden="false" customHeight="false" outlineLevel="0" collapsed="false">
      <c r="B441" s="13" t="s">
        <v>288</v>
      </c>
      <c r="C441" s="13" t="s">
        <v>218</v>
      </c>
      <c r="D441" s="13" t="s">
        <v>54</v>
      </c>
      <c r="E441" s="24" t="n">
        <v>742</v>
      </c>
      <c r="F441" s="14" t="n">
        <v>45405.95</v>
      </c>
      <c r="G441" s="14" t="n">
        <v>44951.89</v>
      </c>
      <c r="H441" s="15" t="n">
        <f aca="false">INDEX('Your Inputs'!$C$8:$C$10,MATCH($D441,'Your Inputs'!$B$8:$B$10,0))</f>
        <v>62</v>
      </c>
      <c r="I441" s="15" t="n">
        <f aca="false">INDEX('Your Inputs'!$D$8:$D$10,MATCH($D441,'Your Inputs'!$B$8:$B$10,0))</f>
        <v>36</v>
      </c>
      <c r="J441" s="15" t="n">
        <f aca="false">ROUND($E441*$H441,2)</f>
        <v>46004</v>
      </c>
      <c r="K441" s="15" t="n">
        <f aca="false">ROUND($E441*$I441,2)</f>
        <v>26712</v>
      </c>
      <c r="L441" s="15" t="n">
        <f aca="false">ROUND($F441*'Your Inputs'!$C$31,2)</f>
        <v>908.12</v>
      </c>
      <c r="M441" s="15" t="n">
        <f aca="false">ROUND($G441-$K441-$L441,2)</f>
        <v>17331.77</v>
      </c>
      <c r="N441" s="15" t="n">
        <f aca="false">$G441/$E441</f>
        <v>60.5820619946092</v>
      </c>
      <c r="O441" s="25" t="n">
        <f aca="false">$G441/$J441</f>
        <v>0.977130032171116</v>
      </c>
      <c r="P441" s="18" t="str">
        <f aca="false">$C441&amp;" | "&amp;$D441</f>
        <v>Small direct | Sealants</v>
      </c>
      <c r="Q441" s="25" t="n">
        <f aca="false">INDEX('Your Floors'!$K$20:$K$31,MATCH($P441,'Your Floors'!$D$20:$D$31,0))</f>
        <v>0.905849957217107</v>
      </c>
      <c r="R441" s="18" t="str">
        <f aca="false">IF($O441&lt;$Q441,"below the floor","at or above it")</f>
        <v>at or above it</v>
      </c>
      <c r="S441" s="15" t="n">
        <f aca="false">IF($O441&lt;$Q441,$E441*ROUND($Q441*$H441,2),$G441)</f>
        <v>44951.89</v>
      </c>
      <c r="T441" s="15" t="n">
        <f aca="false">IF($O441&lt;$Q441,ROUND($L441*$S441/$G441,2),$L441)</f>
        <v>908.12</v>
      </c>
      <c r="U441" s="15" t="n">
        <f aca="false">ROUND(($S441-$G441)-($T441-$L441),2)</f>
        <v>0</v>
      </c>
      <c r="V441" s="15" t="n">
        <f aca="false">IF($O441&lt;$Q441,ROUND($S441-$K441-$T441,2),$M441)</f>
        <v>17331.77</v>
      </c>
    </row>
    <row r="442" customFormat="false" ht="15" hidden="false" customHeight="false" outlineLevel="0" collapsed="false">
      <c r="B442" s="13" t="s">
        <v>288</v>
      </c>
      <c r="C442" s="13" t="s">
        <v>218</v>
      </c>
      <c r="D442" s="13" t="s">
        <v>56</v>
      </c>
      <c r="E442" s="24" t="n">
        <v>260</v>
      </c>
      <c r="F442" s="14" t="n">
        <v>24720.38</v>
      </c>
      <c r="G442" s="14" t="n">
        <v>24473.18</v>
      </c>
      <c r="H442" s="15" t="n">
        <f aca="false">INDEX('Your Inputs'!$C$8:$C$10,MATCH($D442,'Your Inputs'!$B$8:$B$10,0))</f>
        <v>96</v>
      </c>
      <c r="I442" s="15" t="n">
        <f aca="false">INDEX('Your Inputs'!$D$8:$D$10,MATCH($D442,'Your Inputs'!$B$8:$B$10,0))</f>
        <v>58</v>
      </c>
      <c r="J442" s="15" t="n">
        <f aca="false">ROUND($E442*$H442,2)</f>
        <v>24960</v>
      </c>
      <c r="K442" s="15" t="n">
        <f aca="false">ROUND($E442*$I442,2)</f>
        <v>15080</v>
      </c>
      <c r="L442" s="15" t="n">
        <f aca="false">ROUND($F442*'Your Inputs'!$C$31,2)</f>
        <v>494.41</v>
      </c>
      <c r="M442" s="15" t="n">
        <f aca="false">ROUND($G442-$K442-$L442,2)</f>
        <v>8898.77</v>
      </c>
      <c r="N442" s="15" t="n">
        <f aca="false">$G442/$E442</f>
        <v>94.1276153846154</v>
      </c>
      <c r="O442" s="25" t="n">
        <f aca="false">$G442/$J442</f>
        <v>0.980495993589744</v>
      </c>
      <c r="P442" s="18" t="str">
        <f aca="false">$C442&amp;" | "&amp;$D442</f>
        <v>Small direct | Protective coatings</v>
      </c>
      <c r="Q442" s="25" t="n">
        <f aca="false">INDEX('Your Floors'!$K$20:$K$31,MATCH($P442,'Your Floors'!$D$20:$D$31,0))</f>
        <v>0.922679993872549</v>
      </c>
      <c r="R442" s="18" t="str">
        <f aca="false">IF($O442&lt;$Q442,"below the floor","at or above it")</f>
        <v>at or above it</v>
      </c>
      <c r="S442" s="15" t="n">
        <f aca="false">IF($O442&lt;$Q442,$E442*ROUND($Q442*$H442,2),$G442)</f>
        <v>24473.18</v>
      </c>
      <c r="T442" s="15" t="n">
        <f aca="false">IF($O442&lt;$Q442,ROUND($L442*$S442/$G442,2),$L442)</f>
        <v>494.41</v>
      </c>
      <c r="U442" s="15" t="n">
        <f aca="false">ROUND(($S442-$G442)-($T442-$L442),2)</f>
        <v>0</v>
      </c>
      <c r="V442" s="15" t="n">
        <f aca="false">IF($O442&lt;$Q442,ROUND($S442-$K442-$T442,2),$M442)</f>
        <v>8898.77</v>
      </c>
    </row>
    <row r="443" customFormat="false" ht="15" hidden="false" customHeight="false" outlineLevel="0" collapsed="false">
      <c r="B443" s="13" t="s">
        <v>289</v>
      </c>
      <c r="C443" s="13" t="s">
        <v>218</v>
      </c>
      <c r="D443" s="13" t="s">
        <v>52</v>
      </c>
      <c r="E443" s="24" t="n">
        <v>420</v>
      </c>
      <c r="F443" s="14" t="n">
        <v>60724.1</v>
      </c>
      <c r="G443" s="14" t="n">
        <v>60116.86</v>
      </c>
      <c r="H443" s="15" t="n">
        <f aca="false">INDEX('Your Inputs'!$C$8:$C$10,MATCH($D443,'Your Inputs'!$B$8:$B$10,0))</f>
        <v>148</v>
      </c>
      <c r="I443" s="15" t="n">
        <f aca="false">INDEX('Your Inputs'!$D$8:$D$10,MATCH($D443,'Your Inputs'!$B$8:$B$10,0))</f>
        <v>78</v>
      </c>
      <c r="J443" s="15" t="n">
        <f aca="false">ROUND($E443*$H443,2)</f>
        <v>62160</v>
      </c>
      <c r="K443" s="15" t="n">
        <f aca="false">ROUND($E443*$I443,2)</f>
        <v>32760</v>
      </c>
      <c r="L443" s="15" t="n">
        <f aca="false">ROUND($F443*'Your Inputs'!$C$31,2)</f>
        <v>1214.48</v>
      </c>
      <c r="M443" s="15" t="n">
        <f aca="false">ROUND($G443-$K443-$L443,2)</f>
        <v>26142.38</v>
      </c>
      <c r="N443" s="15" t="n">
        <f aca="false">$G443/$E443</f>
        <v>143.135380952381</v>
      </c>
      <c r="O443" s="25" t="n">
        <f aca="false">$G443/$J443</f>
        <v>0.967130952380952</v>
      </c>
      <c r="P443" s="18" t="str">
        <f aca="false">$C443&amp;" | "&amp;$D443</f>
        <v>Small direct | Structural adhesives</v>
      </c>
      <c r="Q443" s="25" t="n">
        <f aca="false">INDEX('Your Floors'!$K$20:$K$31,MATCH($P443,'Your Floors'!$D$20:$D$31,0))</f>
        <v>0.939509972168612</v>
      </c>
      <c r="R443" s="18" t="str">
        <f aca="false">IF($O443&lt;$Q443,"below the floor","at or above it")</f>
        <v>at or above it</v>
      </c>
      <c r="S443" s="15" t="n">
        <f aca="false">IF($O443&lt;$Q443,$E443*ROUND($Q443*$H443,2),$G443)</f>
        <v>60116.86</v>
      </c>
      <c r="T443" s="15" t="n">
        <f aca="false">IF($O443&lt;$Q443,ROUND($L443*$S443/$G443,2),$L443)</f>
        <v>1214.48</v>
      </c>
      <c r="U443" s="15" t="n">
        <f aca="false">ROUND(($S443-$G443)-($T443-$L443),2)</f>
        <v>0</v>
      </c>
      <c r="V443" s="15" t="n">
        <f aca="false">IF($O443&lt;$Q443,ROUND($S443-$K443-$T443,2),$M443)</f>
        <v>26142.38</v>
      </c>
    </row>
    <row r="444" customFormat="false" ht="15" hidden="false" customHeight="false" outlineLevel="0" collapsed="false">
      <c r="B444" s="13" t="s">
        <v>289</v>
      </c>
      <c r="C444" s="13" t="s">
        <v>218</v>
      </c>
      <c r="D444" s="13" t="s">
        <v>56</v>
      </c>
      <c r="E444" s="24" t="n">
        <v>485</v>
      </c>
      <c r="F444" s="14" t="n">
        <v>45405.31</v>
      </c>
      <c r="G444" s="14" t="n">
        <v>44951.26</v>
      </c>
      <c r="H444" s="15" t="n">
        <f aca="false">INDEX('Your Inputs'!$C$8:$C$10,MATCH($D444,'Your Inputs'!$B$8:$B$10,0))</f>
        <v>96</v>
      </c>
      <c r="I444" s="15" t="n">
        <f aca="false">INDEX('Your Inputs'!$D$8:$D$10,MATCH($D444,'Your Inputs'!$B$8:$B$10,0))</f>
        <v>58</v>
      </c>
      <c r="J444" s="15" t="n">
        <f aca="false">ROUND($E444*$H444,2)</f>
        <v>46560</v>
      </c>
      <c r="K444" s="15" t="n">
        <f aca="false">ROUND($E444*$I444,2)</f>
        <v>28130</v>
      </c>
      <c r="L444" s="15" t="n">
        <f aca="false">ROUND($F444*'Your Inputs'!$C$31,2)</f>
        <v>908.11</v>
      </c>
      <c r="M444" s="15" t="n">
        <f aca="false">ROUND($G444-$K444-$L444,2)</f>
        <v>15913.15</v>
      </c>
      <c r="N444" s="15" t="n">
        <f aca="false">$G444/$E444</f>
        <v>92.6830103092784</v>
      </c>
      <c r="O444" s="25" t="n">
        <f aca="false">$G444/$J444</f>
        <v>0.965448024054983</v>
      </c>
      <c r="P444" s="18" t="str">
        <f aca="false">$C444&amp;" | "&amp;$D444</f>
        <v>Small direct | Protective coatings</v>
      </c>
      <c r="Q444" s="25" t="n">
        <f aca="false">INDEX('Your Floors'!$K$20:$K$31,MATCH($P444,'Your Floors'!$D$20:$D$31,0))</f>
        <v>0.922679993872549</v>
      </c>
      <c r="R444" s="18" t="str">
        <f aca="false">IF($O444&lt;$Q444,"below the floor","at or above it")</f>
        <v>at or above it</v>
      </c>
      <c r="S444" s="15" t="n">
        <f aca="false">IF($O444&lt;$Q444,$E444*ROUND($Q444*$H444,2),$G444)</f>
        <v>44951.26</v>
      </c>
      <c r="T444" s="15" t="n">
        <f aca="false">IF($O444&lt;$Q444,ROUND($L444*$S444/$G444,2),$L444)</f>
        <v>908.11</v>
      </c>
      <c r="U444" s="15" t="n">
        <f aca="false">ROUND(($S444-$G444)-($T444-$L444),2)</f>
        <v>0</v>
      </c>
      <c r="V444" s="15" t="n">
        <f aca="false">IF($O444&lt;$Q444,ROUND($S444-$K444-$T444,2),$M444)</f>
        <v>15913.15</v>
      </c>
    </row>
    <row r="445" customFormat="false" ht="15" hidden="false" customHeight="false" outlineLevel="0" collapsed="false">
      <c r="B445" s="13" t="s">
        <v>290</v>
      </c>
      <c r="C445" s="13" t="s">
        <v>218</v>
      </c>
      <c r="D445" s="13" t="s">
        <v>52</v>
      </c>
      <c r="E445" s="24" t="n">
        <v>161</v>
      </c>
      <c r="F445" s="14" t="n">
        <v>23828</v>
      </c>
      <c r="G445" s="14" t="n">
        <v>23589.72</v>
      </c>
      <c r="H445" s="15" t="n">
        <f aca="false">INDEX('Your Inputs'!$C$8:$C$10,MATCH($D445,'Your Inputs'!$B$8:$B$10,0))</f>
        <v>148</v>
      </c>
      <c r="I445" s="15" t="n">
        <f aca="false">INDEX('Your Inputs'!$D$8:$D$10,MATCH($D445,'Your Inputs'!$B$8:$B$10,0))</f>
        <v>78</v>
      </c>
      <c r="J445" s="15" t="n">
        <f aca="false">ROUND($E445*$H445,2)</f>
        <v>23828</v>
      </c>
      <c r="K445" s="15" t="n">
        <f aca="false">ROUND($E445*$I445,2)</f>
        <v>12558</v>
      </c>
      <c r="L445" s="15" t="n">
        <f aca="false">ROUND($F445*'Your Inputs'!$C$31,2)</f>
        <v>476.56</v>
      </c>
      <c r="M445" s="15" t="n">
        <f aca="false">ROUND($G445-$K445-$L445,2)</f>
        <v>10555.16</v>
      </c>
      <c r="N445" s="15" t="n">
        <f aca="false">$G445/$E445</f>
        <v>146.52</v>
      </c>
      <c r="O445" s="25" t="n">
        <f aca="false">$G445/$J445</f>
        <v>0.99</v>
      </c>
      <c r="P445" s="18" t="str">
        <f aca="false">$C445&amp;" | "&amp;$D445</f>
        <v>Small direct | Structural adhesives</v>
      </c>
      <c r="Q445" s="25" t="n">
        <f aca="false">INDEX('Your Floors'!$K$20:$K$31,MATCH($P445,'Your Floors'!$D$20:$D$31,0))</f>
        <v>0.939509972168612</v>
      </c>
      <c r="R445" s="18" t="str">
        <f aca="false">IF($O445&lt;$Q445,"below the floor","at or above it")</f>
        <v>at or above it</v>
      </c>
      <c r="S445" s="15" t="n">
        <f aca="false">IF($O445&lt;$Q445,$E445*ROUND($Q445*$H445,2),$G445)</f>
        <v>23589.72</v>
      </c>
      <c r="T445" s="15" t="n">
        <f aca="false">IF($O445&lt;$Q445,ROUND($L445*$S445/$G445,2),$L445)</f>
        <v>476.56</v>
      </c>
      <c r="U445" s="15" t="n">
        <f aca="false">ROUND(($S445-$G445)-($T445-$L445),2)</f>
        <v>0</v>
      </c>
      <c r="V445" s="15" t="n">
        <f aca="false">IF($O445&lt;$Q445,ROUND($S445-$K445-$T445,2),$M445)</f>
        <v>10555.16</v>
      </c>
    </row>
    <row r="446" customFormat="false" ht="15" hidden="false" customHeight="false" outlineLevel="0" collapsed="false">
      <c r="B446" s="13" t="s">
        <v>290</v>
      </c>
      <c r="C446" s="13" t="s">
        <v>218</v>
      </c>
      <c r="D446" s="13" t="s">
        <v>54</v>
      </c>
      <c r="E446" s="24" t="n">
        <v>469</v>
      </c>
      <c r="F446" s="14" t="n">
        <v>29078</v>
      </c>
      <c r="G446" s="14" t="n">
        <v>28787.22</v>
      </c>
      <c r="H446" s="15" t="n">
        <f aca="false">INDEX('Your Inputs'!$C$8:$C$10,MATCH($D446,'Your Inputs'!$B$8:$B$10,0))</f>
        <v>62</v>
      </c>
      <c r="I446" s="15" t="n">
        <f aca="false">INDEX('Your Inputs'!$D$8:$D$10,MATCH($D446,'Your Inputs'!$B$8:$B$10,0))</f>
        <v>36</v>
      </c>
      <c r="J446" s="15" t="n">
        <f aca="false">ROUND($E446*$H446,2)</f>
        <v>29078</v>
      </c>
      <c r="K446" s="15" t="n">
        <f aca="false">ROUND($E446*$I446,2)</f>
        <v>16884</v>
      </c>
      <c r="L446" s="15" t="n">
        <f aca="false">ROUND($F446*'Your Inputs'!$C$31,2)</f>
        <v>581.56</v>
      </c>
      <c r="M446" s="15" t="n">
        <f aca="false">ROUND($G446-$K446-$L446,2)</f>
        <v>11321.66</v>
      </c>
      <c r="N446" s="15" t="n">
        <f aca="false">$G446/$E446</f>
        <v>61.38</v>
      </c>
      <c r="O446" s="25" t="n">
        <f aca="false">$G446/$J446</f>
        <v>0.99</v>
      </c>
      <c r="P446" s="18" t="str">
        <f aca="false">$C446&amp;" | "&amp;$D446</f>
        <v>Small direct | Sealants</v>
      </c>
      <c r="Q446" s="25" t="n">
        <f aca="false">INDEX('Your Floors'!$K$20:$K$31,MATCH($P446,'Your Floors'!$D$20:$D$31,0))</f>
        <v>0.905849957217107</v>
      </c>
      <c r="R446" s="18" t="str">
        <f aca="false">IF($O446&lt;$Q446,"below the floor","at or above it")</f>
        <v>at or above it</v>
      </c>
      <c r="S446" s="15" t="n">
        <f aca="false">IF($O446&lt;$Q446,$E446*ROUND($Q446*$H446,2),$G446)</f>
        <v>28787.22</v>
      </c>
      <c r="T446" s="15" t="n">
        <f aca="false">IF($O446&lt;$Q446,ROUND($L446*$S446/$G446,2),$L446)</f>
        <v>581.56</v>
      </c>
      <c r="U446" s="15" t="n">
        <f aca="false">ROUND(($S446-$G446)-($T446-$L446),2)</f>
        <v>0</v>
      </c>
      <c r="V446" s="15" t="n">
        <f aca="false">IF($O446&lt;$Q446,ROUND($S446-$K446-$T446,2),$M446)</f>
        <v>11321.66</v>
      </c>
    </row>
    <row r="447" customFormat="false" ht="15" hidden="false" customHeight="false" outlineLevel="0" collapsed="false">
      <c r="B447" s="13" t="s">
        <v>290</v>
      </c>
      <c r="C447" s="13" t="s">
        <v>218</v>
      </c>
      <c r="D447" s="13" t="s">
        <v>56</v>
      </c>
      <c r="E447" s="24" t="n">
        <v>162</v>
      </c>
      <c r="F447" s="14" t="n">
        <v>15552</v>
      </c>
      <c r="G447" s="14" t="n">
        <v>15396.48</v>
      </c>
      <c r="H447" s="15" t="n">
        <f aca="false">INDEX('Your Inputs'!$C$8:$C$10,MATCH($D447,'Your Inputs'!$B$8:$B$10,0))</f>
        <v>96</v>
      </c>
      <c r="I447" s="15" t="n">
        <f aca="false">INDEX('Your Inputs'!$D$8:$D$10,MATCH($D447,'Your Inputs'!$B$8:$B$10,0))</f>
        <v>58</v>
      </c>
      <c r="J447" s="15" t="n">
        <f aca="false">ROUND($E447*$H447,2)</f>
        <v>15552</v>
      </c>
      <c r="K447" s="15" t="n">
        <f aca="false">ROUND($E447*$I447,2)</f>
        <v>9396</v>
      </c>
      <c r="L447" s="15" t="n">
        <f aca="false">ROUND($F447*'Your Inputs'!$C$31,2)</f>
        <v>311.04</v>
      </c>
      <c r="M447" s="15" t="n">
        <f aca="false">ROUND($G447-$K447-$L447,2)</f>
        <v>5689.44</v>
      </c>
      <c r="N447" s="15" t="n">
        <f aca="false">$G447/$E447</f>
        <v>95.04</v>
      </c>
      <c r="O447" s="25" t="n">
        <f aca="false">$G447/$J447</f>
        <v>0.99</v>
      </c>
      <c r="P447" s="18" t="str">
        <f aca="false">$C447&amp;" | "&amp;$D447</f>
        <v>Small direct | Protective coatings</v>
      </c>
      <c r="Q447" s="25" t="n">
        <f aca="false">INDEX('Your Floors'!$K$20:$K$31,MATCH($P447,'Your Floors'!$D$20:$D$31,0))</f>
        <v>0.922679993872549</v>
      </c>
      <c r="R447" s="18" t="str">
        <f aca="false">IF($O447&lt;$Q447,"below the floor","at or above it")</f>
        <v>at or above it</v>
      </c>
      <c r="S447" s="15" t="n">
        <f aca="false">IF($O447&lt;$Q447,$E447*ROUND($Q447*$H447,2),$G447)</f>
        <v>15396.48</v>
      </c>
      <c r="T447" s="15" t="n">
        <f aca="false">IF($O447&lt;$Q447,ROUND($L447*$S447/$G447,2),$L447)</f>
        <v>311.04</v>
      </c>
      <c r="U447" s="15" t="n">
        <f aca="false">ROUND(($S447-$G447)-($T447-$L447),2)</f>
        <v>0</v>
      </c>
      <c r="V447" s="15" t="n">
        <f aca="false">IF($O447&lt;$Q447,ROUND($S447-$K447-$T447,2),$M447)</f>
        <v>5689.44</v>
      </c>
    </row>
    <row r="448" customFormat="false" ht="15" hidden="false" customHeight="false" outlineLevel="0" collapsed="false">
      <c r="B448" s="13" t="s">
        <v>291</v>
      </c>
      <c r="C448" s="13" t="s">
        <v>218</v>
      </c>
      <c r="D448" s="13" t="s">
        <v>52</v>
      </c>
      <c r="E448" s="24" t="n">
        <v>9</v>
      </c>
      <c r="F448" s="14" t="n">
        <v>1319.61</v>
      </c>
      <c r="G448" s="14" t="n">
        <v>1306.41</v>
      </c>
      <c r="H448" s="15" t="n">
        <f aca="false">INDEX('Your Inputs'!$C$8:$C$10,MATCH($D448,'Your Inputs'!$B$8:$B$10,0))</f>
        <v>148</v>
      </c>
      <c r="I448" s="15" t="n">
        <f aca="false">INDEX('Your Inputs'!$D$8:$D$10,MATCH($D448,'Your Inputs'!$B$8:$B$10,0))</f>
        <v>78</v>
      </c>
      <c r="J448" s="15" t="n">
        <f aca="false">ROUND($E448*$H448,2)</f>
        <v>1332</v>
      </c>
      <c r="K448" s="15" t="n">
        <f aca="false">ROUND($E448*$I448,2)</f>
        <v>702</v>
      </c>
      <c r="L448" s="15" t="n">
        <f aca="false">ROUND($F448*'Your Inputs'!$C$31,2)</f>
        <v>26.39</v>
      </c>
      <c r="M448" s="15" t="n">
        <f aca="false">ROUND($G448-$K448-$L448,2)</f>
        <v>578.02</v>
      </c>
      <c r="N448" s="15" t="n">
        <f aca="false">$G448/$E448</f>
        <v>145.156666666667</v>
      </c>
      <c r="O448" s="25" t="n">
        <f aca="false">$G448/$J448</f>
        <v>0.980788288288288</v>
      </c>
      <c r="P448" s="18" t="str">
        <f aca="false">$C448&amp;" | "&amp;$D448</f>
        <v>Small direct | Structural adhesives</v>
      </c>
      <c r="Q448" s="25" t="n">
        <f aca="false">INDEX('Your Floors'!$K$20:$K$31,MATCH($P448,'Your Floors'!$D$20:$D$31,0))</f>
        <v>0.939509972168612</v>
      </c>
      <c r="R448" s="18" t="str">
        <f aca="false">IF($O448&lt;$Q448,"below the floor","at or above it")</f>
        <v>at or above it</v>
      </c>
      <c r="S448" s="15" t="n">
        <f aca="false">IF($O448&lt;$Q448,$E448*ROUND($Q448*$H448,2),$G448)</f>
        <v>1306.41</v>
      </c>
      <c r="T448" s="15" t="n">
        <f aca="false">IF($O448&lt;$Q448,ROUND($L448*$S448/$G448,2),$L448)</f>
        <v>26.39</v>
      </c>
      <c r="U448" s="15" t="n">
        <f aca="false">ROUND(($S448-$G448)-($T448-$L448),2)</f>
        <v>0</v>
      </c>
      <c r="V448" s="15" t="n">
        <f aca="false">IF($O448&lt;$Q448,ROUND($S448-$K448-$T448,2),$M448)</f>
        <v>578.02</v>
      </c>
    </row>
    <row r="449" customFormat="false" ht="15" hidden="false" customHeight="false" outlineLevel="0" collapsed="false">
      <c r="B449" s="13" t="s">
        <v>291</v>
      </c>
      <c r="C449" s="13" t="s">
        <v>218</v>
      </c>
      <c r="D449" s="13" t="s">
        <v>56</v>
      </c>
      <c r="E449" s="24" t="n">
        <v>85</v>
      </c>
      <c r="F449" s="14" t="n">
        <v>8042.5</v>
      </c>
      <c r="G449" s="14" t="n">
        <v>7962.07</v>
      </c>
      <c r="H449" s="15" t="n">
        <f aca="false">INDEX('Your Inputs'!$C$8:$C$10,MATCH($D449,'Your Inputs'!$B$8:$B$10,0))</f>
        <v>96</v>
      </c>
      <c r="I449" s="15" t="n">
        <f aca="false">INDEX('Your Inputs'!$D$8:$D$10,MATCH($D449,'Your Inputs'!$B$8:$B$10,0))</f>
        <v>58</v>
      </c>
      <c r="J449" s="15" t="n">
        <f aca="false">ROUND($E449*$H449,2)</f>
        <v>8160</v>
      </c>
      <c r="K449" s="15" t="n">
        <f aca="false">ROUND($E449*$I449,2)</f>
        <v>4930</v>
      </c>
      <c r="L449" s="15" t="n">
        <f aca="false">ROUND($F449*'Your Inputs'!$C$31,2)</f>
        <v>160.85</v>
      </c>
      <c r="M449" s="15" t="n">
        <f aca="false">ROUND($G449-$K449-$L449,2)</f>
        <v>2871.22</v>
      </c>
      <c r="N449" s="15" t="n">
        <f aca="false">$G449/$E449</f>
        <v>93.6714117647059</v>
      </c>
      <c r="O449" s="25" t="n">
        <f aca="false">$G449/$J449</f>
        <v>0.97574387254902</v>
      </c>
      <c r="P449" s="18" t="str">
        <f aca="false">$C449&amp;" | "&amp;$D449</f>
        <v>Small direct | Protective coatings</v>
      </c>
      <c r="Q449" s="25" t="n">
        <f aca="false">INDEX('Your Floors'!$K$20:$K$31,MATCH($P449,'Your Floors'!$D$20:$D$31,0))</f>
        <v>0.922679993872549</v>
      </c>
      <c r="R449" s="18" t="str">
        <f aca="false">IF($O449&lt;$Q449,"below the floor","at or above it")</f>
        <v>at or above it</v>
      </c>
      <c r="S449" s="15" t="n">
        <f aca="false">IF($O449&lt;$Q449,$E449*ROUND($Q449*$H449,2),$G449)</f>
        <v>7962.07</v>
      </c>
      <c r="T449" s="15" t="n">
        <f aca="false">IF($O449&lt;$Q449,ROUND($L449*$S449/$G449,2),$L449)</f>
        <v>160.85</v>
      </c>
      <c r="U449" s="15" t="n">
        <f aca="false">ROUND(($S449-$G449)-($T449-$L449),2)</f>
        <v>0</v>
      </c>
      <c r="V449" s="15" t="n">
        <f aca="false">IF($O449&lt;$Q449,ROUND($S449-$K449-$T449,2),$M449)</f>
        <v>2871.22</v>
      </c>
    </row>
    <row r="450" customFormat="false" ht="15" hidden="false" customHeight="false" outlineLevel="0" collapsed="false">
      <c r="B450" s="13" t="s">
        <v>292</v>
      </c>
      <c r="C450" s="13" t="s">
        <v>218</v>
      </c>
      <c r="D450" s="13" t="s">
        <v>52</v>
      </c>
      <c r="E450" s="24" t="n">
        <v>164</v>
      </c>
      <c r="F450" s="14" t="n">
        <v>22733.16</v>
      </c>
      <c r="G450" s="14" t="n">
        <v>22505.83</v>
      </c>
      <c r="H450" s="15" t="n">
        <f aca="false">INDEX('Your Inputs'!$C$8:$C$10,MATCH($D450,'Your Inputs'!$B$8:$B$10,0))</f>
        <v>148</v>
      </c>
      <c r="I450" s="15" t="n">
        <f aca="false">INDEX('Your Inputs'!$D$8:$D$10,MATCH($D450,'Your Inputs'!$B$8:$B$10,0))</f>
        <v>78</v>
      </c>
      <c r="J450" s="15" t="n">
        <f aca="false">ROUND($E450*$H450,2)</f>
        <v>24272</v>
      </c>
      <c r="K450" s="15" t="n">
        <f aca="false">ROUND($E450*$I450,2)</f>
        <v>12792</v>
      </c>
      <c r="L450" s="15" t="n">
        <f aca="false">ROUND($F450*'Your Inputs'!$C$31,2)</f>
        <v>454.66</v>
      </c>
      <c r="M450" s="15" t="n">
        <f aca="false">ROUND($G450-$K450-$L450,2)</f>
        <v>9259.17</v>
      </c>
      <c r="N450" s="15" t="n">
        <f aca="false">$G450/$E450</f>
        <v>137.230670731707</v>
      </c>
      <c r="O450" s="25" t="n">
        <f aca="false">$G450/$J450</f>
        <v>0.927234261700725</v>
      </c>
      <c r="P450" s="18" t="str">
        <f aca="false">$C450&amp;" | "&amp;$D450</f>
        <v>Small direct | Structural adhesives</v>
      </c>
      <c r="Q450" s="25" t="n">
        <f aca="false">INDEX('Your Floors'!$K$20:$K$31,MATCH($P450,'Your Floors'!$D$20:$D$31,0))</f>
        <v>0.939509972168612</v>
      </c>
      <c r="R450" s="18" t="str">
        <f aca="false">IF($O450&lt;$Q450,"below the floor","at or above it")</f>
        <v>below the floor</v>
      </c>
      <c r="S450" s="15" t="n">
        <f aca="false">IF($O450&lt;$Q450,$E450*ROUND($Q450*$H450,2),$G450)</f>
        <v>22804.2</v>
      </c>
      <c r="T450" s="15" t="n">
        <f aca="false">IF($O450&lt;$Q450,ROUND($L450*$S450/$G450,2),$L450)</f>
        <v>460.69</v>
      </c>
      <c r="U450" s="15" t="n">
        <f aca="false">ROUND(($S450-$G450)-($T450-$L450),2)</f>
        <v>292.34</v>
      </c>
      <c r="V450" s="15" t="n">
        <f aca="false">IF($O450&lt;$Q450,ROUND($S450-$K450-$T450,2),$M450)</f>
        <v>9551.51</v>
      </c>
    </row>
    <row r="451" customFormat="false" ht="15" hidden="false" customHeight="false" outlineLevel="0" collapsed="false">
      <c r="B451" s="13" t="s">
        <v>292</v>
      </c>
      <c r="C451" s="13" t="s">
        <v>218</v>
      </c>
      <c r="D451" s="13" t="s">
        <v>54</v>
      </c>
      <c r="E451" s="24" t="n">
        <v>1531</v>
      </c>
      <c r="F451" s="14" t="n">
        <v>84385.66</v>
      </c>
      <c r="G451" s="14" t="n">
        <v>83541.8</v>
      </c>
      <c r="H451" s="15" t="n">
        <f aca="false">INDEX('Your Inputs'!$C$8:$C$10,MATCH($D451,'Your Inputs'!$B$8:$B$10,0))</f>
        <v>62</v>
      </c>
      <c r="I451" s="15" t="n">
        <f aca="false">INDEX('Your Inputs'!$D$8:$D$10,MATCH($D451,'Your Inputs'!$B$8:$B$10,0))</f>
        <v>36</v>
      </c>
      <c r="J451" s="15" t="n">
        <f aca="false">ROUND($E451*$H451,2)</f>
        <v>94922</v>
      </c>
      <c r="K451" s="15" t="n">
        <f aca="false">ROUND($E451*$I451,2)</f>
        <v>55116</v>
      </c>
      <c r="L451" s="15" t="n">
        <f aca="false">ROUND($F451*'Your Inputs'!$C$31,2)</f>
        <v>1687.71</v>
      </c>
      <c r="M451" s="15" t="n">
        <f aca="false">ROUND($G451-$K451-$L451,2)</f>
        <v>26738.09</v>
      </c>
      <c r="N451" s="15" t="n">
        <f aca="false">$G451/$E451</f>
        <v>54.5668190725016</v>
      </c>
      <c r="O451" s="25" t="n">
        <f aca="false">$G451/$J451</f>
        <v>0.880109985040349</v>
      </c>
      <c r="P451" s="18" t="str">
        <f aca="false">$C451&amp;" | "&amp;$D451</f>
        <v>Small direct | Sealants</v>
      </c>
      <c r="Q451" s="25" t="n">
        <f aca="false">INDEX('Your Floors'!$K$20:$K$31,MATCH($P451,'Your Floors'!$D$20:$D$31,0))</f>
        <v>0.905849957217107</v>
      </c>
      <c r="R451" s="18" t="str">
        <f aca="false">IF($O451&lt;$Q451,"below the floor","at or above it")</f>
        <v>below the floor</v>
      </c>
      <c r="S451" s="15" t="n">
        <f aca="false">IF($O451&lt;$Q451,$E451*ROUND($Q451*$H451,2),$G451)</f>
        <v>85980.96</v>
      </c>
      <c r="T451" s="15" t="n">
        <f aca="false">IF($O451&lt;$Q451,ROUND($L451*$S451/$G451,2),$L451)</f>
        <v>1736.99</v>
      </c>
      <c r="U451" s="15" t="n">
        <f aca="false">ROUND(($S451-$G451)-($T451-$L451),2)</f>
        <v>2389.88</v>
      </c>
      <c r="V451" s="15" t="n">
        <f aca="false">IF($O451&lt;$Q451,ROUND($S451-$K451-$T451,2),$M451)</f>
        <v>29127.97</v>
      </c>
    </row>
    <row r="452" customFormat="false" ht="15" hidden="false" customHeight="false" outlineLevel="0" collapsed="false">
      <c r="B452" s="13" t="s">
        <v>293</v>
      </c>
      <c r="C452" s="13" t="s">
        <v>218</v>
      </c>
      <c r="D452" s="13" t="s">
        <v>52</v>
      </c>
      <c r="E452" s="24" t="n">
        <v>21</v>
      </c>
      <c r="F452" s="14" t="n">
        <v>3088.73</v>
      </c>
      <c r="G452" s="14" t="n">
        <v>3057.84</v>
      </c>
      <c r="H452" s="15" t="n">
        <f aca="false">INDEX('Your Inputs'!$C$8:$C$10,MATCH($D452,'Your Inputs'!$B$8:$B$10,0))</f>
        <v>148</v>
      </c>
      <c r="I452" s="15" t="n">
        <f aca="false">INDEX('Your Inputs'!$D$8:$D$10,MATCH($D452,'Your Inputs'!$B$8:$B$10,0))</f>
        <v>78</v>
      </c>
      <c r="J452" s="15" t="n">
        <f aca="false">ROUND($E452*$H452,2)</f>
        <v>3108</v>
      </c>
      <c r="K452" s="15" t="n">
        <f aca="false">ROUND($E452*$I452,2)</f>
        <v>1638</v>
      </c>
      <c r="L452" s="15" t="n">
        <f aca="false">ROUND($F452*'Your Inputs'!$C$31,2)</f>
        <v>61.77</v>
      </c>
      <c r="M452" s="15" t="n">
        <f aca="false">ROUND($G452-$K452-$L452,2)</f>
        <v>1358.07</v>
      </c>
      <c r="N452" s="15" t="n">
        <f aca="false">$G452/$E452</f>
        <v>145.611428571429</v>
      </c>
      <c r="O452" s="25" t="n">
        <f aca="false">$G452/$J452</f>
        <v>0.983861003861004</v>
      </c>
      <c r="P452" s="18" t="str">
        <f aca="false">$C452&amp;" | "&amp;$D452</f>
        <v>Small direct | Structural adhesives</v>
      </c>
      <c r="Q452" s="25" t="n">
        <f aca="false">INDEX('Your Floors'!$K$20:$K$31,MATCH($P452,'Your Floors'!$D$20:$D$31,0))</f>
        <v>0.939509972168612</v>
      </c>
      <c r="R452" s="18" t="str">
        <f aca="false">IF($O452&lt;$Q452,"below the floor","at or above it")</f>
        <v>at or above it</v>
      </c>
      <c r="S452" s="15" t="n">
        <f aca="false">IF($O452&lt;$Q452,$E452*ROUND($Q452*$H452,2),$G452)</f>
        <v>3057.84</v>
      </c>
      <c r="T452" s="15" t="n">
        <f aca="false">IF($O452&lt;$Q452,ROUND($L452*$S452/$G452,2),$L452)</f>
        <v>61.77</v>
      </c>
      <c r="U452" s="15" t="n">
        <f aca="false">ROUND(($S452-$G452)-($T452-$L452),2)</f>
        <v>0</v>
      </c>
      <c r="V452" s="15" t="n">
        <f aca="false">IF($O452&lt;$Q452,ROUND($S452-$K452-$T452,2),$M452)</f>
        <v>1358.07</v>
      </c>
    </row>
    <row r="453" customFormat="false" ht="15" hidden="false" customHeight="false" outlineLevel="0" collapsed="false">
      <c r="B453" s="13" t="s">
        <v>293</v>
      </c>
      <c r="C453" s="13" t="s">
        <v>218</v>
      </c>
      <c r="D453" s="13" t="s">
        <v>54</v>
      </c>
      <c r="E453" s="24" t="n">
        <v>233</v>
      </c>
      <c r="F453" s="14" t="n">
        <v>14258.2</v>
      </c>
      <c r="G453" s="14" t="n">
        <v>14115.62</v>
      </c>
      <c r="H453" s="15" t="n">
        <f aca="false">INDEX('Your Inputs'!$C$8:$C$10,MATCH($D453,'Your Inputs'!$B$8:$B$10,0))</f>
        <v>62</v>
      </c>
      <c r="I453" s="15" t="n">
        <f aca="false">INDEX('Your Inputs'!$D$8:$D$10,MATCH($D453,'Your Inputs'!$B$8:$B$10,0))</f>
        <v>36</v>
      </c>
      <c r="J453" s="15" t="n">
        <f aca="false">ROUND($E453*$H453,2)</f>
        <v>14446</v>
      </c>
      <c r="K453" s="15" t="n">
        <f aca="false">ROUND($E453*$I453,2)</f>
        <v>8388</v>
      </c>
      <c r="L453" s="15" t="n">
        <f aca="false">ROUND($F453*'Your Inputs'!$C$31,2)</f>
        <v>285.16</v>
      </c>
      <c r="M453" s="15" t="n">
        <f aca="false">ROUND($G453-$K453-$L453,2)</f>
        <v>5442.46</v>
      </c>
      <c r="N453" s="15" t="n">
        <f aca="false">$G453/$E453</f>
        <v>60.5820600858369</v>
      </c>
      <c r="O453" s="25" t="n">
        <f aca="false">$G453/$J453</f>
        <v>0.977130001384466</v>
      </c>
      <c r="P453" s="18" t="str">
        <f aca="false">$C453&amp;" | "&amp;$D453</f>
        <v>Small direct | Sealants</v>
      </c>
      <c r="Q453" s="25" t="n">
        <f aca="false">INDEX('Your Floors'!$K$20:$K$31,MATCH($P453,'Your Floors'!$D$20:$D$31,0))</f>
        <v>0.905849957217107</v>
      </c>
      <c r="R453" s="18" t="str">
        <f aca="false">IF($O453&lt;$Q453,"below the floor","at or above it")</f>
        <v>at or above it</v>
      </c>
      <c r="S453" s="15" t="n">
        <f aca="false">IF($O453&lt;$Q453,$E453*ROUND($Q453*$H453,2),$G453)</f>
        <v>14115.62</v>
      </c>
      <c r="T453" s="15" t="n">
        <f aca="false">IF($O453&lt;$Q453,ROUND($L453*$S453/$G453,2),$L453)</f>
        <v>285.16</v>
      </c>
      <c r="U453" s="15" t="n">
        <f aca="false">ROUND(($S453-$G453)-($T453-$L453),2)</f>
        <v>0</v>
      </c>
      <c r="V453" s="15" t="n">
        <f aca="false">IF($O453&lt;$Q453,ROUND($S453-$K453-$T453,2),$M453)</f>
        <v>5442.46</v>
      </c>
    </row>
    <row r="454" customFormat="false" ht="15" hidden="false" customHeight="false" outlineLevel="0" collapsed="false">
      <c r="B454" s="13" t="s">
        <v>293</v>
      </c>
      <c r="C454" s="13" t="s">
        <v>218</v>
      </c>
      <c r="D454" s="13" t="s">
        <v>56</v>
      </c>
      <c r="E454" s="24" t="n">
        <v>75</v>
      </c>
      <c r="F454" s="14" t="n">
        <v>7130.88</v>
      </c>
      <c r="G454" s="14" t="n">
        <v>7059.57</v>
      </c>
      <c r="H454" s="15" t="n">
        <f aca="false">INDEX('Your Inputs'!$C$8:$C$10,MATCH($D454,'Your Inputs'!$B$8:$B$10,0))</f>
        <v>96</v>
      </c>
      <c r="I454" s="15" t="n">
        <f aca="false">INDEX('Your Inputs'!$D$8:$D$10,MATCH($D454,'Your Inputs'!$B$8:$B$10,0))</f>
        <v>58</v>
      </c>
      <c r="J454" s="15" t="n">
        <f aca="false">ROUND($E454*$H454,2)</f>
        <v>7200</v>
      </c>
      <c r="K454" s="15" t="n">
        <f aca="false">ROUND($E454*$I454,2)</f>
        <v>4350</v>
      </c>
      <c r="L454" s="15" t="n">
        <f aca="false">ROUND($F454*'Your Inputs'!$C$31,2)</f>
        <v>142.62</v>
      </c>
      <c r="M454" s="15" t="n">
        <f aca="false">ROUND($G454-$K454-$L454,2)</f>
        <v>2566.95</v>
      </c>
      <c r="N454" s="15" t="n">
        <f aca="false">$G454/$E454</f>
        <v>94.1276</v>
      </c>
      <c r="O454" s="25" t="n">
        <f aca="false">$G454/$J454</f>
        <v>0.980495833333333</v>
      </c>
      <c r="P454" s="18" t="str">
        <f aca="false">$C454&amp;" | "&amp;$D454</f>
        <v>Small direct | Protective coatings</v>
      </c>
      <c r="Q454" s="25" t="n">
        <f aca="false">INDEX('Your Floors'!$K$20:$K$31,MATCH($P454,'Your Floors'!$D$20:$D$31,0))</f>
        <v>0.922679993872549</v>
      </c>
      <c r="R454" s="18" t="str">
        <f aca="false">IF($O454&lt;$Q454,"below the floor","at or above it")</f>
        <v>at or above it</v>
      </c>
      <c r="S454" s="15" t="n">
        <f aca="false">IF($O454&lt;$Q454,$E454*ROUND($Q454*$H454,2),$G454)</f>
        <v>7059.57</v>
      </c>
      <c r="T454" s="15" t="n">
        <f aca="false">IF($O454&lt;$Q454,ROUND($L454*$S454/$G454,2),$L454)</f>
        <v>142.62</v>
      </c>
      <c r="U454" s="15" t="n">
        <f aca="false">ROUND(($S454-$G454)-($T454-$L454),2)</f>
        <v>0</v>
      </c>
      <c r="V454" s="15" t="n">
        <f aca="false">IF($O454&lt;$Q454,ROUND($S454-$K454-$T454,2),$M454)</f>
        <v>2566.95</v>
      </c>
    </row>
    <row r="455" customFormat="false" ht="15" hidden="false" customHeight="false" outlineLevel="0" collapsed="false">
      <c r="B455" s="13" t="s">
        <v>294</v>
      </c>
      <c r="C455" s="13" t="s">
        <v>218</v>
      </c>
      <c r="D455" s="13" t="s">
        <v>52</v>
      </c>
      <c r="E455" s="24" t="n">
        <v>145</v>
      </c>
      <c r="F455" s="14" t="n">
        <v>20432.07</v>
      </c>
      <c r="G455" s="14" t="n">
        <v>20227.75</v>
      </c>
      <c r="H455" s="15" t="n">
        <f aca="false">INDEX('Your Inputs'!$C$8:$C$10,MATCH($D455,'Your Inputs'!$B$8:$B$10,0))</f>
        <v>148</v>
      </c>
      <c r="I455" s="15" t="n">
        <f aca="false">INDEX('Your Inputs'!$D$8:$D$10,MATCH($D455,'Your Inputs'!$B$8:$B$10,0))</f>
        <v>78</v>
      </c>
      <c r="J455" s="15" t="n">
        <f aca="false">ROUND($E455*$H455,2)</f>
        <v>21460</v>
      </c>
      <c r="K455" s="15" t="n">
        <f aca="false">ROUND($E455*$I455,2)</f>
        <v>11310</v>
      </c>
      <c r="L455" s="15" t="n">
        <f aca="false">ROUND($F455*'Your Inputs'!$C$31,2)</f>
        <v>408.64</v>
      </c>
      <c r="M455" s="15" t="n">
        <f aca="false">ROUND($G455-$K455-$L455,2)</f>
        <v>8509.11</v>
      </c>
      <c r="N455" s="15" t="n">
        <f aca="false">$G455/$E455</f>
        <v>139.501724137931</v>
      </c>
      <c r="O455" s="25" t="n">
        <f aca="false">$G455/$J455</f>
        <v>0.942579217148183</v>
      </c>
      <c r="P455" s="18" t="str">
        <f aca="false">$C455&amp;" | "&amp;$D455</f>
        <v>Small direct | Structural adhesives</v>
      </c>
      <c r="Q455" s="25" t="n">
        <f aca="false">INDEX('Your Floors'!$K$20:$K$31,MATCH($P455,'Your Floors'!$D$20:$D$31,0))</f>
        <v>0.939509972168612</v>
      </c>
      <c r="R455" s="18" t="str">
        <f aca="false">IF($O455&lt;$Q455,"below the floor","at or above it")</f>
        <v>at or above it</v>
      </c>
      <c r="S455" s="15" t="n">
        <f aca="false">IF($O455&lt;$Q455,$E455*ROUND($Q455*$H455,2),$G455)</f>
        <v>20227.75</v>
      </c>
      <c r="T455" s="15" t="n">
        <f aca="false">IF($O455&lt;$Q455,ROUND($L455*$S455/$G455,2),$L455)</f>
        <v>408.64</v>
      </c>
      <c r="U455" s="15" t="n">
        <f aca="false">ROUND(($S455-$G455)-($T455-$L455),2)</f>
        <v>0</v>
      </c>
      <c r="V455" s="15" t="n">
        <f aca="false">IF($O455&lt;$Q455,ROUND($S455-$K455-$T455,2),$M455)</f>
        <v>8509.11</v>
      </c>
    </row>
    <row r="456" customFormat="false" ht="15" hidden="false" customHeight="false" outlineLevel="0" collapsed="false">
      <c r="B456" s="13" t="s">
        <v>294</v>
      </c>
      <c r="C456" s="13" t="s">
        <v>218</v>
      </c>
      <c r="D456" s="13" t="s">
        <v>54</v>
      </c>
      <c r="E456" s="24" t="n">
        <v>756</v>
      </c>
      <c r="F456" s="14" t="n">
        <v>43192.55</v>
      </c>
      <c r="G456" s="14" t="n">
        <v>42760.62</v>
      </c>
      <c r="H456" s="15" t="n">
        <f aca="false">INDEX('Your Inputs'!$C$8:$C$10,MATCH($D456,'Your Inputs'!$B$8:$B$10,0))</f>
        <v>62</v>
      </c>
      <c r="I456" s="15" t="n">
        <f aca="false">INDEX('Your Inputs'!$D$8:$D$10,MATCH($D456,'Your Inputs'!$B$8:$B$10,0))</f>
        <v>36</v>
      </c>
      <c r="J456" s="15" t="n">
        <f aca="false">ROUND($E456*$H456,2)</f>
        <v>46872</v>
      </c>
      <c r="K456" s="15" t="n">
        <f aca="false">ROUND($E456*$I456,2)</f>
        <v>27216</v>
      </c>
      <c r="L456" s="15" t="n">
        <f aca="false">ROUND($F456*'Your Inputs'!$C$31,2)</f>
        <v>863.85</v>
      </c>
      <c r="M456" s="15" t="n">
        <f aca="false">ROUND($G456-$K456-$L456,2)</f>
        <v>14680.77</v>
      </c>
      <c r="N456" s="15" t="n">
        <f aca="false">$G456/$E456</f>
        <v>56.5616666666667</v>
      </c>
      <c r="O456" s="25" t="n">
        <f aca="false">$G456/$J456</f>
        <v>0.912284946236559</v>
      </c>
      <c r="P456" s="18" t="str">
        <f aca="false">$C456&amp;" | "&amp;$D456</f>
        <v>Small direct | Sealants</v>
      </c>
      <c r="Q456" s="25" t="n">
        <f aca="false">INDEX('Your Floors'!$K$20:$K$31,MATCH($P456,'Your Floors'!$D$20:$D$31,0))</f>
        <v>0.905849957217107</v>
      </c>
      <c r="R456" s="18" t="str">
        <f aca="false">IF($O456&lt;$Q456,"below the floor","at or above it")</f>
        <v>at or above it</v>
      </c>
      <c r="S456" s="15" t="n">
        <f aca="false">IF($O456&lt;$Q456,$E456*ROUND($Q456*$H456,2),$G456)</f>
        <v>42760.62</v>
      </c>
      <c r="T456" s="15" t="n">
        <f aca="false">IF($O456&lt;$Q456,ROUND($L456*$S456/$G456,2),$L456)</f>
        <v>863.85</v>
      </c>
      <c r="U456" s="15" t="n">
        <f aca="false">ROUND(($S456-$G456)-($T456-$L456),2)</f>
        <v>0</v>
      </c>
      <c r="V456" s="15" t="n">
        <f aca="false">IF($O456&lt;$Q456,ROUND($S456-$K456-$T456,2),$M456)</f>
        <v>14680.77</v>
      </c>
    </row>
    <row r="457" customFormat="false" ht="15" hidden="false" customHeight="false" outlineLevel="0" collapsed="false">
      <c r="B457" s="13" t="s">
        <v>294</v>
      </c>
      <c r="C457" s="13" t="s">
        <v>218</v>
      </c>
      <c r="D457" s="13" t="s">
        <v>56</v>
      </c>
      <c r="E457" s="24" t="n">
        <v>207</v>
      </c>
      <c r="F457" s="14" t="n">
        <v>18616.09</v>
      </c>
      <c r="G457" s="14" t="n">
        <v>18429.93</v>
      </c>
      <c r="H457" s="15" t="n">
        <f aca="false">INDEX('Your Inputs'!$C$8:$C$10,MATCH($D457,'Your Inputs'!$B$8:$B$10,0))</f>
        <v>96</v>
      </c>
      <c r="I457" s="15" t="n">
        <f aca="false">INDEX('Your Inputs'!$D$8:$D$10,MATCH($D457,'Your Inputs'!$B$8:$B$10,0))</f>
        <v>58</v>
      </c>
      <c r="J457" s="15" t="n">
        <f aca="false">ROUND($E457*$H457,2)</f>
        <v>19872</v>
      </c>
      <c r="K457" s="15" t="n">
        <f aca="false">ROUND($E457*$I457,2)</f>
        <v>12006</v>
      </c>
      <c r="L457" s="15" t="n">
        <f aca="false">ROUND($F457*'Your Inputs'!$C$31,2)</f>
        <v>372.32</v>
      </c>
      <c r="M457" s="15" t="n">
        <f aca="false">ROUND($G457-$K457-$L457,2)</f>
        <v>6051.61</v>
      </c>
      <c r="N457" s="15" t="n">
        <f aca="false">$G457/$E457</f>
        <v>89.0334782608696</v>
      </c>
      <c r="O457" s="25" t="n">
        <f aca="false">$G457/$J457</f>
        <v>0.927432065217391</v>
      </c>
      <c r="P457" s="18" t="str">
        <f aca="false">$C457&amp;" | "&amp;$D457</f>
        <v>Small direct | Protective coatings</v>
      </c>
      <c r="Q457" s="25" t="n">
        <f aca="false">INDEX('Your Floors'!$K$20:$K$31,MATCH($P457,'Your Floors'!$D$20:$D$31,0))</f>
        <v>0.922679993872549</v>
      </c>
      <c r="R457" s="18" t="str">
        <f aca="false">IF($O457&lt;$Q457,"below the floor","at or above it")</f>
        <v>at or above it</v>
      </c>
      <c r="S457" s="15" t="n">
        <f aca="false">IF($O457&lt;$Q457,$E457*ROUND($Q457*$H457,2),$G457)</f>
        <v>18429.93</v>
      </c>
      <c r="T457" s="15" t="n">
        <f aca="false">IF($O457&lt;$Q457,ROUND($L457*$S457/$G457,2),$L457)</f>
        <v>372.32</v>
      </c>
      <c r="U457" s="15" t="n">
        <f aca="false">ROUND(($S457-$G457)-($T457-$L457),2)</f>
        <v>0</v>
      </c>
      <c r="V457" s="15" t="n">
        <f aca="false">IF($O457&lt;$Q457,ROUND($S457-$K457-$T457,2),$M457)</f>
        <v>6051.61</v>
      </c>
    </row>
    <row r="458" customFormat="false" ht="15" hidden="false" customHeight="false" outlineLevel="0" collapsed="false">
      <c r="B458" s="13" t="s">
        <v>295</v>
      </c>
      <c r="C458" s="13" t="s">
        <v>218</v>
      </c>
      <c r="D458" s="13" t="s">
        <v>54</v>
      </c>
      <c r="E458" s="24" t="n">
        <v>1089</v>
      </c>
      <c r="F458" s="14" t="n">
        <v>67518</v>
      </c>
      <c r="G458" s="14" t="n">
        <v>66842.82</v>
      </c>
      <c r="H458" s="15" t="n">
        <f aca="false">INDEX('Your Inputs'!$C$8:$C$10,MATCH($D458,'Your Inputs'!$B$8:$B$10,0))</f>
        <v>62</v>
      </c>
      <c r="I458" s="15" t="n">
        <f aca="false">INDEX('Your Inputs'!$D$8:$D$10,MATCH($D458,'Your Inputs'!$B$8:$B$10,0))</f>
        <v>36</v>
      </c>
      <c r="J458" s="15" t="n">
        <f aca="false">ROUND($E458*$H458,2)</f>
        <v>67518</v>
      </c>
      <c r="K458" s="15" t="n">
        <f aca="false">ROUND($E458*$I458,2)</f>
        <v>39204</v>
      </c>
      <c r="L458" s="15" t="n">
        <f aca="false">ROUND($F458*'Your Inputs'!$C$31,2)</f>
        <v>1350.36</v>
      </c>
      <c r="M458" s="15" t="n">
        <f aca="false">ROUND($G458-$K458-$L458,2)</f>
        <v>26288.46</v>
      </c>
      <c r="N458" s="15" t="n">
        <f aca="false">$G458/$E458</f>
        <v>61.38</v>
      </c>
      <c r="O458" s="25" t="n">
        <f aca="false">$G458/$J458</f>
        <v>0.99</v>
      </c>
      <c r="P458" s="18" t="str">
        <f aca="false">$C458&amp;" | "&amp;$D458</f>
        <v>Small direct | Sealants</v>
      </c>
      <c r="Q458" s="25" t="n">
        <f aca="false">INDEX('Your Floors'!$K$20:$K$31,MATCH($P458,'Your Floors'!$D$20:$D$31,0))</f>
        <v>0.905849957217107</v>
      </c>
      <c r="R458" s="18" t="str">
        <f aca="false">IF($O458&lt;$Q458,"below the floor","at or above it")</f>
        <v>at or above it</v>
      </c>
      <c r="S458" s="15" t="n">
        <f aca="false">IF($O458&lt;$Q458,$E458*ROUND($Q458*$H458,2),$G458)</f>
        <v>66842.82</v>
      </c>
      <c r="T458" s="15" t="n">
        <f aca="false">IF($O458&lt;$Q458,ROUND($L458*$S458/$G458,2),$L458)</f>
        <v>1350.36</v>
      </c>
      <c r="U458" s="15" t="n">
        <f aca="false">ROUND(($S458-$G458)-($T458-$L458),2)</f>
        <v>0</v>
      </c>
      <c r="V458" s="15" t="n">
        <f aca="false">IF($O458&lt;$Q458,ROUND($S458-$K458-$T458,2),$M458)</f>
        <v>26288.46</v>
      </c>
    </row>
    <row r="459" customFormat="false" ht="15" hidden="false" customHeight="false" outlineLevel="0" collapsed="false">
      <c r="B459" s="13" t="s">
        <v>295</v>
      </c>
      <c r="C459" s="13" t="s">
        <v>218</v>
      </c>
      <c r="D459" s="13" t="s">
        <v>56</v>
      </c>
      <c r="E459" s="24" t="n">
        <v>654</v>
      </c>
      <c r="F459" s="14" t="n">
        <v>62784</v>
      </c>
      <c r="G459" s="14" t="n">
        <v>62156.16</v>
      </c>
      <c r="H459" s="15" t="n">
        <f aca="false">INDEX('Your Inputs'!$C$8:$C$10,MATCH($D459,'Your Inputs'!$B$8:$B$10,0))</f>
        <v>96</v>
      </c>
      <c r="I459" s="15" t="n">
        <f aca="false">INDEX('Your Inputs'!$D$8:$D$10,MATCH($D459,'Your Inputs'!$B$8:$B$10,0))</f>
        <v>58</v>
      </c>
      <c r="J459" s="15" t="n">
        <f aca="false">ROUND($E459*$H459,2)</f>
        <v>62784</v>
      </c>
      <c r="K459" s="15" t="n">
        <f aca="false">ROUND($E459*$I459,2)</f>
        <v>37932</v>
      </c>
      <c r="L459" s="15" t="n">
        <f aca="false">ROUND($F459*'Your Inputs'!$C$31,2)</f>
        <v>1255.68</v>
      </c>
      <c r="M459" s="15" t="n">
        <f aca="false">ROUND($G459-$K459-$L459,2)</f>
        <v>22968.48</v>
      </c>
      <c r="N459" s="15" t="n">
        <f aca="false">$G459/$E459</f>
        <v>95.04</v>
      </c>
      <c r="O459" s="25" t="n">
        <f aca="false">$G459/$J459</f>
        <v>0.99</v>
      </c>
      <c r="P459" s="18" t="str">
        <f aca="false">$C459&amp;" | "&amp;$D459</f>
        <v>Small direct | Protective coatings</v>
      </c>
      <c r="Q459" s="25" t="n">
        <f aca="false">INDEX('Your Floors'!$K$20:$K$31,MATCH($P459,'Your Floors'!$D$20:$D$31,0))</f>
        <v>0.922679993872549</v>
      </c>
      <c r="R459" s="18" t="str">
        <f aca="false">IF($O459&lt;$Q459,"below the floor","at or above it")</f>
        <v>at or above it</v>
      </c>
      <c r="S459" s="15" t="n">
        <f aca="false">IF($O459&lt;$Q459,$E459*ROUND($Q459*$H459,2),$G459)</f>
        <v>62156.16</v>
      </c>
      <c r="T459" s="15" t="n">
        <f aca="false">IF($O459&lt;$Q459,ROUND($L459*$S459/$G459,2),$L459)</f>
        <v>1255.68</v>
      </c>
      <c r="U459" s="15" t="n">
        <f aca="false">ROUND(($S459-$G459)-($T459-$L459),2)</f>
        <v>0</v>
      </c>
      <c r="V459" s="15" t="n">
        <f aca="false">IF($O459&lt;$Q459,ROUND($S459-$K459-$T459,2),$M459)</f>
        <v>22968.48</v>
      </c>
    </row>
    <row r="460" customFormat="false" ht="15" hidden="false" customHeight="false" outlineLevel="0" collapsed="false">
      <c r="B460" s="13" t="s">
        <v>296</v>
      </c>
      <c r="C460" s="13" t="s">
        <v>218</v>
      </c>
      <c r="D460" s="13" t="s">
        <v>54</v>
      </c>
      <c r="E460" s="24" t="n">
        <v>324</v>
      </c>
      <c r="F460" s="14" t="n">
        <v>18380.52</v>
      </c>
      <c r="G460" s="14" t="n">
        <v>18196.71</v>
      </c>
      <c r="H460" s="15" t="n">
        <f aca="false">INDEX('Your Inputs'!$C$8:$C$10,MATCH($D460,'Your Inputs'!$B$8:$B$10,0))</f>
        <v>62</v>
      </c>
      <c r="I460" s="15" t="n">
        <f aca="false">INDEX('Your Inputs'!$D$8:$D$10,MATCH($D460,'Your Inputs'!$B$8:$B$10,0))</f>
        <v>36</v>
      </c>
      <c r="J460" s="15" t="n">
        <f aca="false">ROUND($E460*$H460,2)</f>
        <v>20088</v>
      </c>
      <c r="K460" s="15" t="n">
        <f aca="false">ROUND($E460*$I460,2)</f>
        <v>11664</v>
      </c>
      <c r="L460" s="15" t="n">
        <f aca="false">ROUND($F460*'Your Inputs'!$C$31,2)</f>
        <v>367.61</v>
      </c>
      <c r="M460" s="15" t="n">
        <f aca="false">ROUND($G460-$K460-$L460,2)</f>
        <v>6165.1</v>
      </c>
      <c r="N460" s="15" t="n">
        <f aca="false">$G460/$E460</f>
        <v>56.1626851851852</v>
      </c>
      <c r="O460" s="25" t="n">
        <f aca="false">$G460/$J460</f>
        <v>0.905849761051374</v>
      </c>
      <c r="P460" s="18" t="str">
        <f aca="false">$C460&amp;" | "&amp;$D460</f>
        <v>Small direct | Sealants</v>
      </c>
      <c r="Q460" s="25" t="n">
        <f aca="false">INDEX('Your Floors'!$K$20:$K$31,MATCH($P460,'Your Floors'!$D$20:$D$31,0))</f>
        <v>0.905849957217107</v>
      </c>
      <c r="R460" s="18" t="str">
        <f aca="false">IF($O460&lt;$Q460,"below the floor","at or above it")</f>
        <v>below the floor</v>
      </c>
      <c r="S460" s="15" t="n">
        <f aca="false">IF($O460&lt;$Q460,$E460*ROUND($Q460*$H460,2),$G460)</f>
        <v>18195.84</v>
      </c>
      <c r="T460" s="15" t="n">
        <f aca="false">IF($O460&lt;$Q460,ROUND($L460*$S460/$G460,2),$L460)</f>
        <v>367.59</v>
      </c>
      <c r="U460" s="15" t="n">
        <f aca="false">ROUND(($S460-$G460)-($T460-$L460),2)</f>
        <v>-0.85</v>
      </c>
      <c r="V460" s="15" t="n">
        <f aca="false">IF($O460&lt;$Q460,ROUND($S460-$K460-$T460,2),$M460)</f>
        <v>6164.25</v>
      </c>
    </row>
    <row r="461" customFormat="false" ht="15" hidden="false" customHeight="false" outlineLevel="0" collapsed="false">
      <c r="B461" s="13" t="s">
        <v>296</v>
      </c>
      <c r="C461" s="13" t="s">
        <v>218</v>
      </c>
      <c r="D461" s="13" t="s">
        <v>56</v>
      </c>
      <c r="E461" s="24" t="n">
        <v>89</v>
      </c>
      <c r="F461" s="14" t="n">
        <v>7963.01</v>
      </c>
      <c r="G461" s="14" t="n">
        <v>7883.38</v>
      </c>
      <c r="H461" s="15" t="n">
        <f aca="false">INDEX('Your Inputs'!$C$8:$C$10,MATCH($D461,'Your Inputs'!$B$8:$B$10,0))</f>
        <v>96</v>
      </c>
      <c r="I461" s="15" t="n">
        <f aca="false">INDEX('Your Inputs'!$D$8:$D$10,MATCH($D461,'Your Inputs'!$B$8:$B$10,0))</f>
        <v>58</v>
      </c>
      <c r="J461" s="15" t="n">
        <f aca="false">ROUND($E461*$H461,2)</f>
        <v>8544</v>
      </c>
      <c r="K461" s="15" t="n">
        <f aca="false">ROUND($E461*$I461,2)</f>
        <v>5162</v>
      </c>
      <c r="L461" s="15" t="n">
        <f aca="false">ROUND($F461*'Your Inputs'!$C$31,2)</f>
        <v>159.26</v>
      </c>
      <c r="M461" s="15" t="n">
        <f aca="false">ROUND($G461-$K461-$L461,2)</f>
        <v>2562.12</v>
      </c>
      <c r="N461" s="15" t="n">
        <f aca="false">$G461/$E461</f>
        <v>88.5773033707865</v>
      </c>
      <c r="O461" s="25" t="n">
        <f aca="false">$G461/$J461</f>
        <v>0.922680243445693</v>
      </c>
      <c r="P461" s="18" t="str">
        <f aca="false">$C461&amp;" | "&amp;$D461</f>
        <v>Small direct | Protective coatings</v>
      </c>
      <c r="Q461" s="25" t="n">
        <f aca="false">INDEX('Your Floors'!$K$20:$K$31,MATCH($P461,'Your Floors'!$D$20:$D$31,0))</f>
        <v>0.922679993872549</v>
      </c>
      <c r="R461" s="18" t="str">
        <f aca="false">IF($O461&lt;$Q461,"below the floor","at or above it")</f>
        <v>at or above it</v>
      </c>
      <c r="S461" s="15" t="n">
        <f aca="false">IF($O461&lt;$Q461,$E461*ROUND($Q461*$H461,2),$G461)</f>
        <v>7883.38</v>
      </c>
      <c r="T461" s="15" t="n">
        <f aca="false">IF($O461&lt;$Q461,ROUND($L461*$S461/$G461,2),$L461)</f>
        <v>159.26</v>
      </c>
      <c r="U461" s="15" t="n">
        <f aca="false">ROUND(($S461-$G461)-($T461-$L461),2)</f>
        <v>0</v>
      </c>
      <c r="V461" s="15" t="n">
        <f aca="false">IF($O461&lt;$Q461,ROUND($S461-$K461-$T461,2),$M461)</f>
        <v>2562.12</v>
      </c>
    </row>
    <row r="462" customFormat="false" ht="15" hidden="false" customHeight="false" outlineLevel="0" collapsed="false">
      <c r="B462" s="13" t="s">
        <v>297</v>
      </c>
      <c r="C462" s="13" t="s">
        <v>218</v>
      </c>
      <c r="D462" s="13" t="s">
        <v>52</v>
      </c>
      <c r="E462" s="24" t="n">
        <v>350</v>
      </c>
      <c r="F462" s="14" t="n">
        <v>48997.62</v>
      </c>
      <c r="G462" s="14" t="n">
        <v>48507.64</v>
      </c>
      <c r="H462" s="15" t="n">
        <f aca="false">INDEX('Your Inputs'!$C$8:$C$10,MATCH($D462,'Your Inputs'!$B$8:$B$10,0))</f>
        <v>148</v>
      </c>
      <c r="I462" s="15" t="n">
        <f aca="false">INDEX('Your Inputs'!$D$8:$D$10,MATCH($D462,'Your Inputs'!$B$8:$B$10,0))</f>
        <v>78</v>
      </c>
      <c r="J462" s="15" t="n">
        <f aca="false">ROUND($E462*$H462,2)</f>
        <v>51800</v>
      </c>
      <c r="K462" s="15" t="n">
        <f aca="false">ROUND($E462*$I462,2)</f>
        <v>27300</v>
      </c>
      <c r="L462" s="15" t="n">
        <f aca="false">ROUND($F462*'Your Inputs'!$C$31,2)</f>
        <v>979.95</v>
      </c>
      <c r="M462" s="15" t="n">
        <f aca="false">ROUND($G462-$K462-$L462,2)</f>
        <v>20227.69</v>
      </c>
      <c r="N462" s="15" t="n">
        <f aca="false">$G462/$E462</f>
        <v>138.593257142857</v>
      </c>
      <c r="O462" s="25" t="n">
        <f aca="false">$G462/$J462</f>
        <v>0.936440926640927</v>
      </c>
      <c r="P462" s="18" t="str">
        <f aca="false">$C462&amp;" | "&amp;$D462</f>
        <v>Small direct | Structural adhesives</v>
      </c>
      <c r="Q462" s="25" t="n">
        <f aca="false">INDEX('Your Floors'!$K$20:$K$31,MATCH($P462,'Your Floors'!$D$20:$D$31,0))</f>
        <v>0.939509972168612</v>
      </c>
      <c r="R462" s="18" t="str">
        <f aca="false">IF($O462&lt;$Q462,"below the floor","at or above it")</f>
        <v>below the floor</v>
      </c>
      <c r="S462" s="15" t="n">
        <f aca="false">IF($O462&lt;$Q462,$E462*ROUND($Q462*$H462,2),$G462)</f>
        <v>48667.5</v>
      </c>
      <c r="T462" s="15" t="n">
        <f aca="false">IF($O462&lt;$Q462,ROUND($L462*$S462/$G462,2),$L462)</f>
        <v>983.18</v>
      </c>
      <c r="U462" s="15" t="n">
        <f aca="false">ROUND(($S462-$G462)-($T462-$L462),2)</f>
        <v>156.63</v>
      </c>
      <c r="V462" s="15" t="n">
        <f aca="false">IF($O462&lt;$Q462,ROUND($S462-$K462-$T462,2),$M462)</f>
        <v>20384.32</v>
      </c>
    </row>
    <row r="463" customFormat="false" ht="15" hidden="false" customHeight="false" outlineLevel="0" collapsed="false">
      <c r="B463" s="13" t="s">
        <v>297</v>
      </c>
      <c r="C463" s="13" t="s">
        <v>218</v>
      </c>
      <c r="D463" s="13" t="s">
        <v>56</v>
      </c>
      <c r="E463" s="24" t="n">
        <v>936</v>
      </c>
      <c r="F463" s="14" t="n">
        <v>83314.48</v>
      </c>
      <c r="G463" s="14" t="n">
        <v>82481.34</v>
      </c>
      <c r="H463" s="15" t="n">
        <f aca="false">INDEX('Your Inputs'!$C$8:$C$10,MATCH($D463,'Your Inputs'!$B$8:$B$10,0))</f>
        <v>96</v>
      </c>
      <c r="I463" s="15" t="n">
        <f aca="false">INDEX('Your Inputs'!$D$8:$D$10,MATCH($D463,'Your Inputs'!$B$8:$B$10,0))</f>
        <v>58</v>
      </c>
      <c r="J463" s="15" t="n">
        <f aca="false">ROUND($E463*$H463,2)</f>
        <v>89856</v>
      </c>
      <c r="K463" s="15" t="n">
        <f aca="false">ROUND($E463*$I463,2)</f>
        <v>54288</v>
      </c>
      <c r="L463" s="15" t="n">
        <f aca="false">ROUND($F463*'Your Inputs'!$C$31,2)</f>
        <v>1666.29</v>
      </c>
      <c r="M463" s="15" t="n">
        <f aca="false">ROUND($G463-$K463-$L463,2)</f>
        <v>26527.05</v>
      </c>
      <c r="N463" s="15" t="n">
        <f aca="false">$G463/$E463</f>
        <v>88.1210897435897</v>
      </c>
      <c r="O463" s="25" t="n">
        <f aca="false">$G463/$J463</f>
        <v>0.917928018162393</v>
      </c>
      <c r="P463" s="18" t="str">
        <f aca="false">$C463&amp;" | "&amp;$D463</f>
        <v>Small direct | Protective coatings</v>
      </c>
      <c r="Q463" s="25" t="n">
        <f aca="false">INDEX('Your Floors'!$K$20:$K$31,MATCH($P463,'Your Floors'!$D$20:$D$31,0))</f>
        <v>0.922679993872549</v>
      </c>
      <c r="R463" s="18" t="str">
        <f aca="false">IF($O463&lt;$Q463,"below the floor","at or above it")</f>
        <v>below the floor</v>
      </c>
      <c r="S463" s="15" t="n">
        <f aca="false">IF($O463&lt;$Q463,$E463*ROUND($Q463*$H463,2),$G463)</f>
        <v>82910.88</v>
      </c>
      <c r="T463" s="15" t="n">
        <f aca="false">IF($O463&lt;$Q463,ROUND($L463*$S463/$G463,2),$L463)</f>
        <v>1674.97</v>
      </c>
      <c r="U463" s="15" t="n">
        <f aca="false">ROUND(($S463-$G463)-($T463-$L463),2)</f>
        <v>420.86</v>
      </c>
      <c r="V463" s="15" t="n">
        <f aca="false">IF($O463&lt;$Q463,ROUND($S463-$K463-$T463,2),$M463)</f>
        <v>26947.91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Q18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12"/>
    <col collapsed="false" customWidth="true" hidden="false" outlineLevel="0" max="3" min="3" style="0" width="20"/>
    <col collapsed="false" customWidth="true" hidden="false" outlineLevel="0" max="5" min="4" style="0" width="12"/>
    <col collapsed="false" customWidth="true" hidden="false" outlineLevel="0" max="7" min="6" style="0" width="16"/>
    <col collapsed="false" customWidth="true" hidden="false" outlineLevel="0" max="8" min="8" style="0" width="12"/>
    <col collapsed="false" customWidth="true" hidden="false" outlineLevel="0" max="9" min="9" style="0" width="16"/>
    <col collapsed="false" customWidth="true" hidden="false" outlineLevel="0" max="10" min="10" style="0" width="14"/>
    <col collapsed="false" customWidth="true" hidden="false" outlineLevel="0" max="11" min="11" style="0" width="16"/>
    <col collapsed="false" customWidth="true" hidden="false" outlineLevel="0" max="12" min="12" style="0" width="14"/>
    <col collapsed="false" customWidth="true" hidden="false" outlineLevel="0" max="13" min="13" style="0" width="16"/>
    <col collapsed="false" customWidth="true" hidden="false" outlineLevel="0" max="15" min="14" style="0" width="12"/>
    <col collapsed="false" customWidth="true" hidden="false" outlineLevel="0" max="16" min="16" style="0" width="18"/>
    <col collapsed="false" customWidth="true" hidden="false" outlineLevel="0" max="17" min="17" style="0" width="14"/>
    <col collapsed="false" customWidth="true" hidden="false" outlineLevel="0" max="18" min="18" style="0" width="20"/>
    <col collapsed="false" customWidth="true" hidden="false" outlineLevel="0" max="40" min="40" style="0" width="18"/>
    <col collapsed="false" customWidth="true" hidden="false" outlineLevel="0" max="69" min="42" style="0" width="16"/>
  </cols>
  <sheetData>
    <row r="2" customFormat="false" ht="16.15" hidden="false" customHeight="false" outlineLevel="0" collapsed="false">
      <c r="B2" s="11" t="s">
        <v>298</v>
      </c>
    </row>
    <row r="3" customFormat="false" ht="15" hidden="false" customHeight="false" outlineLevel="0" collapsed="false">
      <c r="B3" s="2" t="s">
        <v>299</v>
      </c>
    </row>
    <row r="5" customFormat="false" ht="43.5" hidden="false" customHeight="true" outlineLevel="0" collapsed="false">
      <c r="B5" s="12" t="s">
        <v>96</v>
      </c>
      <c r="C5" s="12" t="s">
        <v>97</v>
      </c>
      <c r="D5" s="12" t="s">
        <v>300</v>
      </c>
      <c r="E5" s="12" t="s">
        <v>98</v>
      </c>
      <c r="F5" s="12" t="s">
        <v>101</v>
      </c>
      <c r="G5" s="12" t="s">
        <v>100</v>
      </c>
      <c r="H5" s="12" t="s">
        <v>106</v>
      </c>
      <c r="I5" s="12" t="s">
        <v>102</v>
      </c>
      <c r="J5" s="12" t="s">
        <v>103</v>
      </c>
      <c r="K5" s="12" t="s">
        <v>104</v>
      </c>
      <c r="L5" s="12" t="s">
        <v>301</v>
      </c>
      <c r="M5" s="12" t="s">
        <v>302</v>
      </c>
      <c r="N5" s="12" t="s">
        <v>303</v>
      </c>
      <c r="O5" s="12" t="s">
        <v>304</v>
      </c>
      <c r="P5" s="12" t="s">
        <v>305</v>
      </c>
      <c r="Q5" s="12" t="s">
        <v>306</v>
      </c>
      <c r="R5" s="12" t="s">
        <v>307</v>
      </c>
      <c r="AN5" s="12" t="s">
        <v>308</v>
      </c>
      <c r="AP5" s="12" t="s">
        <v>309</v>
      </c>
      <c r="AQ5" s="12" t="s">
        <v>310</v>
      </c>
      <c r="AR5" s="12" t="s">
        <v>311</v>
      </c>
      <c r="AS5" s="12" t="s">
        <v>301</v>
      </c>
      <c r="AT5" s="12" t="s">
        <v>312</v>
      </c>
      <c r="AU5" s="12" t="s">
        <v>310</v>
      </c>
      <c r="AV5" s="12" t="s">
        <v>311</v>
      </c>
      <c r="AW5" s="12" t="s">
        <v>301</v>
      </c>
      <c r="AX5" s="12" t="s">
        <v>313</v>
      </c>
      <c r="AY5" s="12" t="s">
        <v>310</v>
      </c>
      <c r="AZ5" s="12" t="s">
        <v>311</v>
      </c>
      <c r="BA5" s="12" t="s">
        <v>301</v>
      </c>
      <c r="BB5" s="12" t="s">
        <v>314</v>
      </c>
      <c r="BC5" s="12" t="s">
        <v>310</v>
      </c>
      <c r="BD5" s="12" t="s">
        <v>311</v>
      </c>
      <c r="BE5" s="12" t="s">
        <v>301</v>
      </c>
      <c r="BF5" s="12" t="s">
        <v>315</v>
      </c>
      <c r="BG5" s="12" t="s">
        <v>310</v>
      </c>
      <c r="BH5" s="12" t="s">
        <v>311</v>
      </c>
      <c r="BI5" s="12" t="s">
        <v>301</v>
      </c>
      <c r="BJ5" s="12" t="s">
        <v>316</v>
      </c>
      <c r="BK5" s="12" t="s">
        <v>310</v>
      </c>
      <c r="BL5" s="12" t="s">
        <v>311</v>
      </c>
      <c r="BM5" s="12" t="s">
        <v>301</v>
      </c>
      <c r="BN5" s="12" t="s">
        <v>317</v>
      </c>
      <c r="BO5" s="12" t="s">
        <v>310</v>
      </c>
      <c r="BP5" s="12" t="s">
        <v>311</v>
      </c>
      <c r="BQ5" s="12" t="s">
        <v>301</v>
      </c>
    </row>
    <row r="6" customFormat="false" ht="15" hidden="false" customHeight="false" outlineLevel="0" collapsed="false">
      <c r="B6" s="18" t="s">
        <v>114</v>
      </c>
      <c r="C6" s="18" t="s">
        <v>115</v>
      </c>
      <c r="D6" s="24" t="n">
        <v>24</v>
      </c>
      <c r="E6" s="26" t="n">
        <f aca="false">SUMIF('Your Lines'!$B$6:$B$463,$B6,'Your Lines'!$E$6:$E$463)</f>
        <v>21795</v>
      </c>
      <c r="F6" s="15" t="n">
        <f aca="false">ROUND(SUMIF('Your Lines'!$B$6:$B$463,$B6,'Your Lines'!$J$6:$J$463),2)</f>
        <v>2149768</v>
      </c>
      <c r="G6" s="15" t="n">
        <f aca="false">ROUND(SUMIF('Your Lines'!$B$6:$B$463,$B6,'Your Lines'!$G$6:$G$463),2)</f>
        <v>1595615.89</v>
      </c>
      <c r="H6" s="25" t="n">
        <f aca="false">$G6/$F6</f>
        <v>0.742227017054864</v>
      </c>
      <c r="I6" s="15" t="n">
        <f aca="false">ROUND(SUMIF('Your Lines'!$B$6:$B$463,$B6,'Your Lines'!$K$6:$K$463),2)</f>
        <v>1209574</v>
      </c>
      <c r="J6" s="15" t="n">
        <f aca="false">ROUND(SUMIF('Your Lines'!$B$6:$B$463,$B6,'Your Lines'!$L$6:$L$463),2)</f>
        <v>34314.32</v>
      </c>
      <c r="K6" s="15" t="n">
        <f aca="false">ROUND($G6-$I6-$J6,2)</f>
        <v>351727.57</v>
      </c>
      <c r="L6" s="15" t="n">
        <f aca="false">ROUND($D6*'Your Inputs'!$C$40+'Your Inputs'!$C$41,2)</f>
        <v>9980</v>
      </c>
      <c r="M6" s="15" t="n">
        <f aca="false">ROUND($K6-$L6,2)</f>
        <v>341747.57</v>
      </c>
      <c r="N6" s="26" t="n">
        <f aca="false">RANK($M6,'Your Accounts'!$M$6:$M$185)</f>
        <v>9</v>
      </c>
      <c r="O6" s="15" t="n">
        <f aca="false">SUMIF('Your Accounts'!$N$6:$N$185,"&lt;="&amp;$N6,'Your Accounts'!$M$6:$M$185)</f>
        <v>4085196.2</v>
      </c>
      <c r="P6" s="15"/>
      <c r="Q6" s="26" t="n">
        <f aca="false">COUNTIFS('Your Lines'!$B$6:$B$463,$B6,'Your Lines'!$R$6:$R$463,"below the floor")</f>
        <v>0</v>
      </c>
      <c r="R6" s="15" t="n">
        <f aca="false">IF(Q6&gt;0,$K6,0)</f>
        <v>0</v>
      </c>
      <c r="AN6" s="18" t="n">
        <f aca="false">IF(VLOOKUP($C6,'Your Floors'!$B$53:$F$56,5,FALSE())="yes",0,$R6)</f>
        <v>0</v>
      </c>
      <c r="AP6" s="15" t="n">
        <f aca="false">ROUND($K6-$AS6,2)</f>
        <v>346737.57</v>
      </c>
      <c r="AQ6" s="26" t="n">
        <f aca="false">RANK($AP6,'Your Accounts'!$AP$6:$AP$185)</f>
        <v>9</v>
      </c>
      <c r="AR6" s="15" t="n">
        <f aca="false">SUMIF('Your Accounts'!$AQ$6:$AQ$185,"&lt;="&amp;$AQ6,'Your Accounts'!$AP$6:$AP$185)</f>
        <v>4131121.2</v>
      </c>
      <c r="AS6" s="15" t="n">
        <f aca="false">ROUND($D6*Sensitivity!$C$35+Sensitivity!$D$35,2)</f>
        <v>4990</v>
      </c>
      <c r="AT6" s="15" t="n">
        <f aca="false">ROUND($K6-$AW6,2)</f>
        <v>341747.57</v>
      </c>
      <c r="AU6" s="26" t="n">
        <f aca="false">RANK($AT6,'Your Accounts'!$AT$6:$AT$185)</f>
        <v>9</v>
      </c>
      <c r="AV6" s="15" t="n">
        <f aca="false">SUMIF('Your Accounts'!$AU$6:$AU$185,"&lt;="&amp;$AU6,'Your Accounts'!$AT$6:$AT$185)</f>
        <v>4085196.2</v>
      </c>
      <c r="AW6" s="15" t="n">
        <f aca="false">ROUND($D6*Sensitivity!$C$36+Sensitivity!$D$36,2)</f>
        <v>9980</v>
      </c>
      <c r="AX6" s="15" t="n">
        <f aca="false">ROUND($K6-$BA6,2)</f>
        <v>339252.57</v>
      </c>
      <c r="AY6" s="26" t="n">
        <f aca="false">RANK($AX6,'Your Accounts'!$AX$6:$AX$185)</f>
        <v>9</v>
      </c>
      <c r="AZ6" s="15" t="n">
        <f aca="false">SUMIF('Your Accounts'!$AY$6:$AY$185,"&lt;="&amp;$AY6,'Your Accounts'!$AX$6:$AX$185)</f>
        <v>4062233.7</v>
      </c>
      <c r="BA6" s="15" t="n">
        <f aca="false">ROUND($D6*Sensitivity!$C$37+Sensitivity!$D$37,2)</f>
        <v>12475</v>
      </c>
      <c r="BB6" s="15" t="n">
        <f aca="false">ROUND($K6-$BE6,2)</f>
        <v>336757.57</v>
      </c>
      <c r="BC6" s="26" t="n">
        <f aca="false">RANK($BB6,'Your Accounts'!$BB$6:$BB$185)</f>
        <v>9</v>
      </c>
      <c r="BD6" s="15" t="n">
        <f aca="false">SUMIF('Your Accounts'!$BC$6:$BC$185,"&lt;="&amp;$BC6,'Your Accounts'!$BB$6:$BB$185)</f>
        <v>4039271.2</v>
      </c>
      <c r="BE6" s="15" t="n">
        <f aca="false">ROUND($D6*Sensitivity!$C$38+Sensitivity!$D$38,2)</f>
        <v>14970</v>
      </c>
      <c r="BF6" s="15" t="n">
        <f aca="false">ROUND($K6-$BI6,2)</f>
        <v>331767.57</v>
      </c>
      <c r="BG6" s="26" t="n">
        <f aca="false">RANK($BF6,'Your Accounts'!$BF$6:$BF$185)</f>
        <v>9</v>
      </c>
      <c r="BH6" s="15" t="n">
        <f aca="false">SUMIF('Your Accounts'!$BG$6:$BG$185,"&lt;="&amp;$BG6,'Your Accounts'!$BF$6:$BF$185)</f>
        <v>3993346.2</v>
      </c>
      <c r="BI6" s="15" t="n">
        <f aca="false">ROUND($D6*Sensitivity!$C$39+Sensitivity!$D$39,2)</f>
        <v>19960</v>
      </c>
      <c r="BJ6" s="15" t="n">
        <f aca="false">ROUND($K6-$BM6,2)</f>
        <v>326777.57</v>
      </c>
      <c r="BK6" s="26" t="n">
        <f aca="false">RANK($BJ6,'Your Accounts'!$BJ$6:$BJ$185)</f>
        <v>9</v>
      </c>
      <c r="BL6" s="15" t="n">
        <f aca="false">SUMIF('Your Accounts'!$BK$6:$BK$185,"&lt;="&amp;$BK6,'Your Accounts'!$BJ$6:$BJ$185)</f>
        <v>3947421.2</v>
      </c>
      <c r="BM6" s="15" t="n">
        <f aca="false">ROUND($D6*Sensitivity!$C$40+Sensitivity!$D$40,2)</f>
        <v>24950</v>
      </c>
      <c r="BN6" s="15" t="n">
        <f aca="false">ROUND($K6-$BQ6,2)</f>
        <v>321787.57</v>
      </c>
      <c r="BO6" s="26" t="n">
        <f aca="false">RANK($BN6,'Your Accounts'!$BN$6:$BN$185)</f>
        <v>9</v>
      </c>
      <c r="BP6" s="15" t="n">
        <f aca="false">SUMIF('Your Accounts'!$BO$6:$BO$185,"&lt;="&amp;$BO6,'Your Accounts'!$BN$6:$BN$185)</f>
        <v>3901496.2</v>
      </c>
      <c r="BQ6" s="15" t="n">
        <f aca="false">ROUND($D6*Sensitivity!$C$41+Sensitivity!$D$41,2)</f>
        <v>29940</v>
      </c>
    </row>
    <row r="7" customFormat="false" ht="15" hidden="false" customHeight="false" outlineLevel="0" collapsed="false">
      <c r="B7" s="18" t="s">
        <v>116</v>
      </c>
      <c r="C7" s="18" t="s">
        <v>115</v>
      </c>
      <c r="D7" s="24" t="n">
        <v>22</v>
      </c>
      <c r="E7" s="26" t="n">
        <f aca="false">SUMIF('Your Lines'!$B$6:$B$463,$B7,'Your Lines'!$E$6:$E$463)</f>
        <v>23170</v>
      </c>
      <c r="F7" s="15" t="n">
        <f aca="false">ROUND(SUMIF('Your Lines'!$B$6:$B$463,$B7,'Your Lines'!$J$6:$J$463),2)</f>
        <v>2256062</v>
      </c>
      <c r="G7" s="15" t="n">
        <f aca="false">ROUND(SUMIF('Your Lines'!$B$6:$B$463,$B7,'Your Lines'!$G$6:$G$463),2)</f>
        <v>1736380.34</v>
      </c>
      <c r="H7" s="25" t="n">
        <f aca="false">$G7/$F7</f>
        <v>0.769650984769036</v>
      </c>
      <c r="I7" s="15" t="n">
        <f aca="false">ROUND(SUMIF('Your Lines'!$B$6:$B$463,$B7,'Your Lines'!$K$6:$K$463),2)</f>
        <v>1275966</v>
      </c>
      <c r="J7" s="15" t="n">
        <f aca="false">ROUND(SUMIF('Your Lines'!$B$6:$B$463,$B7,'Your Lines'!$L$6:$L$463),2)</f>
        <v>37341.52</v>
      </c>
      <c r="K7" s="15" t="n">
        <f aca="false">ROUND($G7-$I7-$J7,2)</f>
        <v>423072.82</v>
      </c>
      <c r="L7" s="15" t="n">
        <f aca="false">ROUND($D7*'Your Inputs'!$C$40+'Your Inputs'!$C$41,2)</f>
        <v>9690</v>
      </c>
      <c r="M7" s="15" t="n">
        <f aca="false">ROUND($K7-$L7,2)</f>
        <v>413382.82</v>
      </c>
      <c r="N7" s="26" t="n">
        <f aca="false">RANK($M7,'Your Accounts'!$M$6:$M$185)</f>
        <v>6</v>
      </c>
      <c r="O7" s="15" t="n">
        <f aca="false">SUMIF('Your Accounts'!$N$6:$N$185,"&lt;="&amp;$N7,'Your Accounts'!$M$6:$M$185)</f>
        <v>3021033.33</v>
      </c>
      <c r="P7" s="15"/>
      <c r="Q7" s="26" t="n">
        <f aca="false">COUNTIFS('Your Lines'!$B$6:$B$463,$B7,'Your Lines'!$R$6:$R$463,"below the floor")</f>
        <v>0</v>
      </c>
      <c r="R7" s="15" t="n">
        <f aca="false">IF(Q7&gt;0,$K7,0)</f>
        <v>0</v>
      </c>
      <c r="AN7" s="18" t="n">
        <f aca="false">IF(VLOOKUP($C7,'Your Floors'!$B$53:$F$56,5,FALSE())="yes",0,$R7)</f>
        <v>0</v>
      </c>
      <c r="AP7" s="15" t="n">
        <f aca="false">ROUND($K7-$AS7,2)</f>
        <v>418227.82</v>
      </c>
      <c r="AQ7" s="26" t="n">
        <f aca="false">RANK($AP7,'Your Accounts'!$AP$6:$AP$185)</f>
        <v>6</v>
      </c>
      <c r="AR7" s="15" t="n">
        <f aca="false">SUMIF('Your Accounts'!$AQ$6:$AQ$185,"&lt;="&amp;$AQ7,'Your Accounts'!$AP$6:$AP$185)</f>
        <v>3051553.33</v>
      </c>
      <c r="AS7" s="15" t="n">
        <f aca="false">ROUND($D7*Sensitivity!$C$35+Sensitivity!$D$35,2)</f>
        <v>4845</v>
      </c>
      <c r="AT7" s="15" t="n">
        <f aca="false">ROUND($K7-$AW7,2)</f>
        <v>413382.82</v>
      </c>
      <c r="AU7" s="26" t="n">
        <f aca="false">RANK($AT7,'Your Accounts'!$AT$6:$AT$185)</f>
        <v>6</v>
      </c>
      <c r="AV7" s="15" t="n">
        <f aca="false">SUMIF('Your Accounts'!$AU$6:$AU$185,"&lt;="&amp;$AU7,'Your Accounts'!$AT$6:$AT$185)</f>
        <v>3021033.33</v>
      </c>
      <c r="AW7" s="15" t="n">
        <f aca="false">ROUND($D7*Sensitivity!$C$36+Sensitivity!$D$36,2)</f>
        <v>9690</v>
      </c>
      <c r="AX7" s="15" t="n">
        <f aca="false">ROUND($K7-$BA7,2)</f>
        <v>410960.32</v>
      </c>
      <c r="AY7" s="26" t="n">
        <f aca="false">RANK($AX7,'Your Accounts'!$AX$6:$AX$185)</f>
        <v>6</v>
      </c>
      <c r="AZ7" s="15" t="n">
        <f aca="false">SUMIF('Your Accounts'!$AY$6:$AY$185,"&lt;="&amp;$AY7,'Your Accounts'!$AX$6:$AX$185)</f>
        <v>3005773.33</v>
      </c>
      <c r="BA7" s="15" t="n">
        <f aca="false">ROUND($D7*Sensitivity!$C$37+Sensitivity!$D$37,2)</f>
        <v>12112.5</v>
      </c>
      <c r="BB7" s="15" t="n">
        <f aca="false">ROUND($K7-$BE7,2)</f>
        <v>408537.82</v>
      </c>
      <c r="BC7" s="26" t="n">
        <f aca="false">RANK($BB7,'Your Accounts'!$BB$6:$BB$185)</f>
        <v>6</v>
      </c>
      <c r="BD7" s="15" t="n">
        <f aca="false">SUMIF('Your Accounts'!$BC$6:$BC$185,"&lt;="&amp;$BC7,'Your Accounts'!$BB$6:$BB$185)</f>
        <v>2990513.33</v>
      </c>
      <c r="BE7" s="15" t="n">
        <f aca="false">ROUND($D7*Sensitivity!$C$38+Sensitivity!$D$38,2)</f>
        <v>14535</v>
      </c>
      <c r="BF7" s="15" t="n">
        <f aca="false">ROUND($K7-$BI7,2)</f>
        <v>403692.82</v>
      </c>
      <c r="BG7" s="26" t="n">
        <f aca="false">RANK($BF7,'Your Accounts'!$BF$6:$BF$185)</f>
        <v>6</v>
      </c>
      <c r="BH7" s="15" t="n">
        <f aca="false">SUMIF('Your Accounts'!$BG$6:$BG$185,"&lt;="&amp;$BG7,'Your Accounts'!$BF$6:$BF$185)</f>
        <v>2959993.33</v>
      </c>
      <c r="BI7" s="15" t="n">
        <f aca="false">ROUND($D7*Sensitivity!$C$39+Sensitivity!$D$39,2)</f>
        <v>19380</v>
      </c>
      <c r="BJ7" s="15" t="n">
        <f aca="false">ROUND($K7-$BM7,2)</f>
        <v>398847.82</v>
      </c>
      <c r="BK7" s="26" t="n">
        <f aca="false">RANK($BJ7,'Your Accounts'!$BJ$6:$BJ$185)</f>
        <v>6</v>
      </c>
      <c r="BL7" s="15" t="n">
        <f aca="false">SUMIF('Your Accounts'!$BK$6:$BK$185,"&lt;="&amp;$BK7,'Your Accounts'!$BJ$6:$BJ$185)</f>
        <v>2929473.33</v>
      </c>
      <c r="BM7" s="15" t="n">
        <f aca="false">ROUND($D7*Sensitivity!$C$40+Sensitivity!$D$40,2)</f>
        <v>24225</v>
      </c>
      <c r="BN7" s="15" t="n">
        <f aca="false">ROUND($K7-$BQ7,2)</f>
        <v>394002.82</v>
      </c>
      <c r="BO7" s="26" t="n">
        <f aca="false">RANK($BN7,'Your Accounts'!$BN$6:$BN$185)</f>
        <v>6</v>
      </c>
      <c r="BP7" s="15" t="n">
        <f aca="false">SUMIF('Your Accounts'!$BO$6:$BO$185,"&lt;="&amp;$BO7,'Your Accounts'!$BN$6:$BN$185)</f>
        <v>2898953.33</v>
      </c>
      <c r="BQ7" s="15" t="n">
        <f aca="false">ROUND($D7*Sensitivity!$C$41+Sensitivity!$D$41,2)</f>
        <v>29070</v>
      </c>
    </row>
    <row r="8" customFormat="false" ht="15" hidden="false" customHeight="false" outlineLevel="0" collapsed="false">
      <c r="B8" s="18" t="s">
        <v>117</v>
      </c>
      <c r="C8" s="18" t="s">
        <v>115</v>
      </c>
      <c r="D8" s="24" t="n">
        <v>26</v>
      </c>
      <c r="E8" s="26" t="n">
        <f aca="false">SUMIF('Your Lines'!$B$6:$B$463,$B8,'Your Lines'!$E$6:$E$463)</f>
        <v>24820</v>
      </c>
      <c r="F8" s="15" t="n">
        <f aca="false">ROUND(SUMIF('Your Lines'!$B$6:$B$463,$B8,'Your Lines'!$J$6:$J$463),2)</f>
        <v>2540866</v>
      </c>
      <c r="G8" s="15" t="n">
        <f aca="false">ROUND(SUMIF('Your Lines'!$B$6:$B$463,$B8,'Your Lines'!$G$6:$G$463),2)</f>
        <v>1946302.85</v>
      </c>
      <c r="H8" s="25" t="n">
        <f aca="false">$G8/$F8</f>
        <v>0.765999800855299</v>
      </c>
      <c r="I8" s="15" t="n">
        <f aca="false">ROUND(SUMIF('Your Lines'!$B$6:$B$463,$B8,'Your Lines'!$K$6:$K$463),2)</f>
        <v>1427582</v>
      </c>
      <c r="J8" s="15" t="n">
        <f aca="false">ROUND(SUMIF('Your Lines'!$B$6:$B$463,$B8,'Your Lines'!$L$6:$L$463),2)</f>
        <v>41855.97</v>
      </c>
      <c r="K8" s="15" t="n">
        <f aca="false">ROUND($G8-$I8-$J8,2)</f>
        <v>476864.88</v>
      </c>
      <c r="L8" s="15" t="n">
        <f aca="false">ROUND($D8*'Your Inputs'!$C$40+'Your Inputs'!$C$41,2)</f>
        <v>10270</v>
      </c>
      <c r="M8" s="15" t="n">
        <f aca="false">ROUND($K8-$L8,2)</f>
        <v>466594.88</v>
      </c>
      <c r="N8" s="26" t="n">
        <f aca="false">RANK($M8,'Your Accounts'!$M$6:$M$185)</f>
        <v>3</v>
      </c>
      <c r="O8" s="15" t="n">
        <f aca="false">SUMIF('Your Accounts'!$N$6:$N$185,"&lt;="&amp;$N8,'Your Accounts'!$M$6:$M$185)</f>
        <v>1714089.48</v>
      </c>
      <c r="P8" s="15"/>
      <c r="Q8" s="26" t="n">
        <f aca="false">COUNTIFS('Your Lines'!$B$6:$B$463,$B8,'Your Lines'!$R$6:$R$463,"below the floor")</f>
        <v>0</v>
      </c>
      <c r="R8" s="15" t="n">
        <f aca="false">IF(Q8&gt;0,$K8,0)</f>
        <v>0</v>
      </c>
      <c r="AN8" s="18" t="n">
        <f aca="false">IF(VLOOKUP($C8,'Your Floors'!$B$53:$F$56,5,FALSE())="yes",0,$R8)</f>
        <v>0</v>
      </c>
      <c r="AP8" s="15" t="n">
        <f aca="false">ROUND($K8-$AS8,2)</f>
        <v>471729.88</v>
      </c>
      <c r="AQ8" s="26" t="n">
        <f aca="false">RANK($AP8,'Your Accounts'!$AP$6:$AP$185)</f>
        <v>3</v>
      </c>
      <c r="AR8" s="15" t="n">
        <f aca="false">SUMIF('Your Accounts'!$AQ$6:$AQ$185,"&lt;="&amp;$AQ8,'Your Accounts'!$AP$6:$AP$185)</f>
        <v>1730074.48</v>
      </c>
      <c r="AS8" s="15" t="n">
        <f aca="false">ROUND($D8*Sensitivity!$C$35+Sensitivity!$D$35,2)</f>
        <v>5135</v>
      </c>
      <c r="AT8" s="15" t="n">
        <f aca="false">ROUND($K8-$AW8,2)</f>
        <v>466594.88</v>
      </c>
      <c r="AU8" s="26" t="n">
        <f aca="false">RANK($AT8,'Your Accounts'!$AT$6:$AT$185)</f>
        <v>3</v>
      </c>
      <c r="AV8" s="15" t="n">
        <f aca="false">SUMIF('Your Accounts'!$AU$6:$AU$185,"&lt;="&amp;$AU8,'Your Accounts'!$AT$6:$AT$185)</f>
        <v>1714089.48</v>
      </c>
      <c r="AW8" s="15" t="n">
        <f aca="false">ROUND($D8*Sensitivity!$C$36+Sensitivity!$D$36,2)</f>
        <v>10270</v>
      </c>
      <c r="AX8" s="15" t="n">
        <f aca="false">ROUND($K8-$BA8,2)</f>
        <v>464027.38</v>
      </c>
      <c r="AY8" s="26" t="n">
        <f aca="false">RANK($AX8,'Your Accounts'!$AX$6:$AX$185)</f>
        <v>3</v>
      </c>
      <c r="AZ8" s="15" t="n">
        <f aca="false">SUMIF('Your Accounts'!$AY$6:$AY$185,"&lt;="&amp;$AY8,'Your Accounts'!$AX$6:$AX$185)</f>
        <v>1706096.98</v>
      </c>
      <c r="BA8" s="15" t="n">
        <f aca="false">ROUND($D8*Sensitivity!$C$37+Sensitivity!$D$37,2)</f>
        <v>12837.5</v>
      </c>
      <c r="BB8" s="15" t="n">
        <f aca="false">ROUND($K8-$BE8,2)</f>
        <v>461459.88</v>
      </c>
      <c r="BC8" s="26" t="n">
        <f aca="false">RANK($BB8,'Your Accounts'!$BB$6:$BB$185)</f>
        <v>3</v>
      </c>
      <c r="BD8" s="15" t="n">
        <f aca="false">SUMIF('Your Accounts'!$BC$6:$BC$185,"&lt;="&amp;$BC8,'Your Accounts'!$BB$6:$BB$185)</f>
        <v>1698104.48</v>
      </c>
      <c r="BE8" s="15" t="n">
        <f aca="false">ROUND($D8*Sensitivity!$C$38+Sensitivity!$D$38,2)</f>
        <v>15405</v>
      </c>
      <c r="BF8" s="15" t="n">
        <f aca="false">ROUND($K8-$BI8,2)</f>
        <v>456324.88</v>
      </c>
      <c r="BG8" s="26" t="n">
        <f aca="false">RANK($BF8,'Your Accounts'!$BF$6:$BF$185)</f>
        <v>3</v>
      </c>
      <c r="BH8" s="15" t="n">
        <f aca="false">SUMIF('Your Accounts'!$BG$6:$BG$185,"&lt;="&amp;$BG8,'Your Accounts'!$BF$6:$BF$185)</f>
        <v>1682119.48</v>
      </c>
      <c r="BI8" s="15" t="n">
        <f aca="false">ROUND($D8*Sensitivity!$C$39+Sensitivity!$D$39,2)</f>
        <v>20540</v>
      </c>
      <c r="BJ8" s="15" t="n">
        <f aca="false">ROUND($K8-$BM8,2)</f>
        <v>451189.88</v>
      </c>
      <c r="BK8" s="26" t="n">
        <f aca="false">RANK($BJ8,'Your Accounts'!$BJ$6:$BJ$185)</f>
        <v>3</v>
      </c>
      <c r="BL8" s="15" t="n">
        <f aca="false">SUMIF('Your Accounts'!$BK$6:$BK$185,"&lt;="&amp;$BK8,'Your Accounts'!$BJ$6:$BJ$185)</f>
        <v>1666134.48</v>
      </c>
      <c r="BM8" s="15" t="n">
        <f aca="false">ROUND($D8*Sensitivity!$C$40+Sensitivity!$D$40,2)</f>
        <v>25675</v>
      </c>
      <c r="BN8" s="15" t="n">
        <f aca="false">ROUND($K8-$BQ8,2)</f>
        <v>446054.88</v>
      </c>
      <c r="BO8" s="26" t="n">
        <f aca="false">RANK($BN8,'Your Accounts'!$BN$6:$BN$185)</f>
        <v>3</v>
      </c>
      <c r="BP8" s="15" t="n">
        <f aca="false">SUMIF('Your Accounts'!$BO$6:$BO$185,"&lt;="&amp;$BO8,'Your Accounts'!$BN$6:$BN$185)</f>
        <v>1650149.48</v>
      </c>
      <c r="BQ8" s="15" t="n">
        <f aca="false">ROUND($D8*Sensitivity!$C$41+Sensitivity!$D$41,2)</f>
        <v>30810</v>
      </c>
    </row>
    <row r="9" customFormat="false" ht="15" hidden="false" customHeight="false" outlineLevel="0" collapsed="false">
      <c r="B9" s="18" t="s">
        <v>118</v>
      </c>
      <c r="C9" s="18" t="s">
        <v>115</v>
      </c>
      <c r="D9" s="24" t="n">
        <v>21</v>
      </c>
      <c r="E9" s="26" t="n">
        <f aca="false">SUMIF('Your Lines'!$B$6:$B$463,$B9,'Your Lines'!$E$6:$E$463)</f>
        <v>27573</v>
      </c>
      <c r="F9" s="15" t="n">
        <f aca="false">ROUND(SUMIF('Your Lines'!$B$6:$B$463,$B9,'Your Lines'!$J$6:$J$463),2)</f>
        <v>2847914</v>
      </c>
      <c r="G9" s="15" t="n">
        <f aca="false">ROUND(SUMIF('Your Lines'!$B$6:$B$463,$B9,'Your Lines'!$G$6:$G$463),2)</f>
        <v>2171180.04</v>
      </c>
      <c r="H9" s="25" t="n">
        <f aca="false">$G9/$F9</f>
        <v>0.762375563307038</v>
      </c>
      <c r="I9" s="15" t="n">
        <f aca="false">ROUND(SUMIF('Your Lines'!$B$6:$B$463,$B9,'Your Lines'!$K$6:$K$463),2)</f>
        <v>1596296</v>
      </c>
      <c r="J9" s="15" t="n">
        <f aca="false">ROUND(SUMIF('Your Lines'!$B$6:$B$463,$B9,'Your Lines'!$L$6:$L$463),2)</f>
        <v>47457.48</v>
      </c>
      <c r="K9" s="15" t="n">
        <f aca="false">ROUND($G9-$I9-$J9,2)</f>
        <v>527426.56</v>
      </c>
      <c r="L9" s="15" t="n">
        <f aca="false">ROUND($D9*'Your Inputs'!$C$40+'Your Inputs'!$C$41,2)</f>
        <v>9545</v>
      </c>
      <c r="M9" s="15" t="n">
        <f aca="false">ROUND($K9-$L9,2)</f>
        <v>517881.56</v>
      </c>
      <c r="N9" s="26" t="n">
        <f aca="false">RANK($M9,'Your Accounts'!$M$6:$M$185)</f>
        <v>2</v>
      </c>
      <c r="O9" s="15" t="n">
        <f aca="false">SUMIF('Your Accounts'!$N$6:$N$185,"&lt;="&amp;$N9,'Your Accounts'!$M$6:$M$185)</f>
        <v>1247494.6</v>
      </c>
      <c r="P9" s="15"/>
      <c r="Q9" s="26" t="n">
        <f aca="false">COUNTIFS('Your Lines'!$B$6:$B$463,$B9,'Your Lines'!$R$6:$R$463,"below the floor")</f>
        <v>0</v>
      </c>
      <c r="R9" s="15" t="n">
        <f aca="false">IF(Q9&gt;0,$K9,0)</f>
        <v>0</v>
      </c>
      <c r="AN9" s="18" t="n">
        <f aca="false">IF(VLOOKUP($C9,'Your Floors'!$B$53:$F$56,5,FALSE())="yes",0,$R9)</f>
        <v>0</v>
      </c>
      <c r="AP9" s="15" t="n">
        <f aca="false">ROUND($K9-$AS9,2)</f>
        <v>522654.06</v>
      </c>
      <c r="AQ9" s="26" t="n">
        <f aca="false">RANK($AP9,'Your Accounts'!$AP$6:$AP$185)</f>
        <v>2</v>
      </c>
      <c r="AR9" s="15" t="n">
        <f aca="false">SUMIF('Your Accounts'!$AQ$6:$AQ$185,"&lt;="&amp;$AQ9,'Your Accounts'!$AP$6:$AP$185)</f>
        <v>1258344.6</v>
      </c>
      <c r="AS9" s="15" t="n">
        <f aca="false">ROUND($D9*Sensitivity!$C$35+Sensitivity!$D$35,2)</f>
        <v>4772.5</v>
      </c>
      <c r="AT9" s="15" t="n">
        <f aca="false">ROUND($K9-$AW9,2)</f>
        <v>517881.56</v>
      </c>
      <c r="AU9" s="26" t="n">
        <f aca="false">RANK($AT9,'Your Accounts'!$AT$6:$AT$185)</f>
        <v>2</v>
      </c>
      <c r="AV9" s="15" t="n">
        <f aca="false">SUMIF('Your Accounts'!$AU$6:$AU$185,"&lt;="&amp;$AU9,'Your Accounts'!$AT$6:$AT$185)</f>
        <v>1247494.6</v>
      </c>
      <c r="AW9" s="15" t="n">
        <f aca="false">ROUND($D9*Sensitivity!$C$36+Sensitivity!$D$36,2)</f>
        <v>9545</v>
      </c>
      <c r="AX9" s="15" t="n">
        <f aca="false">ROUND($K9-$BA9,2)</f>
        <v>515495.31</v>
      </c>
      <c r="AY9" s="26" t="n">
        <f aca="false">RANK($AX9,'Your Accounts'!$AX$6:$AX$185)</f>
        <v>2</v>
      </c>
      <c r="AZ9" s="15" t="n">
        <f aca="false">SUMIF('Your Accounts'!$AY$6:$AY$185,"&lt;="&amp;$AY9,'Your Accounts'!$AX$6:$AX$185)</f>
        <v>1242069.6</v>
      </c>
      <c r="BA9" s="15" t="n">
        <f aca="false">ROUND($D9*Sensitivity!$C$37+Sensitivity!$D$37,2)</f>
        <v>11931.25</v>
      </c>
      <c r="BB9" s="15" t="n">
        <f aca="false">ROUND($K9-$BE9,2)</f>
        <v>513109.06</v>
      </c>
      <c r="BC9" s="26" t="n">
        <f aca="false">RANK($BB9,'Your Accounts'!$BB$6:$BB$185)</f>
        <v>2</v>
      </c>
      <c r="BD9" s="15" t="n">
        <f aca="false">SUMIF('Your Accounts'!$BC$6:$BC$185,"&lt;="&amp;$BC9,'Your Accounts'!$BB$6:$BB$185)</f>
        <v>1236644.6</v>
      </c>
      <c r="BE9" s="15" t="n">
        <f aca="false">ROUND($D9*Sensitivity!$C$38+Sensitivity!$D$38,2)</f>
        <v>14317.5</v>
      </c>
      <c r="BF9" s="15" t="n">
        <f aca="false">ROUND($K9-$BI9,2)</f>
        <v>508336.56</v>
      </c>
      <c r="BG9" s="26" t="n">
        <f aca="false">RANK($BF9,'Your Accounts'!$BF$6:$BF$185)</f>
        <v>2</v>
      </c>
      <c r="BH9" s="15" t="n">
        <f aca="false">SUMIF('Your Accounts'!$BG$6:$BG$185,"&lt;="&amp;$BG9,'Your Accounts'!$BF$6:$BF$185)</f>
        <v>1225794.6</v>
      </c>
      <c r="BI9" s="15" t="n">
        <f aca="false">ROUND($D9*Sensitivity!$C$39+Sensitivity!$D$39,2)</f>
        <v>19090</v>
      </c>
      <c r="BJ9" s="15" t="n">
        <f aca="false">ROUND($K9-$BM9,2)</f>
        <v>503564.06</v>
      </c>
      <c r="BK9" s="26" t="n">
        <f aca="false">RANK($BJ9,'Your Accounts'!$BJ$6:$BJ$185)</f>
        <v>2</v>
      </c>
      <c r="BL9" s="15" t="n">
        <f aca="false">SUMIF('Your Accounts'!$BK$6:$BK$185,"&lt;="&amp;$BK9,'Your Accounts'!$BJ$6:$BJ$185)</f>
        <v>1214944.6</v>
      </c>
      <c r="BM9" s="15" t="n">
        <f aca="false">ROUND($D9*Sensitivity!$C$40+Sensitivity!$D$40,2)</f>
        <v>23862.5</v>
      </c>
      <c r="BN9" s="15" t="n">
        <f aca="false">ROUND($K9-$BQ9,2)</f>
        <v>498791.56</v>
      </c>
      <c r="BO9" s="26" t="n">
        <f aca="false">RANK($BN9,'Your Accounts'!$BN$6:$BN$185)</f>
        <v>2</v>
      </c>
      <c r="BP9" s="15" t="n">
        <f aca="false">SUMIF('Your Accounts'!$BO$6:$BO$185,"&lt;="&amp;$BO9,'Your Accounts'!$BN$6:$BN$185)</f>
        <v>1204094.6</v>
      </c>
      <c r="BQ9" s="15" t="n">
        <f aca="false">ROUND($D9*Sensitivity!$C$41+Sensitivity!$D$41,2)</f>
        <v>28635</v>
      </c>
    </row>
    <row r="10" customFormat="false" ht="15" hidden="false" customHeight="false" outlineLevel="0" collapsed="false">
      <c r="B10" s="18" t="s">
        <v>119</v>
      </c>
      <c r="C10" s="18" t="s">
        <v>115</v>
      </c>
      <c r="D10" s="24" t="n">
        <v>39</v>
      </c>
      <c r="E10" s="26" t="n">
        <f aca="false">SUMIF('Your Lines'!$B$6:$B$463,$B10,'Your Lines'!$E$6:$E$463)</f>
        <v>47590</v>
      </c>
      <c r="F10" s="15" t="n">
        <f aca="false">ROUND(SUMIF('Your Lines'!$B$6:$B$463,$B10,'Your Lines'!$J$6:$J$463),2)</f>
        <v>4812020</v>
      </c>
      <c r="G10" s="15" t="n">
        <f aca="false">ROUND(SUMIF('Your Lines'!$B$6:$B$463,$B10,'Your Lines'!$G$6:$G$463),2)</f>
        <v>3525532.87</v>
      </c>
      <c r="H10" s="25" t="n">
        <f aca="false">$G10/$F10</f>
        <v>0.732651333535605</v>
      </c>
      <c r="I10" s="15" t="n">
        <f aca="false">ROUND(SUMIF('Your Lines'!$B$6:$B$463,$B10,'Your Lines'!$K$6:$K$463),2)</f>
        <v>2706704</v>
      </c>
      <c r="J10" s="15" t="n">
        <f aca="false">ROUND(SUMIF('Your Lines'!$B$6:$B$463,$B10,'Your Lines'!$L$6:$L$463),2)</f>
        <v>77060.83</v>
      </c>
      <c r="K10" s="15" t="n">
        <f aca="false">ROUND($G10-$I10-$J10,2)</f>
        <v>741768.04</v>
      </c>
      <c r="L10" s="15" t="n">
        <f aca="false">ROUND($D10*'Your Inputs'!$C$40+'Your Inputs'!$C$41,2)</f>
        <v>12155</v>
      </c>
      <c r="M10" s="15" t="n">
        <f aca="false">ROUND($K10-$L10,2)</f>
        <v>729613.04</v>
      </c>
      <c r="N10" s="26" t="n">
        <f aca="false">RANK($M10,'Your Accounts'!$M$6:$M$185)</f>
        <v>1</v>
      </c>
      <c r="O10" s="15" t="n">
        <f aca="false">SUMIF('Your Accounts'!$N$6:$N$185,"&lt;="&amp;$N10,'Your Accounts'!$M$6:$M$185)</f>
        <v>729613.04</v>
      </c>
      <c r="P10" s="15"/>
      <c r="Q10" s="26" t="n">
        <f aca="false">COUNTIFS('Your Lines'!$B$6:$B$463,$B10,'Your Lines'!$R$6:$R$463,"below the floor")</f>
        <v>3</v>
      </c>
      <c r="R10" s="15" t="n">
        <f aca="false">IF(Q10&gt;0,$K10,0)</f>
        <v>741768.04</v>
      </c>
      <c r="AN10" s="18" t="n">
        <f aca="false">IF(VLOOKUP($C10,'Your Floors'!$B$53:$F$56,5,FALSE())="yes",0,$R10)</f>
        <v>0</v>
      </c>
      <c r="AP10" s="15" t="n">
        <f aca="false">ROUND($K10-$AS10,2)</f>
        <v>735690.54</v>
      </c>
      <c r="AQ10" s="26" t="n">
        <f aca="false">RANK($AP10,'Your Accounts'!$AP$6:$AP$185)</f>
        <v>1</v>
      </c>
      <c r="AR10" s="15" t="n">
        <f aca="false">SUMIF('Your Accounts'!$AQ$6:$AQ$185,"&lt;="&amp;$AQ10,'Your Accounts'!$AP$6:$AP$185)</f>
        <v>735690.54</v>
      </c>
      <c r="AS10" s="15" t="n">
        <f aca="false">ROUND($D10*Sensitivity!$C$35+Sensitivity!$D$35,2)</f>
        <v>6077.5</v>
      </c>
      <c r="AT10" s="15" t="n">
        <f aca="false">ROUND($K10-$AW10,2)</f>
        <v>729613.04</v>
      </c>
      <c r="AU10" s="26" t="n">
        <f aca="false">RANK($AT10,'Your Accounts'!$AT$6:$AT$185)</f>
        <v>1</v>
      </c>
      <c r="AV10" s="15" t="n">
        <f aca="false">SUMIF('Your Accounts'!$AU$6:$AU$185,"&lt;="&amp;$AU10,'Your Accounts'!$AT$6:$AT$185)</f>
        <v>729613.04</v>
      </c>
      <c r="AW10" s="15" t="n">
        <f aca="false">ROUND($D10*Sensitivity!$C$36+Sensitivity!$D$36,2)</f>
        <v>12155</v>
      </c>
      <c r="AX10" s="15" t="n">
        <f aca="false">ROUND($K10-$BA10,2)</f>
        <v>726574.29</v>
      </c>
      <c r="AY10" s="26" t="n">
        <f aca="false">RANK($AX10,'Your Accounts'!$AX$6:$AX$185)</f>
        <v>1</v>
      </c>
      <c r="AZ10" s="15" t="n">
        <f aca="false">SUMIF('Your Accounts'!$AY$6:$AY$185,"&lt;="&amp;$AY10,'Your Accounts'!$AX$6:$AX$185)</f>
        <v>726574.29</v>
      </c>
      <c r="BA10" s="15" t="n">
        <f aca="false">ROUND($D10*Sensitivity!$C$37+Sensitivity!$D$37,2)</f>
        <v>15193.75</v>
      </c>
      <c r="BB10" s="15" t="n">
        <f aca="false">ROUND($K10-$BE10,2)</f>
        <v>723535.54</v>
      </c>
      <c r="BC10" s="26" t="n">
        <f aca="false">RANK($BB10,'Your Accounts'!$BB$6:$BB$185)</f>
        <v>1</v>
      </c>
      <c r="BD10" s="15" t="n">
        <f aca="false">SUMIF('Your Accounts'!$BC$6:$BC$185,"&lt;="&amp;$BC10,'Your Accounts'!$BB$6:$BB$185)</f>
        <v>723535.54</v>
      </c>
      <c r="BE10" s="15" t="n">
        <f aca="false">ROUND($D10*Sensitivity!$C$38+Sensitivity!$D$38,2)</f>
        <v>18232.5</v>
      </c>
      <c r="BF10" s="15" t="n">
        <f aca="false">ROUND($K10-$BI10,2)</f>
        <v>717458.04</v>
      </c>
      <c r="BG10" s="26" t="n">
        <f aca="false">RANK($BF10,'Your Accounts'!$BF$6:$BF$185)</f>
        <v>1</v>
      </c>
      <c r="BH10" s="15" t="n">
        <f aca="false">SUMIF('Your Accounts'!$BG$6:$BG$185,"&lt;="&amp;$BG10,'Your Accounts'!$BF$6:$BF$185)</f>
        <v>717458.04</v>
      </c>
      <c r="BI10" s="15" t="n">
        <f aca="false">ROUND($D10*Sensitivity!$C$39+Sensitivity!$D$39,2)</f>
        <v>24310</v>
      </c>
      <c r="BJ10" s="15" t="n">
        <f aca="false">ROUND($K10-$BM10,2)</f>
        <v>711380.54</v>
      </c>
      <c r="BK10" s="26" t="n">
        <f aca="false">RANK($BJ10,'Your Accounts'!$BJ$6:$BJ$185)</f>
        <v>1</v>
      </c>
      <c r="BL10" s="15" t="n">
        <f aca="false">SUMIF('Your Accounts'!$BK$6:$BK$185,"&lt;="&amp;$BK10,'Your Accounts'!$BJ$6:$BJ$185)</f>
        <v>711380.54</v>
      </c>
      <c r="BM10" s="15" t="n">
        <f aca="false">ROUND($D10*Sensitivity!$C$40+Sensitivity!$D$40,2)</f>
        <v>30387.5</v>
      </c>
      <c r="BN10" s="15" t="n">
        <f aca="false">ROUND($K10-$BQ10,2)</f>
        <v>705303.04</v>
      </c>
      <c r="BO10" s="26" t="n">
        <f aca="false">RANK($BN10,'Your Accounts'!$BN$6:$BN$185)</f>
        <v>1</v>
      </c>
      <c r="BP10" s="15" t="n">
        <f aca="false">SUMIF('Your Accounts'!$BO$6:$BO$185,"&lt;="&amp;$BO10,'Your Accounts'!$BN$6:$BN$185)</f>
        <v>705303.04</v>
      </c>
      <c r="BQ10" s="15" t="n">
        <f aca="false">ROUND($D10*Sensitivity!$C$41+Sensitivity!$D$41,2)</f>
        <v>36465</v>
      </c>
    </row>
    <row r="11" customFormat="false" ht="15" hidden="false" customHeight="false" outlineLevel="0" collapsed="false">
      <c r="B11" s="18" t="s">
        <v>120</v>
      </c>
      <c r="C11" s="18" t="s">
        <v>115</v>
      </c>
      <c r="D11" s="24" t="n">
        <v>26</v>
      </c>
      <c r="E11" s="26" t="n">
        <f aca="false">SUMIF('Your Lines'!$B$6:$B$463,$B11,'Your Lines'!$E$6:$E$463)</f>
        <v>21054</v>
      </c>
      <c r="F11" s="15" t="n">
        <f aca="false">ROUND(SUMIF('Your Lines'!$B$6:$B$463,$B11,'Your Lines'!$J$6:$J$463),2)</f>
        <v>2068204</v>
      </c>
      <c r="G11" s="15" t="n">
        <f aca="false">ROUND(SUMIF('Your Lines'!$B$6:$B$463,$B11,'Your Lines'!$G$6:$G$463),2)</f>
        <v>1576333.63</v>
      </c>
      <c r="H11" s="25" t="n">
        <f aca="false">$G11/$F11</f>
        <v>0.762175119088833</v>
      </c>
      <c r="I11" s="15" t="n">
        <f aca="false">ROUND(SUMIF('Your Lines'!$B$6:$B$463,$B11,'Your Lines'!$K$6:$K$463),2)</f>
        <v>1167832</v>
      </c>
      <c r="J11" s="15" t="n">
        <f aca="false">ROUND(SUMIF('Your Lines'!$B$6:$B$463,$B11,'Your Lines'!$L$6:$L$463),2)</f>
        <v>33899.65</v>
      </c>
      <c r="K11" s="15" t="n">
        <f aca="false">ROUND($G11-$I11-$J11,2)</f>
        <v>374601.98</v>
      </c>
      <c r="L11" s="15" t="n">
        <f aca="false">ROUND($D11*'Your Inputs'!$C$40+'Your Inputs'!$C$41,2)</f>
        <v>10270</v>
      </c>
      <c r="M11" s="15" t="n">
        <f aca="false">ROUND($K11-$L11,2)</f>
        <v>364331.98</v>
      </c>
      <c r="N11" s="26" t="n">
        <f aca="false">RANK($M11,'Your Accounts'!$M$6:$M$185)</f>
        <v>7</v>
      </c>
      <c r="O11" s="15" t="n">
        <f aca="false">SUMIF('Your Accounts'!$N$6:$N$185,"&lt;="&amp;$N11,'Your Accounts'!$M$6:$M$185)</f>
        <v>3385365.31</v>
      </c>
      <c r="P11" s="15"/>
      <c r="Q11" s="26" t="n">
        <f aca="false">COUNTIFS('Your Lines'!$B$6:$B$463,$B11,'Your Lines'!$R$6:$R$463,"below the floor")</f>
        <v>0</v>
      </c>
      <c r="R11" s="15" t="n">
        <f aca="false">IF(Q11&gt;0,$K11,0)</f>
        <v>0</v>
      </c>
      <c r="AN11" s="18" t="n">
        <f aca="false">IF(VLOOKUP($C11,'Your Floors'!$B$53:$F$56,5,FALSE())="yes",0,$R11)</f>
        <v>0</v>
      </c>
      <c r="AP11" s="15" t="n">
        <f aca="false">ROUND($K11-$AS11,2)</f>
        <v>369466.98</v>
      </c>
      <c r="AQ11" s="26" t="n">
        <f aca="false">RANK($AP11,'Your Accounts'!$AP$6:$AP$185)</f>
        <v>7</v>
      </c>
      <c r="AR11" s="15" t="n">
        <f aca="false">SUMIF('Your Accounts'!$AQ$6:$AQ$185,"&lt;="&amp;$AQ11,'Your Accounts'!$AP$6:$AP$185)</f>
        <v>3421020.31</v>
      </c>
      <c r="AS11" s="15" t="n">
        <f aca="false">ROUND($D11*Sensitivity!$C$35+Sensitivity!$D$35,2)</f>
        <v>5135</v>
      </c>
      <c r="AT11" s="15" t="n">
        <f aca="false">ROUND($K11-$AW11,2)</f>
        <v>364331.98</v>
      </c>
      <c r="AU11" s="26" t="n">
        <f aca="false">RANK($AT11,'Your Accounts'!$AT$6:$AT$185)</f>
        <v>7</v>
      </c>
      <c r="AV11" s="15" t="n">
        <f aca="false">SUMIF('Your Accounts'!$AU$6:$AU$185,"&lt;="&amp;$AU11,'Your Accounts'!$AT$6:$AT$185)</f>
        <v>3385365.31</v>
      </c>
      <c r="AW11" s="15" t="n">
        <f aca="false">ROUND($D11*Sensitivity!$C$36+Sensitivity!$D$36,2)</f>
        <v>10270</v>
      </c>
      <c r="AX11" s="15" t="n">
        <f aca="false">ROUND($K11-$BA11,2)</f>
        <v>361764.48</v>
      </c>
      <c r="AY11" s="26" t="n">
        <f aca="false">RANK($AX11,'Your Accounts'!$AX$6:$AX$185)</f>
        <v>7</v>
      </c>
      <c r="AZ11" s="15" t="n">
        <f aca="false">SUMIF('Your Accounts'!$AY$6:$AY$185,"&lt;="&amp;$AY11,'Your Accounts'!$AX$6:$AX$185)</f>
        <v>3367537.81</v>
      </c>
      <c r="BA11" s="15" t="n">
        <f aca="false">ROUND($D11*Sensitivity!$C$37+Sensitivity!$D$37,2)</f>
        <v>12837.5</v>
      </c>
      <c r="BB11" s="15" t="n">
        <f aca="false">ROUND($K11-$BE11,2)</f>
        <v>359196.98</v>
      </c>
      <c r="BC11" s="26" t="n">
        <f aca="false">RANK($BB11,'Your Accounts'!$BB$6:$BB$185)</f>
        <v>7</v>
      </c>
      <c r="BD11" s="15" t="n">
        <f aca="false">SUMIF('Your Accounts'!$BC$6:$BC$185,"&lt;="&amp;$BC11,'Your Accounts'!$BB$6:$BB$185)</f>
        <v>3349710.31</v>
      </c>
      <c r="BE11" s="15" t="n">
        <f aca="false">ROUND($D11*Sensitivity!$C$38+Sensitivity!$D$38,2)</f>
        <v>15405</v>
      </c>
      <c r="BF11" s="15" t="n">
        <f aca="false">ROUND($K11-$BI11,2)</f>
        <v>354061.98</v>
      </c>
      <c r="BG11" s="26" t="n">
        <f aca="false">RANK($BF11,'Your Accounts'!$BF$6:$BF$185)</f>
        <v>7</v>
      </c>
      <c r="BH11" s="15" t="n">
        <f aca="false">SUMIF('Your Accounts'!$BG$6:$BG$185,"&lt;="&amp;$BG11,'Your Accounts'!$BF$6:$BF$185)</f>
        <v>3314055.31</v>
      </c>
      <c r="BI11" s="15" t="n">
        <f aca="false">ROUND($D11*Sensitivity!$C$39+Sensitivity!$D$39,2)</f>
        <v>20540</v>
      </c>
      <c r="BJ11" s="15" t="n">
        <f aca="false">ROUND($K11-$BM11,2)</f>
        <v>348926.98</v>
      </c>
      <c r="BK11" s="26" t="n">
        <f aca="false">RANK($BJ11,'Your Accounts'!$BJ$6:$BJ$185)</f>
        <v>7</v>
      </c>
      <c r="BL11" s="15" t="n">
        <f aca="false">SUMIF('Your Accounts'!$BK$6:$BK$185,"&lt;="&amp;$BK11,'Your Accounts'!$BJ$6:$BJ$185)</f>
        <v>3278400.31</v>
      </c>
      <c r="BM11" s="15" t="n">
        <f aca="false">ROUND($D11*Sensitivity!$C$40+Sensitivity!$D$40,2)</f>
        <v>25675</v>
      </c>
      <c r="BN11" s="15" t="n">
        <f aca="false">ROUND($K11-$BQ11,2)</f>
        <v>343791.98</v>
      </c>
      <c r="BO11" s="26" t="n">
        <f aca="false">RANK($BN11,'Your Accounts'!$BN$6:$BN$185)</f>
        <v>7</v>
      </c>
      <c r="BP11" s="15" t="n">
        <f aca="false">SUMIF('Your Accounts'!$BO$6:$BO$185,"&lt;="&amp;$BO11,'Your Accounts'!$BN$6:$BN$185)</f>
        <v>3242745.31</v>
      </c>
      <c r="BQ11" s="15" t="n">
        <f aca="false">ROUND($D11*Sensitivity!$C$41+Sensitivity!$D$41,2)</f>
        <v>30810</v>
      </c>
    </row>
    <row r="12" customFormat="false" ht="15" hidden="false" customHeight="false" outlineLevel="0" collapsed="false">
      <c r="B12" s="18" t="s">
        <v>121</v>
      </c>
      <c r="C12" s="18" t="s">
        <v>115</v>
      </c>
      <c r="D12" s="24" t="n">
        <v>12</v>
      </c>
      <c r="E12" s="26" t="n">
        <f aca="false">SUMIF('Your Lines'!$B$6:$B$463,$B12,'Your Lines'!$E$6:$E$463)</f>
        <v>8427</v>
      </c>
      <c r="F12" s="15" t="n">
        <f aca="false">ROUND(SUMIF('Your Lines'!$B$6:$B$463,$B12,'Your Lines'!$J$6:$J$463),2)</f>
        <v>804598</v>
      </c>
      <c r="G12" s="15" t="n">
        <f aca="false">ROUND(SUMIF('Your Lines'!$B$6:$B$463,$B12,'Your Lines'!$G$6:$G$463),2)</f>
        <v>648655.3</v>
      </c>
      <c r="H12" s="25" t="n">
        <f aca="false">$G12/$F12</f>
        <v>0.806185573416787</v>
      </c>
      <c r="I12" s="15" t="n">
        <f aca="false">ROUND(SUMIF('Your Lines'!$B$6:$B$463,$B12,'Your Lines'!$K$6:$K$463),2)</f>
        <v>456336</v>
      </c>
      <c r="J12" s="15" t="n">
        <f aca="false">ROUND(SUMIF('Your Lines'!$B$6:$B$463,$B12,'Your Lines'!$L$6:$L$463),2)</f>
        <v>13728.15</v>
      </c>
      <c r="K12" s="15" t="n">
        <f aca="false">ROUND($G12-$I12-$J12,2)</f>
        <v>178591.15</v>
      </c>
      <c r="L12" s="15" t="n">
        <f aca="false">ROUND($D12*'Your Inputs'!$C$40+'Your Inputs'!$C$41,2)</f>
        <v>8240</v>
      </c>
      <c r="M12" s="15" t="n">
        <f aca="false">ROUND($K12-$L12,2)</f>
        <v>170351.15</v>
      </c>
      <c r="N12" s="26" t="n">
        <f aca="false">RANK($M12,'Your Accounts'!$M$6:$M$185)</f>
        <v>20</v>
      </c>
      <c r="O12" s="15" t="n">
        <f aca="false">SUMIF('Your Accounts'!$N$6:$N$185,"&lt;="&amp;$N12,'Your Accounts'!$M$6:$M$185)</f>
        <v>6689920.71</v>
      </c>
      <c r="P12" s="15"/>
      <c r="Q12" s="26" t="n">
        <f aca="false">COUNTIFS('Your Lines'!$B$6:$B$463,$B12,'Your Lines'!$R$6:$R$463,"below the floor")</f>
        <v>0</v>
      </c>
      <c r="R12" s="15" t="n">
        <f aca="false">IF(Q12&gt;0,$K12,0)</f>
        <v>0</v>
      </c>
      <c r="AN12" s="18" t="n">
        <f aca="false">IF(VLOOKUP($C12,'Your Floors'!$B$53:$F$56,5,FALSE())="yes",0,$R12)</f>
        <v>0</v>
      </c>
      <c r="AP12" s="15" t="n">
        <f aca="false">ROUND($K12-$AS12,2)</f>
        <v>174471.15</v>
      </c>
      <c r="AQ12" s="26" t="n">
        <f aca="false">RANK($AP12,'Your Accounts'!$AP$6:$AP$185)</f>
        <v>20</v>
      </c>
      <c r="AR12" s="15" t="n">
        <f aca="false">SUMIF('Your Accounts'!$AQ$6:$AQ$185,"&lt;="&amp;$AQ12,'Your Accounts'!$AP$6:$AP$185)</f>
        <v>6797188.21</v>
      </c>
      <c r="AS12" s="15" t="n">
        <f aca="false">ROUND($D12*Sensitivity!$C$35+Sensitivity!$D$35,2)</f>
        <v>4120</v>
      </c>
      <c r="AT12" s="15" t="n">
        <f aca="false">ROUND($K12-$AW12,2)</f>
        <v>170351.15</v>
      </c>
      <c r="AU12" s="26" t="n">
        <f aca="false">RANK($AT12,'Your Accounts'!$AT$6:$AT$185)</f>
        <v>20</v>
      </c>
      <c r="AV12" s="15" t="n">
        <f aca="false">SUMIF('Your Accounts'!$AU$6:$AU$185,"&lt;="&amp;$AU12,'Your Accounts'!$AT$6:$AT$185)</f>
        <v>6689920.71</v>
      </c>
      <c r="AW12" s="15" t="n">
        <f aca="false">ROUND($D12*Sensitivity!$C$36+Sensitivity!$D$36,2)</f>
        <v>8240</v>
      </c>
      <c r="AX12" s="15" t="n">
        <f aca="false">ROUND($K12-$BA12,2)</f>
        <v>168291.15</v>
      </c>
      <c r="AY12" s="26" t="n">
        <f aca="false">RANK($AX12,'Your Accounts'!$AX$6:$AX$185)</f>
        <v>20</v>
      </c>
      <c r="AZ12" s="15" t="n">
        <f aca="false">SUMIF('Your Accounts'!$AY$6:$AY$185,"&lt;="&amp;$AY12,'Your Accounts'!$AX$6:$AX$185)</f>
        <v>6636286.96</v>
      </c>
      <c r="BA12" s="15" t="n">
        <f aca="false">ROUND($D12*Sensitivity!$C$37+Sensitivity!$D$37,2)</f>
        <v>10300</v>
      </c>
      <c r="BB12" s="15" t="n">
        <f aca="false">ROUND($K12-$BE12,2)</f>
        <v>166231.15</v>
      </c>
      <c r="BC12" s="26" t="n">
        <f aca="false">RANK($BB12,'Your Accounts'!$BB$6:$BB$185)</f>
        <v>20</v>
      </c>
      <c r="BD12" s="15" t="n">
        <f aca="false">SUMIF('Your Accounts'!$BC$6:$BC$185,"&lt;="&amp;$BC12,'Your Accounts'!$BB$6:$BB$185)</f>
        <v>6582653.21</v>
      </c>
      <c r="BE12" s="15" t="n">
        <f aca="false">ROUND($D12*Sensitivity!$C$38+Sensitivity!$D$38,2)</f>
        <v>12360</v>
      </c>
      <c r="BF12" s="15" t="n">
        <f aca="false">ROUND($K12-$BI12,2)</f>
        <v>162111.15</v>
      </c>
      <c r="BG12" s="26" t="n">
        <f aca="false">RANK($BF12,'Your Accounts'!$BF$6:$BF$185)</f>
        <v>20</v>
      </c>
      <c r="BH12" s="15" t="n">
        <f aca="false">SUMIF('Your Accounts'!$BG$6:$BG$185,"&lt;="&amp;$BG12,'Your Accounts'!$BF$6:$BF$185)</f>
        <v>6475385.71</v>
      </c>
      <c r="BI12" s="15" t="n">
        <f aca="false">ROUND($D12*Sensitivity!$C$39+Sensitivity!$D$39,2)</f>
        <v>16480</v>
      </c>
      <c r="BJ12" s="15" t="n">
        <f aca="false">ROUND($K12-$BM12,2)</f>
        <v>157991.15</v>
      </c>
      <c r="BK12" s="26" t="n">
        <f aca="false">RANK($BJ12,'Your Accounts'!$BJ$6:$BJ$185)</f>
        <v>20</v>
      </c>
      <c r="BL12" s="15" t="n">
        <f aca="false">SUMIF('Your Accounts'!$BK$6:$BK$185,"&lt;="&amp;$BK12,'Your Accounts'!$BJ$6:$BJ$185)</f>
        <v>6368118.21</v>
      </c>
      <c r="BM12" s="15" t="n">
        <f aca="false">ROUND($D12*Sensitivity!$C$40+Sensitivity!$D$40,2)</f>
        <v>20600</v>
      </c>
      <c r="BN12" s="15" t="n">
        <f aca="false">ROUND($K12-$BQ12,2)</f>
        <v>153871.15</v>
      </c>
      <c r="BO12" s="26" t="n">
        <f aca="false">RANK($BN12,'Your Accounts'!$BN$6:$BN$185)</f>
        <v>20</v>
      </c>
      <c r="BP12" s="15" t="n">
        <f aca="false">SUMIF('Your Accounts'!$BO$6:$BO$185,"&lt;="&amp;$BO12,'Your Accounts'!$BN$6:$BN$185)</f>
        <v>6260850.71</v>
      </c>
      <c r="BQ12" s="15" t="n">
        <f aca="false">ROUND($D12*Sensitivity!$C$41+Sensitivity!$D$41,2)</f>
        <v>24720</v>
      </c>
    </row>
    <row r="13" customFormat="false" ht="15" hidden="false" customHeight="false" outlineLevel="0" collapsed="false">
      <c r="B13" s="18" t="s">
        <v>122</v>
      </c>
      <c r="C13" s="18" t="s">
        <v>115</v>
      </c>
      <c r="D13" s="24" t="n">
        <v>25</v>
      </c>
      <c r="E13" s="26" t="n">
        <f aca="false">SUMIF('Your Lines'!$B$6:$B$463,$B13,'Your Lines'!$E$6:$E$463)</f>
        <v>24654</v>
      </c>
      <c r="F13" s="15" t="n">
        <f aca="false">ROUND(SUMIF('Your Lines'!$B$6:$B$463,$B13,'Your Lines'!$J$6:$J$463),2)</f>
        <v>2546084</v>
      </c>
      <c r="G13" s="15" t="n">
        <f aca="false">ROUND(SUMIF('Your Lines'!$B$6:$B$463,$B13,'Your Lines'!$G$6:$G$463),2)</f>
        <v>1917034.81</v>
      </c>
      <c r="H13" s="25" t="n">
        <f aca="false">$G13/$F13</f>
        <v>0.752934628236932</v>
      </c>
      <c r="I13" s="15" t="n">
        <f aca="false">ROUND(SUMIF('Your Lines'!$B$6:$B$463,$B13,'Your Lines'!$K$6:$K$463),2)</f>
        <v>1401632</v>
      </c>
      <c r="J13" s="15" t="n">
        <f aca="false">ROUND(SUMIF('Your Lines'!$B$6:$B$463,$B13,'Your Lines'!$L$6:$L$463),2)</f>
        <v>41226.56</v>
      </c>
      <c r="K13" s="15" t="n">
        <f aca="false">ROUND($G13-$I13-$J13,2)</f>
        <v>474176.25</v>
      </c>
      <c r="L13" s="15" t="n">
        <f aca="false">ROUND($D13*'Your Inputs'!$C$40+'Your Inputs'!$C$41,2)</f>
        <v>10125</v>
      </c>
      <c r="M13" s="15" t="n">
        <f aca="false">ROUND($K13-$L13,2)</f>
        <v>464051.25</v>
      </c>
      <c r="N13" s="26" t="n">
        <f aca="false">RANK($M13,'Your Accounts'!$M$6:$M$185)</f>
        <v>4</v>
      </c>
      <c r="O13" s="15" t="n">
        <f aca="false">SUMIF('Your Accounts'!$N$6:$N$185,"&lt;="&amp;$N13,'Your Accounts'!$M$6:$M$185)</f>
        <v>2178140.73</v>
      </c>
      <c r="P13" s="15"/>
      <c r="Q13" s="26" t="n">
        <f aca="false">COUNTIFS('Your Lines'!$B$6:$B$463,$B13,'Your Lines'!$R$6:$R$463,"below the floor")</f>
        <v>0</v>
      </c>
      <c r="R13" s="15" t="n">
        <f aca="false">IF(Q13&gt;0,$K13,0)</f>
        <v>0</v>
      </c>
      <c r="AN13" s="18" t="n">
        <f aca="false">IF(VLOOKUP($C13,'Your Floors'!$B$53:$F$56,5,FALSE())="yes",0,$R13)</f>
        <v>0</v>
      </c>
      <c r="AP13" s="15" t="n">
        <f aca="false">ROUND($K13-$AS13,2)</f>
        <v>469113.75</v>
      </c>
      <c r="AQ13" s="26" t="n">
        <f aca="false">RANK($AP13,'Your Accounts'!$AP$6:$AP$185)</f>
        <v>4</v>
      </c>
      <c r="AR13" s="15" t="n">
        <f aca="false">SUMIF('Your Accounts'!$AQ$6:$AQ$185,"&lt;="&amp;$AQ13,'Your Accounts'!$AP$6:$AP$185)</f>
        <v>2199188.23</v>
      </c>
      <c r="AS13" s="15" t="n">
        <f aca="false">ROUND($D13*Sensitivity!$C$35+Sensitivity!$D$35,2)</f>
        <v>5062.5</v>
      </c>
      <c r="AT13" s="15" t="n">
        <f aca="false">ROUND($K13-$AW13,2)</f>
        <v>464051.25</v>
      </c>
      <c r="AU13" s="26" t="n">
        <f aca="false">RANK($AT13,'Your Accounts'!$AT$6:$AT$185)</f>
        <v>4</v>
      </c>
      <c r="AV13" s="15" t="n">
        <f aca="false">SUMIF('Your Accounts'!$AU$6:$AU$185,"&lt;="&amp;$AU13,'Your Accounts'!$AT$6:$AT$185)</f>
        <v>2178140.73</v>
      </c>
      <c r="AW13" s="15" t="n">
        <f aca="false">ROUND($D13*Sensitivity!$C$36+Sensitivity!$D$36,2)</f>
        <v>10125</v>
      </c>
      <c r="AX13" s="15" t="n">
        <f aca="false">ROUND($K13-$BA13,2)</f>
        <v>461520</v>
      </c>
      <c r="AY13" s="26" t="n">
        <f aca="false">RANK($AX13,'Your Accounts'!$AX$6:$AX$185)</f>
        <v>4</v>
      </c>
      <c r="AZ13" s="15" t="n">
        <f aca="false">SUMIF('Your Accounts'!$AY$6:$AY$185,"&lt;="&amp;$AY13,'Your Accounts'!$AX$6:$AX$185)</f>
        <v>2167616.98</v>
      </c>
      <c r="BA13" s="15" t="n">
        <f aca="false">ROUND($D13*Sensitivity!$C$37+Sensitivity!$D$37,2)</f>
        <v>12656.25</v>
      </c>
      <c r="BB13" s="15" t="n">
        <f aca="false">ROUND($K13-$BE13,2)</f>
        <v>458988.75</v>
      </c>
      <c r="BC13" s="26" t="n">
        <f aca="false">RANK($BB13,'Your Accounts'!$BB$6:$BB$185)</f>
        <v>4</v>
      </c>
      <c r="BD13" s="15" t="n">
        <f aca="false">SUMIF('Your Accounts'!$BC$6:$BC$185,"&lt;="&amp;$BC13,'Your Accounts'!$BB$6:$BB$185)</f>
        <v>2157093.23</v>
      </c>
      <c r="BE13" s="15" t="n">
        <f aca="false">ROUND($D13*Sensitivity!$C$38+Sensitivity!$D$38,2)</f>
        <v>15187.5</v>
      </c>
      <c r="BF13" s="15" t="n">
        <f aca="false">ROUND($K13-$BI13,2)</f>
        <v>453926.25</v>
      </c>
      <c r="BG13" s="26" t="n">
        <f aca="false">RANK($BF13,'Your Accounts'!$BF$6:$BF$185)</f>
        <v>4</v>
      </c>
      <c r="BH13" s="15" t="n">
        <f aca="false">SUMIF('Your Accounts'!$BG$6:$BG$185,"&lt;="&amp;$BG13,'Your Accounts'!$BF$6:$BF$185)</f>
        <v>2136045.73</v>
      </c>
      <c r="BI13" s="15" t="n">
        <f aca="false">ROUND($D13*Sensitivity!$C$39+Sensitivity!$D$39,2)</f>
        <v>20250</v>
      </c>
      <c r="BJ13" s="15" t="n">
        <f aca="false">ROUND($K13-$BM13,2)</f>
        <v>448863.75</v>
      </c>
      <c r="BK13" s="26" t="n">
        <f aca="false">RANK($BJ13,'Your Accounts'!$BJ$6:$BJ$185)</f>
        <v>4</v>
      </c>
      <c r="BL13" s="15" t="n">
        <f aca="false">SUMIF('Your Accounts'!$BK$6:$BK$185,"&lt;="&amp;$BK13,'Your Accounts'!$BJ$6:$BJ$185)</f>
        <v>2114998.23</v>
      </c>
      <c r="BM13" s="15" t="n">
        <f aca="false">ROUND($D13*Sensitivity!$C$40+Sensitivity!$D$40,2)</f>
        <v>25312.5</v>
      </c>
      <c r="BN13" s="15" t="n">
        <f aca="false">ROUND($K13-$BQ13,2)</f>
        <v>443801.25</v>
      </c>
      <c r="BO13" s="26" t="n">
        <f aca="false">RANK($BN13,'Your Accounts'!$BN$6:$BN$185)</f>
        <v>4</v>
      </c>
      <c r="BP13" s="15" t="n">
        <f aca="false">SUMIF('Your Accounts'!$BO$6:$BO$185,"&lt;="&amp;$BO13,'Your Accounts'!$BN$6:$BN$185)</f>
        <v>2093950.73</v>
      </c>
      <c r="BQ13" s="15" t="n">
        <f aca="false">ROUND($D13*Sensitivity!$C$41+Sensitivity!$D$41,2)</f>
        <v>30375</v>
      </c>
    </row>
    <row r="14" customFormat="false" ht="15" hidden="false" customHeight="false" outlineLevel="0" collapsed="false">
      <c r="B14" s="18" t="s">
        <v>123</v>
      </c>
      <c r="C14" s="18" t="s">
        <v>115</v>
      </c>
      <c r="D14" s="24" t="n">
        <v>17</v>
      </c>
      <c r="E14" s="26" t="n">
        <f aca="false">SUMIF('Your Lines'!$B$6:$B$463,$B14,'Your Lines'!$E$6:$E$463)</f>
        <v>10964</v>
      </c>
      <c r="F14" s="15" t="n">
        <f aca="false">ROUND(SUMIF('Your Lines'!$B$6:$B$463,$B14,'Your Lines'!$J$6:$J$463),2)</f>
        <v>1147724</v>
      </c>
      <c r="G14" s="15" t="n">
        <f aca="false">ROUND(SUMIF('Your Lines'!$B$6:$B$463,$B14,'Your Lines'!$G$6:$G$463),2)</f>
        <v>940372.53</v>
      </c>
      <c r="H14" s="25" t="n">
        <f aca="false">$G14/$F14</f>
        <v>0.819336817910926</v>
      </c>
      <c r="I14" s="15" t="n">
        <f aca="false">ROUND(SUMIF('Your Lines'!$B$6:$B$463,$B14,'Your Lines'!$K$6:$K$463),2)</f>
        <v>640468</v>
      </c>
      <c r="J14" s="15" t="n">
        <f aca="false">ROUND(SUMIF('Your Lines'!$B$6:$B$463,$B14,'Your Lines'!$L$6:$L$463),2)</f>
        <v>20223.06</v>
      </c>
      <c r="K14" s="15" t="n">
        <f aca="false">ROUND($G14-$I14-$J14,2)</f>
        <v>279681.47</v>
      </c>
      <c r="L14" s="15" t="n">
        <f aca="false">ROUND($D14*'Your Inputs'!$C$40+'Your Inputs'!$C$41,2)</f>
        <v>8965</v>
      </c>
      <c r="M14" s="15" t="n">
        <f aca="false">ROUND($K14-$L14,2)</f>
        <v>270716.47</v>
      </c>
      <c r="N14" s="26" t="n">
        <f aca="false">RANK($M14,'Your Accounts'!$M$6:$M$185)</f>
        <v>12</v>
      </c>
      <c r="O14" s="15" t="n">
        <f aca="false">SUMIF('Your Accounts'!$N$6:$N$185,"&lt;="&amp;$N14,'Your Accounts'!$M$6:$M$185)</f>
        <v>4954264.27</v>
      </c>
      <c r="P14" s="15"/>
      <c r="Q14" s="26" t="n">
        <f aca="false">COUNTIFS('Your Lines'!$B$6:$B$463,$B14,'Your Lines'!$R$6:$R$463,"below the floor")</f>
        <v>0</v>
      </c>
      <c r="R14" s="15" t="n">
        <f aca="false">IF(Q14&gt;0,$K14,0)</f>
        <v>0</v>
      </c>
      <c r="AN14" s="18" t="n">
        <f aca="false">IF(VLOOKUP($C14,'Your Floors'!$B$53:$F$56,5,FALSE())="yes",0,$R14)</f>
        <v>0</v>
      </c>
      <c r="AP14" s="15" t="n">
        <f aca="false">ROUND($K14-$AS14,2)</f>
        <v>275198.97</v>
      </c>
      <c r="AQ14" s="26" t="n">
        <f aca="false">RANK($AP14,'Your Accounts'!$AP$6:$AP$185)</f>
        <v>12</v>
      </c>
      <c r="AR14" s="15" t="n">
        <f aca="false">SUMIF('Your Accounts'!$AQ$6:$AQ$185,"&lt;="&amp;$AQ14,'Your Accounts'!$AP$6:$AP$185)</f>
        <v>5018421.77</v>
      </c>
      <c r="AS14" s="15" t="n">
        <f aca="false">ROUND($D14*Sensitivity!$C$35+Sensitivity!$D$35,2)</f>
        <v>4482.5</v>
      </c>
      <c r="AT14" s="15" t="n">
        <f aca="false">ROUND($K14-$AW14,2)</f>
        <v>270716.47</v>
      </c>
      <c r="AU14" s="26" t="n">
        <f aca="false">RANK($AT14,'Your Accounts'!$AT$6:$AT$185)</f>
        <v>12</v>
      </c>
      <c r="AV14" s="15" t="n">
        <f aca="false">SUMIF('Your Accounts'!$AU$6:$AU$185,"&lt;="&amp;$AU14,'Your Accounts'!$AT$6:$AT$185)</f>
        <v>4954264.27</v>
      </c>
      <c r="AW14" s="15" t="n">
        <f aca="false">ROUND($D14*Sensitivity!$C$36+Sensitivity!$D$36,2)</f>
        <v>8965</v>
      </c>
      <c r="AX14" s="15" t="n">
        <f aca="false">ROUND($K14-$BA14,2)</f>
        <v>268475.22</v>
      </c>
      <c r="AY14" s="26" t="n">
        <f aca="false">RANK($AX14,'Your Accounts'!$AX$6:$AX$185)</f>
        <v>12</v>
      </c>
      <c r="AZ14" s="15" t="n">
        <f aca="false">SUMIF('Your Accounts'!$AY$6:$AY$185,"&lt;="&amp;$AY14,'Your Accounts'!$AX$6:$AX$185)</f>
        <v>4922185.52</v>
      </c>
      <c r="BA14" s="15" t="n">
        <f aca="false">ROUND($D14*Sensitivity!$C$37+Sensitivity!$D$37,2)</f>
        <v>11206.25</v>
      </c>
      <c r="BB14" s="15" t="n">
        <f aca="false">ROUND($K14-$BE14,2)</f>
        <v>266233.97</v>
      </c>
      <c r="BC14" s="26" t="n">
        <f aca="false">RANK($BB14,'Your Accounts'!$BB$6:$BB$185)</f>
        <v>12</v>
      </c>
      <c r="BD14" s="15" t="n">
        <f aca="false">SUMIF('Your Accounts'!$BC$6:$BC$185,"&lt;="&amp;$BC14,'Your Accounts'!$BB$6:$BB$185)</f>
        <v>4890106.77</v>
      </c>
      <c r="BE14" s="15" t="n">
        <f aca="false">ROUND($D14*Sensitivity!$C$38+Sensitivity!$D$38,2)</f>
        <v>13447.5</v>
      </c>
      <c r="BF14" s="15" t="n">
        <f aca="false">ROUND($K14-$BI14,2)</f>
        <v>261751.47</v>
      </c>
      <c r="BG14" s="26" t="n">
        <f aca="false">RANK($BF14,'Your Accounts'!$BF$6:$BF$185)</f>
        <v>12</v>
      </c>
      <c r="BH14" s="15" t="n">
        <f aca="false">SUMIF('Your Accounts'!$BG$6:$BG$185,"&lt;="&amp;$BG14,'Your Accounts'!$BF$6:$BF$185)</f>
        <v>4825949.27</v>
      </c>
      <c r="BI14" s="15" t="n">
        <f aca="false">ROUND($D14*Sensitivity!$C$39+Sensitivity!$D$39,2)</f>
        <v>17930</v>
      </c>
      <c r="BJ14" s="15" t="n">
        <f aca="false">ROUND($K14-$BM14,2)</f>
        <v>257268.97</v>
      </c>
      <c r="BK14" s="26" t="n">
        <f aca="false">RANK($BJ14,'Your Accounts'!$BJ$6:$BJ$185)</f>
        <v>11</v>
      </c>
      <c r="BL14" s="15" t="n">
        <f aca="false">SUMIF('Your Accounts'!$BK$6:$BK$185,"&lt;="&amp;$BK14,'Your Accounts'!$BJ$6:$BJ$185)</f>
        <v>4504860.13</v>
      </c>
      <c r="BM14" s="15" t="n">
        <f aca="false">ROUND($D14*Sensitivity!$C$40+Sensitivity!$D$40,2)</f>
        <v>22412.5</v>
      </c>
      <c r="BN14" s="15" t="n">
        <f aca="false">ROUND($K14-$BQ14,2)</f>
        <v>252786.47</v>
      </c>
      <c r="BO14" s="26" t="n">
        <f aca="false">RANK($BN14,'Your Accounts'!$BN$6:$BN$185)</f>
        <v>11</v>
      </c>
      <c r="BP14" s="15" t="n">
        <f aca="false">SUMIF('Your Accounts'!$BO$6:$BO$185,"&lt;="&amp;$BO14,'Your Accounts'!$BN$6:$BN$185)</f>
        <v>4446707.63</v>
      </c>
      <c r="BQ14" s="15" t="n">
        <f aca="false">ROUND($D14*Sensitivity!$C$41+Sensitivity!$D$41,2)</f>
        <v>26895</v>
      </c>
    </row>
    <row r="15" customFormat="false" ht="15" hidden="false" customHeight="false" outlineLevel="0" collapsed="false">
      <c r="B15" s="18" t="s">
        <v>124</v>
      </c>
      <c r="C15" s="18" t="s">
        <v>115</v>
      </c>
      <c r="D15" s="24" t="n">
        <v>28</v>
      </c>
      <c r="E15" s="26" t="n">
        <f aca="false">SUMIF('Your Lines'!$B$6:$B$463,$B15,'Your Lines'!$E$6:$E$463)</f>
        <v>20265</v>
      </c>
      <c r="F15" s="15" t="n">
        <f aca="false">ROUND(SUMIF('Your Lines'!$B$6:$B$463,$B15,'Your Lines'!$J$6:$J$463),2)</f>
        <v>2035770</v>
      </c>
      <c r="G15" s="15" t="n">
        <f aca="false">ROUND(SUMIF('Your Lines'!$B$6:$B$463,$B15,'Your Lines'!$G$6:$G$463),2)</f>
        <v>1547695.09</v>
      </c>
      <c r="H15" s="25" t="n">
        <f aca="false">$G15/$F15</f>
        <v>0.760250465425859</v>
      </c>
      <c r="I15" s="15" t="n">
        <f aca="false">ROUND(SUMIF('Your Lines'!$B$6:$B$463,$B15,'Your Lines'!$K$6:$K$463),2)</f>
        <v>1145768</v>
      </c>
      <c r="J15" s="15" t="n">
        <f aca="false">ROUND(SUMIF('Your Lines'!$B$6:$B$463,$B15,'Your Lines'!$L$6:$L$463),2)</f>
        <v>33283.77</v>
      </c>
      <c r="K15" s="15" t="n">
        <f aca="false">ROUND($G15-$I15-$J15,2)</f>
        <v>368643.32</v>
      </c>
      <c r="L15" s="15" t="n">
        <f aca="false">ROUND($D15*'Your Inputs'!$C$40+'Your Inputs'!$C$41,2)</f>
        <v>10560</v>
      </c>
      <c r="M15" s="15" t="n">
        <f aca="false">ROUND($K15-$L15,2)</f>
        <v>358083.32</v>
      </c>
      <c r="N15" s="26" t="n">
        <f aca="false">RANK($M15,'Your Accounts'!$M$6:$M$185)</f>
        <v>8</v>
      </c>
      <c r="O15" s="15" t="n">
        <f aca="false">SUMIF('Your Accounts'!$N$6:$N$185,"&lt;="&amp;$N15,'Your Accounts'!$M$6:$M$185)</f>
        <v>3743448.63</v>
      </c>
      <c r="P15" s="15"/>
      <c r="Q15" s="26" t="n">
        <f aca="false">COUNTIFS('Your Lines'!$B$6:$B$463,$B15,'Your Lines'!$R$6:$R$463,"below the floor")</f>
        <v>0</v>
      </c>
      <c r="R15" s="15" t="n">
        <f aca="false">IF(Q15&gt;0,$K15,0)</f>
        <v>0</v>
      </c>
      <c r="AN15" s="18" t="n">
        <f aca="false">IF(VLOOKUP($C15,'Your Floors'!$B$53:$F$56,5,FALSE())="yes",0,$R15)</f>
        <v>0</v>
      </c>
      <c r="AP15" s="15" t="n">
        <f aca="false">ROUND($K15-$AS15,2)</f>
        <v>363363.32</v>
      </c>
      <c r="AQ15" s="26" t="n">
        <f aca="false">RANK($AP15,'Your Accounts'!$AP$6:$AP$185)</f>
        <v>8</v>
      </c>
      <c r="AR15" s="15" t="n">
        <f aca="false">SUMIF('Your Accounts'!$AQ$6:$AQ$185,"&lt;="&amp;$AQ15,'Your Accounts'!$AP$6:$AP$185)</f>
        <v>3784383.63</v>
      </c>
      <c r="AS15" s="15" t="n">
        <f aca="false">ROUND($D15*Sensitivity!$C$35+Sensitivity!$D$35,2)</f>
        <v>5280</v>
      </c>
      <c r="AT15" s="15" t="n">
        <f aca="false">ROUND($K15-$AW15,2)</f>
        <v>358083.32</v>
      </c>
      <c r="AU15" s="26" t="n">
        <f aca="false">RANK($AT15,'Your Accounts'!$AT$6:$AT$185)</f>
        <v>8</v>
      </c>
      <c r="AV15" s="15" t="n">
        <f aca="false">SUMIF('Your Accounts'!$AU$6:$AU$185,"&lt;="&amp;$AU15,'Your Accounts'!$AT$6:$AT$185)</f>
        <v>3743448.63</v>
      </c>
      <c r="AW15" s="15" t="n">
        <f aca="false">ROUND($D15*Sensitivity!$C$36+Sensitivity!$D$36,2)</f>
        <v>10560</v>
      </c>
      <c r="AX15" s="15" t="n">
        <f aca="false">ROUND($K15-$BA15,2)</f>
        <v>355443.32</v>
      </c>
      <c r="AY15" s="26" t="n">
        <f aca="false">RANK($AX15,'Your Accounts'!$AX$6:$AX$185)</f>
        <v>8</v>
      </c>
      <c r="AZ15" s="15" t="n">
        <f aca="false">SUMIF('Your Accounts'!$AY$6:$AY$185,"&lt;="&amp;$AY15,'Your Accounts'!$AX$6:$AX$185)</f>
        <v>3722981.13</v>
      </c>
      <c r="BA15" s="15" t="n">
        <f aca="false">ROUND($D15*Sensitivity!$C$37+Sensitivity!$D$37,2)</f>
        <v>13200</v>
      </c>
      <c r="BB15" s="15" t="n">
        <f aca="false">ROUND($K15-$BE15,2)</f>
        <v>352803.32</v>
      </c>
      <c r="BC15" s="26" t="n">
        <f aca="false">RANK($BB15,'Your Accounts'!$BB$6:$BB$185)</f>
        <v>8</v>
      </c>
      <c r="BD15" s="15" t="n">
        <f aca="false">SUMIF('Your Accounts'!$BC$6:$BC$185,"&lt;="&amp;$BC15,'Your Accounts'!$BB$6:$BB$185)</f>
        <v>3702513.63</v>
      </c>
      <c r="BE15" s="15" t="n">
        <f aca="false">ROUND($D15*Sensitivity!$C$38+Sensitivity!$D$38,2)</f>
        <v>15840</v>
      </c>
      <c r="BF15" s="15" t="n">
        <f aca="false">ROUND($K15-$BI15,2)</f>
        <v>347523.32</v>
      </c>
      <c r="BG15" s="26" t="n">
        <f aca="false">RANK($BF15,'Your Accounts'!$BF$6:$BF$185)</f>
        <v>8</v>
      </c>
      <c r="BH15" s="15" t="n">
        <f aca="false">SUMIF('Your Accounts'!$BG$6:$BG$185,"&lt;="&amp;$BG15,'Your Accounts'!$BF$6:$BF$185)</f>
        <v>3661578.63</v>
      </c>
      <c r="BI15" s="15" t="n">
        <f aca="false">ROUND($D15*Sensitivity!$C$39+Sensitivity!$D$39,2)</f>
        <v>21120</v>
      </c>
      <c r="BJ15" s="15" t="n">
        <f aca="false">ROUND($K15-$BM15,2)</f>
        <v>342243.32</v>
      </c>
      <c r="BK15" s="26" t="n">
        <f aca="false">RANK($BJ15,'Your Accounts'!$BJ$6:$BJ$185)</f>
        <v>8</v>
      </c>
      <c r="BL15" s="15" t="n">
        <f aca="false">SUMIF('Your Accounts'!$BK$6:$BK$185,"&lt;="&amp;$BK15,'Your Accounts'!$BJ$6:$BJ$185)</f>
        <v>3620643.63</v>
      </c>
      <c r="BM15" s="15" t="n">
        <f aca="false">ROUND($D15*Sensitivity!$C$40+Sensitivity!$D$40,2)</f>
        <v>26400</v>
      </c>
      <c r="BN15" s="15" t="n">
        <f aca="false">ROUND($K15-$BQ15,2)</f>
        <v>336963.32</v>
      </c>
      <c r="BO15" s="26" t="n">
        <f aca="false">RANK($BN15,'Your Accounts'!$BN$6:$BN$185)</f>
        <v>8</v>
      </c>
      <c r="BP15" s="15" t="n">
        <f aca="false">SUMIF('Your Accounts'!$BO$6:$BO$185,"&lt;="&amp;$BO15,'Your Accounts'!$BN$6:$BN$185)</f>
        <v>3579708.63</v>
      </c>
      <c r="BQ15" s="15" t="n">
        <f aca="false">ROUND($D15*Sensitivity!$C$41+Sensitivity!$D$41,2)</f>
        <v>31680</v>
      </c>
    </row>
    <row r="16" customFormat="false" ht="15" hidden="false" customHeight="false" outlineLevel="0" collapsed="false">
      <c r="B16" s="18" t="s">
        <v>125</v>
      </c>
      <c r="C16" s="18" t="s">
        <v>115</v>
      </c>
      <c r="D16" s="24" t="n">
        <v>19</v>
      </c>
      <c r="E16" s="26" t="n">
        <f aca="false">SUMIF('Your Lines'!$B$6:$B$463,$B16,'Your Lines'!$E$6:$E$463)</f>
        <v>25217</v>
      </c>
      <c r="F16" s="15" t="n">
        <f aca="false">ROUND(SUMIF('Your Lines'!$B$6:$B$463,$B16,'Your Lines'!$J$6:$J$463),2)</f>
        <v>2682456</v>
      </c>
      <c r="G16" s="15" t="n">
        <f aca="false">ROUND(SUMIF('Your Lines'!$B$6:$B$463,$B16,'Your Lines'!$G$6:$G$463),2)</f>
        <v>1971360.62</v>
      </c>
      <c r="H16" s="25" t="n">
        <f aca="false">$G16/$F16</f>
        <v>0.734908837274498</v>
      </c>
      <c r="I16" s="15" t="n">
        <f aca="false">ROUND(SUMIF('Your Lines'!$B$6:$B$463,$B16,'Your Lines'!$K$6:$K$463),2)</f>
        <v>1489506</v>
      </c>
      <c r="J16" s="15" t="n">
        <f aca="false">ROUND(SUMIF('Your Lines'!$B$6:$B$463,$B16,'Your Lines'!$L$6:$L$463),2)</f>
        <v>43089.84</v>
      </c>
      <c r="K16" s="15" t="n">
        <f aca="false">ROUND($G16-$I16-$J16,2)</f>
        <v>438764.78</v>
      </c>
      <c r="L16" s="15" t="n">
        <f aca="false">ROUND($D16*'Your Inputs'!$C$40+'Your Inputs'!$C$41,2)</f>
        <v>9255</v>
      </c>
      <c r="M16" s="15" t="n">
        <f aca="false">ROUND($K16-$L16,2)</f>
        <v>429509.78</v>
      </c>
      <c r="N16" s="26" t="n">
        <f aca="false">RANK($M16,'Your Accounts'!$M$6:$M$185)</f>
        <v>5</v>
      </c>
      <c r="O16" s="15" t="n">
        <f aca="false">SUMIF('Your Accounts'!$N$6:$N$185,"&lt;="&amp;$N16,'Your Accounts'!$M$6:$M$185)</f>
        <v>2607650.51</v>
      </c>
      <c r="P16" s="15"/>
      <c r="Q16" s="26" t="n">
        <f aca="false">COUNTIFS('Your Lines'!$B$6:$B$463,$B16,'Your Lines'!$R$6:$R$463,"below the floor")</f>
        <v>3</v>
      </c>
      <c r="R16" s="15" t="n">
        <f aca="false">IF(Q16&gt;0,$K16,0)</f>
        <v>438764.78</v>
      </c>
      <c r="AN16" s="18" t="n">
        <f aca="false">IF(VLOOKUP($C16,'Your Floors'!$B$53:$F$56,5,FALSE())="yes",0,$R16)</f>
        <v>0</v>
      </c>
      <c r="AP16" s="15" t="n">
        <f aca="false">ROUND($K16-$AS16,2)</f>
        <v>434137.28</v>
      </c>
      <c r="AQ16" s="26" t="n">
        <f aca="false">RANK($AP16,'Your Accounts'!$AP$6:$AP$185)</f>
        <v>5</v>
      </c>
      <c r="AR16" s="15" t="n">
        <f aca="false">SUMIF('Your Accounts'!$AQ$6:$AQ$185,"&lt;="&amp;$AQ16,'Your Accounts'!$AP$6:$AP$185)</f>
        <v>2633325.51</v>
      </c>
      <c r="AS16" s="15" t="n">
        <f aca="false">ROUND($D16*Sensitivity!$C$35+Sensitivity!$D$35,2)</f>
        <v>4627.5</v>
      </c>
      <c r="AT16" s="15" t="n">
        <f aca="false">ROUND($K16-$AW16,2)</f>
        <v>429509.78</v>
      </c>
      <c r="AU16" s="26" t="n">
        <f aca="false">RANK($AT16,'Your Accounts'!$AT$6:$AT$185)</f>
        <v>5</v>
      </c>
      <c r="AV16" s="15" t="n">
        <f aca="false">SUMIF('Your Accounts'!$AU$6:$AU$185,"&lt;="&amp;$AU16,'Your Accounts'!$AT$6:$AT$185)</f>
        <v>2607650.51</v>
      </c>
      <c r="AW16" s="15" t="n">
        <f aca="false">ROUND($D16*Sensitivity!$C$36+Sensitivity!$D$36,2)</f>
        <v>9255</v>
      </c>
      <c r="AX16" s="15" t="n">
        <f aca="false">ROUND($K16-$BA16,2)</f>
        <v>427196.03</v>
      </c>
      <c r="AY16" s="26" t="n">
        <f aca="false">RANK($AX16,'Your Accounts'!$AX$6:$AX$185)</f>
        <v>5</v>
      </c>
      <c r="AZ16" s="15" t="n">
        <f aca="false">SUMIF('Your Accounts'!$AY$6:$AY$185,"&lt;="&amp;$AY16,'Your Accounts'!$AX$6:$AX$185)</f>
        <v>2594813.01</v>
      </c>
      <c r="BA16" s="15" t="n">
        <f aca="false">ROUND($D16*Sensitivity!$C$37+Sensitivity!$D$37,2)</f>
        <v>11568.75</v>
      </c>
      <c r="BB16" s="15" t="n">
        <f aca="false">ROUND($K16-$BE16,2)</f>
        <v>424882.28</v>
      </c>
      <c r="BC16" s="26" t="n">
        <f aca="false">RANK($BB16,'Your Accounts'!$BB$6:$BB$185)</f>
        <v>5</v>
      </c>
      <c r="BD16" s="15" t="n">
        <f aca="false">SUMIF('Your Accounts'!$BC$6:$BC$185,"&lt;="&amp;$BC16,'Your Accounts'!$BB$6:$BB$185)</f>
        <v>2581975.51</v>
      </c>
      <c r="BE16" s="15" t="n">
        <f aca="false">ROUND($D16*Sensitivity!$C$38+Sensitivity!$D$38,2)</f>
        <v>13882.5</v>
      </c>
      <c r="BF16" s="15" t="n">
        <f aca="false">ROUND($K16-$BI16,2)</f>
        <v>420254.78</v>
      </c>
      <c r="BG16" s="26" t="n">
        <f aca="false">RANK($BF16,'Your Accounts'!$BF$6:$BF$185)</f>
        <v>5</v>
      </c>
      <c r="BH16" s="15" t="n">
        <f aca="false">SUMIF('Your Accounts'!$BG$6:$BG$185,"&lt;="&amp;$BG16,'Your Accounts'!$BF$6:$BF$185)</f>
        <v>2556300.51</v>
      </c>
      <c r="BI16" s="15" t="n">
        <f aca="false">ROUND($D16*Sensitivity!$C$39+Sensitivity!$D$39,2)</f>
        <v>18510</v>
      </c>
      <c r="BJ16" s="15" t="n">
        <f aca="false">ROUND($K16-$BM16,2)</f>
        <v>415627.28</v>
      </c>
      <c r="BK16" s="26" t="n">
        <f aca="false">RANK($BJ16,'Your Accounts'!$BJ$6:$BJ$185)</f>
        <v>5</v>
      </c>
      <c r="BL16" s="15" t="n">
        <f aca="false">SUMIF('Your Accounts'!$BK$6:$BK$185,"&lt;="&amp;$BK16,'Your Accounts'!$BJ$6:$BJ$185)</f>
        <v>2530625.51</v>
      </c>
      <c r="BM16" s="15" t="n">
        <f aca="false">ROUND($D16*Sensitivity!$C$40+Sensitivity!$D$40,2)</f>
        <v>23137.5</v>
      </c>
      <c r="BN16" s="15" t="n">
        <f aca="false">ROUND($K16-$BQ16,2)</f>
        <v>410999.78</v>
      </c>
      <c r="BO16" s="26" t="n">
        <f aca="false">RANK($BN16,'Your Accounts'!$BN$6:$BN$185)</f>
        <v>5</v>
      </c>
      <c r="BP16" s="15" t="n">
        <f aca="false">SUMIF('Your Accounts'!$BO$6:$BO$185,"&lt;="&amp;$BO16,'Your Accounts'!$BN$6:$BN$185)</f>
        <v>2504950.51</v>
      </c>
      <c r="BQ16" s="15" t="n">
        <f aca="false">ROUND($D16*Sensitivity!$C$41+Sensitivity!$D$41,2)</f>
        <v>27765</v>
      </c>
    </row>
    <row r="17" customFormat="false" ht="15" hidden="false" customHeight="false" outlineLevel="0" collapsed="false">
      <c r="B17" s="18" t="s">
        <v>126</v>
      </c>
      <c r="C17" s="18" t="s">
        <v>115</v>
      </c>
      <c r="D17" s="24" t="n">
        <v>17</v>
      </c>
      <c r="E17" s="26" t="n">
        <f aca="false">SUMIF('Your Lines'!$B$6:$B$463,$B17,'Your Lines'!$E$6:$E$463)</f>
        <v>13071</v>
      </c>
      <c r="F17" s="15" t="n">
        <f aca="false">ROUND(SUMIF('Your Lines'!$B$6:$B$463,$B17,'Your Lines'!$J$6:$J$463),2)</f>
        <v>1370846</v>
      </c>
      <c r="G17" s="15" t="n">
        <f aca="false">ROUND(SUMIF('Your Lines'!$B$6:$B$463,$B17,'Your Lines'!$G$6:$G$463),2)</f>
        <v>991420.67</v>
      </c>
      <c r="H17" s="25" t="n">
        <f aca="false">$G17/$F17</f>
        <v>0.723218122239843</v>
      </c>
      <c r="I17" s="15" t="n">
        <f aca="false">ROUND(SUMIF('Your Lines'!$B$6:$B$463,$B17,'Your Lines'!$K$6:$K$463),2)</f>
        <v>768168</v>
      </c>
      <c r="J17" s="15" t="n">
        <f aca="false">ROUND(SUMIF('Your Lines'!$B$6:$B$463,$B17,'Your Lines'!$L$6:$L$463),2)</f>
        <v>21320.87</v>
      </c>
      <c r="K17" s="15" t="n">
        <f aca="false">ROUND($G17-$I17-$J17,2)</f>
        <v>201931.8</v>
      </c>
      <c r="L17" s="15" t="n">
        <f aca="false">ROUND($D17*'Your Inputs'!$C$40+'Your Inputs'!$C$41,2)</f>
        <v>8965</v>
      </c>
      <c r="M17" s="15" t="n">
        <f aca="false">ROUND($K17-$L17,2)</f>
        <v>192966.8</v>
      </c>
      <c r="N17" s="26" t="n">
        <f aca="false">RANK($M17,'Your Accounts'!$M$6:$M$185)</f>
        <v>19</v>
      </c>
      <c r="O17" s="15" t="n">
        <f aca="false">SUMIF('Your Accounts'!$N$6:$N$185,"&lt;="&amp;$N17,'Your Accounts'!$M$6:$M$185)</f>
        <v>6519569.56</v>
      </c>
      <c r="P17" s="15"/>
      <c r="Q17" s="26" t="n">
        <f aca="false">COUNTIFS('Your Lines'!$B$6:$B$463,$B17,'Your Lines'!$R$6:$R$463,"below the floor")</f>
        <v>3</v>
      </c>
      <c r="R17" s="15" t="n">
        <f aca="false">IF(Q17&gt;0,$K17,0)</f>
        <v>201931.8</v>
      </c>
      <c r="AN17" s="18" t="n">
        <f aca="false">IF(VLOOKUP($C17,'Your Floors'!$B$53:$F$56,5,FALSE())="yes",0,$R17)</f>
        <v>0</v>
      </c>
      <c r="AP17" s="15" t="n">
        <f aca="false">ROUND($K17-$AS17,2)</f>
        <v>197449.3</v>
      </c>
      <c r="AQ17" s="26" t="n">
        <f aca="false">RANK($AP17,'Your Accounts'!$AP$6:$AP$185)</f>
        <v>19</v>
      </c>
      <c r="AR17" s="15" t="n">
        <f aca="false">SUMIF('Your Accounts'!$AQ$6:$AQ$185,"&lt;="&amp;$AQ17,'Your Accounts'!$AP$6:$AP$185)</f>
        <v>6622717.06</v>
      </c>
      <c r="AS17" s="15" t="n">
        <f aca="false">ROUND($D17*Sensitivity!$C$35+Sensitivity!$D$35,2)</f>
        <v>4482.5</v>
      </c>
      <c r="AT17" s="15" t="n">
        <f aca="false">ROUND($K17-$AW17,2)</f>
        <v>192966.8</v>
      </c>
      <c r="AU17" s="26" t="n">
        <f aca="false">RANK($AT17,'Your Accounts'!$AT$6:$AT$185)</f>
        <v>19</v>
      </c>
      <c r="AV17" s="15" t="n">
        <f aca="false">SUMIF('Your Accounts'!$AU$6:$AU$185,"&lt;="&amp;$AU17,'Your Accounts'!$AT$6:$AT$185)</f>
        <v>6519569.56</v>
      </c>
      <c r="AW17" s="15" t="n">
        <f aca="false">ROUND($D17*Sensitivity!$C$36+Sensitivity!$D$36,2)</f>
        <v>8965</v>
      </c>
      <c r="AX17" s="15" t="n">
        <f aca="false">ROUND($K17-$BA17,2)</f>
        <v>190725.55</v>
      </c>
      <c r="AY17" s="26" t="n">
        <f aca="false">RANK($AX17,'Your Accounts'!$AX$6:$AX$185)</f>
        <v>19</v>
      </c>
      <c r="AZ17" s="15" t="n">
        <f aca="false">SUMIF('Your Accounts'!$AY$6:$AY$185,"&lt;="&amp;$AY17,'Your Accounts'!$AX$6:$AX$185)</f>
        <v>6467995.81</v>
      </c>
      <c r="BA17" s="15" t="n">
        <f aca="false">ROUND($D17*Sensitivity!$C$37+Sensitivity!$D$37,2)</f>
        <v>11206.25</v>
      </c>
      <c r="BB17" s="15" t="n">
        <f aca="false">ROUND($K17-$BE17,2)</f>
        <v>188484.3</v>
      </c>
      <c r="BC17" s="26" t="n">
        <f aca="false">RANK($BB17,'Your Accounts'!$BB$6:$BB$185)</f>
        <v>19</v>
      </c>
      <c r="BD17" s="15" t="n">
        <f aca="false">SUMIF('Your Accounts'!$BC$6:$BC$185,"&lt;="&amp;$BC17,'Your Accounts'!$BB$6:$BB$185)</f>
        <v>6416422.06</v>
      </c>
      <c r="BE17" s="15" t="n">
        <f aca="false">ROUND($D17*Sensitivity!$C$38+Sensitivity!$D$38,2)</f>
        <v>13447.5</v>
      </c>
      <c r="BF17" s="15" t="n">
        <f aca="false">ROUND($K17-$BI17,2)</f>
        <v>184001.8</v>
      </c>
      <c r="BG17" s="26" t="n">
        <f aca="false">RANK($BF17,'Your Accounts'!$BF$6:$BF$185)</f>
        <v>19</v>
      </c>
      <c r="BH17" s="15" t="n">
        <f aca="false">SUMIF('Your Accounts'!$BG$6:$BG$185,"&lt;="&amp;$BG17,'Your Accounts'!$BF$6:$BF$185)</f>
        <v>6313274.56</v>
      </c>
      <c r="BI17" s="15" t="n">
        <f aca="false">ROUND($D17*Sensitivity!$C$39+Sensitivity!$D$39,2)</f>
        <v>17930</v>
      </c>
      <c r="BJ17" s="15" t="n">
        <f aca="false">ROUND($K17-$BM17,2)</f>
        <v>179519.3</v>
      </c>
      <c r="BK17" s="26" t="n">
        <f aca="false">RANK($BJ17,'Your Accounts'!$BJ$6:$BJ$185)</f>
        <v>19</v>
      </c>
      <c r="BL17" s="15" t="n">
        <f aca="false">SUMIF('Your Accounts'!$BK$6:$BK$185,"&lt;="&amp;$BK17,'Your Accounts'!$BJ$6:$BJ$185)</f>
        <v>6210127.06</v>
      </c>
      <c r="BM17" s="15" t="n">
        <f aca="false">ROUND($D17*Sensitivity!$C$40+Sensitivity!$D$40,2)</f>
        <v>22412.5</v>
      </c>
      <c r="BN17" s="15" t="n">
        <f aca="false">ROUND($K17-$BQ17,2)</f>
        <v>175036.8</v>
      </c>
      <c r="BO17" s="26" t="n">
        <f aca="false">RANK($BN17,'Your Accounts'!$BN$6:$BN$185)</f>
        <v>19</v>
      </c>
      <c r="BP17" s="15" t="n">
        <f aca="false">SUMIF('Your Accounts'!$BO$6:$BO$185,"&lt;="&amp;$BO17,'Your Accounts'!$BN$6:$BN$185)</f>
        <v>6106979.56</v>
      </c>
      <c r="BQ17" s="15" t="n">
        <f aca="false">ROUND($D17*Sensitivity!$C$41+Sensitivity!$D$41,2)</f>
        <v>26895</v>
      </c>
    </row>
    <row r="18" customFormat="false" ht="15" hidden="false" customHeight="false" outlineLevel="0" collapsed="false">
      <c r="B18" s="18" t="s">
        <v>127</v>
      </c>
      <c r="C18" s="18" t="s">
        <v>128</v>
      </c>
      <c r="D18" s="24" t="n">
        <v>7</v>
      </c>
      <c r="E18" s="26" t="n">
        <f aca="false">SUMIF('Your Lines'!$B$6:$B$463,$B18,'Your Lines'!$E$6:$E$463)</f>
        <v>1695</v>
      </c>
      <c r="F18" s="15" t="n">
        <f aca="false">ROUND(SUMIF('Your Lines'!$B$6:$B$463,$B18,'Your Lines'!$J$6:$J$463),2)</f>
        <v>128854</v>
      </c>
      <c r="G18" s="15" t="n">
        <f aca="false">ROUND(SUMIF('Your Lines'!$B$6:$B$463,$B18,'Your Lines'!$G$6:$G$463),2)</f>
        <v>98646.3</v>
      </c>
      <c r="H18" s="25" t="n">
        <f aca="false">$G18/$F18</f>
        <v>0.765566455057662</v>
      </c>
      <c r="I18" s="15" t="n">
        <f aca="false">ROUND(SUMIF('Your Lines'!$B$6:$B$463,$B18,'Your Lines'!$K$6:$K$463),2)</f>
        <v>74568</v>
      </c>
      <c r="J18" s="15" t="n">
        <f aca="false">ROUND(SUMIF('Your Lines'!$B$6:$B$463,$B18,'Your Lines'!$L$6:$L$463),2)</f>
        <v>2175.22</v>
      </c>
      <c r="K18" s="15" t="n">
        <f aca="false">ROUND($G18-$I18-$J18,2)</f>
        <v>21903.08</v>
      </c>
      <c r="L18" s="15" t="n">
        <f aca="false">ROUND($D18*'Your Inputs'!$C$40+'Your Inputs'!$C$41,2)</f>
        <v>7515</v>
      </c>
      <c r="M18" s="15" t="n">
        <f aca="false">ROUND($K18-$L18,2)</f>
        <v>14388.08</v>
      </c>
      <c r="N18" s="26" t="n">
        <f aca="false">RANK($M18,'Your Accounts'!$M$6:$M$185)</f>
        <v>139</v>
      </c>
      <c r="O18" s="15" t="n">
        <f aca="false">SUMIF('Your Accounts'!$N$6:$N$185,"&lt;="&amp;$N18,'Your Accounts'!$M$6:$M$185)</f>
        <v>13244530.39</v>
      </c>
      <c r="P18" s="15"/>
      <c r="Q18" s="26" t="n">
        <f aca="false">COUNTIFS('Your Lines'!$B$6:$B$463,$B18,'Your Lines'!$R$6:$R$463,"below the floor")</f>
        <v>0</v>
      </c>
      <c r="R18" s="15" t="n">
        <f aca="false">IF(Q18&gt;0,$K18,0)</f>
        <v>0</v>
      </c>
      <c r="AN18" s="15" t="n">
        <f aca="false">IF(VLOOKUP($C18,'Your Floors'!$B$53:$F$56,5,FALSE())="yes",0,$R18)</f>
        <v>0</v>
      </c>
      <c r="AP18" s="15" t="n">
        <f aca="false">ROUND($K18-$AS18,2)</f>
        <v>18145.58</v>
      </c>
      <c r="AQ18" s="26" t="n">
        <f aca="false">RANK($AP18,'Your Accounts'!$AP$6:$AP$185)</f>
        <v>140</v>
      </c>
      <c r="AR18" s="15" t="n">
        <f aca="false">SUMIF('Your Accounts'!$AQ$6:$AQ$185,"&lt;="&amp;$AQ18,'Your Accounts'!$AP$6:$AP$185)</f>
        <v>13927212.02</v>
      </c>
      <c r="AS18" s="15" t="n">
        <f aca="false">ROUND($D18*Sensitivity!$C$35+Sensitivity!$D$35,2)</f>
        <v>3757.5</v>
      </c>
      <c r="AT18" s="15" t="n">
        <f aca="false">ROUND($K18-$AW18,2)</f>
        <v>14388.08</v>
      </c>
      <c r="AU18" s="26" t="n">
        <f aca="false">RANK($AT18,'Your Accounts'!$AT$6:$AT$185)</f>
        <v>139</v>
      </c>
      <c r="AV18" s="15" t="n">
        <f aca="false">SUMIF('Your Accounts'!$AU$6:$AU$185,"&lt;="&amp;$AU18,'Your Accounts'!$AT$6:$AT$185)</f>
        <v>13244530.39</v>
      </c>
      <c r="AW18" s="15" t="n">
        <f aca="false">ROUND($D18*Sensitivity!$C$36+Sensitivity!$D$36,2)</f>
        <v>7515</v>
      </c>
      <c r="AX18" s="15" t="n">
        <f aca="false">ROUND($K18-$BA18,2)</f>
        <v>12509.33</v>
      </c>
      <c r="AY18" s="26" t="n">
        <f aca="false">RANK($AX18,'Your Accounts'!$AX$6:$AX$185)</f>
        <v>137</v>
      </c>
      <c r="AZ18" s="15" t="n">
        <f aca="false">SUMIF('Your Accounts'!$AY$6:$AY$185,"&lt;="&amp;$AY18,'Your Accounts'!$AX$6:$AX$185)</f>
        <v>12887995.8</v>
      </c>
      <c r="BA18" s="15" t="n">
        <f aca="false">ROUND($D18*Sensitivity!$C$37+Sensitivity!$D$37,2)</f>
        <v>9393.75</v>
      </c>
      <c r="BB18" s="15" t="n">
        <f aca="false">ROUND($K18-$BE18,2)</f>
        <v>10630.58</v>
      </c>
      <c r="BC18" s="26" t="n">
        <f aca="false">RANK($BB18,'Your Accounts'!$BB$6:$BB$185)</f>
        <v>137</v>
      </c>
      <c r="BD18" s="15" t="n">
        <f aca="false">SUMIF('Your Accounts'!$BC$6:$BC$185,"&lt;="&amp;$BC18,'Your Accounts'!$BB$6:$BB$185)</f>
        <v>12560427.05</v>
      </c>
      <c r="BE18" s="15" t="n">
        <f aca="false">ROUND($D18*Sensitivity!$C$38+Sensitivity!$D$38,2)</f>
        <v>11272.5</v>
      </c>
      <c r="BF18" s="15" t="n">
        <f aca="false">ROUND($K18-$BI18,2)</f>
        <v>6873.08</v>
      </c>
      <c r="BG18" s="26" t="n">
        <f aca="false">RANK($BF18,'Your Accounts'!$BF$6:$BF$185)</f>
        <v>135</v>
      </c>
      <c r="BH18" s="15" t="n">
        <f aca="false">SUMIF('Your Accounts'!$BG$6:$BG$185,"&lt;="&amp;$BG18,'Your Accounts'!$BF$6:$BF$185)</f>
        <v>11892961.8</v>
      </c>
      <c r="BI18" s="15" t="n">
        <f aca="false">ROUND($D18*Sensitivity!$C$39+Sensitivity!$D$39,2)</f>
        <v>15030</v>
      </c>
      <c r="BJ18" s="15" t="n">
        <f aca="false">ROUND($K18-$BM18,2)</f>
        <v>3115.58</v>
      </c>
      <c r="BK18" s="26" t="n">
        <f aca="false">RANK($BJ18,'Your Accounts'!$BJ$6:$BJ$185)</f>
        <v>135</v>
      </c>
      <c r="BL18" s="15" t="n">
        <f aca="false">SUMIF('Your Accounts'!$BK$6:$BK$185,"&lt;="&amp;$BK18,'Your Accounts'!$BJ$6:$BJ$185)</f>
        <v>11247659.3</v>
      </c>
      <c r="BM18" s="15" t="n">
        <f aca="false">ROUND($D18*Sensitivity!$C$40+Sensitivity!$D$40,2)</f>
        <v>18787.5</v>
      </c>
      <c r="BN18" s="15" t="n">
        <f aca="false">ROUND($K18-$BQ18,2)</f>
        <v>-641.92</v>
      </c>
      <c r="BO18" s="26" t="n">
        <f aca="false">RANK($BN18,'Your Accounts'!$BN$6:$BN$185)</f>
        <v>134</v>
      </c>
      <c r="BP18" s="15" t="n">
        <f aca="false">SUMIF('Your Accounts'!$BO$6:$BO$185,"&lt;="&amp;$BO18,'Your Accounts'!$BN$6:$BN$185)</f>
        <v>10603427.46</v>
      </c>
      <c r="BQ18" s="15" t="n">
        <f aca="false">ROUND($D18*Sensitivity!$C$41+Sensitivity!$D$41,2)</f>
        <v>22545</v>
      </c>
    </row>
    <row r="19" customFormat="false" ht="15" hidden="false" customHeight="false" outlineLevel="0" collapsed="false">
      <c r="B19" s="18" t="s">
        <v>129</v>
      </c>
      <c r="C19" s="18" t="s">
        <v>128</v>
      </c>
      <c r="D19" s="24" t="n">
        <v>22</v>
      </c>
      <c r="E19" s="26" t="n">
        <f aca="false">SUMIF('Your Lines'!$B$6:$B$463,$B19,'Your Lines'!$E$6:$E$463)</f>
        <v>13146</v>
      </c>
      <c r="F19" s="15" t="n">
        <f aca="false">ROUND(SUMIF('Your Lines'!$B$6:$B$463,$B19,'Your Lines'!$J$6:$J$463),2)</f>
        <v>1066684</v>
      </c>
      <c r="G19" s="15" t="n">
        <f aca="false">ROUND(SUMIF('Your Lines'!$B$6:$B$463,$B19,'Your Lines'!$G$6:$G$463),2)</f>
        <v>830708.28</v>
      </c>
      <c r="H19" s="25" t="n">
        <f aca="false">$G19/$F19</f>
        <v>0.778776357384193</v>
      </c>
      <c r="I19" s="15" t="n">
        <f aca="false">ROUND(SUMIF('Your Lines'!$B$6:$B$463,$B19,'Your Lines'!$K$6:$K$463),2)</f>
        <v>606640</v>
      </c>
      <c r="J19" s="15" t="n">
        <f aca="false">ROUND(SUMIF('Your Lines'!$B$6:$B$463,$B19,'Your Lines'!$L$6:$L$463),2)</f>
        <v>18836.93</v>
      </c>
      <c r="K19" s="15" t="n">
        <f aca="false">ROUND($G19-$I19-$J19,2)</f>
        <v>205231.35</v>
      </c>
      <c r="L19" s="15" t="n">
        <f aca="false">ROUND($D19*'Your Inputs'!$C$40+'Your Inputs'!$C$41,2)</f>
        <v>9690</v>
      </c>
      <c r="M19" s="15" t="n">
        <f aca="false">ROUND($K19-$L19,2)</f>
        <v>195541.35</v>
      </c>
      <c r="N19" s="26" t="n">
        <f aca="false">RANK($M19,'Your Accounts'!$M$6:$M$185)</f>
        <v>18</v>
      </c>
      <c r="O19" s="15" t="n">
        <f aca="false">SUMIF('Your Accounts'!$N$6:$N$185,"&lt;="&amp;$N19,'Your Accounts'!$M$6:$M$185)</f>
        <v>6326602.76</v>
      </c>
      <c r="P19" s="15"/>
      <c r="Q19" s="26" t="n">
        <f aca="false">COUNTIFS('Your Lines'!$B$6:$B$463,$B19,'Your Lines'!$R$6:$R$463,"below the floor")</f>
        <v>0</v>
      </c>
      <c r="R19" s="15" t="n">
        <f aca="false">IF(Q19&gt;0,$K19,0)</f>
        <v>0</v>
      </c>
      <c r="AN19" s="15" t="n">
        <f aca="false">IF(VLOOKUP($C19,'Your Floors'!$B$53:$F$56,5,FALSE())="yes",0,$R19)</f>
        <v>0</v>
      </c>
      <c r="AP19" s="15" t="n">
        <f aca="false">ROUND($K19-$AS19,2)</f>
        <v>200386.35</v>
      </c>
      <c r="AQ19" s="26" t="n">
        <f aca="false">RANK($AP19,'Your Accounts'!$AP$6:$AP$185)</f>
        <v>18</v>
      </c>
      <c r="AR19" s="15" t="n">
        <f aca="false">SUMIF('Your Accounts'!$AQ$6:$AQ$185,"&lt;="&amp;$AQ19,'Your Accounts'!$AP$6:$AP$185)</f>
        <v>6425267.76</v>
      </c>
      <c r="AS19" s="15" t="n">
        <f aca="false">ROUND($D19*Sensitivity!$C$35+Sensitivity!$D$35,2)</f>
        <v>4845</v>
      </c>
      <c r="AT19" s="15" t="n">
        <f aca="false">ROUND($K19-$AW19,2)</f>
        <v>195541.35</v>
      </c>
      <c r="AU19" s="26" t="n">
        <f aca="false">RANK($AT19,'Your Accounts'!$AT$6:$AT$185)</f>
        <v>18</v>
      </c>
      <c r="AV19" s="15" t="n">
        <f aca="false">SUMIF('Your Accounts'!$AU$6:$AU$185,"&lt;="&amp;$AU19,'Your Accounts'!$AT$6:$AT$185)</f>
        <v>6326602.76</v>
      </c>
      <c r="AW19" s="15" t="n">
        <f aca="false">ROUND($D19*Sensitivity!$C$36+Sensitivity!$D$36,2)</f>
        <v>9690</v>
      </c>
      <c r="AX19" s="15" t="n">
        <f aca="false">ROUND($K19-$BA19,2)</f>
        <v>193118.85</v>
      </c>
      <c r="AY19" s="26" t="n">
        <f aca="false">RANK($AX19,'Your Accounts'!$AX$6:$AX$185)</f>
        <v>18</v>
      </c>
      <c r="AZ19" s="15" t="n">
        <f aca="false">SUMIF('Your Accounts'!$AY$6:$AY$185,"&lt;="&amp;$AY19,'Your Accounts'!$AX$6:$AX$185)</f>
        <v>6277270.26</v>
      </c>
      <c r="BA19" s="15" t="n">
        <f aca="false">ROUND($D19*Sensitivity!$C$37+Sensitivity!$D$37,2)</f>
        <v>12112.5</v>
      </c>
      <c r="BB19" s="15" t="n">
        <f aca="false">ROUND($K19-$BE19,2)</f>
        <v>190696.35</v>
      </c>
      <c r="BC19" s="26" t="n">
        <f aca="false">RANK($BB19,'Your Accounts'!$BB$6:$BB$185)</f>
        <v>18</v>
      </c>
      <c r="BD19" s="15" t="n">
        <f aca="false">SUMIF('Your Accounts'!$BC$6:$BC$185,"&lt;="&amp;$BC19,'Your Accounts'!$BB$6:$BB$185)</f>
        <v>6227937.76</v>
      </c>
      <c r="BE19" s="15" t="n">
        <f aca="false">ROUND($D19*Sensitivity!$C$38+Sensitivity!$D$38,2)</f>
        <v>14535</v>
      </c>
      <c r="BF19" s="15" t="n">
        <f aca="false">ROUND($K19-$BI19,2)</f>
        <v>185851.35</v>
      </c>
      <c r="BG19" s="26" t="n">
        <f aca="false">RANK($BF19,'Your Accounts'!$BF$6:$BF$185)</f>
        <v>18</v>
      </c>
      <c r="BH19" s="15" t="n">
        <f aca="false">SUMIF('Your Accounts'!$BG$6:$BG$185,"&lt;="&amp;$BG19,'Your Accounts'!$BF$6:$BF$185)</f>
        <v>6129272.76</v>
      </c>
      <c r="BI19" s="15" t="n">
        <f aca="false">ROUND($D19*Sensitivity!$C$39+Sensitivity!$D$39,2)</f>
        <v>19380</v>
      </c>
      <c r="BJ19" s="15" t="n">
        <f aca="false">ROUND($K19-$BM19,2)</f>
        <v>181006.35</v>
      </c>
      <c r="BK19" s="26" t="n">
        <f aca="false">RANK($BJ19,'Your Accounts'!$BJ$6:$BJ$185)</f>
        <v>18</v>
      </c>
      <c r="BL19" s="15" t="n">
        <f aca="false">SUMIF('Your Accounts'!$BK$6:$BK$185,"&lt;="&amp;$BK19,'Your Accounts'!$BJ$6:$BJ$185)</f>
        <v>6030607.76</v>
      </c>
      <c r="BM19" s="15" t="n">
        <f aca="false">ROUND($D19*Sensitivity!$C$40+Sensitivity!$D$40,2)</f>
        <v>24225</v>
      </c>
      <c r="BN19" s="15" t="n">
        <f aca="false">ROUND($K19-$BQ19,2)</f>
        <v>176161.35</v>
      </c>
      <c r="BO19" s="26" t="n">
        <f aca="false">RANK($BN19,'Your Accounts'!$BN$6:$BN$185)</f>
        <v>18</v>
      </c>
      <c r="BP19" s="15" t="n">
        <f aca="false">SUMIF('Your Accounts'!$BO$6:$BO$185,"&lt;="&amp;$BO19,'Your Accounts'!$BN$6:$BN$185)</f>
        <v>5931942.76</v>
      </c>
      <c r="BQ19" s="15" t="n">
        <f aca="false">ROUND($D19*Sensitivity!$C$41+Sensitivity!$D$41,2)</f>
        <v>29070</v>
      </c>
    </row>
    <row r="20" customFormat="false" ht="15" hidden="false" customHeight="false" outlineLevel="0" collapsed="false">
      <c r="B20" s="18" t="s">
        <v>130</v>
      </c>
      <c r="C20" s="18" t="s">
        <v>128</v>
      </c>
      <c r="D20" s="24" t="n">
        <v>8</v>
      </c>
      <c r="E20" s="26" t="n">
        <f aca="false">SUMIF('Your Lines'!$B$6:$B$463,$B20,'Your Lines'!$E$6:$E$463)</f>
        <v>3542</v>
      </c>
      <c r="F20" s="15" t="n">
        <f aca="false">ROUND(SUMIF('Your Lines'!$B$6:$B$463,$B20,'Your Lines'!$J$6:$J$463),2)</f>
        <v>284058</v>
      </c>
      <c r="G20" s="15" t="n">
        <f aca="false">ROUND(SUMIF('Your Lines'!$B$6:$B$463,$B20,'Your Lines'!$G$6:$G$463),2)</f>
        <v>239125.65</v>
      </c>
      <c r="H20" s="25" t="n">
        <f aca="false">$G20/$F20</f>
        <v>0.841819804406142</v>
      </c>
      <c r="I20" s="15" t="n">
        <f aca="false">ROUND(SUMIF('Your Lines'!$B$6:$B$463,$B20,'Your Lines'!$K$6:$K$463),2)</f>
        <v>166338</v>
      </c>
      <c r="J20" s="15" t="n">
        <f aca="false">ROUND(SUMIF('Your Lines'!$B$6:$B$463,$B20,'Your Lines'!$L$6:$L$463),2)</f>
        <v>5302.13</v>
      </c>
      <c r="K20" s="15" t="n">
        <f aca="false">ROUND($G20-$I20-$J20,2)</f>
        <v>67485.52</v>
      </c>
      <c r="L20" s="15" t="n">
        <f aca="false">ROUND($D20*'Your Inputs'!$C$40+'Your Inputs'!$C$41,2)</f>
        <v>7660</v>
      </c>
      <c r="M20" s="15" t="n">
        <f aca="false">ROUND($K20-$L20,2)</f>
        <v>59825.52</v>
      </c>
      <c r="N20" s="26" t="n">
        <f aca="false">RANK($M20,'Your Accounts'!$M$6:$M$185)</f>
        <v>61</v>
      </c>
      <c r="O20" s="15" t="n">
        <f aca="false">SUMIF('Your Accounts'!$N$6:$N$185,"&lt;="&amp;$N20,'Your Accounts'!$M$6:$M$185)</f>
        <v>10591523.54</v>
      </c>
      <c r="P20" s="15"/>
      <c r="Q20" s="26" t="n">
        <f aca="false">COUNTIFS('Your Lines'!$B$6:$B$463,$B20,'Your Lines'!$R$6:$R$463,"below the floor")</f>
        <v>0</v>
      </c>
      <c r="R20" s="15" t="n">
        <f aca="false">IF(Q20&gt;0,$K20,0)</f>
        <v>0</v>
      </c>
      <c r="AN20" s="15" t="n">
        <f aca="false">IF(VLOOKUP($C20,'Your Floors'!$B$53:$F$56,5,FALSE())="yes",0,$R20)</f>
        <v>0</v>
      </c>
      <c r="AP20" s="15" t="n">
        <f aca="false">ROUND($K20-$AS20,2)</f>
        <v>63655.52</v>
      </c>
      <c r="AQ20" s="26" t="n">
        <f aca="false">RANK($AP20,'Your Accounts'!$AP$6:$AP$185)</f>
        <v>64</v>
      </c>
      <c r="AR20" s="15" t="n">
        <f aca="false">SUMIF('Your Accounts'!$AQ$6:$AQ$185,"&lt;="&amp;$AQ20,'Your Accounts'!$AP$6:$AP$185)</f>
        <v>11093140.98</v>
      </c>
      <c r="AS20" s="15" t="n">
        <f aca="false">ROUND($D20*Sensitivity!$C$35+Sensitivity!$D$35,2)</f>
        <v>3830</v>
      </c>
      <c r="AT20" s="15" t="n">
        <f aca="false">ROUND($K20-$AW20,2)</f>
        <v>59825.52</v>
      </c>
      <c r="AU20" s="26" t="n">
        <f aca="false">RANK($AT20,'Your Accounts'!$AT$6:$AT$185)</f>
        <v>61</v>
      </c>
      <c r="AV20" s="15" t="n">
        <f aca="false">SUMIF('Your Accounts'!$AU$6:$AU$185,"&lt;="&amp;$AU20,'Your Accounts'!$AT$6:$AT$185)</f>
        <v>10591523.54</v>
      </c>
      <c r="AW20" s="15" t="n">
        <f aca="false">ROUND($D20*Sensitivity!$C$36+Sensitivity!$D$36,2)</f>
        <v>7660</v>
      </c>
      <c r="AX20" s="15" t="n">
        <f aca="false">ROUND($K20-$BA20,2)</f>
        <v>57910.52</v>
      </c>
      <c r="AY20" s="26" t="n">
        <f aca="false">RANK($AX20,'Your Accounts'!$AX$6:$AX$185)</f>
        <v>61</v>
      </c>
      <c r="AZ20" s="15" t="n">
        <f aca="false">SUMIF('Your Accounts'!$AY$6:$AY$185,"&lt;="&amp;$AY20,'Your Accounts'!$AX$6:$AX$185)</f>
        <v>10438531.04</v>
      </c>
      <c r="BA20" s="15" t="n">
        <f aca="false">ROUND($D20*Sensitivity!$C$37+Sensitivity!$D$37,2)</f>
        <v>9575</v>
      </c>
      <c r="BB20" s="15" t="n">
        <f aca="false">ROUND($K20-$BE20,2)</f>
        <v>55995.52</v>
      </c>
      <c r="BC20" s="26" t="n">
        <f aca="false">RANK($BB20,'Your Accounts'!$BB$6:$BB$185)</f>
        <v>61</v>
      </c>
      <c r="BD20" s="15" t="n">
        <f aca="false">SUMIF('Your Accounts'!$BC$6:$BC$185,"&lt;="&amp;$BC20,'Your Accounts'!$BB$6:$BB$185)</f>
        <v>10285538.54</v>
      </c>
      <c r="BE20" s="15" t="n">
        <f aca="false">ROUND($D20*Sensitivity!$C$38+Sensitivity!$D$38,2)</f>
        <v>11490</v>
      </c>
      <c r="BF20" s="15" t="n">
        <f aca="false">ROUND($K20-$BI20,2)</f>
        <v>52165.52</v>
      </c>
      <c r="BG20" s="26" t="n">
        <f aca="false">RANK($BF20,'Your Accounts'!$BF$6:$BF$185)</f>
        <v>58</v>
      </c>
      <c r="BH20" s="15" t="n">
        <f aca="false">SUMIF('Your Accounts'!$BG$6:$BG$185,"&lt;="&amp;$BG20,'Your Accounts'!$BF$6:$BF$185)</f>
        <v>9825604.36</v>
      </c>
      <c r="BI20" s="15" t="n">
        <f aca="false">ROUND($D20*Sensitivity!$C$39+Sensitivity!$D$39,2)</f>
        <v>15320</v>
      </c>
      <c r="BJ20" s="15" t="n">
        <f aca="false">ROUND($K20-$BM20,2)</f>
        <v>48335.52</v>
      </c>
      <c r="BK20" s="26" t="n">
        <f aca="false">RANK($BJ20,'Your Accounts'!$BJ$6:$BJ$185)</f>
        <v>58</v>
      </c>
      <c r="BL20" s="15" t="n">
        <f aca="false">SUMIF('Your Accounts'!$BK$6:$BK$185,"&lt;="&amp;$BK20,'Your Accounts'!$BJ$6:$BJ$185)</f>
        <v>9534371.86</v>
      </c>
      <c r="BM20" s="15" t="n">
        <f aca="false">ROUND($D20*Sensitivity!$C$40+Sensitivity!$D$40,2)</f>
        <v>19150</v>
      </c>
      <c r="BN20" s="15" t="n">
        <f aca="false">ROUND($K20-$BQ20,2)</f>
        <v>44505.52</v>
      </c>
      <c r="BO20" s="26" t="n">
        <f aca="false">RANK($BN20,'Your Accounts'!$BN$6:$BN$185)</f>
        <v>56</v>
      </c>
      <c r="BP20" s="15" t="n">
        <f aca="false">SUMIF('Your Accounts'!$BO$6:$BO$185,"&lt;="&amp;$BO20,'Your Accounts'!$BN$6:$BN$185)</f>
        <v>9158127.38</v>
      </c>
      <c r="BQ20" s="15" t="n">
        <f aca="false">ROUND($D20*Sensitivity!$C$41+Sensitivity!$D$41,2)</f>
        <v>22980</v>
      </c>
    </row>
    <row r="21" customFormat="false" ht="15" hidden="false" customHeight="false" outlineLevel="0" collapsed="false">
      <c r="B21" s="18" t="s">
        <v>131</v>
      </c>
      <c r="C21" s="18" t="s">
        <v>128</v>
      </c>
      <c r="D21" s="24" t="n">
        <v>36</v>
      </c>
      <c r="E21" s="26" t="n">
        <f aca="false">SUMIF('Your Lines'!$B$6:$B$463,$B21,'Your Lines'!$E$6:$E$463)</f>
        <v>13041</v>
      </c>
      <c r="F21" s="15" t="n">
        <f aca="false">ROUND(SUMIF('Your Lines'!$B$6:$B$463,$B21,'Your Lines'!$J$6:$J$463),2)</f>
        <v>1061744</v>
      </c>
      <c r="G21" s="15" t="n">
        <f aca="false">ROUND(SUMIF('Your Lines'!$B$6:$B$463,$B21,'Your Lines'!$G$6:$G$463),2)</f>
        <v>724082.14</v>
      </c>
      <c r="H21" s="25" t="n">
        <f aca="false">$G21/$F21</f>
        <v>0.681974317726307</v>
      </c>
      <c r="I21" s="15" t="n">
        <f aca="false">ROUND(SUMIF('Your Lines'!$B$6:$B$463,$B21,'Your Lines'!$K$6:$K$463),2)</f>
        <v>606578</v>
      </c>
      <c r="J21" s="15" t="n">
        <f aca="false">ROUND(SUMIF('Your Lines'!$B$6:$B$463,$B21,'Your Lines'!$L$6:$L$463),2)</f>
        <v>16419.1</v>
      </c>
      <c r="K21" s="15" t="n">
        <f aca="false">ROUND($G21-$I21-$J21,2)</f>
        <v>101085.04</v>
      </c>
      <c r="L21" s="15" t="n">
        <f aca="false">ROUND($D21*'Your Inputs'!$C$40+'Your Inputs'!$C$41,2)</f>
        <v>11720</v>
      </c>
      <c r="M21" s="15" t="n">
        <f aca="false">ROUND($K21-$L21,2)</f>
        <v>89365.04</v>
      </c>
      <c r="N21" s="26" t="n">
        <f aca="false">RANK($M21,'Your Accounts'!$M$6:$M$185)</f>
        <v>39</v>
      </c>
      <c r="O21" s="15" t="n">
        <f aca="false">SUMIF('Your Accounts'!$N$6:$N$185,"&lt;="&amp;$N21,'Your Accounts'!$M$6:$M$185)</f>
        <v>8975893.66</v>
      </c>
      <c r="P21" s="15"/>
      <c r="Q21" s="26" t="n">
        <f aca="false">COUNTIFS('Your Lines'!$B$6:$B$463,$B21,'Your Lines'!$R$6:$R$463,"below the floor")</f>
        <v>3</v>
      </c>
      <c r="R21" s="15" t="n">
        <f aca="false">IF(Q21&gt;0,$K21,0)</f>
        <v>101085.04</v>
      </c>
      <c r="AN21" s="15" t="n">
        <f aca="false">IF(VLOOKUP($C21,'Your Floors'!$B$53:$F$56,5,FALSE())="yes",0,$R21)</f>
        <v>101085.04</v>
      </c>
      <c r="AP21" s="15" t="n">
        <f aca="false">ROUND($K21-$AS21,2)</f>
        <v>95225.04</v>
      </c>
      <c r="AQ21" s="26" t="n">
        <f aca="false">RANK($AP21,'Your Accounts'!$AP$6:$AP$185)</f>
        <v>39</v>
      </c>
      <c r="AR21" s="15" t="n">
        <f aca="false">SUMIF('Your Accounts'!$AQ$6:$AQ$185,"&lt;="&amp;$AQ21,'Your Accounts'!$AP$6:$AP$185)</f>
        <v>9175071.16</v>
      </c>
      <c r="AS21" s="15" t="n">
        <f aca="false">ROUND($D21*Sensitivity!$C$35+Sensitivity!$D$35,2)</f>
        <v>5860</v>
      </c>
      <c r="AT21" s="15" t="n">
        <f aca="false">ROUND($K21-$AW21,2)</f>
        <v>89365.04</v>
      </c>
      <c r="AU21" s="26" t="n">
        <f aca="false">RANK($AT21,'Your Accounts'!$AT$6:$AT$185)</f>
        <v>39</v>
      </c>
      <c r="AV21" s="15" t="n">
        <f aca="false">SUMIF('Your Accounts'!$AU$6:$AU$185,"&lt;="&amp;$AU21,'Your Accounts'!$AT$6:$AT$185)</f>
        <v>8975893.66</v>
      </c>
      <c r="AW21" s="15" t="n">
        <f aca="false">ROUND($D21*Sensitivity!$C$36+Sensitivity!$D$36,2)</f>
        <v>11720</v>
      </c>
      <c r="AX21" s="15" t="n">
        <f aca="false">ROUND($K21-$BA21,2)</f>
        <v>86435.04</v>
      </c>
      <c r="AY21" s="26" t="n">
        <f aca="false">RANK($AX21,'Your Accounts'!$AX$6:$AX$185)</f>
        <v>41</v>
      </c>
      <c r="AZ21" s="15" t="n">
        <f aca="false">SUMIF('Your Accounts'!$AY$6:$AY$185,"&lt;="&amp;$AY21,'Your Accounts'!$AX$6:$AX$185)</f>
        <v>9050168.12</v>
      </c>
      <c r="BA21" s="15" t="n">
        <f aca="false">ROUND($D21*Sensitivity!$C$37+Sensitivity!$D$37,2)</f>
        <v>14650</v>
      </c>
      <c r="BB21" s="15" t="n">
        <f aca="false">ROUND($K21-$BE21,2)</f>
        <v>83505.04</v>
      </c>
      <c r="BC21" s="26" t="n">
        <f aca="false">RANK($BB21,'Your Accounts'!$BB$6:$BB$185)</f>
        <v>41</v>
      </c>
      <c r="BD21" s="15" t="n">
        <f aca="false">SUMIF('Your Accounts'!$BC$6:$BC$185,"&lt;="&amp;$BC21,'Your Accounts'!$BB$6:$BB$185)</f>
        <v>8946386.87</v>
      </c>
      <c r="BE21" s="15" t="n">
        <f aca="false">ROUND($D21*Sensitivity!$C$38+Sensitivity!$D$38,2)</f>
        <v>17580</v>
      </c>
      <c r="BF21" s="15" t="n">
        <f aca="false">ROUND($K21-$BI21,2)</f>
        <v>77645.04</v>
      </c>
      <c r="BG21" s="26" t="n">
        <f aca="false">RANK($BF21,'Your Accounts'!$BF$6:$BF$185)</f>
        <v>41</v>
      </c>
      <c r="BH21" s="15" t="n">
        <f aca="false">SUMIF('Your Accounts'!$BG$6:$BG$185,"&lt;="&amp;$BG21,'Your Accounts'!$BF$6:$BF$185)</f>
        <v>8738824.37</v>
      </c>
      <c r="BI21" s="15" t="n">
        <f aca="false">ROUND($D21*Sensitivity!$C$39+Sensitivity!$D$39,2)</f>
        <v>23440</v>
      </c>
      <c r="BJ21" s="15" t="n">
        <f aca="false">ROUND($K21-$BM21,2)</f>
        <v>71785.04</v>
      </c>
      <c r="BK21" s="26" t="n">
        <f aca="false">RANK($BJ21,'Your Accounts'!$BJ$6:$BJ$185)</f>
        <v>42</v>
      </c>
      <c r="BL21" s="15" t="n">
        <f aca="false">SUMIF('Your Accounts'!$BK$6:$BK$185,"&lt;="&amp;$BK21,'Your Accounts'!$BJ$6:$BJ$185)</f>
        <v>8603143.37</v>
      </c>
      <c r="BM21" s="15" t="n">
        <f aca="false">ROUND($D21*Sensitivity!$C$40+Sensitivity!$D$40,2)</f>
        <v>29300</v>
      </c>
      <c r="BN21" s="15" t="n">
        <f aca="false">ROUND($K21-$BQ21,2)</f>
        <v>65925.04</v>
      </c>
      <c r="BO21" s="26" t="n">
        <f aca="false">RANK($BN21,'Your Accounts'!$BN$6:$BN$185)</f>
        <v>43</v>
      </c>
      <c r="BP21" s="15" t="n">
        <f aca="false">SUMIF('Your Accounts'!$BO$6:$BO$185,"&lt;="&amp;$BO21,'Your Accounts'!$BN$6:$BN$185)</f>
        <v>8456467.97</v>
      </c>
      <c r="BQ21" s="15" t="n">
        <f aca="false">ROUND($D21*Sensitivity!$C$41+Sensitivity!$D$41,2)</f>
        <v>35160</v>
      </c>
    </row>
    <row r="22" customFormat="false" ht="15" hidden="false" customHeight="false" outlineLevel="0" collapsed="false">
      <c r="B22" s="18" t="s">
        <v>132</v>
      </c>
      <c r="C22" s="18" t="s">
        <v>128</v>
      </c>
      <c r="D22" s="24" t="n">
        <v>38</v>
      </c>
      <c r="E22" s="26" t="n">
        <f aca="false">SUMIF('Your Lines'!$B$6:$B$463,$B22,'Your Lines'!$E$6:$E$463)</f>
        <v>16145</v>
      </c>
      <c r="F22" s="15" t="n">
        <f aca="false">ROUND(SUMIF('Your Lines'!$B$6:$B$463,$B22,'Your Lines'!$J$6:$J$463),2)</f>
        <v>1286166</v>
      </c>
      <c r="G22" s="15" t="n">
        <f aca="false">ROUND(SUMIF('Your Lines'!$B$6:$B$463,$B22,'Your Lines'!$G$6:$G$463),2)</f>
        <v>998355.09</v>
      </c>
      <c r="H22" s="25" t="n">
        <f aca="false">$G22/$F22</f>
        <v>0.776225689374467</v>
      </c>
      <c r="I22" s="15" t="n">
        <f aca="false">ROUND(SUMIF('Your Lines'!$B$6:$B$463,$B22,'Your Lines'!$K$6:$K$463),2)</f>
        <v>740444</v>
      </c>
      <c r="J22" s="15" t="n">
        <f aca="false">ROUND(SUMIF('Your Lines'!$B$6:$B$463,$B22,'Your Lines'!$L$6:$L$463),2)</f>
        <v>22510.82</v>
      </c>
      <c r="K22" s="15" t="n">
        <f aca="false">ROUND($G22-$I22-$J22,2)</f>
        <v>235400.27</v>
      </c>
      <c r="L22" s="15" t="n">
        <f aca="false">ROUND($D22*'Your Inputs'!$C$40+'Your Inputs'!$C$41,2)</f>
        <v>12010</v>
      </c>
      <c r="M22" s="15" t="n">
        <f aca="false">ROUND($K22-$L22,2)</f>
        <v>223390.27</v>
      </c>
      <c r="N22" s="26" t="n">
        <f aca="false">RANK($M22,'Your Accounts'!$M$6:$M$185)</f>
        <v>16</v>
      </c>
      <c r="O22" s="15" t="n">
        <f aca="false">SUMIF('Your Accounts'!$N$6:$N$185,"&lt;="&amp;$N22,'Your Accounts'!$M$6:$M$185)</f>
        <v>5913817.88</v>
      </c>
      <c r="P22" s="15"/>
      <c r="Q22" s="26" t="n">
        <f aca="false">COUNTIFS('Your Lines'!$B$6:$B$463,$B22,'Your Lines'!$R$6:$R$463,"below the floor")</f>
        <v>0</v>
      </c>
      <c r="R22" s="15" t="n">
        <f aca="false">IF(Q22&gt;0,$K22,0)</f>
        <v>0</v>
      </c>
      <c r="AN22" s="15" t="n">
        <f aca="false">IF(VLOOKUP($C22,'Your Floors'!$B$53:$F$56,5,FALSE())="yes",0,$R22)</f>
        <v>0</v>
      </c>
      <c r="AP22" s="15" t="n">
        <f aca="false">ROUND($K22-$AS22,2)</f>
        <v>229395.27</v>
      </c>
      <c r="AQ22" s="26" t="n">
        <f aca="false">RANK($AP22,'Your Accounts'!$AP$6:$AP$185)</f>
        <v>16</v>
      </c>
      <c r="AR22" s="15" t="n">
        <f aca="false">SUMIF('Your Accounts'!$AQ$6:$AQ$185,"&lt;="&amp;$AQ22,'Your Accounts'!$AP$6:$AP$185)</f>
        <v>6001632.88</v>
      </c>
      <c r="AS22" s="15" t="n">
        <f aca="false">ROUND($D22*Sensitivity!$C$35+Sensitivity!$D$35,2)</f>
        <v>6005</v>
      </c>
      <c r="AT22" s="15" t="n">
        <f aca="false">ROUND($K22-$AW22,2)</f>
        <v>223390.27</v>
      </c>
      <c r="AU22" s="26" t="n">
        <f aca="false">RANK($AT22,'Your Accounts'!$AT$6:$AT$185)</f>
        <v>16</v>
      </c>
      <c r="AV22" s="15" t="n">
        <f aca="false">SUMIF('Your Accounts'!$AU$6:$AU$185,"&lt;="&amp;$AU22,'Your Accounts'!$AT$6:$AT$185)</f>
        <v>5913817.88</v>
      </c>
      <c r="AW22" s="15" t="n">
        <f aca="false">ROUND($D22*Sensitivity!$C$36+Sensitivity!$D$36,2)</f>
        <v>12010</v>
      </c>
      <c r="AX22" s="15" t="n">
        <f aca="false">ROUND($K22-$BA22,2)</f>
        <v>220387.77</v>
      </c>
      <c r="AY22" s="26" t="n">
        <f aca="false">RANK($AX22,'Your Accounts'!$AX$6:$AX$185)</f>
        <v>16</v>
      </c>
      <c r="AZ22" s="15" t="n">
        <f aca="false">SUMIF('Your Accounts'!$AY$6:$AY$185,"&lt;="&amp;$AY22,'Your Accounts'!$AX$6:$AX$185)</f>
        <v>5869910.38</v>
      </c>
      <c r="BA22" s="15" t="n">
        <f aca="false">ROUND($D22*Sensitivity!$C$37+Sensitivity!$D$37,2)</f>
        <v>15012.5</v>
      </c>
      <c r="BB22" s="15" t="n">
        <f aca="false">ROUND($K22-$BE22,2)</f>
        <v>217385.27</v>
      </c>
      <c r="BC22" s="26" t="n">
        <f aca="false">RANK($BB22,'Your Accounts'!$BB$6:$BB$185)</f>
        <v>16</v>
      </c>
      <c r="BD22" s="15" t="n">
        <f aca="false">SUMIF('Your Accounts'!$BC$6:$BC$185,"&lt;="&amp;$BC22,'Your Accounts'!$BB$6:$BB$185)</f>
        <v>5826002.88</v>
      </c>
      <c r="BE22" s="15" t="n">
        <f aca="false">ROUND($D22*Sensitivity!$C$38+Sensitivity!$D$38,2)</f>
        <v>18015</v>
      </c>
      <c r="BF22" s="15" t="n">
        <f aca="false">ROUND($K22-$BI22,2)</f>
        <v>211380.27</v>
      </c>
      <c r="BG22" s="26" t="n">
        <f aca="false">RANK($BF22,'Your Accounts'!$BF$6:$BF$185)</f>
        <v>16</v>
      </c>
      <c r="BH22" s="15" t="n">
        <f aca="false">SUMIF('Your Accounts'!$BG$6:$BG$185,"&lt;="&amp;$BG22,'Your Accounts'!$BF$6:$BF$185)</f>
        <v>5738187.88</v>
      </c>
      <c r="BI22" s="15" t="n">
        <f aca="false">ROUND($D22*Sensitivity!$C$39+Sensitivity!$D$39,2)</f>
        <v>24020</v>
      </c>
      <c r="BJ22" s="15" t="n">
        <f aca="false">ROUND($K22-$BM22,2)</f>
        <v>205375.27</v>
      </c>
      <c r="BK22" s="26" t="n">
        <f aca="false">RANK($BJ22,'Your Accounts'!$BJ$6:$BJ$185)</f>
        <v>16</v>
      </c>
      <c r="BL22" s="15" t="n">
        <f aca="false">SUMIF('Your Accounts'!$BK$6:$BK$185,"&lt;="&amp;$BK22,'Your Accounts'!$BJ$6:$BJ$185)</f>
        <v>5650372.88</v>
      </c>
      <c r="BM22" s="15" t="n">
        <f aca="false">ROUND($D22*Sensitivity!$C$40+Sensitivity!$D$40,2)</f>
        <v>30025</v>
      </c>
      <c r="BN22" s="15" t="n">
        <f aca="false">ROUND($K22-$BQ22,2)</f>
        <v>199370.27</v>
      </c>
      <c r="BO22" s="26" t="n">
        <f aca="false">RANK($BN22,'Your Accounts'!$BN$6:$BN$185)</f>
        <v>16</v>
      </c>
      <c r="BP22" s="15" t="n">
        <f aca="false">SUMIF('Your Accounts'!$BO$6:$BO$185,"&lt;="&amp;$BO22,'Your Accounts'!$BN$6:$BN$185)</f>
        <v>5562557.88</v>
      </c>
      <c r="BQ22" s="15" t="n">
        <f aca="false">ROUND($D22*Sensitivity!$C$41+Sensitivity!$D$41,2)</f>
        <v>36030</v>
      </c>
    </row>
    <row r="23" customFormat="false" ht="15" hidden="false" customHeight="false" outlineLevel="0" collapsed="false">
      <c r="B23" s="18" t="s">
        <v>133</v>
      </c>
      <c r="C23" s="18" t="s">
        <v>128</v>
      </c>
      <c r="D23" s="24" t="n">
        <v>28</v>
      </c>
      <c r="E23" s="26" t="n">
        <f aca="false">SUMIF('Your Lines'!$B$6:$B$463,$B23,'Your Lines'!$E$6:$E$463)</f>
        <v>7835</v>
      </c>
      <c r="F23" s="15" t="n">
        <f aca="false">ROUND(SUMIF('Your Lines'!$B$6:$B$463,$B23,'Your Lines'!$J$6:$J$463),2)</f>
        <v>624904</v>
      </c>
      <c r="G23" s="15" t="n">
        <f aca="false">ROUND(SUMIF('Your Lines'!$B$6:$B$463,$B23,'Your Lines'!$G$6:$G$463),2)</f>
        <v>467607.06</v>
      </c>
      <c r="H23" s="25" t="n">
        <f aca="false">$G23/$F23</f>
        <v>0.748286232765353</v>
      </c>
      <c r="I23" s="15" t="n">
        <f aca="false">ROUND(SUMIF('Your Lines'!$B$6:$B$463,$B23,'Your Lines'!$K$6:$K$463),2)</f>
        <v>358782</v>
      </c>
      <c r="J23" s="15" t="n">
        <f aca="false">ROUND(SUMIF('Your Lines'!$B$6:$B$463,$B23,'Your Lines'!$L$6:$L$463),2)</f>
        <v>10543.56</v>
      </c>
      <c r="K23" s="15" t="n">
        <f aca="false">ROUND($G23-$I23-$J23,2)</f>
        <v>98281.5</v>
      </c>
      <c r="L23" s="15" t="n">
        <f aca="false">ROUND($D23*'Your Inputs'!$C$40+'Your Inputs'!$C$41,2)</f>
        <v>10560</v>
      </c>
      <c r="M23" s="15" t="n">
        <f aca="false">ROUND($K23-$L23,2)</f>
        <v>87721.5</v>
      </c>
      <c r="N23" s="26" t="n">
        <f aca="false">RANK($M23,'Your Accounts'!$M$6:$M$185)</f>
        <v>42</v>
      </c>
      <c r="O23" s="15" t="n">
        <f aca="false">SUMIF('Your Accounts'!$N$6:$N$185,"&lt;="&amp;$N23,'Your Accounts'!$M$6:$M$185)</f>
        <v>9241670.87</v>
      </c>
      <c r="P23" s="15"/>
      <c r="Q23" s="26" t="n">
        <f aca="false">COUNTIFS('Your Lines'!$B$6:$B$463,$B23,'Your Lines'!$R$6:$R$463,"below the floor")</f>
        <v>0</v>
      </c>
      <c r="R23" s="15" t="n">
        <f aca="false">IF(Q23&gt;0,$K23,0)</f>
        <v>0</v>
      </c>
      <c r="AN23" s="15" t="n">
        <f aca="false">IF(VLOOKUP($C23,'Your Floors'!$B$53:$F$56,5,FALSE())="yes",0,$R23)</f>
        <v>0</v>
      </c>
      <c r="AP23" s="15" t="n">
        <f aca="false">ROUND($K23-$AS23,2)</f>
        <v>93001.5</v>
      </c>
      <c r="AQ23" s="26" t="n">
        <f aca="false">RANK($AP23,'Your Accounts'!$AP$6:$AP$185)</f>
        <v>42</v>
      </c>
      <c r="AR23" s="15" t="n">
        <f aca="false">SUMIF('Your Accounts'!$AQ$6:$AQ$185,"&lt;="&amp;$AQ23,'Your Accounts'!$AP$6:$AP$185)</f>
        <v>9454513.37</v>
      </c>
      <c r="AS23" s="15" t="n">
        <f aca="false">ROUND($D23*Sensitivity!$C$35+Sensitivity!$D$35,2)</f>
        <v>5280</v>
      </c>
      <c r="AT23" s="15" t="n">
        <f aca="false">ROUND($K23-$AW23,2)</f>
        <v>87721.5</v>
      </c>
      <c r="AU23" s="26" t="n">
        <f aca="false">RANK($AT23,'Your Accounts'!$AT$6:$AT$185)</f>
        <v>42</v>
      </c>
      <c r="AV23" s="15" t="n">
        <f aca="false">SUMIF('Your Accounts'!$AU$6:$AU$185,"&lt;="&amp;$AU23,'Your Accounts'!$AT$6:$AT$185)</f>
        <v>9241670.87</v>
      </c>
      <c r="AW23" s="15" t="n">
        <f aca="false">ROUND($D23*Sensitivity!$C$36+Sensitivity!$D$36,2)</f>
        <v>10560</v>
      </c>
      <c r="AX23" s="15" t="n">
        <f aca="false">ROUND($K23-$BA23,2)</f>
        <v>85081.5</v>
      </c>
      <c r="AY23" s="26" t="n">
        <f aca="false">RANK($AX23,'Your Accounts'!$AX$6:$AX$185)</f>
        <v>42</v>
      </c>
      <c r="AZ23" s="15" t="n">
        <f aca="false">SUMIF('Your Accounts'!$AY$6:$AY$185,"&lt;="&amp;$AY23,'Your Accounts'!$AX$6:$AX$185)</f>
        <v>9135249.62</v>
      </c>
      <c r="BA23" s="15" t="n">
        <f aca="false">ROUND($D23*Sensitivity!$C$37+Sensitivity!$D$37,2)</f>
        <v>13200</v>
      </c>
      <c r="BB23" s="15" t="n">
        <f aca="false">ROUND($K23-$BE23,2)</f>
        <v>82441.5</v>
      </c>
      <c r="BC23" s="26" t="n">
        <f aca="false">RANK($BB23,'Your Accounts'!$BB$6:$BB$185)</f>
        <v>42</v>
      </c>
      <c r="BD23" s="15" t="n">
        <f aca="false">SUMIF('Your Accounts'!$BC$6:$BC$185,"&lt;="&amp;$BC23,'Your Accounts'!$BB$6:$BB$185)</f>
        <v>9028828.37</v>
      </c>
      <c r="BE23" s="15" t="n">
        <f aca="false">ROUND($D23*Sensitivity!$C$38+Sensitivity!$D$38,2)</f>
        <v>15840</v>
      </c>
      <c r="BF23" s="15" t="n">
        <f aca="false">ROUND($K23-$BI23,2)</f>
        <v>77161.5</v>
      </c>
      <c r="BG23" s="26" t="n">
        <f aca="false">RANK($BF23,'Your Accounts'!$BF$6:$BF$185)</f>
        <v>42</v>
      </c>
      <c r="BH23" s="15" t="n">
        <f aca="false">SUMIF('Your Accounts'!$BG$6:$BG$185,"&lt;="&amp;$BG23,'Your Accounts'!$BF$6:$BF$185)</f>
        <v>8815985.87</v>
      </c>
      <c r="BI23" s="15" t="n">
        <f aca="false">ROUND($D23*Sensitivity!$C$39+Sensitivity!$D$39,2)</f>
        <v>21120</v>
      </c>
      <c r="BJ23" s="15" t="n">
        <f aca="false">ROUND($K23-$BM23,2)</f>
        <v>71881.5</v>
      </c>
      <c r="BK23" s="26" t="n">
        <f aca="false">RANK($BJ23,'Your Accounts'!$BJ$6:$BJ$185)</f>
        <v>41</v>
      </c>
      <c r="BL23" s="15" t="n">
        <f aca="false">SUMIF('Your Accounts'!$BK$6:$BK$185,"&lt;="&amp;$BK23,'Your Accounts'!$BJ$6:$BJ$185)</f>
        <v>8531358.33</v>
      </c>
      <c r="BM23" s="15" t="n">
        <f aca="false">ROUND($D23*Sensitivity!$C$40+Sensitivity!$D$40,2)</f>
        <v>26400</v>
      </c>
      <c r="BN23" s="15" t="n">
        <f aca="false">ROUND($K23-$BQ23,2)</f>
        <v>66601.5</v>
      </c>
      <c r="BO23" s="26" t="n">
        <f aca="false">RANK($BN23,'Your Accounts'!$BN$6:$BN$185)</f>
        <v>41</v>
      </c>
      <c r="BP23" s="15" t="n">
        <f aca="false">SUMIF('Your Accounts'!$BO$6:$BO$185,"&lt;="&amp;$BO23,'Your Accounts'!$BN$6:$BN$185)</f>
        <v>8324375.83</v>
      </c>
      <c r="BQ23" s="15" t="n">
        <f aca="false">ROUND($D23*Sensitivity!$C$41+Sensitivity!$D$41,2)</f>
        <v>31680</v>
      </c>
    </row>
    <row r="24" customFormat="false" ht="15" hidden="false" customHeight="false" outlineLevel="0" collapsed="false">
      <c r="B24" s="18" t="s">
        <v>134</v>
      </c>
      <c r="C24" s="18" t="s">
        <v>128</v>
      </c>
      <c r="D24" s="24" t="n">
        <v>30</v>
      </c>
      <c r="E24" s="26" t="n">
        <f aca="false">SUMIF('Your Lines'!$B$6:$B$463,$B24,'Your Lines'!$E$6:$E$463)</f>
        <v>12871</v>
      </c>
      <c r="F24" s="15" t="n">
        <f aca="false">ROUND(SUMIF('Your Lines'!$B$6:$B$463,$B24,'Your Lines'!$J$6:$J$463),2)</f>
        <v>961780</v>
      </c>
      <c r="G24" s="15" t="n">
        <f aca="false">ROUND(SUMIF('Your Lines'!$B$6:$B$463,$B24,'Your Lines'!$G$6:$G$463),2)</f>
        <v>725085.28</v>
      </c>
      <c r="H24" s="25" t="n">
        <f aca="false">$G24/$F24</f>
        <v>0.753899311692903</v>
      </c>
      <c r="I24" s="15" t="n">
        <f aca="false">ROUND(SUMIF('Your Lines'!$B$6:$B$463,$B24,'Your Lines'!$K$6:$K$463),2)</f>
        <v>559354</v>
      </c>
      <c r="J24" s="15" t="n">
        <f aca="false">ROUND(SUMIF('Your Lines'!$B$6:$B$463,$B24,'Your Lines'!$L$6:$L$463),2)</f>
        <v>16630.4</v>
      </c>
      <c r="K24" s="15" t="n">
        <f aca="false">ROUND($G24-$I24-$J24,2)</f>
        <v>149100.88</v>
      </c>
      <c r="L24" s="15" t="n">
        <f aca="false">ROUND($D24*'Your Inputs'!$C$40+'Your Inputs'!$C$41,2)</f>
        <v>10850</v>
      </c>
      <c r="M24" s="15" t="n">
        <f aca="false">ROUND($K24-$L24,2)</f>
        <v>138250.88</v>
      </c>
      <c r="N24" s="26" t="n">
        <f aca="false">RANK($M24,'Your Accounts'!$M$6:$M$185)</f>
        <v>24</v>
      </c>
      <c r="O24" s="15" t="n">
        <f aca="false">SUMIF('Your Accounts'!$N$6:$N$185,"&lt;="&amp;$N24,'Your Accounts'!$M$6:$M$185)</f>
        <v>7266949.12</v>
      </c>
      <c r="P24" s="15"/>
      <c r="Q24" s="26" t="n">
        <f aca="false">COUNTIFS('Your Lines'!$B$6:$B$463,$B24,'Your Lines'!$R$6:$R$463,"below the floor")</f>
        <v>0</v>
      </c>
      <c r="R24" s="15" t="n">
        <f aca="false">IF(Q24&gt;0,$K24,0)</f>
        <v>0</v>
      </c>
      <c r="AN24" s="15" t="n">
        <f aca="false">IF(VLOOKUP($C24,'Your Floors'!$B$53:$F$56,5,FALSE())="yes",0,$R24)</f>
        <v>0</v>
      </c>
      <c r="AP24" s="15" t="n">
        <f aca="false">ROUND($K24-$AS24,2)</f>
        <v>143675.88</v>
      </c>
      <c r="AQ24" s="26" t="n">
        <f aca="false">RANK($AP24,'Your Accounts'!$AP$6:$AP$185)</f>
        <v>24</v>
      </c>
      <c r="AR24" s="15" t="n">
        <f aca="false">SUMIF('Your Accounts'!$AQ$6:$AQ$185,"&lt;="&amp;$AQ24,'Your Accounts'!$AP$6:$AP$185)</f>
        <v>7393669.12</v>
      </c>
      <c r="AS24" s="15" t="n">
        <f aca="false">ROUND($D24*Sensitivity!$C$35+Sensitivity!$D$35,2)</f>
        <v>5425</v>
      </c>
      <c r="AT24" s="15" t="n">
        <f aca="false">ROUND($K24-$AW24,2)</f>
        <v>138250.88</v>
      </c>
      <c r="AU24" s="26" t="n">
        <f aca="false">RANK($AT24,'Your Accounts'!$AT$6:$AT$185)</f>
        <v>24</v>
      </c>
      <c r="AV24" s="15" t="n">
        <f aca="false">SUMIF('Your Accounts'!$AU$6:$AU$185,"&lt;="&amp;$AU24,'Your Accounts'!$AT$6:$AT$185)</f>
        <v>7266949.12</v>
      </c>
      <c r="AW24" s="15" t="n">
        <f aca="false">ROUND($D24*Sensitivity!$C$36+Sensitivity!$D$36,2)</f>
        <v>10850</v>
      </c>
      <c r="AX24" s="15" t="n">
        <f aca="false">ROUND($K24-$BA24,2)</f>
        <v>135538.38</v>
      </c>
      <c r="AY24" s="26" t="n">
        <f aca="false">RANK($AX24,'Your Accounts'!$AX$6:$AX$185)</f>
        <v>25</v>
      </c>
      <c r="AZ24" s="15" t="n">
        <f aca="false">SUMIF('Your Accounts'!$AY$6:$AY$185,"&lt;="&amp;$AY24,'Your Accounts'!$AX$6:$AX$185)</f>
        <v>7339294.6</v>
      </c>
      <c r="BA24" s="15" t="n">
        <f aca="false">ROUND($D24*Sensitivity!$C$37+Sensitivity!$D$37,2)</f>
        <v>13562.5</v>
      </c>
      <c r="BB24" s="15" t="n">
        <f aca="false">ROUND($K24-$BE24,2)</f>
        <v>132825.88</v>
      </c>
      <c r="BC24" s="26" t="n">
        <f aca="false">RANK($BB24,'Your Accounts'!$BB$6:$BB$185)</f>
        <v>25</v>
      </c>
      <c r="BD24" s="15" t="n">
        <f aca="false">SUMIF('Your Accounts'!$BC$6:$BC$185,"&lt;="&amp;$BC24,'Your Accounts'!$BB$6:$BB$185)</f>
        <v>7273439.6</v>
      </c>
      <c r="BE24" s="15" t="n">
        <f aca="false">ROUND($D24*Sensitivity!$C$38+Sensitivity!$D$38,2)</f>
        <v>16275</v>
      </c>
      <c r="BF24" s="15" t="n">
        <f aca="false">ROUND($K24-$BI24,2)</f>
        <v>127400.88</v>
      </c>
      <c r="BG24" s="26" t="n">
        <f aca="false">RANK($BF24,'Your Accounts'!$BF$6:$BF$185)</f>
        <v>25</v>
      </c>
      <c r="BH24" s="15" t="n">
        <f aca="false">SUMIF('Your Accounts'!$BG$6:$BG$185,"&lt;="&amp;$BG24,'Your Accounts'!$BF$6:$BF$185)</f>
        <v>7141729.6</v>
      </c>
      <c r="BI24" s="15" t="n">
        <f aca="false">ROUND($D24*Sensitivity!$C$39+Sensitivity!$D$39,2)</f>
        <v>21700</v>
      </c>
      <c r="BJ24" s="15" t="n">
        <f aca="false">ROUND($K24-$BM24,2)</f>
        <v>121975.88</v>
      </c>
      <c r="BK24" s="26" t="n">
        <f aca="false">RANK($BJ24,'Your Accounts'!$BJ$6:$BJ$185)</f>
        <v>25</v>
      </c>
      <c r="BL24" s="15" t="n">
        <f aca="false">SUMIF('Your Accounts'!$BK$6:$BK$185,"&lt;="&amp;$BK24,'Your Accounts'!$BJ$6:$BJ$185)</f>
        <v>7010019.6</v>
      </c>
      <c r="BM24" s="15" t="n">
        <f aca="false">ROUND($D24*Sensitivity!$C$40+Sensitivity!$D$40,2)</f>
        <v>27125</v>
      </c>
      <c r="BN24" s="15" t="n">
        <f aca="false">ROUND($K24-$BQ24,2)</f>
        <v>116550.88</v>
      </c>
      <c r="BO24" s="26" t="n">
        <f aca="false">RANK($BN24,'Your Accounts'!$BN$6:$BN$185)</f>
        <v>25</v>
      </c>
      <c r="BP24" s="15" t="n">
        <f aca="false">SUMIF('Your Accounts'!$BO$6:$BO$185,"&lt;="&amp;$BO24,'Your Accounts'!$BN$6:$BN$185)</f>
        <v>6878309.6</v>
      </c>
      <c r="BQ24" s="15" t="n">
        <f aca="false">ROUND($D24*Sensitivity!$C$41+Sensitivity!$D$41,2)</f>
        <v>32550</v>
      </c>
    </row>
    <row r="25" customFormat="false" ht="15" hidden="false" customHeight="false" outlineLevel="0" collapsed="false">
      <c r="B25" s="18" t="s">
        <v>135</v>
      </c>
      <c r="C25" s="18" t="s">
        <v>128</v>
      </c>
      <c r="D25" s="24" t="n">
        <v>7</v>
      </c>
      <c r="E25" s="26" t="n">
        <f aca="false">SUMIF('Your Lines'!$B$6:$B$463,$B25,'Your Lines'!$E$6:$E$463)</f>
        <v>1574</v>
      </c>
      <c r="F25" s="15" t="n">
        <f aca="false">ROUND(SUMIF('Your Lines'!$B$6:$B$463,$B25,'Your Lines'!$J$6:$J$463),2)</f>
        <v>112650</v>
      </c>
      <c r="G25" s="15" t="n">
        <f aca="false">ROUND(SUMIF('Your Lines'!$B$6:$B$463,$B25,'Your Lines'!$G$6:$G$463),2)</f>
        <v>87121.34</v>
      </c>
      <c r="H25" s="25" t="n">
        <f aca="false">$G25/$F25</f>
        <v>0.773380736795384</v>
      </c>
      <c r="I25" s="15" t="n">
        <f aca="false">ROUND(SUMIF('Your Lines'!$B$6:$B$463,$B25,'Your Lines'!$K$6:$K$463),2)</f>
        <v>65946</v>
      </c>
      <c r="J25" s="15" t="n">
        <f aca="false">ROUND(SUMIF('Your Lines'!$B$6:$B$463,$B25,'Your Lines'!$L$6:$L$463),2)</f>
        <v>1900.13</v>
      </c>
      <c r="K25" s="15" t="n">
        <f aca="false">ROUND($G25-$I25-$J25,2)</f>
        <v>19275.21</v>
      </c>
      <c r="L25" s="15" t="n">
        <f aca="false">ROUND($D25*'Your Inputs'!$C$40+'Your Inputs'!$C$41,2)</f>
        <v>7515</v>
      </c>
      <c r="M25" s="15" t="n">
        <f aca="false">ROUND($K25-$L25,2)</f>
        <v>11760.21</v>
      </c>
      <c r="N25" s="26" t="n">
        <f aca="false">RANK($M25,'Your Accounts'!$M$6:$M$185)</f>
        <v>149</v>
      </c>
      <c r="O25" s="15" t="n">
        <f aca="false">SUMIF('Your Accounts'!$N$6:$N$185,"&lt;="&amp;$N25,'Your Accounts'!$M$6:$M$185)</f>
        <v>13372209.51</v>
      </c>
      <c r="P25" s="15"/>
      <c r="Q25" s="26" t="n">
        <f aca="false">COUNTIFS('Your Lines'!$B$6:$B$463,$B25,'Your Lines'!$R$6:$R$463,"below the floor")</f>
        <v>0</v>
      </c>
      <c r="R25" s="15" t="n">
        <f aca="false">IF(Q25&gt;0,$K25,0)</f>
        <v>0</v>
      </c>
      <c r="AN25" s="15" t="n">
        <f aca="false">IF(VLOOKUP($C25,'Your Floors'!$B$53:$F$56,5,FALSE())="yes",0,$R25)</f>
        <v>0</v>
      </c>
      <c r="AP25" s="15" t="n">
        <f aca="false">ROUND($K25-$AS25,2)</f>
        <v>15517.71</v>
      </c>
      <c r="AQ25" s="26" t="n">
        <f aca="false">RANK($AP25,'Your Accounts'!$AP$6:$AP$185)</f>
        <v>149</v>
      </c>
      <c r="AR25" s="15" t="n">
        <f aca="false">SUMIF('Your Accounts'!$AQ$6:$AQ$185,"&lt;="&amp;$AQ25,'Your Accounts'!$AP$6:$AP$185)</f>
        <v>14079904.51</v>
      </c>
      <c r="AS25" s="15" t="n">
        <f aca="false">ROUND($D25*Sensitivity!$C$35+Sensitivity!$D$35,2)</f>
        <v>3757.5</v>
      </c>
      <c r="AT25" s="15" t="n">
        <f aca="false">ROUND($K25-$AW25,2)</f>
        <v>11760.21</v>
      </c>
      <c r="AU25" s="26" t="n">
        <f aca="false">RANK($AT25,'Your Accounts'!$AT$6:$AT$185)</f>
        <v>149</v>
      </c>
      <c r="AV25" s="15" t="n">
        <f aca="false">SUMIF('Your Accounts'!$AU$6:$AU$185,"&lt;="&amp;$AU25,'Your Accounts'!$AT$6:$AT$185)</f>
        <v>13372209.51</v>
      </c>
      <c r="AW25" s="15" t="n">
        <f aca="false">ROUND($D25*Sensitivity!$C$36+Sensitivity!$D$36,2)</f>
        <v>7515</v>
      </c>
      <c r="AX25" s="15" t="n">
        <f aca="false">ROUND($K25-$BA25,2)</f>
        <v>9881.46</v>
      </c>
      <c r="AY25" s="26" t="n">
        <f aca="false">RANK($AX25,'Your Accounts'!$AX$6:$AX$185)</f>
        <v>148</v>
      </c>
      <c r="AZ25" s="15" t="n">
        <f aca="false">SUMIF('Your Accounts'!$AY$6:$AY$185,"&lt;="&amp;$AY25,'Your Accounts'!$AX$6:$AX$185)</f>
        <v>13008883.46</v>
      </c>
      <c r="BA25" s="15" t="n">
        <f aca="false">ROUND($D25*Sensitivity!$C$37+Sensitivity!$D$37,2)</f>
        <v>9393.75</v>
      </c>
      <c r="BB25" s="15" t="n">
        <f aca="false">ROUND($K25-$BE25,2)</f>
        <v>8002.71</v>
      </c>
      <c r="BC25" s="26" t="n">
        <f aca="false">RANK($BB25,'Your Accounts'!$BB$6:$BB$185)</f>
        <v>147</v>
      </c>
      <c r="BD25" s="15" t="n">
        <f aca="false">SUMIF('Your Accounts'!$BC$6:$BC$185,"&lt;="&amp;$BC25,'Your Accounts'!$BB$6:$BB$185)</f>
        <v>12650012.48</v>
      </c>
      <c r="BE25" s="15" t="n">
        <f aca="false">ROUND($D25*Sensitivity!$C$38+Sensitivity!$D$38,2)</f>
        <v>11272.5</v>
      </c>
      <c r="BF25" s="15" t="n">
        <f aca="false">ROUND($K25-$BI25,2)</f>
        <v>4245.21</v>
      </c>
      <c r="BG25" s="26" t="n">
        <f aca="false">RANK($BF25,'Your Accounts'!$BF$6:$BF$185)</f>
        <v>147</v>
      </c>
      <c r="BH25" s="15" t="n">
        <f aca="false">SUMIF('Your Accounts'!$BG$6:$BG$185,"&lt;="&amp;$BG25,'Your Accounts'!$BF$6:$BF$185)</f>
        <v>11952659.98</v>
      </c>
      <c r="BI25" s="15" t="n">
        <f aca="false">ROUND($D25*Sensitivity!$C$39+Sensitivity!$D$39,2)</f>
        <v>15030</v>
      </c>
      <c r="BJ25" s="15" t="n">
        <f aca="false">ROUND($K25-$BM25,2)</f>
        <v>487.71</v>
      </c>
      <c r="BK25" s="26" t="n">
        <f aca="false">RANK($BJ25,'Your Accounts'!$BJ$6:$BJ$185)</f>
        <v>143</v>
      </c>
      <c r="BL25" s="15" t="n">
        <f aca="false">SUMIF('Your Accounts'!$BK$6:$BK$185,"&lt;="&amp;$BK25,'Your Accounts'!$BJ$6:$BJ$185)</f>
        <v>11255211.67</v>
      </c>
      <c r="BM25" s="15" t="n">
        <f aca="false">ROUND($D25*Sensitivity!$C$40+Sensitivity!$D$40,2)</f>
        <v>18787.5</v>
      </c>
      <c r="BN25" s="15" t="n">
        <f aca="false">ROUND($K25-$BQ25,2)</f>
        <v>-3269.79</v>
      </c>
      <c r="BO25" s="26" t="n">
        <f aca="false">RANK($BN25,'Your Accounts'!$BN$6:$BN$185)</f>
        <v>138</v>
      </c>
      <c r="BP25" s="15" t="n">
        <f aca="false">SUMIF('Your Accounts'!$BO$6:$BO$185,"&lt;="&amp;$BO25,'Your Accounts'!$BN$6:$BN$185)</f>
        <v>10592857.06</v>
      </c>
      <c r="BQ25" s="15" t="n">
        <f aca="false">ROUND($D25*Sensitivity!$C$41+Sensitivity!$D$41,2)</f>
        <v>22545</v>
      </c>
    </row>
    <row r="26" customFormat="false" ht="15" hidden="false" customHeight="false" outlineLevel="0" collapsed="false">
      <c r="B26" s="18" t="s">
        <v>136</v>
      </c>
      <c r="C26" s="18" t="s">
        <v>128</v>
      </c>
      <c r="D26" s="24" t="n">
        <v>19</v>
      </c>
      <c r="E26" s="26" t="n">
        <f aca="false">SUMIF('Your Lines'!$B$6:$B$463,$B26,'Your Lines'!$E$6:$E$463)</f>
        <v>8304</v>
      </c>
      <c r="F26" s="15" t="n">
        <f aca="false">ROUND(SUMIF('Your Lines'!$B$6:$B$463,$B26,'Your Lines'!$J$6:$J$463),2)</f>
        <v>667006</v>
      </c>
      <c r="G26" s="15" t="n">
        <f aca="false">ROUND(SUMIF('Your Lines'!$B$6:$B$463,$B26,'Your Lines'!$G$6:$G$463),2)</f>
        <v>505961.52</v>
      </c>
      <c r="H26" s="25" t="n">
        <f aca="false">$G26/$F26</f>
        <v>0.758556174906972</v>
      </c>
      <c r="I26" s="15" t="n">
        <f aca="false">ROUND(SUMIF('Your Lines'!$B$6:$B$463,$B26,'Your Lines'!$K$6:$K$463),2)</f>
        <v>380818</v>
      </c>
      <c r="J26" s="15" t="n">
        <f aca="false">ROUND(SUMIF('Your Lines'!$B$6:$B$463,$B26,'Your Lines'!$L$6:$L$463),2)</f>
        <v>11408.38</v>
      </c>
      <c r="K26" s="15" t="n">
        <f aca="false">ROUND($G26-$I26-$J26,2)</f>
        <v>113735.14</v>
      </c>
      <c r="L26" s="15" t="n">
        <f aca="false">ROUND($D26*'Your Inputs'!$C$40+'Your Inputs'!$C$41,2)</f>
        <v>9255</v>
      </c>
      <c r="M26" s="15" t="n">
        <f aca="false">ROUND($K26-$L26,2)</f>
        <v>104480.14</v>
      </c>
      <c r="N26" s="26" t="n">
        <f aca="false">RANK($M26,'Your Accounts'!$M$6:$M$185)</f>
        <v>35</v>
      </c>
      <c r="O26" s="15" t="n">
        <f aca="false">SUMIF('Your Accounts'!$N$6:$N$185,"&lt;="&amp;$N26,'Your Accounts'!$M$6:$M$185)</f>
        <v>8593044.82</v>
      </c>
      <c r="P26" s="15"/>
      <c r="Q26" s="26" t="n">
        <f aca="false">COUNTIFS('Your Lines'!$B$6:$B$463,$B26,'Your Lines'!$R$6:$R$463,"below the floor")</f>
        <v>0</v>
      </c>
      <c r="R26" s="15" t="n">
        <f aca="false">IF(Q26&gt;0,$K26,0)</f>
        <v>0</v>
      </c>
      <c r="AN26" s="15" t="n">
        <f aca="false">IF(VLOOKUP($C26,'Your Floors'!$B$53:$F$56,5,FALSE())="yes",0,$R26)</f>
        <v>0</v>
      </c>
      <c r="AP26" s="15" t="n">
        <f aca="false">ROUND($K26-$AS26,2)</f>
        <v>109107.64</v>
      </c>
      <c r="AQ26" s="26" t="n">
        <f aca="false">RANK($AP26,'Your Accounts'!$AP$6:$AP$185)</f>
        <v>35</v>
      </c>
      <c r="AR26" s="15" t="n">
        <f aca="false">SUMIF('Your Accounts'!$AQ$6:$AQ$185,"&lt;="&amp;$AQ26,'Your Accounts'!$AP$6:$AP$185)</f>
        <v>8773132.32</v>
      </c>
      <c r="AS26" s="15" t="n">
        <f aca="false">ROUND($D26*Sensitivity!$C$35+Sensitivity!$D$35,2)</f>
        <v>4627.5</v>
      </c>
      <c r="AT26" s="15" t="n">
        <f aca="false">ROUND($K26-$AW26,2)</f>
        <v>104480.14</v>
      </c>
      <c r="AU26" s="26" t="n">
        <f aca="false">RANK($AT26,'Your Accounts'!$AT$6:$AT$185)</f>
        <v>35</v>
      </c>
      <c r="AV26" s="15" t="n">
        <f aca="false">SUMIF('Your Accounts'!$AU$6:$AU$185,"&lt;="&amp;$AU26,'Your Accounts'!$AT$6:$AT$185)</f>
        <v>8593044.82</v>
      </c>
      <c r="AW26" s="15" t="n">
        <f aca="false">ROUND($D26*Sensitivity!$C$36+Sensitivity!$D$36,2)</f>
        <v>9255</v>
      </c>
      <c r="AX26" s="15" t="n">
        <f aca="false">ROUND($K26-$BA26,2)</f>
        <v>102166.39</v>
      </c>
      <c r="AY26" s="26" t="n">
        <f aca="false">RANK($AX26,'Your Accounts'!$AX$6:$AX$185)</f>
        <v>35</v>
      </c>
      <c r="AZ26" s="15" t="n">
        <f aca="false">SUMIF('Your Accounts'!$AY$6:$AY$185,"&lt;="&amp;$AY26,'Your Accounts'!$AX$6:$AX$185)</f>
        <v>8503001.07</v>
      </c>
      <c r="BA26" s="15" t="n">
        <f aca="false">ROUND($D26*Sensitivity!$C$37+Sensitivity!$D$37,2)</f>
        <v>11568.75</v>
      </c>
      <c r="BB26" s="15" t="n">
        <f aca="false">ROUND($K26-$BE26,2)</f>
        <v>99852.64</v>
      </c>
      <c r="BC26" s="26" t="n">
        <f aca="false">RANK($BB26,'Your Accounts'!$BB$6:$BB$185)</f>
        <v>35</v>
      </c>
      <c r="BD26" s="15" t="n">
        <f aca="false">SUMIF('Your Accounts'!$BC$6:$BC$185,"&lt;="&amp;$BC26,'Your Accounts'!$BB$6:$BB$185)</f>
        <v>8412957.32</v>
      </c>
      <c r="BE26" s="15" t="n">
        <f aca="false">ROUND($D26*Sensitivity!$C$38+Sensitivity!$D$38,2)</f>
        <v>13882.5</v>
      </c>
      <c r="BF26" s="15" t="n">
        <f aca="false">ROUND($K26-$BI26,2)</f>
        <v>95225.14</v>
      </c>
      <c r="BG26" s="26" t="n">
        <f aca="false">RANK($BF26,'Your Accounts'!$BF$6:$BF$185)</f>
        <v>35</v>
      </c>
      <c r="BH26" s="15" t="n">
        <f aca="false">SUMIF('Your Accounts'!$BG$6:$BG$185,"&lt;="&amp;$BG26,'Your Accounts'!$BF$6:$BF$185)</f>
        <v>8232869.82</v>
      </c>
      <c r="BI26" s="15" t="n">
        <f aca="false">ROUND($D26*Sensitivity!$C$39+Sensitivity!$D$39,2)</f>
        <v>18510</v>
      </c>
      <c r="BJ26" s="15" t="n">
        <f aca="false">ROUND($K26-$BM26,2)</f>
        <v>90597.64</v>
      </c>
      <c r="BK26" s="26" t="n">
        <f aca="false">RANK($BJ26,'Your Accounts'!$BJ$6:$BJ$185)</f>
        <v>35</v>
      </c>
      <c r="BL26" s="15" t="n">
        <f aca="false">SUMIF('Your Accounts'!$BK$6:$BK$185,"&lt;="&amp;$BK26,'Your Accounts'!$BJ$6:$BJ$185)</f>
        <v>8052782.32</v>
      </c>
      <c r="BM26" s="15" t="n">
        <f aca="false">ROUND($D26*Sensitivity!$C$40+Sensitivity!$D$40,2)</f>
        <v>23137.5</v>
      </c>
      <c r="BN26" s="15" t="n">
        <f aca="false">ROUND($K26-$BQ26,2)</f>
        <v>85970.14</v>
      </c>
      <c r="BO26" s="26" t="n">
        <f aca="false">RANK($BN26,'Your Accounts'!$BN$6:$BN$185)</f>
        <v>35</v>
      </c>
      <c r="BP26" s="15" t="n">
        <f aca="false">SUMIF('Your Accounts'!$BO$6:$BO$185,"&lt;="&amp;$BO26,'Your Accounts'!$BN$6:$BN$185)</f>
        <v>7872694.82</v>
      </c>
      <c r="BQ26" s="15" t="n">
        <f aca="false">ROUND($D26*Sensitivity!$C$41+Sensitivity!$D$41,2)</f>
        <v>27765</v>
      </c>
    </row>
    <row r="27" customFormat="false" ht="15" hidden="false" customHeight="false" outlineLevel="0" collapsed="false">
      <c r="B27" s="18" t="s">
        <v>137</v>
      </c>
      <c r="C27" s="18" t="s">
        <v>128</v>
      </c>
      <c r="D27" s="24" t="n">
        <v>12</v>
      </c>
      <c r="E27" s="26" t="n">
        <f aca="false">SUMIF('Your Lines'!$B$6:$B$463,$B27,'Your Lines'!$E$6:$E$463)</f>
        <v>4275</v>
      </c>
      <c r="F27" s="15" t="n">
        <f aca="false">ROUND(SUMIF('Your Lines'!$B$6:$B$463,$B27,'Your Lines'!$J$6:$J$463),2)</f>
        <v>315874</v>
      </c>
      <c r="G27" s="15" t="n">
        <f aca="false">ROUND(SUMIF('Your Lines'!$B$6:$B$463,$B27,'Your Lines'!$G$6:$G$463),2)</f>
        <v>216449.12</v>
      </c>
      <c r="H27" s="25" t="n">
        <f aca="false">$G27/$F27</f>
        <v>0.685238797748469</v>
      </c>
      <c r="I27" s="15" t="n">
        <f aca="false">ROUND(SUMIF('Your Lines'!$B$6:$B$463,$B27,'Your Lines'!$K$6:$K$463),2)</f>
        <v>184548</v>
      </c>
      <c r="J27" s="15" t="n">
        <f aca="false">ROUND(SUMIF('Your Lines'!$B$6:$B$463,$B27,'Your Lines'!$L$6:$L$463),2)</f>
        <v>4880.48</v>
      </c>
      <c r="K27" s="15" t="n">
        <f aca="false">ROUND($G27-$I27-$J27,2)</f>
        <v>27020.64</v>
      </c>
      <c r="L27" s="15" t="n">
        <f aca="false">ROUND($D27*'Your Inputs'!$C$40+'Your Inputs'!$C$41,2)</f>
        <v>8240</v>
      </c>
      <c r="M27" s="15" t="n">
        <f aca="false">ROUND($K27-$L27,2)</f>
        <v>18780.64</v>
      </c>
      <c r="N27" s="26" t="n">
        <f aca="false">RANK($M27,'Your Accounts'!$M$6:$M$185)</f>
        <v>128</v>
      </c>
      <c r="O27" s="15" t="n">
        <f aca="false">SUMIF('Your Accounts'!$N$6:$N$185,"&lt;="&amp;$N27,'Your Accounts'!$M$6:$M$185)</f>
        <v>13069137.13</v>
      </c>
      <c r="P27" s="15"/>
      <c r="Q27" s="26" t="n">
        <f aca="false">COUNTIFS('Your Lines'!$B$6:$B$463,$B27,'Your Lines'!$R$6:$R$463,"below the floor")</f>
        <v>3</v>
      </c>
      <c r="R27" s="15" t="n">
        <f aca="false">IF(Q27&gt;0,$K27,0)</f>
        <v>27020.64</v>
      </c>
      <c r="AN27" s="15" t="n">
        <f aca="false">IF(VLOOKUP($C27,'Your Floors'!$B$53:$F$56,5,FALSE())="yes",0,$R27)</f>
        <v>27020.64</v>
      </c>
      <c r="AP27" s="15" t="n">
        <f aca="false">ROUND($K27-$AS27,2)</f>
        <v>22900.64</v>
      </c>
      <c r="AQ27" s="26" t="n">
        <f aca="false">RANK($AP27,'Your Accounts'!$AP$6:$AP$185)</f>
        <v>129</v>
      </c>
      <c r="AR27" s="15" t="n">
        <f aca="false">SUMIF('Your Accounts'!$AQ$6:$AQ$185,"&lt;="&amp;$AQ27,'Your Accounts'!$AP$6:$AP$185)</f>
        <v>13709188.97</v>
      </c>
      <c r="AS27" s="15" t="n">
        <f aca="false">ROUND($D27*Sensitivity!$C$35+Sensitivity!$D$35,2)</f>
        <v>4120</v>
      </c>
      <c r="AT27" s="15" t="n">
        <f aca="false">ROUND($K27-$AW27,2)</f>
        <v>18780.64</v>
      </c>
      <c r="AU27" s="26" t="n">
        <f aca="false">RANK($AT27,'Your Accounts'!$AT$6:$AT$185)</f>
        <v>128</v>
      </c>
      <c r="AV27" s="15" t="n">
        <f aca="false">SUMIF('Your Accounts'!$AU$6:$AU$185,"&lt;="&amp;$AU27,'Your Accounts'!$AT$6:$AT$185)</f>
        <v>13069137.13</v>
      </c>
      <c r="AW27" s="15" t="n">
        <f aca="false">ROUND($D27*Sensitivity!$C$36+Sensitivity!$D$36,2)</f>
        <v>8240</v>
      </c>
      <c r="AX27" s="15" t="n">
        <f aca="false">ROUND($K27-$BA27,2)</f>
        <v>16720.64</v>
      </c>
      <c r="AY27" s="26" t="n">
        <f aca="false">RANK($AX27,'Your Accounts'!$AX$6:$AX$185)</f>
        <v>128</v>
      </c>
      <c r="AZ27" s="15" t="n">
        <f aca="false">SUMIF('Your Accounts'!$AY$6:$AY$185,"&lt;="&amp;$AY27,'Your Accounts'!$AX$6:$AX$185)</f>
        <v>12760688.38</v>
      </c>
      <c r="BA27" s="15" t="n">
        <f aca="false">ROUND($D27*Sensitivity!$C$37+Sensitivity!$D$37,2)</f>
        <v>10300</v>
      </c>
      <c r="BB27" s="15" t="n">
        <f aca="false">ROUND($K27-$BE27,2)</f>
        <v>14660.64</v>
      </c>
      <c r="BC27" s="26" t="n">
        <f aca="false">RANK($BB27,'Your Accounts'!$BB$6:$BB$185)</f>
        <v>128</v>
      </c>
      <c r="BD27" s="15" t="n">
        <f aca="false">SUMIF('Your Accounts'!$BC$6:$BC$185,"&lt;="&amp;$BC27,'Your Accounts'!$BB$6:$BB$185)</f>
        <v>12452239.63</v>
      </c>
      <c r="BE27" s="15" t="n">
        <f aca="false">ROUND($D27*Sensitivity!$C$38+Sensitivity!$D$38,2)</f>
        <v>12360</v>
      </c>
      <c r="BF27" s="15" t="n">
        <f aca="false">ROUND($K27-$BI27,2)</f>
        <v>10540.64</v>
      </c>
      <c r="BG27" s="26" t="n">
        <f aca="false">RANK($BF27,'Your Accounts'!$BF$6:$BF$185)</f>
        <v>127</v>
      </c>
      <c r="BH27" s="15" t="n">
        <f aca="false">SUMIF('Your Accounts'!$BG$6:$BG$185,"&lt;="&amp;$BG27,'Your Accounts'!$BF$6:$BF$185)</f>
        <v>11825367.99</v>
      </c>
      <c r="BI27" s="15" t="n">
        <f aca="false">ROUND($D27*Sensitivity!$C$39+Sensitivity!$D$39,2)</f>
        <v>16480</v>
      </c>
      <c r="BJ27" s="15" t="n">
        <f aca="false">ROUND($K27-$BM27,2)</f>
        <v>6420.64</v>
      </c>
      <c r="BK27" s="26" t="n">
        <f aca="false">RANK($BJ27,'Your Accounts'!$BJ$6:$BJ$185)</f>
        <v>128</v>
      </c>
      <c r="BL27" s="15" t="n">
        <f aca="false">SUMIF('Your Accounts'!$BK$6:$BK$185,"&lt;="&amp;$BK27,'Your Accounts'!$BJ$6:$BJ$185)</f>
        <v>11220091.39</v>
      </c>
      <c r="BM27" s="15" t="n">
        <f aca="false">ROUND($D27*Sensitivity!$C$40+Sensitivity!$D$40,2)</f>
        <v>20600</v>
      </c>
      <c r="BN27" s="15" t="n">
        <f aca="false">ROUND($K27-$BQ27,2)</f>
        <v>2300.64</v>
      </c>
      <c r="BO27" s="26" t="n">
        <f aca="false">RANK($BN27,'Your Accounts'!$BN$6:$BN$185)</f>
        <v>126</v>
      </c>
      <c r="BP27" s="15" t="n">
        <f aca="false">SUMIF('Your Accounts'!$BO$6:$BO$185,"&lt;="&amp;$BO27,'Your Accounts'!$BN$6:$BN$185)</f>
        <v>10600111.55</v>
      </c>
      <c r="BQ27" s="15" t="n">
        <f aca="false">ROUND($D27*Sensitivity!$C$41+Sensitivity!$D$41,2)</f>
        <v>24720</v>
      </c>
    </row>
    <row r="28" customFormat="false" ht="15" hidden="false" customHeight="false" outlineLevel="0" collapsed="false">
      <c r="B28" s="18" t="s">
        <v>138</v>
      </c>
      <c r="C28" s="18" t="s">
        <v>128</v>
      </c>
      <c r="D28" s="24" t="n">
        <v>9</v>
      </c>
      <c r="E28" s="26" t="n">
        <f aca="false">SUMIF('Your Lines'!$B$6:$B$463,$B28,'Your Lines'!$E$6:$E$463)</f>
        <v>3885</v>
      </c>
      <c r="F28" s="15" t="n">
        <f aca="false">ROUND(SUMIF('Your Lines'!$B$6:$B$463,$B28,'Your Lines'!$J$6:$J$463),2)</f>
        <v>305318</v>
      </c>
      <c r="G28" s="15" t="n">
        <f aca="false">ROUND(SUMIF('Your Lines'!$B$6:$B$463,$B28,'Your Lines'!$G$6:$G$463),2)</f>
        <v>264195.54</v>
      </c>
      <c r="H28" s="25" t="n">
        <f aca="false">$G28/$F28</f>
        <v>0.865312690375281</v>
      </c>
      <c r="I28" s="15" t="n">
        <f aca="false">ROUND(SUMIF('Your Lines'!$B$6:$B$463,$B28,'Your Lines'!$K$6:$K$463),2)</f>
        <v>176212</v>
      </c>
      <c r="J28" s="15" t="n">
        <f aca="false">ROUND(SUMIF('Your Lines'!$B$6:$B$463,$B28,'Your Lines'!$L$6:$L$463),2)</f>
        <v>5730.93</v>
      </c>
      <c r="K28" s="15" t="n">
        <f aca="false">ROUND($G28-$I28-$J28,2)</f>
        <v>82252.61</v>
      </c>
      <c r="L28" s="15" t="n">
        <f aca="false">ROUND($D28*'Your Inputs'!$C$40+'Your Inputs'!$C$41,2)</f>
        <v>7805</v>
      </c>
      <c r="M28" s="15" t="n">
        <f aca="false">ROUND($K28-$L28,2)</f>
        <v>74447.61</v>
      </c>
      <c r="N28" s="26" t="n">
        <f aca="false">RANK($M28,'Your Accounts'!$M$6:$M$185)</f>
        <v>51</v>
      </c>
      <c r="O28" s="15" t="n">
        <f aca="false">SUMIF('Your Accounts'!$N$6:$N$185,"&lt;="&amp;$N28,'Your Accounts'!$M$6:$M$185)</f>
        <v>9952069.84</v>
      </c>
      <c r="P28" s="15"/>
      <c r="Q28" s="26" t="n">
        <f aca="false">COUNTIFS('Your Lines'!$B$6:$B$463,$B28,'Your Lines'!$R$6:$R$463,"below the floor")</f>
        <v>0</v>
      </c>
      <c r="R28" s="15" t="n">
        <f aca="false">IF(Q28&gt;0,$K28,0)</f>
        <v>0</v>
      </c>
      <c r="AN28" s="15" t="n">
        <f aca="false">IF(VLOOKUP($C28,'Your Floors'!$B$53:$F$56,5,FALSE())="yes",0,$R28)</f>
        <v>0</v>
      </c>
      <c r="AP28" s="15" t="n">
        <f aca="false">ROUND($K28-$AS28,2)</f>
        <v>78350.11</v>
      </c>
      <c r="AQ28" s="26" t="n">
        <f aca="false">RANK($AP28,'Your Accounts'!$AP$6:$AP$185)</f>
        <v>51</v>
      </c>
      <c r="AR28" s="15" t="n">
        <f aca="false">SUMIF('Your Accounts'!$AQ$6:$AQ$185,"&lt;="&amp;$AQ28,'Your Accounts'!$AP$6:$AP$185)</f>
        <v>10213592.34</v>
      </c>
      <c r="AS28" s="15" t="n">
        <f aca="false">ROUND($D28*Sensitivity!$C$35+Sensitivity!$D$35,2)</f>
        <v>3902.5</v>
      </c>
      <c r="AT28" s="15" t="n">
        <f aca="false">ROUND($K28-$AW28,2)</f>
        <v>74447.61</v>
      </c>
      <c r="AU28" s="26" t="n">
        <f aca="false">RANK($AT28,'Your Accounts'!$AT$6:$AT$185)</f>
        <v>51</v>
      </c>
      <c r="AV28" s="15" t="n">
        <f aca="false">SUMIF('Your Accounts'!$AU$6:$AU$185,"&lt;="&amp;$AU28,'Your Accounts'!$AT$6:$AT$185)</f>
        <v>9952069.84</v>
      </c>
      <c r="AW28" s="15" t="n">
        <f aca="false">ROUND($D28*Sensitivity!$C$36+Sensitivity!$D$36,2)</f>
        <v>7805</v>
      </c>
      <c r="AX28" s="15" t="n">
        <f aca="false">ROUND($K28-$BA28,2)</f>
        <v>72496.36</v>
      </c>
      <c r="AY28" s="26" t="n">
        <f aca="false">RANK($AX28,'Your Accounts'!$AX$6:$AX$185)</f>
        <v>51</v>
      </c>
      <c r="AZ28" s="15" t="n">
        <f aca="false">SUMIF('Your Accounts'!$AY$6:$AY$185,"&lt;="&amp;$AY28,'Your Accounts'!$AX$6:$AX$185)</f>
        <v>9821308.59</v>
      </c>
      <c r="BA28" s="15" t="n">
        <f aca="false">ROUND($D28*Sensitivity!$C$37+Sensitivity!$D$37,2)</f>
        <v>9756.25</v>
      </c>
      <c r="BB28" s="15" t="n">
        <f aca="false">ROUND($K28-$BE28,2)</f>
        <v>70545.11</v>
      </c>
      <c r="BC28" s="26" t="n">
        <f aca="false">RANK($BB28,'Your Accounts'!$BB$6:$BB$185)</f>
        <v>49</v>
      </c>
      <c r="BD28" s="15" t="n">
        <f aca="false">SUMIF('Your Accounts'!$BC$6:$BC$185,"&lt;="&amp;$BC28,'Your Accounts'!$BB$6:$BB$185)</f>
        <v>9551696.44</v>
      </c>
      <c r="BE28" s="15" t="n">
        <f aca="false">ROUND($D28*Sensitivity!$C$38+Sensitivity!$D$38,2)</f>
        <v>11707.5</v>
      </c>
      <c r="BF28" s="15" t="n">
        <f aca="false">ROUND($K28-$BI28,2)</f>
        <v>66642.61</v>
      </c>
      <c r="BG28" s="26" t="n">
        <f aca="false">RANK($BF28,'Your Accounts'!$BF$6:$BF$185)</f>
        <v>48</v>
      </c>
      <c r="BH28" s="15" t="n">
        <f aca="false">SUMIF('Your Accounts'!$BG$6:$BG$185,"&lt;="&amp;$BG28,'Your Accounts'!$BF$6:$BF$185)</f>
        <v>9240864.31</v>
      </c>
      <c r="BI28" s="15" t="n">
        <f aca="false">ROUND($D28*Sensitivity!$C$39+Sensitivity!$D$39,2)</f>
        <v>15610</v>
      </c>
      <c r="BJ28" s="15" t="n">
        <f aca="false">ROUND($K28-$BM28,2)</f>
        <v>62740.11</v>
      </c>
      <c r="BK28" s="26" t="n">
        <f aca="false">RANK($BJ28,'Your Accounts'!$BJ$6:$BJ$185)</f>
        <v>48</v>
      </c>
      <c r="BL28" s="15" t="n">
        <f aca="false">SUMIF('Your Accounts'!$BK$6:$BK$185,"&lt;="&amp;$BK28,'Your Accounts'!$BJ$6:$BJ$185)</f>
        <v>9002141.81</v>
      </c>
      <c r="BM28" s="15" t="n">
        <f aca="false">ROUND($D28*Sensitivity!$C$40+Sensitivity!$D$40,2)</f>
        <v>19512.5</v>
      </c>
      <c r="BN28" s="15" t="n">
        <f aca="false">ROUND($K28-$BQ28,2)</f>
        <v>58837.61</v>
      </c>
      <c r="BO28" s="26" t="n">
        <f aca="false">RANK($BN28,'Your Accounts'!$BN$6:$BN$185)</f>
        <v>48</v>
      </c>
      <c r="BP28" s="15" t="n">
        <f aca="false">SUMIF('Your Accounts'!$BO$6:$BO$185,"&lt;="&amp;$BO28,'Your Accounts'!$BN$6:$BN$185)</f>
        <v>8763419.31</v>
      </c>
      <c r="BQ28" s="15" t="n">
        <f aca="false">ROUND($D28*Sensitivity!$C$41+Sensitivity!$D$41,2)</f>
        <v>23415</v>
      </c>
    </row>
    <row r="29" customFormat="false" ht="15" hidden="false" customHeight="false" outlineLevel="0" collapsed="false">
      <c r="B29" s="18" t="s">
        <v>139</v>
      </c>
      <c r="C29" s="18" t="s">
        <v>128</v>
      </c>
      <c r="D29" s="24" t="n">
        <v>19</v>
      </c>
      <c r="E29" s="26" t="n">
        <f aca="false">SUMIF('Your Lines'!$B$6:$B$463,$B29,'Your Lines'!$E$6:$E$463)</f>
        <v>10172</v>
      </c>
      <c r="F29" s="15" t="n">
        <f aca="false">ROUND(SUMIF('Your Lines'!$B$6:$B$463,$B29,'Your Lines'!$J$6:$J$463),2)</f>
        <v>804446</v>
      </c>
      <c r="G29" s="15" t="n">
        <f aca="false">ROUND(SUMIF('Your Lines'!$B$6:$B$463,$B29,'Your Lines'!$G$6:$G$463),2)</f>
        <v>577127.64</v>
      </c>
      <c r="H29" s="25" t="n">
        <f aca="false">$G29/$F29</f>
        <v>0.717422474597425</v>
      </c>
      <c r="I29" s="15" t="n">
        <f aca="false">ROUND(SUMIF('Your Lines'!$B$6:$B$463,$B29,'Your Lines'!$K$6:$K$463),2)</f>
        <v>462522</v>
      </c>
      <c r="J29" s="15" t="n">
        <f aca="false">ROUND(SUMIF('Your Lines'!$B$6:$B$463,$B29,'Your Lines'!$L$6:$L$463),2)</f>
        <v>13236.87</v>
      </c>
      <c r="K29" s="15" t="n">
        <f aca="false">ROUND($G29-$I29-$J29,2)</f>
        <v>101368.77</v>
      </c>
      <c r="L29" s="15" t="n">
        <f aca="false">ROUND($D29*'Your Inputs'!$C$40+'Your Inputs'!$C$41,2)</f>
        <v>9255</v>
      </c>
      <c r="M29" s="15" t="n">
        <f aca="false">ROUND($K29-$L29,2)</f>
        <v>92113.77</v>
      </c>
      <c r="N29" s="26" t="n">
        <f aca="false">RANK($M29,'Your Accounts'!$M$6:$M$185)</f>
        <v>38</v>
      </c>
      <c r="O29" s="15" t="n">
        <f aca="false">SUMIF('Your Accounts'!$N$6:$N$185,"&lt;="&amp;$N29,'Your Accounts'!$M$6:$M$185)</f>
        <v>8886528.62</v>
      </c>
      <c r="P29" s="15"/>
      <c r="Q29" s="26" t="n">
        <f aca="false">COUNTIFS('Your Lines'!$B$6:$B$463,$B29,'Your Lines'!$R$6:$R$463,"below the floor")</f>
        <v>3</v>
      </c>
      <c r="R29" s="15" t="n">
        <f aca="false">IF(Q29&gt;0,$K29,0)</f>
        <v>101368.77</v>
      </c>
      <c r="AN29" s="15" t="n">
        <f aca="false">IF(VLOOKUP($C29,'Your Floors'!$B$53:$F$56,5,FALSE())="yes",0,$R29)</f>
        <v>101368.77</v>
      </c>
      <c r="AP29" s="15" t="n">
        <f aca="false">ROUND($K29-$AS29,2)</f>
        <v>96741.27</v>
      </c>
      <c r="AQ29" s="26" t="n">
        <f aca="false">RANK($AP29,'Your Accounts'!$AP$6:$AP$185)</f>
        <v>38</v>
      </c>
      <c r="AR29" s="15" t="n">
        <f aca="false">SUMIF('Your Accounts'!$AQ$6:$AQ$185,"&lt;="&amp;$AQ29,'Your Accounts'!$AP$6:$AP$185)</f>
        <v>9079846.12</v>
      </c>
      <c r="AS29" s="15" t="n">
        <f aca="false">ROUND($D29*Sensitivity!$C$35+Sensitivity!$D$35,2)</f>
        <v>4627.5</v>
      </c>
      <c r="AT29" s="15" t="n">
        <f aca="false">ROUND($K29-$AW29,2)</f>
        <v>92113.77</v>
      </c>
      <c r="AU29" s="26" t="n">
        <f aca="false">RANK($AT29,'Your Accounts'!$AT$6:$AT$185)</f>
        <v>38</v>
      </c>
      <c r="AV29" s="15" t="n">
        <f aca="false">SUMIF('Your Accounts'!$AU$6:$AU$185,"&lt;="&amp;$AU29,'Your Accounts'!$AT$6:$AT$185)</f>
        <v>8886528.62</v>
      </c>
      <c r="AW29" s="15" t="n">
        <f aca="false">ROUND($D29*Sensitivity!$C$36+Sensitivity!$D$36,2)</f>
        <v>9255</v>
      </c>
      <c r="AX29" s="15" t="n">
        <f aca="false">ROUND($K29-$BA29,2)</f>
        <v>89800.02</v>
      </c>
      <c r="AY29" s="26" t="n">
        <f aca="false">RANK($AX29,'Your Accounts'!$AX$6:$AX$185)</f>
        <v>38</v>
      </c>
      <c r="AZ29" s="15" t="n">
        <f aca="false">SUMIF('Your Accounts'!$AY$6:$AY$185,"&lt;="&amp;$AY29,'Your Accounts'!$AX$6:$AX$185)</f>
        <v>8789869.87</v>
      </c>
      <c r="BA29" s="15" t="n">
        <f aca="false">ROUND($D29*Sensitivity!$C$37+Sensitivity!$D$37,2)</f>
        <v>11568.75</v>
      </c>
      <c r="BB29" s="15" t="n">
        <f aca="false">ROUND($K29-$BE29,2)</f>
        <v>87486.27</v>
      </c>
      <c r="BC29" s="26" t="n">
        <f aca="false">RANK($BB29,'Your Accounts'!$BB$6:$BB$185)</f>
        <v>38</v>
      </c>
      <c r="BD29" s="15" t="n">
        <f aca="false">SUMIF('Your Accounts'!$BC$6:$BC$185,"&lt;="&amp;$BC29,'Your Accounts'!$BB$6:$BB$185)</f>
        <v>8693211.12</v>
      </c>
      <c r="BE29" s="15" t="n">
        <f aca="false">ROUND($D29*Sensitivity!$C$38+Sensitivity!$D$38,2)</f>
        <v>13882.5</v>
      </c>
      <c r="BF29" s="15" t="n">
        <f aca="false">ROUND($K29-$BI29,2)</f>
        <v>82858.77</v>
      </c>
      <c r="BG29" s="26" t="n">
        <f aca="false">RANK($BF29,'Your Accounts'!$BF$6:$BF$185)</f>
        <v>38</v>
      </c>
      <c r="BH29" s="15" t="n">
        <f aca="false">SUMIF('Your Accounts'!$BG$6:$BG$185,"&lt;="&amp;$BG29,'Your Accounts'!$BF$6:$BF$185)</f>
        <v>8499893.62</v>
      </c>
      <c r="BI29" s="15" t="n">
        <f aca="false">ROUND($D29*Sensitivity!$C$39+Sensitivity!$D$39,2)</f>
        <v>18510</v>
      </c>
      <c r="BJ29" s="15" t="n">
        <f aca="false">ROUND($K29-$BM29,2)</f>
        <v>78231.27</v>
      </c>
      <c r="BK29" s="26" t="n">
        <f aca="false">RANK($BJ29,'Your Accounts'!$BJ$6:$BJ$185)</f>
        <v>38</v>
      </c>
      <c r="BL29" s="15" t="n">
        <f aca="false">SUMIF('Your Accounts'!$BK$6:$BK$185,"&lt;="&amp;$BK29,'Your Accounts'!$BJ$6:$BJ$185)</f>
        <v>8306576.12</v>
      </c>
      <c r="BM29" s="15" t="n">
        <f aca="false">ROUND($D29*Sensitivity!$C$40+Sensitivity!$D$40,2)</f>
        <v>23137.5</v>
      </c>
      <c r="BN29" s="15" t="n">
        <f aca="false">ROUND($K29-$BQ29,2)</f>
        <v>73603.77</v>
      </c>
      <c r="BO29" s="26" t="n">
        <f aca="false">RANK($BN29,'Your Accounts'!$BN$6:$BN$185)</f>
        <v>38</v>
      </c>
      <c r="BP29" s="15" t="n">
        <f aca="false">SUMIF('Your Accounts'!$BO$6:$BO$185,"&lt;="&amp;$BO29,'Your Accounts'!$BN$6:$BN$185)</f>
        <v>8113258.62</v>
      </c>
      <c r="BQ29" s="15" t="n">
        <f aca="false">ROUND($D29*Sensitivity!$C$41+Sensitivity!$D$41,2)</f>
        <v>27765</v>
      </c>
    </row>
    <row r="30" customFormat="false" ht="15" hidden="false" customHeight="false" outlineLevel="0" collapsed="false">
      <c r="B30" s="18" t="s">
        <v>140</v>
      </c>
      <c r="C30" s="18" t="s">
        <v>128</v>
      </c>
      <c r="D30" s="24" t="n">
        <v>29</v>
      </c>
      <c r="E30" s="26" t="n">
        <f aca="false">SUMIF('Your Lines'!$B$6:$B$463,$B30,'Your Lines'!$E$6:$E$463)</f>
        <v>14370</v>
      </c>
      <c r="F30" s="15" t="n">
        <f aca="false">ROUND(SUMIF('Your Lines'!$B$6:$B$463,$B30,'Your Lines'!$J$6:$J$463),2)</f>
        <v>1015518</v>
      </c>
      <c r="G30" s="15" t="n">
        <f aca="false">ROUND(SUMIF('Your Lines'!$B$6:$B$463,$B30,'Your Lines'!$G$6:$G$463),2)</f>
        <v>756597.65</v>
      </c>
      <c r="H30" s="25" t="n">
        <f aca="false">$G30/$F30</f>
        <v>0.745036178580783</v>
      </c>
      <c r="I30" s="15" t="n">
        <f aca="false">ROUND(SUMIF('Your Lines'!$B$6:$B$463,$B30,'Your Lines'!$K$6:$K$463),2)</f>
        <v>593958</v>
      </c>
      <c r="J30" s="15" t="n">
        <f aca="false">ROUND(SUMIF('Your Lines'!$B$6:$B$463,$B30,'Your Lines'!$L$6:$L$463),2)</f>
        <v>17059.7</v>
      </c>
      <c r="K30" s="15" t="n">
        <f aca="false">ROUND($G30-$I30-$J30,2)</f>
        <v>145579.95</v>
      </c>
      <c r="L30" s="15" t="n">
        <f aca="false">ROUND($D30*'Your Inputs'!$C$40+'Your Inputs'!$C$41,2)</f>
        <v>10705</v>
      </c>
      <c r="M30" s="15" t="n">
        <f aca="false">ROUND($K30-$L30,2)</f>
        <v>134874.95</v>
      </c>
      <c r="N30" s="26" t="n">
        <f aca="false">RANK($M30,'Your Accounts'!$M$6:$M$185)</f>
        <v>26</v>
      </c>
      <c r="O30" s="15" t="n">
        <f aca="false">SUMIF('Your Accounts'!$N$6:$N$185,"&lt;="&amp;$N30,'Your Accounts'!$M$6:$M$185)</f>
        <v>7540024.55</v>
      </c>
      <c r="P30" s="15"/>
      <c r="Q30" s="26" t="n">
        <f aca="false">COUNTIFS('Your Lines'!$B$6:$B$463,$B30,'Your Lines'!$R$6:$R$463,"below the floor")</f>
        <v>0</v>
      </c>
      <c r="R30" s="15" t="n">
        <f aca="false">IF(Q30&gt;0,$K30,0)</f>
        <v>0</v>
      </c>
      <c r="AN30" s="15" t="n">
        <f aca="false">IF(VLOOKUP($C30,'Your Floors'!$B$53:$F$56,5,FALSE())="yes",0,$R30)</f>
        <v>0</v>
      </c>
      <c r="AP30" s="15" t="n">
        <f aca="false">ROUND($K30-$AS30,2)</f>
        <v>140227.45</v>
      </c>
      <c r="AQ30" s="26" t="n">
        <f aca="false">RANK($AP30,'Your Accounts'!$AP$6:$AP$185)</f>
        <v>26</v>
      </c>
      <c r="AR30" s="15" t="n">
        <f aca="false">SUMIF('Your Accounts'!$AQ$6:$AQ$185,"&lt;="&amp;$AQ30,'Your Accounts'!$AP$6:$AP$185)</f>
        <v>7677087.05</v>
      </c>
      <c r="AS30" s="15" t="n">
        <f aca="false">ROUND($D30*Sensitivity!$C$35+Sensitivity!$D$35,2)</f>
        <v>5352.5</v>
      </c>
      <c r="AT30" s="15" t="n">
        <f aca="false">ROUND($K30-$AW30,2)</f>
        <v>134874.95</v>
      </c>
      <c r="AU30" s="26" t="n">
        <f aca="false">RANK($AT30,'Your Accounts'!$AT$6:$AT$185)</f>
        <v>26</v>
      </c>
      <c r="AV30" s="15" t="n">
        <f aca="false">SUMIF('Your Accounts'!$AU$6:$AU$185,"&lt;="&amp;$AU30,'Your Accounts'!$AT$6:$AT$185)</f>
        <v>7540024.55</v>
      </c>
      <c r="AW30" s="15" t="n">
        <f aca="false">ROUND($D30*Sensitivity!$C$36+Sensitivity!$D$36,2)</f>
        <v>10705</v>
      </c>
      <c r="AX30" s="15" t="n">
        <f aca="false">ROUND($K30-$BA30,2)</f>
        <v>132198.7</v>
      </c>
      <c r="AY30" s="26" t="n">
        <f aca="false">RANK($AX30,'Your Accounts'!$AX$6:$AX$185)</f>
        <v>26</v>
      </c>
      <c r="AZ30" s="15" t="n">
        <f aca="false">SUMIF('Your Accounts'!$AY$6:$AY$185,"&lt;="&amp;$AY30,'Your Accounts'!$AX$6:$AX$185)</f>
        <v>7471493.3</v>
      </c>
      <c r="BA30" s="15" t="n">
        <f aca="false">ROUND($D30*Sensitivity!$C$37+Sensitivity!$D$37,2)</f>
        <v>13381.25</v>
      </c>
      <c r="BB30" s="15" t="n">
        <f aca="false">ROUND($K30-$BE30,2)</f>
        <v>129522.45</v>
      </c>
      <c r="BC30" s="26" t="n">
        <f aca="false">RANK($BB30,'Your Accounts'!$BB$6:$BB$185)</f>
        <v>26</v>
      </c>
      <c r="BD30" s="15" t="n">
        <f aca="false">SUMIF('Your Accounts'!$BC$6:$BC$185,"&lt;="&amp;$BC30,'Your Accounts'!$BB$6:$BB$185)</f>
        <v>7402962.05</v>
      </c>
      <c r="BE30" s="15" t="n">
        <f aca="false">ROUND($D30*Sensitivity!$C$38+Sensitivity!$D$38,2)</f>
        <v>16057.5</v>
      </c>
      <c r="BF30" s="15" t="n">
        <f aca="false">ROUND($K30-$BI30,2)</f>
        <v>124169.95</v>
      </c>
      <c r="BG30" s="26" t="n">
        <f aca="false">RANK($BF30,'Your Accounts'!$BF$6:$BF$185)</f>
        <v>26</v>
      </c>
      <c r="BH30" s="15" t="n">
        <f aca="false">SUMIF('Your Accounts'!$BG$6:$BG$185,"&lt;="&amp;$BG30,'Your Accounts'!$BF$6:$BF$185)</f>
        <v>7265899.55</v>
      </c>
      <c r="BI30" s="15" t="n">
        <f aca="false">ROUND($D30*Sensitivity!$C$39+Sensitivity!$D$39,2)</f>
        <v>21410</v>
      </c>
      <c r="BJ30" s="15" t="n">
        <f aca="false">ROUND($K30-$BM30,2)</f>
        <v>118817.45</v>
      </c>
      <c r="BK30" s="26" t="n">
        <f aca="false">RANK($BJ30,'Your Accounts'!$BJ$6:$BJ$185)</f>
        <v>26</v>
      </c>
      <c r="BL30" s="15" t="n">
        <f aca="false">SUMIF('Your Accounts'!$BK$6:$BK$185,"&lt;="&amp;$BK30,'Your Accounts'!$BJ$6:$BJ$185)</f>
        <v>7128837.05</v>
      </c>
      <c r="BM30" s="15" t="n">
        <f aca="false">ROUND($D30*Sensitivity!$C$40+Sensitivity!$D$40,2)</f>
        <v>26762.5</v>
      </c>
      <c r="BN30" s="15" t="n">
        <f aca="false">ROUND($K30-$BQ30,2)</f>
        <v>113464.95</v>
      </c>
      <c r="BO30" s="26" t="n">
        <f aca="false">RANK($BN30,'Your Accounts'!$BN$6:$BN$185)</f>
        <v>26</v>
      </c>
      <c r="BP30" s="15" t="n">
        <f aca="false">SUMIF('Your Accounts'!$BO$6:$BO$185,"&lt;="&amp;$BO30,'Your Accounts'!$BN$6:$BN$185)</f>
        <v>6991774.55</v>
      </c>
      <c r="BQ30" s="15" t="n">
        <f aca="false">ROUND($D30*Sensitivity!$C$41+Sensitivity!$D$41,2)</f>
        <v>32115</v>
      </c>
    </row>
    <row r="31" customFormat="false" ht="15" hidden="false" customHeight="false" outlineLevel="0" collapsed="false">
      <c r="B31" s="18" t="s">
        <v>141</v>
      </c>
      <c r="C31" s="18" t="s">
        <v>128</v>
      </c>
      <c r="D31" s="24" t="n">
        <v>24</v>
      </c>
      <c r="E31" s="26" t="n">
        <f aca="false">SUMIF('Your Lines'!$B$6:$B$463,$B31,'Your Lines'!$E$6:$E$463)</f>
        <v>8469</v>
      </c>
      <c r="F31" s="15" t="n">
        <f aca="false">ROUND(SUMIF('Your Lines'!$B$6:$B$463,$B31,'Your Lines'!$J$6:$J$463),2)</f>
        <v>666414</v>
      </c>
      <c r="G31" s="15" t="n">
        <f aca="false">ROUND(SUMIF('Your Lines'!$B$6:$B$463,$B31,'Your Lines'!$G$6:$G$463),2)</f>
        <v>547876.52</v>
      </c>
      <c r="H31" s="25" t="n">
        <f aca="false">$G31/$F31</f>
        <v>0.822126365892673</v>
      </c>
      <c r="I31" s="15" t="n">
        <f aca="false">ROUND(SUMIF('Your Lines'!$B$6:$B$463,$B31,'Your Lines'!$K$6:$K$463),2)</f>
        <v>387548</v>
      </c>
      <c r="J31" s="15" t="n">
        <f aca="false">ROUND(SUMIF('Your Lines'!$B$6:$B$463,$B31,'Your Lines'!$L$6:$L$463),2)</f>
        <v>12148.04</v>
      </c>
      <c r="K31" s="15" t="n">
        <f aca="false">ROUND($G31-$I31-$J31,2)</f>
        <v>148180.48</v>
      </c>
      <c r="L31" s="15" t="n">
        <f aca="false">ROUND($D31*'Your Inputs'!$C$40+'Your Inputs'!$C$41,2)</f>
        <v>9980</v>
      </c>
      <c r="M31" s="15" t="n">
        <f aca="false">ROUND($K31-$L31,2)</f>
        <v>138200.48</v>
      </c>
      <c r="N31" s="26" t="n">
        <f aca="false">RANK($M31,'Your Accounts'!$M$6:$M$185)</f>
        <v>25</v>
      </c>
      <c r="O31" s="15" t="n">
        <f aca="false">SUMIF('Your Accounts'!$N$6:$N$185,"&lt;="&amp;$N31,'Your Accounts'!$M$6:$M$185)</f>
        <v>7405149.6</v>
      </c>
      <c r="P31" s="15"/>
      <c r="Q31" s="26" t="n">
        <f aca="false">COUNTIFS('Your Lines'!$B$6:$B$463,$B31,'Your Lines'!$R$6:$R$463,"below the floor")</f>
        <v>0</v>
      </c>
      <c r="R31" s="15" t="n">
        <f aca="false">IF(Q31&gt;0,$K31,0)</f>
        <v>0</v>
      </c>
      <c r="AN31" s="15" t="n">
        <f aca="false">IF(VLOOKUP($C31,'Your Floors'!$B$53:$F$56,5,FALSE())="yes",0,$R31)</f>
        <v>0</v>
      </c>
      <c r="AP31" s="15" t="n">
        <f aca="false">ROUND($K31-$AS31,2)</f>
        <v>143190.48</v>
      </c>
      <c r="AQ31" s="26" t="n">
        <f aca="false">RANK($AP31,'Your Accounts'!$AP$6:$AP$185)</f>
        <v>25</v>
      </c>
      <c r="AR31" s="15" t="n">
        <f aca="false">SUMIF('Your Accounts'!$AQ$6:$AQ$185,"&lt;="&amp;$AQ31,'Your Accounts'!$AP$6:$AP$185)</f>
        <v>7536859.6</v>
      </c>
      <c r="AS31" s="15" t="n">
        <f aca="false">ROUND($D31*Sensitivity!$C$35+Sensitivity!$D$35,2)</f>
        <v>4990</v>
      </c>
      <c r="AT31" s="15" t="n">
        <f aca="false">ROUND($K31-$AW31,2)</f>
        <v>138200.48</v>
      </c>
      <c r="AU31" s="26" t="n">
        <f aca="false">RANK($AT31,'Your Accounts'!$AT$6:$AT$185)</f>
        <v>25</v>
      </c>
      <c r="AV31" s="15" t="n">
        <f aca="false">SUMIF('Your Accounts'!$AU$6:$AU$185,"&lt;="&amp;$AU31,'Your Accounts'!$AT$6:$AT$185)</f>
        <v>7405149.6</v>
      </c>
      <c r="AW31" s="15" t="n">
        <f aca="false">ROUND($D31*Sensitivity!$C$36+Sensitivity!$D$36,2)</f>
        <v>9980</v>
      </c>
      <c r="AX31" s="15" t="n">
        <f aca="false">ROUND($K31-$BA31,2)</f>
        <v>135705.48</v>
      </c>
      <c r="AY31" s="26" t="n">
        <f aca="false">RANK($AX31,'Your Accounts'!$AX$6:$AX$185)</f>
        <v>24</v>
      </c>
      <c r="AZ31" s="15" t="n">
        <f aca="false">SUMIF('Your Accounts'!$AY$6:$AY$185,"&lt;="&amp;$AY31,'Your Accounts'!$AX$6:$AX$185)</f>
        <v>7203756.22</v>
      </c>
      <c r="BA31" s="15" t="n">
        <f aca="false">ROUND($D31*Sensitivity!$C$37+Sensitivity!$D$37,2)</f>
        <v>12475</v>
      </c>
      <c r="BB31" s="15" t="n">
        <f aca="false">ROUND($K31-$BE31,2)</f>
        <v>133210.48</v>
      </c>
      <c r="BC31" s="26" t="n">
        <f aca="false">RANK($BB31,'Your Accounts'!$BB$6:$BB$185)</f>
        <v>24</v>
      </c>
      <c r="BD31" s="15" t="n">
        <f aca="false">SUMIF('Your Accounts'!$BC$6:$BC$185,"&lt;="&amp;$BC31,'Your Accounts'!$BB$6:$BB$185)</f>
        <v>7140613.72</v>
      </c>
      <c r="BE31" s="15" t="n">
        <f aca="false">ROUND($D31*Sensitivity!$C$38+Sensitivity!$D$38,2)</f>
        <v>14970</v>
      </c>
      <c r="BF31" s="15" t="n">
        <f aca="false">ROUND($K31-$BI31,2)</f>
        <v>128220.48</v>
      </c>
      <c r="BG31" s="26" t="n">
        <f aca="false">RANK($BF31,'Your Accounts'!$BF$6:$BF$185)</f>
        <v>24</v>
      </c>
      <c r="BH31" s="15" t="n">
        <f aca="false">SUMIF('Your Accounts'!$BG$6:$BG$185,"&lt;="&amp;$BG31,'Your Accounts'!$BF$6:$BF$185)</f>
        <v>7014328.72</v>
      </c>
      <c r="BI31" s="15" t="n">
        <f aca="false">ROUND($D31*Sensitivity!$C$39+Sensitivity!$D$39,2)</f>
        <v>19960</v>
      </c>
      <c r="BJ31" s="15" t="n">
        <f aca="false">ROUND($K31-$BM31,2)</f>
        <v>123230.48</v>
      </c>
      <c r="BK31" s="26" t="n">
        <f aca="false">RANK($BJ31,'Your Accounts'!$BJ$6:$BJ$185)</f>
        <v>24</v>
      </c>
      <c r="BL31" s="15" t="n">
        <f aca="false">SUMIF('Your Accounts'!$BK$6:$BK$185,"&lt;="&amp;$BK31,'Your Accounts'!$BJ$6:$BJ$185)</f>
        <v>6888043.72</v>
      </c>
      <c r="BM31" s="15" t="n">
        <f aca="false">ROUND($D31*Sensitivity!$C$40+Sensitivity!$D$40,2)</f>
        <v>24950</v>
      </c>
      <c r="BN31" s="15" t="n">
        <f aca="false">ROUND($K31-$BQ31,2)</f>
        <v>118240.48</v>
      </c>
      <c r="BO31" s="26" t="n">
        <f aca="false">RANK($BN31,'Your Accounts'!$BN$6:$BN$185)</f>
        <v>24</v>
      </c>
      <c r="BP31" s="15" t="n">
        <f aca="false">SUMIF('Your Accounts'!$BO$6:$BO$185,"&lt;="&amp;$BO31,'Your Accounts'!$BN$6:$BN$185)</f>
        <v>6761758.72</v>
      </c>
      <c r="BQ31" s="15" t="n">
        <f aca="false">ROUND($D31*Sensitivity!$C$41+Sensitivity!$D$41,2)</f>
        <v>29940</v>
      </c>
    </row>
    <row r="32" customFormat="false" ht="15" hidden="false" customHeight="false" outlineLevel="0" collapsed="false">
      <c r="B32" s="18" t="s">
        <v>142</v>
      </c>
      <c r="C32" s="18" t="s">
        <v>128</v>
      </c>
      <c r="D32" s="24" t="n">
        <v>20</v>
      </c>
      <c r="E32" s="26" t="n">
        <f aca="false">SUMIF('Your Lines'!$B$6:$B$463,$B32,'Your Lines'!$E$6:$E$463)</f>
        <v>8078</v>
      </c>
      <c r="F32" s="15" t="n">
        <f aca="false">ROUND(SUMIF('Your Lines'!$B$6:$B$463,$B32,'Your Lines'!$J$6:$J$463),2)</f>
        <v>585290</v>
      </c>
      <c r="G32" s="15" t="n">
        <f aca="false">ROUND(SUMIF('Your Lines'!$B$6:$B$463,$B32,'Your Lines'!$G$6:$G$463),2)</f>
        <v>447384.69</v>
      </c>
      <c r="H32" s="25" t="n">
        <f aca="false">$G32/$F32</f>
        <v>0.764381229817697</v>
      </c>
      <c r="I32" s="15" t="n">
        <f aca="false">ROUND(SUMIF('Your Lines'!$B$6:$B$463,$B32,'Your Lines'!$K$6:$K$463),2)</f>
        <v>342930</v>
      </c>
      <c r="J32" s="15" t="n">
        <f aca="false">ROUND(SUMIF('Your Lines'!$B$6:$B$463,$B32,'Your Lines'!$L$6:$L$463),2)</f>
        <v>10087.59</v>
      </c>
      <c r="K32" s="15" t="n">
        <f aca="false">ROUND($G32-$I32-$J32,2)</f>
        <v>94367.1</v>
      </c>
      <c r="L32" s="15" t="n">
        <f aca="false">ROUND($D32*'Your Inputs'!$C$40+'Your Inputs'!$C$41,2)</f>
        <v>9400</v>
      </c>
      <c r="M32" s="15" t="n">
        <f aca="false">ROUND($K32-$L32,2)</f>
        <v>84967.1</v>
      </c>
      <c r="N32" s="26" t="n">
        <f aca="false">RANK($M32,'Your Accounts'!$M$6:$M$185)</f>
        <v>43</v>
      </c>
      <c r="O32" s="15" t="n">
        <f aca="false">SUMIF('Your Accounts'!$N$6:$N$185,"&lt;="&amp;$N32,'Your Accounts'!$M$6:$M$185)</f>
        <v>9326637.97</v>
      </c>
      <c r="P32" s="15"/>
      <c r="Q32" s="26" t="n">
        <f aca="false">COUNTIFS('Your Lines'!$B$6:$B$463,$B32,'Your Lines'!$R$6:$R$463,"below the floor")</f>
        <v>0</v>
      </c>
      <c r="R32" s="15" t="n">
        <f aca="false">IF(Q32&gt;0,$K32,0)</f>
        <v>0</v>
      </c>
      <c r="AN32" s="15" t="n">
        <f aca="false">IF(VLOOKUP($C32,'Your Floors'!$B$53:$F$56,5,FALSE())="yes",0,$R32)</f>
        <v>0</v>
      </c>
      <c r="AP32" s="15" t="n">
        <f aca="false">ROUND($K32-$AS32,2)</f>
        <v>89667.1</v>
      </c>
      <c r="AQ32" s="26" t="n">
        <f aca="false">RANK($AP32,'Your Accounts'!$AP$6:$AP$185)</f>
        <v>43</v>
      </c>
      <c r="AR32" s="15" t="n">
        <f aca="false">SUMIF('Your Accounts'!$AQ$6:$AQ$185,"&lt;="&amp;$AQ32,'Your Accounts'!$AP$6:$AP$185)</f>
        <v>9544180.47</v>
      </c>
      <c r="AS32" s="15" t="n">
        <f aca="false">ROUND($D32*Sensitivity!$C$35+Sensitivity!$D$35,2)</f>
        <v>4700</v>
      </c>
      <c r="AT32" s="15" t="n">
        <f aca="false">ROUND($K32-$AW32,2)</f>
        <v>84967.1</v>
      </c>
      <c r="AU32" s="26" t="n">
        <f aca="false">RANK($AT32,'Your Accounts'!$AT$6:$AT$185)</f>
        <v>43</v>
      </c>
      <c r="AV32" s="15" t="n">
        <f aca="false">SUMIF('Your Accounts'!$AU$6:$AU$185,"&lt;="&amp;$AU32,'Your Accounts'!$AT$6:$AT$185)</f>
        <v>9326637.97</v>
      </c>
      <c r="AW32" s="15" t="n">
        <f aca="false">ROUND($D32*Sensitivity!$C$36+Sensitivity!$D$36,2)</f>
        <v>9400</v>
      </c>
      <c r="AX32" s="15" t="n">
        <f aca="false">ROUND($K32-$BA32,2)</f>
        <v>82617.1</v>
      </c>
      <c r="AY32" s="26" t="n">
        <f aca="false">RANK($AX32,'Your Accounts'!$AX$6:$AX$185)</f>
        <v>43</v>
      </c>
      <c r="AZ32" s="15" t="n">
        <f aca="false">SUMIF('Your Accounts'!$AY$6:$AY$185,"&lt;="&amp;$AY32,'Your Accounts'!$AX$6:$AX$185)</f>
        <v>9217866.72</v>
      </c>
      <c r="BA32" s="15" t="n">
        <f aca="false">ROUND($D32*Sensitivity!$C$37+Sensitivity!$D$37,2)</f>
        <v>11750</v>
      </c>
      <c r="BB32" s="15" t="n">
        <f aca="false">ROUND($K32-$BE32,2)</f>
        <v>80267.1</v>
      </c>
      <c r="BC32" s="26" t="n">
        <f aca="false">RANK($BB32,'Your Accounts'!$BB$6:$BB$185)</f>
        <v>43</v>
      </c>
      <c r="BD32" s="15" t="n">
        <f aca="false">SUMIF('Your Accounts'!$BC$6:$BC$185,"&lt;="&amp;$BC32,'Your Accounts'!$BB$6:$BB$185)</f>
        <v>9109095.47</v>
      </c>
      <c r="BE32" s="15" t="n">
        <f aca="false">ROUND($D32*Sensitivity!$C$38+Sensitivity!$D$38,2)</f>
        <v>14100</v>
      </c>
      <c r="BF32" s="15" t="n">
        <f aca="false">ROUND($K32-$BI32,2)</f>
        <v>75567.1</v>
      </c>
      <c r="BG32" s="26" t="n">
        <f aca="false">RANK($BF32,'Your Accounts'!$BF$6:$BF$185)</f>
        <v>43</v>
      </c>
      <c r="BH32" s="15" t="n">
        <f aca="false">SUMIF('Your Accounts'!$BG$6:$BG$185,"&lt;="&amp;$BG32,'Your Accounts'!$BF$6:$BF$185)</f>
        <v>8891552.97</v>
      </c>
      <c r="BI32" s="15" t="n">
        <f aca="false">ROUND($D32*Sensitivity!$C$39+Sensitivity!$D$39,2)</f>
        <v>18800</v>
      </c>
      <c r="BJ32" s="15" t="n">
        <f aca="false">ROUND($K32-$BM32,2)</f>
        <v>70867.1</v>
      </c>
      <c r="BK32" s="26" t="n">
        <f aca="false">RANK($BJ32,'Your Accounts'!$BJ$6:$BJ$185)</f>
        <v>43</v>
      </c>
      <c r="BL32" s="15" t="n">
        <f aca="false">SUMIF('Your Accounts'!$BK$6:$BK$185,"&lt;="&amp;$BK32,'Your Accounts'!$BJ$6:$BJ$185)</f>
        <v>8674010.47</v>
      </c>
      <c r="BM32" s="15" t="n">
        <f aca="false">ROUND($D32*Sensitivity!$C$40+Sensitivity!$D$40,2)</f>
        <v>23500</v>
      </c>
      <c r="BN32" s="15" t="n">
        <f aca="false">ROUND($K32-$BQ32,2)</f>
        <v>66167.1</v>
      </c>
      <c r="BO32" s="26" t="n">
        <f aca="false">RANK($BN32,'Your Accounts'!$BN$6:$BN$185)</f>
        <v>42</v>
      </c>
      <c r="BP32" s="15" t="n">
        <f aca="false">SUMIF('Your Accounts'!$BO$6:$BO$185,"&lt;="&amp;$BO32,'Your Accounts'!$BN$6:$BN$185)</f>
        <v>8390542.93</v>
      </c>
      <c r="BQ32" s="15" t="n">
        <f aca="false">ROUND($D32*Sensitivity!$C$41+Sensitivity!$D$41,2)</f>
        <v>28200</v>
      </c>
    </row>
    <row r="33" customFormat="false" ht="15" hidden="false" customHeight="false" outlineLevel="0" collapsed="false">
      <c r="B33" s="18" t="s">
        <v>143</v>
      </c>
      <c r="C33" s="18" t="s">
        <v>128</v>
      </c>
      <c r="D33" s="24" t="n">
        <v>12</v>
      </c>
      <c r="E33" s="26" t="n">
        <f aca="false">SUMIF('Your Lines'!$B$6:$B$463,$B33,'Your Lines'!$E$6:$E$463)</f>
        <v>2825</v>
      </c>
      <c r="F33" s="15" t="n">
        <f aca="false">ROUND(SUMIF('Your Lines'!$B$6:$B$463,$B33,'Your Lines'!$J$6:$J$463),2)</f>
        <v>206068</v>
      </c>
      <c r="G33" s="15" t="n">
        <f aca="false">ROUND(SUMIF('Your Lines'!$B$6:$B$463,$B33,'Your Lines'!$G$6:$G$463),2)</f>
        <v>162307.06</v>
      </c>
      <c r="H33" s="25" t="n">
        <f aca="false">$G33/$F33</f>
        <v>0.787638352388532</v>
      </c>
      <c r="I33" s="15" t="n">
        <f aca="false">ROUND(SUMIF('Your Lines'!$B$6:$B$463,$B33,'Your Lines'!$K$6:$K$463),2)</f>
        <v>120614</v>
      </c>
      <c r="J33" s="15" t="n">
        <f aca="false">ROUND(SUMIF('Your Lines'!$B$6:$B$463,$B33,'Your Lines'!$L$6:$L$463),2)</f>
        <v>3482.99</v>
      </c>
      <c r="K33" s="15" t="n">
        <f aca="false">ROUND($G33-$I33-$J33,2)</f>
        <v>38210.07</v>
      </c>
      <c r="L33" s="15" t="n">
        <f aca="false">ROUND($D33*'Your Inputs'!$C$40+'Your Inputs'!$C$41,2)</f>
        <v>8240</v>
      </c>
      <c r="M33" s="15" t="n">
        <f aca="false">ROUND($K33-$L33,2)</f>
        <v>29970.07</v>
      </c>
      <c r="N33" s="26" t="n">
        <f aca="false">RANK($M33,'Your Accounts'!$M$6:$M$185)</f>
        <v>104</v>
      </c>
      <c r="O33" s="15" t="n">
        <f aca="false">SUMIF('Your Accounts'!$N$6:$N$185,"&lt;="&amp;$N33,'Your Accounts'!$M$6:$M$185)</f>
        <v>12489767.45</v>
      </c>
      <c r="P33" s="15"/>
      <c r="Q33" s="26" t="n">
        <f aca="false">COUNTIFS('Your Lines'!$B$6:$B$463,$B33,'Your Lines'!$R$6:$R$463,"below the floor")</f>
        <v>0</v>
      </c>
      <c r="R33" s="15" t="n">
        <f aca="false">IF(Q33&gt;0,$K33,0)</f>
        <v>0</v>
      </c>
      <c r="AN33" s="15" t="n">
        <f aca="false">IF(VLOOKUP($C33,'Your Floors'!$B$53:$F$56,5,FALSE())="yes",0,$R33)</f>
        <v>0</v>
      </c>
      <c r="AP33" s="15" t="n">
        <f aca="false">ROUND($K33-$AS33,2)</f>
        <v>34090.07</v>
      </c>
      <c r="AQ33" s="26" t="n">
        <f aca="false">RANK($AP33,'Your Accounts'!$AP$6:$AP$185)</f>
        <v>106</v>
      </c>
      <c r="AR33" s="15" t="n">
        <f aca="false">SUMIF('Your Accounts'!$AQ$6:$AQ$185,"&lt;="&amp;$AQ33,'Your Accounts'!$AP$6:$AP$185)</f>
        <v>13069900.24</v>
      </c>
      <c r="AS33" s="15" t="n">
        <f aca="false">ROUND($D33*Sensitivity!$C$35+Sensitivity!$D$35,2)</f>
        <v>4120</v>
      </c>
      <c r="AT33" s="15" t="n">
        <f aca="false">ROUND($K33-$AW33,2)</f>
        <v>29970.07</v>
      </c>
      <c r="AU33" s="26" t="n">
        <f aca="false">RANK($AT33,'Your Accounts'!$AT$6:$AT$185)</f>
        <v>104</v>
      </c>
      <c r="AV33" s="15" t="n">
        <f aca="false">SUMIF('Your Accounts'!$AU$6:$AU$185,"&lt;="&amp;$AU33,'Your Accounts'!$AT$6:$AT$185)</f>
        <v>12489767.45</v>
      </c>
      <c r="AW33" s="15" t="n">
        <f aca="false">ROUND($D33*Sensitivity!$C$36+Sensitivity!$D$36,2)</f>
        <v>8240</v>
      </c>
      <c r="AX33" s="15" t="n">
        <f aca="false">ROUND($K33-$BA33,2)</f>
        <v>27910.07</v>
      </c>
      <c r="AY33" s="26" t="n">
        <f aca="false">RANK($AX33,'Your Accounts'!$AX$6:$AX$185)</f>
        <v>100</v>
      </c>
      <c r="AZ33" s="15" t="n">
        <f aca="false">SUMIF('Your Accounts'!$AY$6:$AY$185,"&lt;="&amp;$AY33,'Your Accounts'!$AX$6:$AX$185)</f>
        <v>12123364.85</v>
      </c>
      <c r="BA33" s="15" t="n">
        <f aca="false">ROUND($D33*Sensitivity!$C$37+Sensitivity!$D$37,2)</f>
        <v>10300</v>
      </c>
      <c r="BB33" s="15" t="n">
        <f aca="false">ROUND($K33-$BE33,2)</f>
        <v>25850.07</v>
      </c>
      <c r="BC33" s="26" t="n">
        <f aca="false">RANK($BB33,'Your Accounts'!$BB$6:$BB$185)</f>
        <v>100</v>
      </c>
      <c r="BD33" s="15" t="n">
        <f aca="false">SUMIF('Your Accounts'!$BC$6:$BC$185,"&lt;="&amp;$BC33,'Your Accounts'!$BB$6:$BB$185)</f>
        <v>11879048.6</v>
      </c>
      <c r="BE33" s="15" t="n">
        <f aca="false">ROUND($D33*Sensitivity!$C$38+Sensitivity!$D$38,2)</f>
        <v>12360</v>
      </c>
      <c r="BF33" s="15" t="n">
        <f aca="false">ROUND($K33-$BI33,2)</f>
        <v>21730.07</v>
      </c>
      <c r="BG33" s="26" t="n">
        <f aca="false">RANK($BF33,'Your Accounts'!$BF$6:$BF$185)</f>
        <v>100</v>
      </c>
      <c r="BH33" s="15" t="n">
        <f aca="false">SUMIF('Your Accounts'!$BG$6:$BG$185,"&lt;="&amp;$BG33,'Your Accounts'!$BF$6:$BF$185)</f>
        <v>11390416.1</v>
      </c>
      <c r="BI33" s="15" t="n">
        <f aca="false">ROUND($D33*Sensitivity!$C$39+Sensitivity!$D$39,2)</f>
        <v>16480</v>
      </c>
      <c r="BJ33" s="15" t="n">
        <f aca="false">ROUND($K33-$BM33,2)</f>
        <v>17610.07</v>
      </c>
      <c r="BK33" s="26" t="n">
        <f aca="false">RANK($BJ33,'Your Accounts'!$BJ$6:$BJ$185)</f>
        <v>100</v>
      </c>
      <c r="BL33" s="15" t="n">
        <f aca="false">SUMIF('Your Accounts'!$BK$6:$BK$185,"&lt;="&amp;$BK33,'Your Accounts'!$BJ$6:$BJ$185)</f>
        <v>10902162.73</v>
      </c>
      <c r="BM33" s="15" t="n">
        <f aca="false">ROUND($D33*Sensitivity!$C$40+Sensitivity!$D$40,2)</f>
        <v>20600</v>
      </c>
      <c r="BN33" s="15" t="n">
        <f aca="false">ROUND($K33-$BQ33,2)</f>
        <v>13490.07</v>
      </c>
      <c r="BO33" s="26" t="n">
        <f aca="false">RANK($BN33,'Your Accounts'!$BN$6:$BN$185)</f>
        <v>100</v>
      </c>
      <c r="BP33" s="15" t="n">
        <f aca="false">SUMIF('Your Accounts'!$BO$6:$BO$185,"&lt;="&amp;$BO33,'Your Accounts'!$BN$6:$BN$185)</f>
        <v>10416212.73</v>
      </c>
      <c r="BQ33" s="15" t="n">
        <f aca="false">ROUND($D33*Sensitivity!$C$41+Sensitivity!$D$41,2)</f>
        <v>24720</v>
      </c>
    </row>
    <row r="34" customFormat="false" ht="15" hidden="false" customHeight="false" outlineLevel="0" collapsed="false">
      <c r="B34" s="18" t="s">
        <v>144</v>
      </c>
      <c r="C34" s="18" t="s">
        <v>128</v>
      </c>
      <c r="D34" s="24" t="n">
        <v>16</v>
      </c>
      <c r="E34" s="26" t="n">
        <f aca="false">SUMIF('Your Lines'!$B$6:$B$463,$B34,'Your Lines'!$E$6:$E$463)</f>
        <v>7107</v>
      </c>
      <c r="F34" s="15" t="n">
        <f aca="false">ROUND(SUMIF('Your Lines'!$B$6:$B$463,$B34,'Your Lines'!$J$6:$J$463),2)</f>
        <v>563968</v>
      </c>
      <c r="G34" s="15" t="n">
        <f aca="false">ROUND(SUMIF('Your Lines'!$B$6:$B$463,$B34,'Your Lines'!$G$6:$G$463),2)</f>
        <v>485544.35</v>
      </c>
      <c r="H34" s="25" t="n">
        <f aca="false">$G34/$F34</f>
        <v>0.860943085423286</v>
      </c>
      <c r="I34" s="15" t="n">
        <f aca="false">ROUND(SUMIF('Your Lines'!$B$6:$B$463,$B34,'Your Lines'!$K$6:$K$463),2)</f>
        <v>325230</v>
      </c>
      <c r="J34" s="15" t="n">
        <f aca="false">ROUND(SUMIF('Your Lines'!$B$6:$B$463,$B34,'Your Lines'!$L$6:$L$463),2)</f>
        <v>10647.9</v>
      </c>
      <c r="K34" s="15" t="n">
        <f aca="false">ROUND($G34-$I34-$J34,2)</f>
        <v>149666.45</v>
      </c>
      <c r="L34" s="15" t="n">
        <f aca="false">ROUND($D34*'Your Inputs'!$C$40+'Your Inputs'!$C$41,2)</f>
        <v>8820</v>
      </c>
      <c r="M34" s="15" t="n">
        <f aca="false">ROUND($K34-$L34,2)</f>
        <v>140846.45</v>
      </c>
      <c r="N34" s="26" t="n">
        <f aca="false">RANK($M34,'Your Accounts'!$M$6:$M$185)</f>
        <v>23</v>
      </c>
      <c r="O34" s="15" t="n">
        <f aca="false">SUMIF('Your Accounts'!$N$6:$N$185,"&lt;="&amp;$N34,'Your Accounts'!$M$6:$M$185)</f>
        <v>7128698.24</v>
      </c>
      <c r="P34" s="15"/>
      <c r="Q34" s="26" t="n">
        <f aca="false">COUNTIFS('Your Lines'!$B$6:$B$463,$B34,'Your Lines'!$R$6:$R$463,"below the floor")</f>
        <v>0</v>
      </c>
      <c r="R34" s="15" t="n">
        <f aca="false">IF(Q34&gt;0,$K34,0)</f>
        <v>0</v>
      </c>
      <c r="AN34" s="15" t="n">
        <f aca="false">IF(VLOOKUP($C34,'Your Floors'!$B$53:$F$56,5,FALSE())="yes",0,$R34)</f>
        <v>0</v>
      </c>
      <c r="AP34" s="15" t="n">
        <f aca="false">ROUND($K34-$AS34,2)</f>
        <v>145256.45</v>
      </c>
      <c r="AQ34" s="26" t="n">
        <f aca="false">RANK($AP34,'Your Accounts'!$AP$6:$AP$185)</f>
        <v>23</v>
      </c>
      <c r="AR34" s="15" t="n">
        <f aca="false">SUMIF('Your Accounts'!$AQ$6:$AQ$185,"&lt;="&amp;$AQ34,'Your Accounts'!$AP$6:$AP$185)</f>
        <v>7249993.24</v>
      </c>
      <c r="AS34" s="15" t="n">
        <f aca="false">ROUND($D34*Sensitivity!$C$35+Sensitivity!$D$35,2)</f>
        <v>4410</v>
      </c>
      <c r="AT34" s="15" t="n">
        <f aca="false">ROUND($K34-$AW34,2)</f>
        <v>140846.45</v>
      </c>
      <c r="AU34" s="26" t="n">
        <f aca="false">RANK($AT34,'Your Accounts'!$AT$6:$AT$185)</f>
        <v>23</v>
      </c>
      <c r="AV34" s="15" t="n">
        <f aca="false">SUMIF('Your Accounts'!$AU$6:$AU$185,"&lt;="&amp;$AU34,'Your Accounts'!$AT$6:$AT$185)</f>
        <v>7128698.24</v>
      </c>
      <c r="AW34" s="15" t="n">
        <f aca="false">ROUND($D34*Sensitivity!$C$36+Sensitivity!$D$36,2)</f>
        <v>8820</v>
      </c>
      <c r="AX34" s="15" t="n">
        <f aca="false">ROUND($K34-$BA34,2)</f>
        <v>138641.45</v>
      </c>
      <c r="AY34" s="26" t="n">
        <f aca="false">RANK($AX34,'Your Accounts'!$AX$6:$AX$185)</f>
        <v>23</v>
      </c>
      <c r="AZ34" s="15" t="n">
        <f aca="false">SUMIF('Your Accounts'!$AY$6:$AY$185,"&lt;="&amp;$AY34,'Your Accounts'!$AX$6:$AX$185)</f>
        <v>7068050.74</v>
      </c>
      <c r="BA34" s="15" t="n">
        <f aca="false">ROUND($D34*Sensitivity!$C$37+Sensitivity!$D$37,2)</f>
        <v>11025</v>
      </c>
      <c r="BB34" s="15" t="n">
        <f aca="false">ROUND($K34-$BE34,2)</f>
        <v>136436.45</v>
      </c>
      <c r="BC34" s="26" t="n">
        <f aca="false">RANK($BB34,'Your Accounts'!$BB$6:$BB$185)</f>
        <v>23</v>
      </c>
      <c r="BD34" s="15" t="n">
        <f aca="false">SUMIF('Your Accounts'!$BC$6:$BC$185,"&lt;="&amp;$BC34,'Your Accounts'!$BB$6:$BB$185)</f>
        <v>7007403.24</v>
      </c>
      <c r="BE34" s="15" t="n">
        <f aca="false">ROUND($D34*Sensitivity!$C$38+Sensitivity!$D$38,2)</f>
        <v>13230</v>
      </c>
      <c r="BF34" s="15" t="n">
        <f aca="false">ROUND($K34-$BI34,2)</f>
        <v>132026.45</v>
      </c>
      <c r="BG34" s="26" t="n">
        <f aca="false">RANK($BF34,'Your Accounts'!$BF$6:$BF$185)</f>
        <v>23</v>
      </c>
      <c r="BH34" s="15" t="n">
        <f aca="false">SUMIF('Your Accounts'!$BG$6:$BG$185,"&lt;="&amp;$BG34,'Your Accounts'!$BF$6:$BF$185)</f>
        <v>6886108.24</v>
      </c>
      <c r="BI34" s="15" t="n">
        <f aca="false">ROUND($D34*Sensitivity!$C$39+Sensitivity!$D$39,2)</f>
        <v>17640</v>
      </c>
      <c r="BJ34" s="15" t="n">
        <f aca="false">ROUND($K34-$BM34,2)</f>
        <v>127616.45</v>
      </c>
      <c r="BK34" s="26" t="n">
        <f aca="false">RANK($BJ34,'Your Accounts'!$BJ$6:$BJ$185)</f>
        <v>23</v>
      </c>
      <c r="BL34" s="15" t="n">
        <f aca="false">SUMIF('Your Accounts'!$BK$6:$BK$185,"&lt;="&amp;$BK34,'Your Accounts'!$BJ$6:$BJ$185)</f>
        <v>6764813.24</v>
      </c>
      <c r="BM34" s="15" t="n">
        <f aca="false">ROUND($D34*Sensitivity!$C$40+Sensitivity!$D$40,2)</f>
        <v>22050</v>
      </c>
      <c r="BN34" s="15" t="n">
        <f aca="false">ROUND($K34-$BQ34,2)</f>
        <v>123206.45</v>
      </c>
      <c r="BO34" s="26" t="n">
        <f aca="false">RANK($BN34,'Your Accounts'!$BN$6:$BN$185)</f>
        <v>23</v>
      </c>
      <c r="BP34" s="15" t="n">
        <f aca="false">SUMIF('Your Accounts'!$BO$6:$BO$185,"&lt;="&amp;$BO34,'Your Accounts'!$BN$6:$BN$185)</f>
        <v>6643518.24</v>
      </c>
      <c r="BQ34" s="15" t="n">
        <f aca="false">ROUND($D34*Sensitivity!$C$41+Sensitivity!$D$41,2)</f>
        <v>26460</v>
      </c>
    </row>
    <row r="35" customFormat="false" ht="15" hidden="false" customHeight="false" outlineLevel="0" collapsed="false">
      <c r="B35" s="18" t="s">
        <v>145</v>
      </c>
      <c r="C35" s="18" t="s">
        <v>128</v>
      </c>
      <c r="D35" s="24" t="n">
        <v>15</v>
      </c>
      <c r="E35" s="26" t="n">
        <f aca="false">SUMIF('Your Lines'!$B$6:$B$463,$B35,'Your Lines'!$E$6:$E$463)</f>
        <v>5743</v>
      </c>
      <c r="F35" s="15" t="n">
        <f aca="false">ROUND(SUMIF('Your Lines'!$B$6:$B$463,$B35,'Your Lines'!$J$6:$J$463),2)</f>
        <v>464452</v>
      </c>
      <c r="G35" s="15" t="n">
        <f aca="false">ROUND(SUMIF('Your Lines'!$B$6:$B$463,$B35,'Your Lines'!$G$6:$G$463),2)</f>
        <v>334721.09</v>
      </c>
      <c r="H35" s="25" t="n">
        <f aca="false">$G35/$F35</f>
        <v>0.720679618130614</v>
      </c>
      <c r="I35" s="15" t="n">
        <f aca="false">ROUND(SUMIF('Your Lines'!$B$6:$B$463,$B35,'Your Lines'!$K$6:$K$463),2)</f>
        <v>265594</v>
      </c>
      <c r="J35" s="15" t="n">
        <f aca="false">ROUND(SUMIF('Your Lines'!$B$6:$B$463,$B35,'Your Lines'!$L$6:$L$463),2)</f>
        <v>7463.13</v>
      </c>
      <c r="K35" s="15" t="n">
        <f aca="false">ROUND($G35-$I35-$J35,2)</f>
        <v>61663.96</v>
      </c>
      <c r="L35" s="15" t="n">
        <f aca="false">ROUND($D35*'Your Inputs'!$C$40+'Your Inputs'!$C$41,2)</f>
        <v>8675</v>
      </c>
      <c r="M35" s="15" t="n">
        <f aca="false">ROUND($K35-$L35,2)</f>
        <v>52988.96</v>
      </c>
      <c r="N35" s="26" t="n">
        <f aca="false">RANK($M35,'Your Accounts'!$M$6:$M$185)</f>
        <v>73</v>
      </c>
      <c r="O35" s="15" t="n">
        <f aca="false">SUMIF('Your Accounts'!$N$6:$N$185,"&lt;="&amp;$N35,'Your Accounts'!$M$6:$M$185)</f>
        <v>11265301.71</v>
      </c>
      <c r="P35" s="15"/>
      <c r="Q35" s="26" t="n">
        <f aca="false">COUNTIFS('Your Lines'!$B$6:$B$463,$B35,'Your Lines'!$R$6:$R$463,"below the floor")</f>
        <v>3</v>
      </c>
      <c r="R35" s="15" t="n">
        <f aca="false">IF(Q35&gt;0,$K35,0)</f>
        <v>61663.96</v>
      </c>
      <c r="AN35" s="15" t="n">
        <f aca="false">IF(VLOOKUP($C35,'Your Floors'!$B$53:$F$56,5,FALSE())="yes",0,$R35)</f>
        <v>61663.96</v>
      </c>
      <c r="AP35" s="15" t="n">
        <f aca="false">ROUND($K35-$AS35,2)</f>
        <v>57326.46</v>
      </c>
      <c r="AQ35" s="26" t="n">
        <f aca="false">RANK($AP35,'Your Accounts'!$AP$6:$AP$185)</f>
        <v>74</v>
      </c>
      <c r="AR35" s="15" t="n">
        <f aca="false">SUMIF('Your Accounts'!$AQ$6:$AQ$185,"&lt;="&amp;$AQ35,'Your Accounts'!$AP$6:$AP$185)</f>
        <v>11687072.57</v>
      </c>
      <c r="AS35" s="15" t="n">
        <f aca="false">ROUND($D35*Sensitivity!$C$35+Sensitivity!$D$35,2)</f>
        <v>4337.5</v>
      </c>
      <c r="AT35" s="15" t="n">
        <f aca="false">ROUND($K35-$AW35,2)</f>
        <v>52988.96</v>
      </c>
      <c r="AU35" s="26" t="n">
        <f aca="false">RANK($AT35,'Your Accounts'!$AT$6:$AT$185)</f>
        <v>73</v>
      </c>
      <c r="AV35" s="15" t="n">
        <f aca="false">SUMIF('Your Accounts'!$AU$6:$AU$185,"&lt;="&amp;$AU35,'Your Accounts'!$AT$6:$AT$185)</f>
        <v>11265301.71</v>
      </c>
      <c r="AW35" s="15" t="n">
        <f aca="false">ROUND($D35*Sensitivity!$C$36+Sensitivity!$D$36,2)</f>
        <v>8675</v>
      </c>
      <c r="AX35" s="15" t="n">
        <f aca="false">ROUND($K35-$BA35,2)</f>
        <v>50820.21</v>
      </c>
      <c r="AY35" s="26" t="n">
        <f aca="false">RANK($AX35,'Your Accounts'!$AX$6:$AX$185)</f>
        <v>73</v>
      </c>
      <c r="AZ35" s="15" t="n">
        <f aca="false">SUMIF('Your Accounts'!$AY$6:$AY$185,"&lt;="&amp;$AY35,'Your Accounts'!$AX$6:$AX$185)</f>
        <v>11083275.46</v>
      </c>
      <c r="BA35" s="15" t="n">
        <f aca="false">ROUND($D35*Sensitivity!$C$37+Sensitivity!$D$37,2)</f>
        <v>10843.75</v>
      </c>
      <c r="BB35" s="15" t="n">
        <f aca="false">ROUND($K35-$BE35,2)</f>
        <v>48651.46</v>
      </c>
      <c r="BC35" s="26" t="n">
        <f aca="false">RANK($BB35,'Your Accounts'!$BB$6:$BB$185)</f>
        <v>73</v>
      </c>
      <c r="BD35" s="15" t="n">
        <f aca="false">SUMIF('Your Accounts'!$BC$6:$BC$185,"&lt;="&amp;$BC35,'Your Accounts'!$BB$6:$BB$185)</f>
        <v>10901249.21</v>
      </c>
      <c r="BE35" s="15" t="n">
        <f aca="false">ROUND($D35*Sensitivity!$C$38+Sensitivity!$D$38,2)</f>
        <v>13012.5</v>
      </c>
      <c r="BF35" s="15" t="n">
        <f aca="false">ROUND($K35-$BI35,2)</f>
        <v>44313.96</v>
      </c>
      <c r="BG35" s="26" t="n">
        <f aca="false">RANK($BF35,'Your Accounts'!$BF$6:$BF$185)</f>
        <v>72</v>
      </c>
      <c r="BH35" s="15" t="n">
        <f aca="false">SUMIF('Your Accounts'!$BG$6:$BG$185,"&lt;="&amp;$BG35,'Your Accounts'!$BF$6:$BF$185)</f>
        <v>10494484.31</v>
      </c>
      <c r="BI35" s="15" t="n">
        <f aca="false">ROUND($D35*Sensitivity!$C$39+Sensitivity!$D$39,2)</f>
        <v>17350</v>
      </c>
      <c r="BJ35" s="15" t="n">
        <f aca="false">ROUND($K35-$BM35,2)</f>
        <v>39976.46</v>
      </c>
      <c r="BK35" s="26" t="n">
        <f aca="false">RANK($BJ35,'Your Accounts'!$BJ$6:$BJ$185)</f>
        <v>71</v>
      </c>
      <c r="BL35" s="15" t="n">
        <f aca="false">SUMIF('Your Accounts'!$BK$6:$BK$185,"&lt;="&amp;$BK35,'Your Accounts'!$BJ$6:$BJ$185)</f>
        <v>10098748.69</v>
      </c>
      <c r="BM35" s="15" t="n">
        <f aca="false">ROUND($D35*Sensitivity!$C$40+Sensitivity!$D$40,2)</f>
        <v>21687.5</v>
      </c>
      <c r="BN35" s="15" t="n">
        <f aca="false">ROUND($K35-$BQ35,2)</f>
        <v>35638.96</v>
      </c>
      <c r="BO35" s="26" t="n">
        <f aca="false">RANK($BN35,'Your Accounts'!$BN$6:$BN$185)</f>
        <v>71</v>
      </c>
      <c r="BP35" s="15" t="n">
        <f aca="false">SUMIF('Your Accounts'!$BO$6:$BO$185,"&lt;="&amp;$BO35,'Your Accounts'!$BN$6:$BN$185)</f>
        <v>9749095.09</v>
      </c>
      <c r="BQ35" s="15" t="n">
        <f aca="false">ROUND($D35*Sensitivity!$C$41+Sensitivity!$D$41,2)</f>
        <v>26025</v>
      </c>
    </row>
    <row r="36" customFormat="false" ht="15" hidden="false" customHeight="false" outlineLevel="0" collapsed="false">
      <c r="B36" s="18" t="s">
        <v>146</v>
      </c>
      <c r="C36" s="18" t="s">
        <v>128</v>
      </c>
      <c r="D36" s="24" t="n">
        <v>24</v>
      </c>
      <c r="E36" s="26" t="n">
        <f aca="false">SUMIF('Your Lines'!$B$6:$B$463,$B36,'Your Lines'!$E$6:$E$463)</f>
        <v>11908</v>
      </c>
      <c r="F36" s="15" t="n">
        <f aca="false">ROUND(SUMIF('Your Lines'!$B$6:$B$463,$B36,'Your Lines'!$J$6:$J$463),2)</f>
        <v>923280</v>
      </c>
      <c r="G36" s="15" t="n">
        <f aca="false">ROUND(SUMIF('Your Lines'!$B$6:$B$463,$B36,'Your Lines'!$G$6:$G$463),2)</f>
        <v>645547.68</v>
      </c>
      <c r="H36" s="25" t="n">
        <f aca="false">$G36/$F36</f>
        <v>0.699189498310372</v>
      </c>
      <c r="I36" s="15" t="n">
        <f aca="false">ROUND(SUMIF('Your Lines'!$B$6:$B$463,$B36,'Your Lines'!$K$6:$K$463),2)</f>
        <v>536688</v>
      </c>
      <c r="J36" s="15" t="n">
        <f aca="false">ROUND(SUMIF('Your Lines'!$B$6:$B$463,$B36,'Your Lines'!$L$6:$L$463),2)</f>
        <v>14806.14</v>
      </c>
      <c r="K36" s="15" t="n">
        <f aca="false">ROUND($G36-$I36-$J36,2)</f>
        <v>94053.54</v>
      </c>
      <c r="L36" s="15" t="n">
        <f aca="false">ROUND($D36*'Your Inputs'!$C$40+'Your Inputs'!$C$41,2)</f>
        <v>9980</v>
      </c>
      <c r="M36" s="15" t="n">
        <f aca="false">ROUND($K36-$L36,2)</f>
        <v>84073.54</v>
      </c>
      <c r="N36" s="26" t="n">
        <f aca="false">RANK($M36,'Your Accounts'!$M$6:$M$185)</f>
        <v>44</v>
      </c>
      <c r="O36" s="15" t="n">
        <f aca="false">SUMIF('Your Accounts'!$N$6:$N$185,"&lt;="&amp;$N36,'Your Accounts'!$M$6:$M$185)</f>
        <v>9410711.51</v>
      </c>
      <c r="P36" s="15"/>
      <c r="Q36" s="26" t="n">
        <f aca="false">COUNTIFS('Your Lines'!$B$6:$B$463,$B36,'Your Lines'!$R$6:$R$463,"below the floor")</f>
        <v>3</v>
      </c>
      <c r="R36" s="15" t="n">
        <f aca="false">IF(Q36&gt;0,$K36,0)</f>
        <v>94053.54</v>
      </c>
      <c r="AN36" s="15" t="n">
        <f aca="false">IF(VLOOKUP($C36,'Your Floors'!$B$53:$F$56,5,FALSE())="yes",0,$R36)</f>
        <v>94053.54</v>
      </c>
      <c r="AP36" s="15" t="n">
        <f aca="false">ROUND($K36-$AS36,2)</f>
        <v>89063.54</v>
      </c>
      <c r="AQ36" s="26" t="n">
        <f aca="false">RANK($AP36,'Your Accounts'!$AP$6:$AP$185)</f>
        <v>44</v>
      </c>
      <c r="AR36" s="15" t="n">
        <f aca="false">SUMIF('Your Accounts'!$AQ$6:$AQ$185,"&lt;="&amp;$AQ36,'Your Accounts'!$AP$6:$AP$185)</f>
        <v>9633244.01</v>
      </c>
      <c r="AS36" s="15" t="n">
        <f aca="false">ROUND($D36*Sensitivity!$C$35+Sensitivity!$D$35,2)</f>
        <v>4990</v>
      </c>
      <c r="AT36" s="15" t="n">
        <f aca="false">ROUND($K36-$AW36,2)</f>
        <v>84073.54</v>
      </c>
      <c r="AU36" s="26" t="n">
        <f aca="false">RANK($AT36,'Your Accounts'!$AT$6:$AT$185)</f>
        <v>44</v>
      </c>
      <c r="AV36" s="15" t="n">
        <f aca="false">SUMIF('Your Accounts'!$AU$6:$AU$185,"&lt;="&amp;$AU36,'Your Accounts'!$AT$6:$AT$185)</f>
        <v>9410711.51</v>
      </c>
      <c r="AW36" s="15" t="n">
        <f aca="false">ROUND($D36*Sensitivity!$C$36+Sensitivity!$D$36,2)</f>
        <v>9980</v>
      </c>
      <c r="AX36" s="15" t="n">
        <f aca="false">ROUND($K36-$BA36,2)</f>
        <v>81578.54</v>
      </c>
      <c r="AY36" s="26" t="n">
        <f aca="false">RANK($AX36,'Your Accounts'!$AX$6:$AX$185)</f>
        <v>44</v>
      </c>
      <c r="AZ36" s="15" t="n">
        <f aca="false">SUMIF('Your Accounts'!$AY$6:$AY$185,"&lt;="&amp;$AY36,'Your Accounts'!$AX$6:$AX$185)</f>
        <v>9299445.26</v>
      </c>
      <c r="BA36" s="15" t="n">
        <f aca="false">ROUND($D36*Sensitivity!$C$37+Sensitivity!$D$37,2)</f>
        <v>12475</v>
      </c>
      <c r="BB36" s="15" t="n">
        <f aca="false">ROUND($K36-$BE36,2)</f>
        <v>79083.54</v>
      </c>
      <c r="BC36" s="26" t="n">
        <f aca="false">RANK($BB36,'Your Accounts'!$BB$6:$BB$185)</f>
        <v>44</v>
      </c>
      <c r="BD36" s="15" t="n">
        <f aca="false">SUMIF('Your Accounts'!$BC$6:$BC$185,"&lt;="&amp;$BC36,'Your Accounts'!$BB$6:$BB$185)</f>
        <v>9188179.01</v>
      </c>
      <c r="BE36" s="15" t="n">
        <f aca="false">ROUND($D36*Sensitivity!$C$38+Sensitivity!$D$38,2)</f>
        <v>14970</v>
      </c>
      <c r="BF36" s="15" t="n">
        <f aca="false">ROUND($K36-$BI36,2)</f>
        <v>74093.54</v>
      </c>
      <c r="BG36" s="26" t="n">
        <f aca="false">RANK($BF36,'Your Accounts'!$BF$6:$BF$185)</f>
        <v>44</v>
      </c>
      <c r="BH36" s="15" t="n">
        <f aca="false">SUMIF('Your Accounts'!$BG$6:$BG$185,"&lt;="&amp;$BG36,'Your Accounts'!$BF$6:$BF$185)</f>
        <v>8965646.51</v>
      </c>
      <c r="BI36" s="15" t="n">
        <f aca="false">ROUND($D36*Sensitivity!$C$39+Sensitivity!$D$39,2)</f>
        <v>19960</v>
      </c>
      <c r="BJ36" s="15" t="n">
        <f aca="false">ROUND($K36-$BM36,2)</f>
        <v>69103.54</v>
      </c>
      <c r="BK36" s="26" t="n">
        <f aca="false">RANK($BJ36,'Your Accounts'!$BJ$6:$BJ$185)</f>
        <v>44</v>
      </c>
      <c r="BL36" s="15" t="n">
        <f aca="false">SUMIF('Your Accounts'!$BK$6:$BK$185,"&lt;="&amp;$BK36,'Your Accounts'!$BJ$6:$BJ$185)</f>
        <v>8743114.01</v>
      </c>
      <c r="BM36" s="15" t="n">
        <f aca="false">ROUND($D36*Sensitivity!$C$40+Sensitivity!$D$40,2)</f>
        <v>24950</v>
      </c>
      <c r="BN36" s="15" t="n">
        <f aca="false">ROUND($K36-$BQ36,2)</f>
        <v>64113.54</v>
      </c>
      <c r="BO36" s="26" t="n">
        <f aca="false">RANK($BN36,'Your Accounts'!$BN$6:$BN$185)</f>
        <v>45</v>
      </c>
      <c r="BP36" s="15" t="n">
        <f aca="false">SUMIF('Your Accounts'!$BO$6:$BO$185,"&lt;="&amp;$BO36,'Your Accounts'!$BN$6:$BN$185)</f>
        <v>8584788.97</v>
      </c>
      <c r="BQ36" s="15" t="n">
        <f aca="false">ROUND($D36*Sensitivity!$C$41+Sensitivity!$D$41,2)</f>
        <v>29940</v>
      </c>
    </row>
    <row r="37" customFormat="false" ht="15" hidden="false" customHeight="false" outlineLevel="0" collapsed="false">
      <c r="B37" s="18" t="s">
        <v>147</v>
      </c>
      <c r="C37" s="18" t="s">
        <v>128</v>
      </c>
      <c r="D37" s="24" t="n">
        <v>18</v>
      </c>
      <c r="E37" s="26" t="n">
        <f aca="false">SUMIF('Your Lines'!$B$6:$B$463,$B37,'Your Lines'!$E$6:$E$463)</f>
        <v>4318</v>
      </c>
      <c r="F37" s="15" t="n">
        <f aca="false">ROUND(SUMIF('Your Lines'!$B$6:$B$463,$B37,'Your Lines'!$J$6:$J$463),2)</f>
        <v>346042</v>
      </c>
      <c r="G37" s="15" t="n">
        <f aca="false">ROUND(SUMIF('Your Lines'!$B$6:$B$463,$B37,'Your Lines'!$G$6:$G$463),2)</f>
        <v>254055.22</v>
      </c>
      <c r="H37" s="25" t="n">
        <f aca="false">$G37/$F37</f>
        <v>0.734174522167829</v>
      </c>
      <c r="I37" s="15" t="n">
        <f aca="false">ROUND(SUMIF('Your Lines'!$B$6:$B$463,$B37,'Your Lines'!$K$6:$K$463),2)</f>
        <v>199770</v>
      </c>
      <c r="J37" s="15" t="n">
        <f aca="false">ROUND(SUMIF('Your Lines'!$B$6:$B$463,$B37,'Your Lines'!$L$6:$L$463),2)</f>
        <v>5728.42</v>
      </c>
      <c r="K37" s="15" t="n">
        <f aca="false">ROUND($G37-$I37-$J37,2)</f>
        <v>48556.8</v>
      </c>
      <c r="L37" s="15" t="n">
        <f aca="false">ROUND($D37*'Your Inputs'!$C$40+'Your Inputs'!$C$41,2)</f>
        <v>9110</v>
      </c>
      <c r="M37" s="15" t="n">
        <f aca="false">ROUND($K37-$L37,2)</f>
        <v>39446.8</v>
      </c>
      <c r="N37" s="26" t="n">
        <f aca="false">RANK($M37,'Your Accounts'!$M$6:$M$185)</f>
        <v>85</v>
      </c>
      <c r="O37" s="15" t="n">
        <f aca="false">SUMIF('Your Accounts'!$N$6:$N$185,"&lt;="&amp;$N37,'Your Accounts'!$M$6:$M$185)</f>
        <v>11834257.53</v>
      </c>
      <c r="P37" s="15"/>
      <c r="Q37" s="26" t="n">
        <f aca="false">COUNTIFS('Your Lines'!$B$6:$B$463,$B37,'Your Lines'!$R$6:$R$463,"below the floor")</f>
        <v>0</v>
      </c>
      <c r="R37" s="15" t="n">
        <f aca="false">IF(Q37&gt;0,$K37,0)</f>
        <v>0</v>
      </c>
      <c r="AN37" s="15" t="n">
        <f aca="false">IF(VLOOKUP($C37,'Your Floors'!$B$53:$F$56,5,FALSE())="yes",0,$R37)</f>
        <v>0</v>
      </c>
      <c r="AP37" s="15" t="n">
        <f aca="false">ROUND($K37-$AS37,2)</f>
        <v>44001.8</v>
      </c>
      <c r="AQ37" s="26" t="n">
        <f aca="false">RANK($AP37,'Your Accounts'!$AP$6:$AP$185)</f>
        <v>87</v>
      </c>
      <c r="AR37" s="15" t="n">
        <f aca="false">SUMIF('Your Accounts'!$AQ$6:$AQ$185,"&lt;="&amp;$AQ37,'Your Accounts'!$AP$6:$AP$185)</f>
        <v>12344416.01</v>
      </c>
      <c r="AS37" s="15" t="n">
        <f aca="false">ROUND($D37*Sensitivity!$C$35+Sensitivity!$D$35,2)</f>
        <v>4555</v>
      </c>
      <c r="AT37" s="15" t="n">
        <f aca="false">ROUND($K37-$AW37,2)</f>
        <v>39446.8</v>
      </c>
      <c r="AU37" s="26" t="n">
        <f aca="false">RANK($AT37,'Your Accounts'!$AT$6:$AT$185)</f>
        <v>85</v>
      </c>
      <c r="AV37" s="15" t="n">
        <f aca="false">SUMIF('Your Accounts'!$AU$6:$AU$185,"&lt;="&amp;$AU37,'Your Accounts'!$AT$6:$AT$185)</f>
        <v>11834257.53</v>
      </c>
      <c r="AW37" s="15" t="n">
        <f aca="false">ROUND($D37*Sensitivity!$C$36+Sensitivity!$D$36,2)</f>
        <v>9110</v>
      </c>
      <c r="AX37" s="15" t="n">
        <f aca="false">ROUND($K37-$BA37,2)</f>
        <v>37169.3</v>
      </c>
      <c r="AY37" s="26" t="n">
        <f aca="false">RANK($AX37,'Your Accounts'!$AX$6:$AX$185)</f>
        <v>85</v>
      </c>
      <c r="AZ37" s="15" t="n">
        <f aca="false">SUMIF('Your Accounts'!$AY$6:$AY$185,"&lt;="&amp;$AY37,'Your Accounts'!$AX$6:$AX$185)</f>
        <v>11623886.28</v>
      </c>
      <c r="BA37" s="15" t="n">
        <f aca="false">ROUND($D37*Sensitivity!$C$37+Sensitivity!$D$37,2)</f>
        <v>11387.5</v>
      </c>
      <c r="BB37" s="15" t="n">
        <f aca="false">ROUND($K37-$BE37,2)</f>
        <v>34891.8</v>
      </c>
      <c r="BC37" s="26" t="n">
        <f aca="false">RANK($BB37,'Your Accounts'!$BB$6:$BB$185)</f>
        <v>85</v>
      </c>
      <c r="BD37" s="15" t="n">
        <f aca="false">SUMIF('Your Accounts'!$BC$6:$BC$185,"&lt;="&amp;$BC37,'Your Accounts'!$BB$6:$BB$185)</f>
        <v>11413515.03</v>
      </c>
      <c r="BE37" s="15" t="n">
        <f aca="false">ROUND($D37*Sensitivity!$C$38+Sensitivity!$D$38,2)</f>
        <v>13665</v>
      </c>
      <c r="BF37" s="15" t="n">
        <f aca="false">ROUND($K37-$BI37,2)</f>
        <v>30336.8</v>
      </c>
      <c r="BG37" s="26" t="n">
        <f aca="false">RANK($BF37,'Your Accounts'!$BF$6:$BF$185)</f>
        <v>85</v>
      </c>
      <c r="BH37" s="15" t="n">
        <f aca="false">SUMIF('Your Accounts'!$BG$6:$BG$185,"&lt;="&amp;$BG37,'Your Accounts'!$BF$6:$BF$185)</f>
        <v>10992772.53</v>
      </c>
      <c r="BI37" s="15" t="n">
        <f aca="false">ROUND($D37*Sensitivity!$C$39+Sensitivity!$D$39,2)</f>
        <v>18220</v>
      </c>
      <c r="BJ37" s="15" t="n">
        <f aca="false">ROUND($K37-$BM37,2)</f>
        <v>25781.8</v>
      </c>
      <c r="BK37" s="26" t="n">
        <f aca="false">RANK($BJ37,'Your Accounts'!$BJ$6:$BJ$185)</f>
        <v>85</v>
      </c>
      <c r="BL37" s="15" t="n">
        <f aca="false">SUMIF('Your Accounts'!$BK$6:$BK$185,"&lt;="&amp;$BK37,'Your Accounts'!$BJ$6:$BJ$185)</f>
        <v>10572030.03</v>
      </c>
      <c r="BM37" s="15" t="n">
        <f aca="false">ROUND($D37*Sensitivity!$C$40+Sensitivity!$D$40,2)</f>
        <v>22775</v>
      </c>
      <c r="BN37" s="15" t="n">
        <f aca="false">ROUND($K37-$BQ37,2)</f>
        <v>21226.8</v>
      </c>
      <c r="BO37" s="26" t="n">
        <f aca="false">RANK($BN37,'Your Accounts'!$BN$6:$BN$185)</f>
        <v>84</v>
      </c>
      <c r="BP37" s="15" t="n">
        <f aca="false">SUMIF('Your Accounts'!$BO$6:$BO$185,"&lt;="&amp;$BO37,'Your Accounts'!$BN$6:$BN$185)</f>
        <v>10132500.64</v>
      </c>
      <c r="BQ37" s="15" t="n">
        <f aca="false">ROUND($D37*Sensitivity!$C$41+Sensitivity!$D$41,2)</f>
        <v>27330</v>
      </c>
    </row>
    <row r="38" customFormat="false" ht="15" hidden="false" customHeight="false" outlineLevel="0" collapsed="false">
      <c r="B38" s="18" t="s">
        <v>148</v>
      </c>
      <c r="C38" s="18" t="s">
        <v>128</v>
      </c>
      <c r="D38" s="24" t="n">
        <v>25</v>
      </c>
      <c r="E38" s="26" t="n">
        <f aca="false">SUMIF('Your Lines'!$B$6:$B$463,$B38,'Your Lines'!$E$6:$E$463)</f>
        <v>9860</v>
      </c>
      <c r="F38" s="15" t="n">
        <f aca="false">ROUND(SUMIF('Your Lines'!$B$6:$B$463,$B38,'Your Lines'!$J$6:$J$463),2)</f>
        <v>730964</v>
      </c>
      <c r="G38" s="15" t="n">
        <f aca="false">ROUND(SUMIF('Your Lines'!$B$6:$B$463,$B38,'Your Lines'!$G$6:$G$463),2)</f>
        <v>515376.83</v>
      </c>
      <c r="H38" s="25" t="n">
        <f aca="false">$G38/$F38</f>
        <v>0.705064585944041</v>
      </c>
      <c r="I38" s="15" t="n">
        <f aca="false">ROUND(SUMIF('Your Lines'!$B$6:$B$463,$B38,'Your Lines'!$K$6:$K$463),2)</f>
        <v>430084</v>
      </c>
      <c r="J38" s="15" t="n">
        <f aca="false">ROUND(SUMIF('Your Lines'!$B$6:$B$463,$B38,'Your Lines'!$L$6:$L$463),2)</f>
        <v>11620.67</v>
      </c>
      <c r="K38" s="15" t="n">
        <f aca="false">ROUND($G38-$I38-$J38,2)</f>
        <v>73672.16</v>
      </c>
      <c r="L38" s="15" t="n">
        <f aca="false">ROUND($D38*'Your Inputs'!$C$40+'Your Inputs'!$C$41,2)</f>
        <v>10125</v>
      </c>
      <c r="M38" s="15" t="n">
        <f aca="false">ROUND($K38-$L38,2)</f>
        <v>63547.16</v>
      </c>
      <c r="N38" s="26" t="n">
        <f aca="false">RANK($M38,'Your Accounts'!$M$6:$M$185)</f>
        <v>57</v>
      </c>
      <c r="O38" s="15" t="n">
        <f aca="false">SUMIF('Your Accounts'!$N$6:$N$185,"&lt;="&amp;$N38,'Your Accounts'!$M$6:$M$185)</f>
        <v>10348243.84</v>
      </c>
      <c r="P38" s="15"/>
      <c r="Q38" s="26" t="n">
        <f aca="false">COUNTIFS('Your Lines'!$B$6:$B$463,$B38,'Your Lines'!$R$6:$R$463,"below the floor")</f>
        <v>3</v>
      </c>
      <c r="R38" s="15" t="n">
        <f aca="false">IF(Q38&gt;0,$K38,0)</f>
        <v>73672.16</v>
      </c>
      <c r="AN38" s="15" t="n">
        <f aca="false">IF(VLOOKUP($C38,'Your Floors'!$B$53:$F$56,5,FALSE())="yes",0,$R38)</f>
        <v>73672.16</v>
      </c>
      <c r="AP38" s="15" t="n">
        <f aca="false">ROUND($K38-$AS38,2)</f>
        <v>68609.66</v>
      </c>
      <c r="AQ38" s="26" t="n">
        <f aca="false">RANK($AP38,'Your Accounts'!$AP$6:$AP$185)</f>
        <v>55</v>
      </c>
      <c r="AR38" s="15" t="n">
        <f aca="false">SUMIF('Your Accounts'!$AQ$6:$AQ$185,"&lt;="&amp;$AQ38,'Your Accounts'!$AP$6:$AP$185)</f>
        <v>10500196.12</v>
      </c>
      <c r="AS38" s="15" t="n">
        <f aca="false">ROUND($D38*Sensitivity!$C$35+Sensitivity!$D$35,2)</f>
        <v>5062.5</v>
      </c>
      <c r="AT38" s="15" t="n">
        <f aca="false">ROUND($K38-$AW38,2)</f>
        <v>63547.16</v>
      </c>
      <c r="AU38" s="26" t="n">
        <f aca="false">RANK($AT38,'Your Accounts'!$AT$6:$AT$185)</f>
        <v>57</v>
      </c>
      <c r="AV38" s="15" t="n">
        <f aca="false">SUMIF('Your Accounts'!$AU$6:$AU$185,"&lt;="&amp;$AU38,'Your Accounts'!$AT$6:$AT$185)</f>
        <v>10348243.84</v>
      </c>
      <c r="AW38" s="15" t="n">
        <f aca="false">ROUND($D38*Sensitivity!$C$36+Sensitivity!$D$36,2)</f>
        <v>10125</v>
      </c>
      <c r="AX38" s="15" t="n">
        <f aca="false">ROUND($K38-$BA38,2)</f>
        <v>61015.91</v>
      </c>
      <c r="AY38" s="26" t="n">
        <f aca="false">RANK($AX38,'Your Accounts'!$AX$6:$AX$185)</f>
        <v>57</v>
      </c>
      <c r="AZ38" s="15" t="n">
        <f aca="false">SUMIF('Your Accounts'!$AY$6:$AY$185,"&lt;="&amp;$AY38,'Your Accounts'!$AX$6:$AX$185)</f>
        <v>10204542.59</v>
      </c>
      <c r="BA38" s="15" t="n">
        <f aca="false">ROUND($D38*Sensitivity!$C$37+Sensitivity!$D$37,2)</f>
        <v>12656.25</v>
      </c>
      <c r="BB38" s="15" t="n">
        <f aca="false">ROUND($K38-$BE38,2)</f>
        <v>58484.66</v>
      </c>
      <c r="BC38" s="26" t="n">
        <f aca="false">RANK($BB38,'Your Accounts'!$BB$6:$BB$185)</f>
        <v>57</v>
      </c>
      <c r="BD38" s="15" t="n">
        <f aca="false">SUMIF('Your Accounts'!$BC$6:$BC$185,"&lt;="&amp;$BC38,'Your Accounts'!$BB$6:$BB$185)</f>
        <v>10060841.34</v>
      </c>
      <c r="BE38" s="15" t="n">
        <f aca="false">ROUND($D38*Sensitivity!$C$38+Sensitivity!$D$38,2)</f>
        <v>15187.5</v>
      </c>
      <c r="BF38" s="15" t="n">
        <f aca="false">ROUND($K38-$BI38,2)</f>
        <v>53422.16</v>
      </c>
      <c r="BG38" s="26" t="n">
        <f aca="false">RANK($BF38,'Your Accounts'!$BF$6:$BF$185)</f>
        <v>57</v>
      </c>
      <c r="BH38" s="15" t="n">
        <f aca="false">SUMIF('Your Accounts'!$BG$6:$BG$185,"&lt;="&amp;$BG38,'Your Accounts'!$BF$6:$BF$185)</f>
        <v>9773438.84</v>
      </c>
      <c r="BI38" s="15" t="n">
        <f aca="false">ROUND($D38*Sensitivity!$C$39+Sensitivity!$D$39,2)</f>
        <v>20250</v>
      </c>
      <c r="BJ38" s="15" t="n">
        <f aca="false">ROUND($K38-$BM38,2)</f>
        <v>48359.66</v>
      </c>
      <c r="BK38" s="26" t="n">
        <f aca="false">RANK($BJ38,'Your Accounts'!$BJ$6:$BJ$185)</f>
        <v>57</v>
      </c>
      <c r="BL38" s="15" t="n">
        <f aca="false">SUMIF('Your Accounts'!$BK$6:$BK$185,"&lt;="&amp;$BK38,'Your Accounts'!$BJ$6:$BJ$185)</f>
        <v>9486036.34</v>
      </c>
      <c r="BM38" s="15" t="n">
        <f aca="false">ROUND($D38*Sensitivity!$C$40+Sensitivity!$D$40,2)</f>
        <v>25312.5</v>
      </c>
      <c r="BN38" s="15" t="n">
        <f aca="false">ROUND($K38-$BQ38,2)</f>
        <v>43297.16</v>
      </c>
      <c r="BO38" s="26" t="n">
        <f aca="false">RANK($BN38,'Your Accounts'!$BN$6:$BN$185)</f>
        <v>57</v>
      </c>
      <c r="BP38" s="15" t="n">
        <f aca="false">SUMIF('Your Accounts'!$BO$6:$BO$185,"&lt;="&amp;$BO38,'Your Accounts'!$BN$6:$BN$185)</f>
        <v>9201424.54</v>
      </c>
      <c r="BQ38" s="15" t="n">
        <f aca="false">ROUND($D38*Sensitivity!$C$41+Sensitivity!$D$41,2)</f>
        <v>30375</v>
      </c>
    </row>
    <row r="39" customFormat="false" ht="15" hidden="false" customHeight="false" outlineLevel="0" collapsed="false">
      <c r="B39" s="18" t="s">
        <v>149</v>
      </c>
      <c r="C39" s="18" t="s">
        <v>128</v>
      </c>
      <c r="D39" s="24" t="n">
        <v>38</v>
      </c>
      <c r="E39" s="26" t="n">
        <f aca="false">SUMIF('Your Lines'!$B$6:$B$463,$B39,'Your Lines'!$E$6:$E$463)</f>
        <v>17004</v>
      </c>
      <c r="F39" s="15" t="n">
        <f aca="false">ROUND(SUMIF('Your Lines'!$B$6:$B$463,$B39,'Your Lines'!$J$6:$J$463),2)</f>
        <v>1297636</v>
      </c>
      <c r="G39" s="15" t="n">
        <f aca="false">ROUND(SUMIF('Your Lines'!$B$6:$B$463,$B39,'Your Lines'!$G$6:$G$463),2)</f>
        <v>992638.34</v>
      </c>
      <c r="H39" s="25" t="n">
        <f aca="false">$G39/$F39</f>
        <v>0.764959002370464</v>
      </c>
      <c r="I39" s="15" t="n">
        <f aca="false">ROUND(SUMIF('Your Lines'!$B$6:$B$463,$B39,'Your Lines'!$K$6:$K$463),2)</f>
        <v>740876</v>
      </c>
      <c r="J39" s="15" t="n">
        <f aca="false">ROUND(SUMIF('Your Lines'!$B$6:$B$463,$B39,'Your Lines'!$L$6:$L$463),2)</f>
        <v>22508.81</v>
      </c>
      <c r="K39" s="15" t="n">
        <f aca="false">ROUND($G39-$I39-$J39,2)</f>
        <v>229253.53</v>
      </c>
      <c r="L39" s="15" t="n">
        <f aca="false">ROUND($D39*'Your Inputs'!$C$40+'Your Inputs'!$C$41,2)</f>
        <v>12010</v>
      </c>
      <c r="M39" s="15" t="n">
        <f aca="false">ROUND($K39-$L39,2)</f>
        <v>217243.53</v>
      </c>
      <c r="N39" s="26" t="n">
        <f aca="false">RANK($M39,'Your Accounts'!$M$6:$M$185)</f>
        <v>17</v>
      </c>
      <c r="O39" s="15" t="n">
        <f aca="false">SUMIF('Your Accounts'!$N$6:$N$185,"&lt;="&amp;$N39,'Your Accounts'!$M$6:$M$185)</f>
        <v>6131061.41</v>
      </c>
      <c r="P39" s="15"/>
      <c r="Q39" s="26" t="n">
        <f aca="false">COUNTIFS('Your Lines'!$B$6:$B$463,$B39,'Your Lines'!$R$6:$R$463,"below the floor")</f>
        <v>0</v>
      </c>
      <c r="R39" s="15" t="n">
        <f aca="false">IF(Q39&gt;0,$K39,0)</f>
        <v>0</v>
      </c>
      <c r="AN39" s="15" t="n">
        <f aca="false">IF(VLOOKUP($C39,'Your Floors'!$B$53:$F$56,5,FALSE())="yes",0,$R39)</f>
        <v>0</v>
      </c>
      <c r="AP39" s="15" t="n">
        <f aca="false">ROUND($K39-$AS39,2)</f>
        <v>223248.53</v>
      </c>
      <c r="AQ39" s="26" t="n">
        <f aca="false">RANK($AP39,'Your Accounts'!$AP$6:$AP$185)</f>
        <v>17</v>
      </c>
      <c r="AR39" s="15" t="n">
        <f aca="false">SUMIF('Your Accounts'!$AQ$6:$AQ$185,"&lt;="&amp;$AQ39,'Your Accounts'!$AP$6:$AP$185)</f>
        <v>6224881.41</v>
      </c>
      <c r="AS39" s="15" t="n">
        <f aca="false">ROUND($D39*Sensitivity!$C$35+Sensitivity!$D$35,2)</f>
        <v>6005</v>
      </c>
      <c r="AT39" s="15" t="n">
        <f aca="false">ROUND($K39-$AW39,2)</f>
        <v>217243.53</v>
      </c>
      <c r="AU39" s="26" t="n">
        <f aca="false">RANK($AT39,'Your Accounts'!$AT$6:$AT$185)</f>
        <v>17</v>
      </c>
      <c r="AV39" s="15" t="n">
        <f aca="false">SUMIF('Your Accounts'!$AU$6:$AU$185,"&lt;="&amp;$AU39,'Your Accounts'!$AT$6:$AT$185)</f>
        <v>6131061.41</v>
      </c>
      <c r="AW39" s="15" t="n">
        <f aca="false">ROUND($D39*Sensitivity!$C$36+Sensitivity!$D$36,2)</f>
        <v>12010</v>
      </c>
      <c r="AX39" s="15" t="n">
        <f aca="false">ROUND($K39-$BA39,2)</f>
        <v>214241.03</v>
      </c>
      <c r="AY39" s="26" t="n">
        <f aca="false">RANK($AX39,'Your Accounts'!$AX$6:$AX$185)</f>
        <v>17</v>
      </c>
      <c r="AZ39" s="15" t="n">
        <f aca="false">SUMIF('Your Accounts'!$AY$6:$AY$185,"&lt;="&amp;$AY39,'Your Accounts'!$AX$6:$AX$185)</f>
        <v>6084151.41</v>
      </c>
      <c r="BA39" s="15" t="n">
        <f aca="false">ROUND($D39*Sensitivity!$C$37+Sensitivity!$D$37,2)</f>
        <v>15012.5</v>
      </c>
      <c r="BB39" s="15" t="n">
        <f aca="false">ROUND($K39-$BE39,2)</f>
        <v>211238.53</v>
      </c>
      <c r="BC39" s="26" t="n">
        <f aca="false">RANK($BB39,'Your Accounts'!$BB$6:$BB$185)</f>
        <v>17</v>
      </c>
      <c r="BD39" s="15" t="n">
        <f aca="false">SUMIF('Your Accounts'!$BC$6:$BC$185,"&lt;="&amp;$BC39,'Your Accounts'!$BB$6:$BB$185)</f>
        <v>6037241.41</v>
      </c>
      <c r="BE39" s="15" t="n">
        <f aca="false">ROUND($D39*Sensitivity!$C$38+Sensitivity!$D$38,2)</f>
        <v>18015</v>
      </c>
      <c r="BF39" s="15" t="n">
        <f aca="false">ROUND($K39-$BI39,2)</f>
        <v>205233.53</v>
      </c>
      <c r="BG39" s="26" t="n">
        <f aca="false">RANK($BF39,'Your Accounts'!$BF$6:$BF$185)</f>
        <v>17</v>
      </c>
      <c r="BH39" s="15" t="n">
        <f aca="false">SUMIF('Your Accounts'!$BG$6:$BG$185,"&lt;="&amp;$BG39,'Your Accounts'!$BF$6:$BF$185)</f>
        <v>5943421.41</v>
      </c>
      <c r="BI39" s="15" t="n">
        <f aca="false">ROUND($D39*Sensitivity!$C$39+Sensitivity!$D$39,2)</f>
        <v>24020</v>
      </c>
      <c r="BJ39" s="15" t="n">
        <f aca="false">ROUND($K39-$BM39,2)</f>
        <v>199228.53</v>
      </c>
      <c r="BK39" s="26" t="n">
        <f aca="false">RANK($BJ39,'Your Accounts'!$BJ$6:$BJ$185)</f>
        <v>17</v>
      </c>
      <c r="BL39" s="15" t="n">
        <f aca="false">SUMIF('Your Accounts'!$BK$6:$BK$185,"&lt;="&amp;$BK39,'Your Accounts'!$BJ$6:$BJ$185)</f>
        <v>5849601.41</v>
      </c>
      <c r="BM39" s="15" t="n">
        <f aca="false">ROUND($D39*Sensitivity!$C$40+Sensitivity!$D$40,2)</f>
        <v>30025</v>
      </c>
      <c r="BN39" s="15" t="n">
        <f aca="false">ROUND($K39-$BQ39,2)</f>
        <v>193223.53</v>
      </c>
      <c r="BO39" s="26" t="n">
        <f aca="false">RANK($BN39,'Your Accounts'!$BN$6:$BN$185)</f>
        <v>17</v>
      </c>
      <c r="BP39" s="15" t="n">
        <f aca="false">SUMIF('Your Accounts'!$BO$6:$BO$185,"&lt;="&amp;$BO39,'Your Accounts'!$BN$6:$BN$185)</f>
        <v>5755781.41</v>
      </c>
      <c r="BQ39" s="15" t="n">
        <f aca="false">ROUND($D39*Sensitivity!$C$41+Sensitivity!$D$41,2)</f>
        <v>36030</v>
      </c>
    </row>
    <row r="40" customFormat="false" ht="15" hidden="false" customHeight="false" outlineLevel="0" collapsed="false">
      <c r="B40" s="18" t="s">
        <v>150</v>
      </c>
      <c r="C40" s="18" t="s">
        <v>128</v>
      </c>
      <c r="D40" s="24" t="n">
        <v>20</v>
      </c>
      <c r="E40" s="26" t="n">
        <f aca="false">SUMIF('Your Lines'!$B$6:$B$463,$B40,'Your Lines'!$E$6:$E$463)</f>
        <v>8650</v>
      </c>
      <c r="F40" s="15" t="n">
        <f aca="false">ROUND(SUMIF('Your Lines'!$B$6:$B$463,$B40,'Your Lines'!$J$6:$J$463),2)</f>
        <v>732924</v>
      </c>
      <c r="G40" s="15" t="n">
        <f aca="false">ROUND(SUMIF('Your Lines'!$B$6:$B$463,$B40,'Your Lines'!$G$6:$G$463),2)</f>
        <v>585091.15</v>
      </c>
      <c r="H40" s="25" t="n">
        <f aca="false">$G40/$F40</f>
        <v>0.798297163143791</v>
      </c>
      <c r="I40" s="15" t="n">
        <f aca="false">ROUND(SUMIF('Your Lines'!$B$6:$B$463,$B40,'Your Lines'!$K$6:$K$463),2)</f>
        <v>415168</v>
      </c>
      <c r="J40" s="15" t="n">
        <f aca="false">ROUND(SUMIF('Your Lines'!$B$6:$B$463,$B40,'Your Lines'!$L$6:$L$463),2)</f>
        <v>13192.59</v>
      </c>
      <c r="K40" s="15" t="n">
        <f aca="false">ROUND($G40-$I40-$J40,2)</f>
        <v>156730.56</v>
      </c>
      <c r="L40" s="15" t="n">
        <f aca="false">ROUND($D40*'Your Inputs'!$C$40+'Your Inputs'!$C$41,2)</f>
        <v>9400</v>
      </c>
      <c r="M40" s="15" t="n">
        <f aca="false">ROUND($K40-$L40,2)</f>
        <v>147330.56</v>
      </c>
      <c r="N40" s="26" t="n">
        <f aca="false">RANK($M40,'Your Accounts'!$M$6:$M$185)</f>
        <v>22</v>
      </c>
      <c r="O40" s="15" t="n">
        <f aca="false">SUMIF('Your Accounts'!$N$6:$N$185,"&lt;="&amp;$N40,'Your Accounts'!$M$6:$M$185)</f>
        <v>6987851.79</v>
      </c>
      <c r="P40" s="15"/>
      <c r="Q40" s="26" t="n">
        <f aca="false">COUNTIFS('Your Lines'!$B$6:$B$463,$B40,'Your Lines'!$R$6:$R$463,"below the floor")</f>
        <v>0</v>
      </c>
      <c r="R40" s="15" t="n">
        <f aca="false">IF(Q40&gt;0,$K40,0)</f>
        <v>0</v>
      </c>
      <c r="AN40" s="15" t="n">
        <f aca="false">IF(VLOOKUP($C40,'Your Floors'!$B$53:$F$56,5,FALSE())="yes",0,$R40)</f>
        <v>0</v>
      </c>
      <c r="AP40" s="15" t="n">
        <f aca="false">ROUND($K40-$AS40,2)</f>
        <v>152030.56</v>
      </c>
      <c r="AQ40" s="26" t="n">
        <f aca="false">RANK($AP40,'Your Accounts'!$AP$6:$AP$185)</f>
        <v>22</v>
      </c>
      <c r="AR40" s="15" t="n">
        <f aca="false">SUMIF('Your Accounts'!$AQ$6:$AQ$185,"&lt;="&amp;$AQ40,'Your Accounts'!$AP$6:$AP$185)</f>
        <v>7104736.79</v>
      </c>
      <c r="AS40" s="15" t="n">
        <f aca="false">ROUND($D40*Sensitivity!$C$35+Sensitivity!$D$35,2)</f>
        <v>4700</v>
      </c>
      <c r="AT40" s="15" t="n">
        <f aca="false">ROUND($K40-$AW40,2)</f>
        <v>147330.56</v>
      </c>
      <c r="AU40" s="26" t="n">
        <f aca="false">RANK($AT40,'Your Accounts'!$AT$6:$AT$185)</f>
        <v>22</v>
      </c>
      <c r="AV40" s="15" t="n">
        <f aca="false">SUMIF('Your Accounts'!$AU$6:$AU$185,"&lt;="&amp;$AU40,'Your Accounts'!$AT$6:$AT$185)</f>
        <v>6987851.79</v>
      </c>
      <c r="AW40" s="15" t="n">
        <f aca="false">ROUND($D40*Sensitivity!$C$36+Sensitivity!$D$36,2)</f>
        <v>9400</v>
      </c>
      <c r="AX40" s="15" t="n">
        <f aca="false">ROUND($K40-$BA40,2)</f>
        <v>144980.56</v>
      </c>
      <c r="AY40" s="26" t="n">
        <f aca="false">RANK($AX40,'Your Accounts'!$AX$6:$AX$185)</f>
        <v>22</v>
      </c>
      <c r="AZ40" s="15" t="n">
        <f aca="false">SUMIF('Your Accounts'!$AY$6:$AY$185,"&lt;="&amp;$AY40,'Your Accounts'!$AX$6:$AX$185)</f>
        <v>6929409.29</v>
      </c>
      <c r="BA40" s="15" t="n">
        <f aca="false">ROUND($D40*Sensitivity!$C$37+Sensitivity!$D$37,2)</f>
        <v>11750</v>
      </c>
      <c r="BB40" s="15" t="n">
        <f aca="false">ROUND($K40-$BE40,2)</f>
        <v>142630.56</v>
      </c>
      <c r="BC40" s="26" t="n">
        <f aca="false">RANK($BB40,'Your Accounts'!$BB$6:$BB$185)</f>
        <v>22</v>
      </c>
      <c r="BD40" s="15" t="n">
        <f aca="false">SUMIF('Your Accounts'!$BC$6:$BC$185,"&lt;="&amp;$BC40,'Your Accounts'!$BB$6:$BB$185)</f>
        <v>6870966.79</v>
      </c>
      <c r="BE40" s="15" t="n">
        <f aca="false">ROUND($D40*Sensitivity!$C$38+Sensitivity!$D$38,2)</f>
        <v>14100</v>
      </c>
      <c r="BF40" s="15" t="n">
        <f aca="false">ROUND($K40-$BI40,2)</f>
        <v>137930.56</v>
      </c>
      <c r="BG40" s="26" t="n">
        <f aca="false">RANK($BF40,'Your Accounts'!$BF$6:$BF$185)</f>
        <v>22</v>
      </c>
      <c r="BH40" s="15" t="n">
        <f aca="false">SUMIF('Your Accounts'!$BG$6:$BG$185,"&lt;="&amp;$BG40,'Your Accounts'!$BF$6:$BF$185)</f>
        <v>6754081.79</v>
      </c>
      <c r="BI40" s="15" t="n">
        <f aca="false">ROUND($D40*Sensitivity!$C$39+Sensitivity!$D$39,2)</f>
        <v>18800</v>
      </c>
      <c r="BJ40" s="15" t="n">
        <f aca="false">ROUND($K40-$BM40,2)</f>
        <v>133230.56</v>
      </c>
      <c r="BK40" s="26" t="n">
        <f aca="false">RANK($BJ40,'Your Accounts'!$BJ$6:$BJ$185)</f>
        <v>22</v>
      </c>
      <c r="BL40" s="15" t="n">
        <f aca="false">SUMIF('Your Accounts'!$BK$6:$BK$185,"&lt;="&amp;$BK40,'Your Accounts'!$BJ$6:$BJ$185)</f>
        <v>6637196.79</v>
      </c>
      <c r="BM40" s="15" t="n">
        <f aca="false">ROUND($D40*Sensitivity!$C$40+Sensitivity!$D$40,2)</f>
        <v>23500</v>
      </c>
      <c r="BN40" s="15" t="n">
        <f aca="false">ROUND($K40-$BQ40,2)</f>
        <v>128530.56</v>
      </c>
      <c r="BO40" s="26" t="n">
        <f aca="false">RANK($BN40,'Your Accounts'!$BN$6:$BN$185)</f>
        <v>22</v>
      </c>
      <c r="BP40" s="15" t="n">
        <f aca="false">SUMIF('Your Accounts'!$BO$6:$BO$185,"&lt;="&amp;$BO40,'Your Accounts'!$BN$6:$BN$185)</f>
        <v>6520311.79</v>
      </c>
      <c r="BQ40" s="15" t="n">
        <f aca="false">ROUND($D40*Sensitivity!$C$41+Sensitivity!$D$41,2)</f>
        <v>28200</v>
      </c>
    </row>
    <row r="41" customFormat="false" ht="15" hidden="false" customHeight="false" outlineLevel="0" collapsed="false">
      <c r="B41" s="18" t="s">
        <v>151</v>
      </c>
      <c r="C41" s="18" t="s">
        <v>128</v>
      </c>
      <c r="D41" s="24" t="n">
        <v>38</v>
      </c>
      <c r="E41" s="26" t="n">
        <f aca="false">SUMIF('Your Lines'!$B$6:$B$463,$B41,'Your Lines'!$E$6:$E$463)</f>
        <v>15594</v>
      </c>
      <c r="F41" s="15" t="n">
        <f aca="false">ROUND(SUMIF('Your Lines'!$B$6:$B$463,$B41,'Your Lines'!$J$6:$J$463),2)</f>
        <v>1159426</v>
      </c>
      <c r="G41" s="15" t="n">
        <f aca="false">ROUND(SUMIF('Your Lines'!$B$6:$B$463,$B41,'Your Lines'!$G$6:$G$463),2)</f>
        <v>981206.79</v>
      </c>
      <c r="H41" s="25" t="n">
        <f aca="false">$G41/$F41</f>
        <v>0.84628668841306</v>
      </c>
      <c r="I41" s="15" t="n">
        <f aca="false">ROUND(SUMIF('Your Lines'!$B$6:$B$463,$B41,'Your Lines'!$K$6:$K$463),2)</f>
        <v>672250</v>
      </c>
      <c r="J41" s="15" t="n">
        <f aca="false">ROUND(SUMIF('Your Lines'!$B$6:$B$463,$B41,'Your Lines'!$L$6:$L$463),2)</f>
        <v>22000.15</v>
      </c>
      <c r="K41" s="15" t="n">
        <f aca="false">ROUND($G41-$I41-$J41,2)</f>
        <v>286956.64</v>
      </c>
      <c r="L41" s="15" t="n">
        <f aca="false">ROUND($D41*'Your Inputs'!$C$40+'Your Inputs'!$C$41,2)</f>
        <v>12010</v>
      </c>
      <c r="M41" s="15" t="n">
        <f aca="false">ROUND($K41-$L41,2)</f>
        <v>274946.64</v>
      </c>
      <c r="N41" s="26" t="n">
        <f aca="false">RANK($M41,'Your Accounts'!$M$6:$M$185)</f>
        <v>11</v>
      </c>
      <c r="O41" s="15" t="n">
        <f aca="false">SUMIF('Your Accounts'!$N$6:$N$185,"&lt;="&amp;$N41,'Your Accounts'!$M$6:$M$185)</f>
        <v>4683547.8</v>
      </c>
      <c r="P41" s="15"/>
      <c r="Q41" s="26" t="n">
        <f aca="false">COUNTIFS('Your Lines'!$B$6:$B$463,$B41,'Your Lines'!$R$6:$R$463,"below the floor")</f>
        <v>0</v>
      </c>
      <c r="R41" s="15" t="n">
        <f aca="false">IF(Q41&gt;0,$K41,0)</f>
        <v>0</v>
      </c>
      <c r="AN41" s="15" t="n">
        <f aca="false">IF(VLOOKUP($C41,'Your Floors'!$B$53:$F$56,5,FALSE())="yes",0,$R41)</f>
        <v>0</v>
      </c>
      <c r="AP41" s="15" t="n">
        <f aca="false">ROUND($K41-$AS41,2)</f>
        <v>280951.64</v>
      </c>
      <c r="AQ41" s="26" t="n">
        <f aca="false">RANK($AP41,'Your Accounts'!$AP$6:$AP$185)</f>
        <v>11</v>
      </c>
      <c r="AR41" s="15" t="n">
        <f aca="false">SUMIF('Your Accounts'!$AQ$6:$AQ$185,"&lt;="&amp;$AQ41,'Your Accounts'!$AP$6:$AP$185)</f>
        <v>4743222.8</v>
      </c>
      <c r="AS41" s="15" t="n">
        <f aca="false">ROUND($D41*Sensitivity!$C$35+Sensitivity!$D$35,2)</f>
        <v>6005</v>
      </c>
      <c r="AT41" s="15" t="n">
        <f aca="false">ROUND($K41-$AW41,2)</f>
        <v>274946.64</v>
      </c>
      <c r="AU41" s="26" t="n">
        <f aca="false">RANK($AT41,'Your Accounts'!$AT$6:$AT$185)</f>
        <v>11</v>
      </c>
      <c r="AV41" s="15" t="n">
        <f aca="false">SUMIF('Your Accounts'!$AU$6:$AU$185,"&lt;="&amp;$AU41,'Your Accounts'!$AT$6:$AT$185)</f>
        <v>4683547.8</v>
      </c>
      <c r="AW41" s="15" t="n">
        <f aca="false">ROUND($D41*Sensitivity!$C$36+Sensitivity!$D$36,2)</f>
        <v>12010</v>
      </c>
      <c r="AX41" s="15" t="n">
        <f aca="false">ROUND($K41-$BA41,2)</f>
        <v>271944.14</v>
      </c>
      <c r="AY41" s="26" t="n">
        <f aca="false">RANK($AX41,'Your Accounts'!$AX$6:$AX$185)</f>
        <v>11</v>
      </c>
      <c r="AZ41" s="15" t="n">
        <f aca="false">SUMIF('Your Accounts'!$AY$6:$AY$185,"&lt;="&amp;$AY41,'Your Accounts'!$AX$6:$AX$185)</f>
        <v>4653710.3</v>
      </c>
      <c r="BA41" s="15" t="n">
        <f aca="false">ROUND($D41*Sensitivity!$C$37+Sensitivity!$D$37,2)</f>
        <v>15012.5</v>
      </c>
      <c r="BB41" s="15" t="n">
        <f aca="false">ROUND($K41-$BE41,2)</f>
        <v>268941.64</v>
      </c>
      <c r="BC41" s="26" t="n">
        <f aca="false">RANK($BB41,'Your Accounts'!$BB$6:$BB$185)</f>
        <v>11</v>
      </c>
      <c r="BD41" s="15" t="n">
        <f aca="false">SUMIF('Your Accounts'!$BC$6:$BC$185,"&lt;="&amp;$BC41,'Your Accounts'!$BB$6:$BB$185)</f>
        <v>4623872.8</v>
      </c>
      <c r="BE41" s="15" t="n">
        <f aca="false">ROUND($D41*Sensitivity!$C$38+Sensitivity!$D$38,2)</f>
        <v>18015</v>
      </c>
      <c r="BF41" s="15" t="n">
        <f aca="false">ROUND($K41-$BI41,2)</f>
        <v>262936.64</v>
      </c>
      <c r="BG41" s="26" t="n">
        <f aca="false">RANK($BF41,'Your Accounts'!$BF$6:$BF$185)</f>
        <v>11</v>
      </c>
      <c r="BH41" s="15" t="n">
        <f aca="false">SUMIF('Your Accounts'!$BG$6:$BG$185,"&lt;="&amp;$BG41,'Your Accounts'!$BF$6:$BF$185)</f>
        <v>4564197.8</v>
      </c>
      <c r="BI41" s="15" t="n">
        <f aca="false">ROUND($D41*Sensitivity!$C$39+Sensitivity!$D$39,2)</f>
        <v>24020</v>
      </c>
      <c r="BJ41" s="15" t="n">
        <f aca="false">ROUND($K41-$BM41,2)</f>
        <v>256931.64</v>
      </c>
      <c r="BK41" s="26" t="n">
        <f aca="false">RANK($BJ41,'Your Accounts'!$BJ$6:$BJ$185)</f>
        <v>12</v>
      </c>
      <c r="BL41" s="15" t="n">
        <f aca="false">SUMIF('Your Accounts'!$BK$6:$BK$185,"&lt;="&amp;$BK41,'Your Accounts'!$BJ$6:$BJ$185)</f>
        <v>4761791.77</v>
      </c>
      <c r="BM41" s="15" t="n">
        <f aca="false">ROUND($D41*Sensitivity!$C$40+Sensitivity!$D$40,2)</f>
        <v>30025</v>
      </c>
      <c r="BN41" s="15" t="n">
        <f aca="false">ROUND($K41-$BQ41,2)</f>
        <v>250926.64</v>
      </c>
      <c r="BO41" s="26" t="n">
        <f aca="false">RANK($BN41,'Your Accounts'!$BN$6:$BN$185)</f>
        <v>12</v>
      </c>
      <c r="BP41" s="15" t="n">
        <f aca="false">SUMIF('Your Accounts'!$BO$6:$BO$185,"&lt;="&amp;$BO41,'Your Accounts'!$BN$6:$BN$185)</f>
        <v>4697634.27</v>
      </c>
      <c r="BQ41" s="15" t="n">
        <f aca="false">ROUND($D41*Sensitivity!$C$41+Sensitivity!$D$41,2)</f>
        <v>36030</v>
      </c>
    </row>
    <row r="42" customFormat="false" ht="15" hidden="false" customHeight="false" outlineLevel="0" collapsed="false">
      <c r="B42" s="18" t="s">
        <v>152</v>
      </c>
      <c r="C42" s="18" t="s">
        <v>128</v>
      </c>
      <c r="D42" s="24" t="n">
        <v>23</v>
      </c>
      <c r="E42" s="26" t="n">
        <f aca="false">SUMIF('Your Lines'!$B$6:$B$463,$B42,'Your Lines'!$E$6:$E$463)</f>
        <v>13579</v>
      </c>
      <c r="F42" s="15" t="n">
        <f aca="false">ROUND(SUMIF('Your Lines'!$B$6:$B$463,$B42,'Your Lines'!$J$6:$J$463),2)</f>
        <v>897828</v>
      </c>
      <c r="G42" s="15" t="n">
        <f aca="false">ROUND(SUMIF('Your Lines'!$B$6:$B$463,$B42,'Your Lines'!$G$6:$G$463),2)</f>
        <v>697286.32</v>
      </c>
      <c r="H42" s="25" t="n">
        <f aca="false">$G42/$F42</f>
        <v>0.776636861403298</v>
      </c>
      <c r="I42" s="15" t="n">
        <f aca="false">ROUND(SUMIF('Your Lines'!$B$6:$B$463,$B42,'Your Lines'!$K$6:$K$463),2)</f>
        <v>520858</v>
      </c>
      <c r="J42" s="15" t="n">
        <f aca="false">ROUND(SUMIF('Your Lines'!$B$6:$B$463,$B42,'Your Lines'!$L$6:$L$463),2)</f>
        <v>15992.8</v>
      </c>
      <c r="K42" s="15" t="n">
        <f aca="false">ROUND($G42-$I42-$J42,2)</f>
        <v>160435.52</v>
      </c>
      <c r="L42" s="15" t="n">
        <f aca="false">ROUND($D42*'Your Inputs'!$C$40+'Your Inputs'!$C$41,2)</f>
        <v>9835</v>
      </c>
      <c r="M42" s="15" t="n">
        <f aca="false">ROUND($K42-$L42,2)</f>
        <v>150600.52</v>
      </c>
      <c r="N42" s="26" t="n">
        <f aca="false">RANK($M42,'Your Accounts'!$M$6:$M$185)</f>
        <v>21</v>
      </c>
      <c r="O42" s="15" t="n">
        <f aca="false">SUMIF('Your Accounts'!$N$6:$N$185,"&lt;="&amp;$N42,'Your Accounts'!$M$6:$M$185)</f>
        <v>6840521.23</v>
      </c>
      <c r="P42" s="15"/>
      <c r="Q42" s="26" t="n">
        <f aca="false">COUNTIFS('Your Lines'!$B$6:$B$463,$B42,'Your Lines'!$R$6:$R$463,"below the floor")</f>
        <v>0</v>
      </c>
      <c r="R42" s="15" t="n">
        <f aca="false">IF(Q42&gt;0,$K42,0)</f>
        <v>0</v>
      </c>
      <c r="AN42" s="15" t="n">
        <f aca="false">IF(VLOOKUP($C42,'Your Floors'!$B$53:$F$56,5,FALSE())="yes",0,$R42)</f>
        <v>0</v>
      </c>
      <c r="AP42" s="15" t="n">
        <f aca="false">ROUND($K42-$AS42,2)</f>
        <v>155518.02</v>
      </c>
      <c r="AQ42" s="26" t="n">
        <f aca="false">RANK($AP42,'Your Accounts'!$AP$6:$AP$185)</f>
        <v>21</v>
      </c>
      <c r="AR42" s="15" t="n">
        <f aca="false">SUMIF('Your Accounts'!$AQ$6:$AQ$185,"&lt;="&amp;$AQ42,'Your Accounts'!$AP$6:$AP$185)</f>
        <v>6952706.23</v>
      </c>
      <c r="AS42" s="15" t="n">
        <f aca="false">ROUND($D42*Sensitivity!$C$35+Sensitivity!$D$35,2)</f>
        <v>4917.5</v>
      </c>
      <c r="AT42" s="15" t="n">
        <f aca="false">ROUND($K42-$AW42,2)</f>
        <v>150600.52</v>
      </c>
      <c r="AU42" s="26" t="n">
        <f aca="false">RANK($AT42,'Your Accounts'!$AT$6:$AT$185)</f>
        <v>21</v>
      </c>
      <c r="AV42" s="15" t="n">
        <f aca="false">SUMIF('Your Accounts'!$AU$6:$AU$185,"&lt;="&amp;$AU42,'Your Accounts'!$AT$6:$AT$185)</f>
        <v>6840521.23</v>
      </c>
      <c r="AW42" s="15" t="n">
        <f aca="false">ROUND($D42*Sensitivity!$C$36+Sensitivity!$D$36,2)</f>
        <v>9835</v>
      </c>
      <c r="AX42" s="15" t="n">
        <f aca="false">ROUND($K42-$BA42,2)</f>
        <v>148141.77</v>
      </c>
      <c r="AY42" s="26" t="n">
        <f aca="false">RANK($AX42,'Your Accounts'!$AX$6:$AX$185)</f>
        <v>21</v>
      </c>
      <c r="AZ42" s="15" t="n">
        <f aca="false">SUMIF('Your Accounts'!$AY$6:$AY$185,"&lt;="&amp;$AY42,'Your Accounts'!$AX$6:$AX$185)</f>
        <v>6784428.73</v>
      </c>
      <c r="BA42" s="15" t="n">
        <f aca="false">ROUND($D42*Sensitivity!$C$37+Sensitivity!$D$37,2)</f>
        <v>12293.75</v>
      </c>
      <c r="BB42" s="15" t="n">
        <f aca="false">ROUND($K42-$BE42,2)</f>
        <v>145683.02</v>
      </c>
      <c r="BC42" s="26" t="n">
        <f aca="false">RANK($BB42,'Your Accounts'!$BB$6:$BB$185)</f>
        <v>21</v>
      </c>
      <c r="BD42" s="15" t="n">
        <f aca="false">SUMIF('Your Accounts'!$BC$6:$BC$185,"&lt;="&amp;$BC42,'Your Accounts'!$BB$6:$BB$185)</f>
        <v>6728336.23</v>
      </c>
      <c r="BE42" s="15" t="n">
        <f aca="false">ROUND($D42*Sensitivity!$C$38+Sensitivity!$D$38,2)</f>
        <v>14752.5</v>
      </c>
      <c r="BF42" s="15" t="n">
        <f aca="false">ROUND($K42-$BI42,2)</f>
        <v>140765.52</v>
      </c>
      <c r="BG42" s="26" t="n">
        <f aca="false">RANK($BF42,'Your Accounts'!$BF$6:$BF$185)</f>
        <v>21</v>
      </c>
      <c r="BH42" s="15" t="n">
        <f aca="false">SUMIF('Your Accounts'!$BG$6:$BG$185,"&lt;="&amp;$BG42,'Your Accounts'!$BF$6:$BF$185)</f>
        <v>6616151.23</v>
      </c>
      <c r="BI42" s="15" t="n">
        <f aca="false">ROUND($D42*Sensitivity!$C$39+Sensitivity!$D$39,2)</f>
        <v>19670</v>
      </c>
      <c r="BJ42" s="15" t="n">
        <f aca="false">ROUND($K42-$BM42,2)</f>
        <v>135848.02</v>
      </c>
      <c r="BK42" s="26" t="n">
        <f aca="false">RANK($BJ42,'Your Accounts'!$BJ$6:$BJ$185)</f>
        <v>21</v>
      </c>
      <c r="BL42" s="15" t="n">
        <f aca="false">SUMIF('Your Accounts'!$BK$6:$BK$185,"&lt;="&amp;$BK42,'Your Accounts'!$BJ$6:$BJ$185)</f>
        <v>6503966.23</v>
      </c>
      <c r="BM42" s="15" t="n">
        <f aca="false">ROUND($D42*Sensitivity!$C$40+Sensitivity!$D$40,2)</f>
        <v>24587.5</v>
      </c>
      <c r="BN42" s="15" t="n">
        <f aca="false">ROUND($K42-$BQ42,2)</f>
        <v>130930.52</v>
      </c>
      <c r="BO42" s="26" t="n">
        <f aca="false">RANK($BN42,'Your Accounts'!$BN$6:$BN$185)</f>
        <v>21</v>
      </c>
      <c r="BP42" s="15" t="n">
        <f aca="false">SUMIF('Your Accounts'!$BO$6:$BO$185,"&lt;="&amp;$BO42,'Your Accounts'!$BN$6:$BN$185)</f>
        <v>6391781.23</v>
      </c>
      <c r="BQ42" s="15" t="n">
        <f aca="false">ROUND($D42*Sensitivity!$C$41+Sensitivity!$D$41,2)</f>
        <v>29505</v>
      </c>
    </row>
    <row r="43" customFormat="false" ht="15" hidden="false" customHeight="false" outlineLevel="0" collapsed="false">
      <c r="B43" s="18" t="s">
        <v>153</v>
      </c>
      <c r="C43" s="18" t="s">
        <v>128</v>
      </c>
      <c r="D43" s="24" t="n">
        <v>15</v>
      </c>
      <c r="E43" s="26" t="n">
        <f aca="false">SUMIF('Your Lines'!$B$6:$B$463,$B43,'Your Lines'!$E$6:$E$463)</f>
        <v>4836</v>
      </c>
      <c r="F43" s="15" t="n">
        <f aca="false">ROUND(SUMIF('Your Lines'!$B$6:$B$463,$B43,'Your Lines'!$J$6:$J$463),2)</f>
        <v>361600</v>
      </c>
      <c r="G43" s="15" t="n">
        <f aca="false">ROUND(SUMIF('Your Lines'!$B$6:$B$463,$B43,'Your Lines'!$G$6:$G$463),2)</f>
        <v>277201.92</v>
      </c>
      <c r="H43" s="25" t="n">
        <f aca="false">$G43/$F43</f>
        <v>0.766598230088496</v>
      </c>
      <c r="I43" s="15" t="n">
        <f aca="false">ROUND(SUMIF('Your Lines'!$B$6:$B$463,$B43,'Your Lines'!$K$6:$K$463),2)</f>
        <v>209096</v>
      </c>
      <c r="J43" s="15" t="n">
        <f aca="false">ROUND(SUMIF('Your Lines'!$B$6:$B$463,$B43,'Your Lines'!$L$6:$L$463),2)</f>
        <v>6013.05</v>
      </c>
      <c r="K43" s="15" t="n">
        <f aca="false">ROUND($G43-$I43-$J43,2)</f>
        <v>62092.87</v>
      </c>
      <c r="L43" s="15" t="n">
        <f aca="false">ROUND($D43*'Your Inputs'!$C$40+'Your Inputs'!$C$41,2)</f>
        <v>8675</v>
      </c>
      <c r="M43" s="15" t="n">
        <f aca="false">ROUND($K43-$L43,2)</f>
        <v>53417.87</v>
      </c>
      <c r="N43" s="26" t="n">
        <f aca="false">RANK($M43,'Your Accounts'!$M$6:$M$185)</f>
        <v>72</v>
      </c>
      <c r="O43" s="15" t="n">
        <f aca="false">SUMIF('Your Accounts'!$N$6:$N$185,"&lt;="&amp;$N43,'Your Accounts'!$M$6:$M$185)</f>
        <v>11212312.75</v>
      </c>
      <c r="P43" s="15"/>
      <c r="Q43" s="26" t="n">
        <f aca="false">COUNTIFS('Your Lines'!$B$6:$B$463,$B43,'Your Lines'!$R$6:$R$463,"below the floor")</f>
        <v>0</v>
      </c>
      <c r="R43" s="15" t="n">
        <f aca="false">IF(Q43&gt;0,$K43,0)</f>
        <v>0</v>
      </c>
      <c r="AN43" s="15" t="n">
        <f aca="false">IF(VLOOKUP($C43,'Your Floors'!$B$53:$F$56,5,FALSE())="yes",0,$R43)</f>
        <v>0</v>
      </c>
      <c r="AP43" s="15" t="n">
        <f aca="false">ROUND($K43-$AS43,2)</f>
        <v>57755.37</v>
      </c>
      <c r="AQ43" s="26" t="n">
        <f aca="false">RANK($AP43,'Your Accounts'!$AP$6:$AP$185)</f>
        <v>72</v>
      </c>
      <c r="AR43" s="15" t="n">
        <f aca="false">SUMIF('Your Accounts'!$AQ$6:$AQ$185,"&lt;="&amp;$AQ43,'Your Accounts'!$AP$6:$AP$185)</f>
        <v>11572027.75</v>
      </c>
      <c r="AS43" s="15" t="n">
        <f aca="false">ROUND($D43*Sensitivity!$C$35+Sensitivity!$D$35,2)</f>
        <v>4337.5</v>
      </c>
      <c r="AT43" s="15" t="n">
        <f aca="false">ROUND($K43-$AW43,2)</f>
        <v>53417.87</v>
      </c>
      <c r="AU43" s="26" t="n">
        <f aca="false">RANK($AT43,'Your Accounts'!$AT$6:$AT$185)</f>
        <v>72</v>
      </c>
      <c r="AV43" s="15" t="n">
        <f aca="false">SUMIF('Your Accounts'!$AU$6:$AU$185,"&lt;="&amp;$AU43,'Your Accounts'!$AT$6:$AT$185)</f>
        <v>11212312.75</v>
      </c>
      <c r="AW43" s="15" t="n">
        <f aca="false">ROUND($D43*Sensitivity!$C$36+Sensitivity!$D$36,2)</f>
        <v>8675</v>
      </c>
      <c r="AX43" s="15" t="n">
        <f aca="false">ROUND($K43-$BA43,2)</f>
        <v>51249.12</v>
      </c>
      <c r="AY43" s="26" t="n">
        <f aca="false">RANK($AX43,'Your Accounts'!$AX$6:$AX$185)</f>
        <v>72</v>
      </c>
      <c r="AZ43" s="15" t="n">
        <f aca="false">SUMIF('Your Accounts'!$AY$6:$AY$185,"&lt;="&amp;$AY43,'Your Accounts'!$AX$6:$AX$185)</f>
        <v>11032455.25</v>
      </c>
      <c r="BA43" s="15" t="n">
        <f aca="false">ROUND($D43*Sensitivity!$C$37+Sensitivity!$D$37,2)</f>
        <v>10843.75</v>
      </c>
      <c r="BB43" s="15" t="n">
        <f aca="false">ROUND($K43-$BE43,2)</f>
        <v>49080.37</v>
      </c>
      <c r="BC43" s="26" t="n">
        <f aca="false">RANK($BB43,'Your Accounts'!$BB$6:$BB$185)</f>
        <v>72</v>
      </c>
      <c r="BD43" s="15" t="n">
        <f aca="false">SUMIF('Your Accounts'!$BC$6:$BC$185,"&lt;="&amp;$BC43,'Your Accounts'!$BB$6:$BB$185)</f>
        <v>10852597.75</v>
      </c>
      <c r="BE43" s="15" t="n">
        <f aca="false">ROUND($D43*Sensitivity!$C$38+Sensitivity!$D$38,2)</f>
        <v>13012.5</v>
      </c>
      <c r="BF43" s="15" t="n">
        <f aca="false">ROUND($K43-$BI43,2)</f>
        <v>44742.87</v>
      </c>
      <c r="BG43" s="26" t="n">
        <f aca="false">RANK($BF43,'Your Accounts'!$BF$6:$BF$185)</f>
        <v>71</v>
      </c>
      <c r="BH43" s="15" t="n">
        <f aca="false">SUMIF('Your Accounts'!$BG$6:$BG$185,"&lt;="&amp;$BG43,'Your Accounts'!$BF$6:$BF$185)</f>
        <v>10450170.35</v>
      </c>
      <c r="BI43" s="15" t="n">
        <f aca="false">ROUND($D43*Sensitivity!$C$39+Sensitivity!$D$39,2)</f>
        <v>17350</v>
      </c>
      <c r="BJ43" s="15" t="n">
        <f aca="false">ROUND($K43-$BM43,2)</f>
        <v>40405.37</v>
      </c>
      <c r="BK43" s="26" t="n">
        <f aca="false">RANK($BJ43,'Your Accounts'!$BJ$6:$BJ$185)</f>
        <v>69</v>
      </c>
      <c r="BL43" s="15" t="n">
        <f aca="false">SUMIF('Your Accounts'!$BK$6:$BK$185,"&lt;="&amp;$BK43,'Your Accounts'!$BJ$6:$BJ$185)</f>
        <v>10018467.59</v>
      </c>
      <c r="BM43" s="15" t="n">
        <f aca="false">ROUND($D43*Sensitivity!$C$40+Sensitivity!$D$40,2)</f>
        <v>21687.5</v>
      </c>
      <c r="BN43" s="15" t="n">
        <f aca="false">ROUND($K43-$BQ43,2)</f>
        <v>36067.87</v>
      </c>
      <c r="BO43" s="26" t="n">
        <f aca="false">RANK($BN43,'Your Accounts'!$BN$6:$BN$185)</f>
        <v>68</v>
      </c>
      <c r="BP43" s="15" t="n">
        <f aca="false">SUMIF('Your Accounts'!$BO$6:$BO$185,"&lt;="&amp;$BO43,'Your Accounts'!$BN$6:$BN$185)</f>
        <v>9641989.61</v>
      </c>
      <c r="BQ43" s="15" t="n">
        <f aca="false">ROUND($D43*Sensitivity!$C$41+Sensitivity!$D$41,2)</f>
        <v>26025</v>
      </c>
    </row>
    <row r="44" customFormat="false" ht="15" hidden="false" customHeight="false" outlineLevel="0" collapsed="false">
      <c r="B44" s="18" t="s">
        <v>154</v>
      </c>
      <c r="C44" s="18" t="s">
        <v>128</v>
      </c>
      <c r="D44" s="24" t="n">
        <v>25</v>
      </c>
      <c r="E44" s="26" t="n">
        <f aca="false">SUMIF('Your Lines'!$B$6:$B$463,$B44,'Your Lines'!$E$6:$E$463)</f>
        <v>7930</v>
      </c>
      <c r="F44" s="15" t="n">
        <f aca="false">ROUND(SUMIF('Your Lines'!$B$6:$B$463,$B44,'Your Lines'!$J$6:$J$463),2)</f>
        <v>665912</v>
      </c>
      <c r="G44" s="15" t="n">
        <f aca="false">ROUND(SUMIF('Your Lines'!$B$6:$B$463,$B44,'Your Lines'!$G$6:$G$463),2)</f>
        <v>521679.65</v>
      </c>
      <c r="H44" s="25" t="n">
        <f aca="false">$G44/$F44</f>
        <v>0.783406290921323</v>
      </c>
      <c r="I44" s="15" t="n">
        <f aca="false">ROUND(SUMIF('Your Lines'!$B$6:$B$463,$B44,'Your Lines'!$K$6:$K$463),2)</f>
        <v>381964</v>
      </c>
      <c r="J44" s="15" t="n">
        <f aca="false">ROUND(SUMIF('Your Lines'!$B$6:$B$463,$B44,'Your Lines'!$L$6:$L$463),2)</f>
        <v>11567.18</v>
      </c>
      <c r="K44" s="15" t="n">
        <f aca="false">ROUND($G44-$I44-$J44,2)</f>
        <v>128148.47</v>
      </c>
      <c r="L44" s="15" t="n">
        <f aca="false">ROUND($D44*'Your Inputs'!$C$40+'Your Inputs'!$C$41,2)</f>
        <v>10125</v>
      </c>
      <c r="M44" s="15" t="n">
        <f aca="false">ROUND($K44-$L44,2)</f>
        <v>118023.47</v>
      </c>
      <c r="N44" s="26" t="n">
        <f aca="false">RANK($M44,'Your Accounts'!$M$6:$M$185)</f>
        <v>31</v>
      </c>
      <c r="O44" s="15" t="n">
        <f aca="false">SUMIF('Your Accounts'!$N$6:$N$185,"&lt;="&amp;$N44,'Your Accounts'!$M$6:$M$185)</f>
        <v>8161428.26</v>
      </c>
      <c r="P44" s="15"/>
      <c r="Q44" s="26" t="n">
        <f aca="false">COUNTIFS('Your Lines'!$B$6:$B$463,$B44,'Your Lines'!$R$6:$R$463,"below the floor")</f>
        <v>0</v>
      </c>
      <c r="R44" s="15" t="n">
        <f aca="false">IF(Q44&gt;0,$K44,0)</f>
        <v>0</v>
      </c>
      <c r="AN44" s="15" t="n">
        <f aca="false">IF(VLOOKUP($C44,'Your Floors'!$B$53:$F$56,5,FALSE())="yes",0,$R44)</f>
        <v>0</v>
      </c>
      <c r="AP44" s="15" t="n">
        <f aca="false">ROUND($K44-$AS44,2)</f>
        <v>123085.97</v>
      </c>
      <c r="AQ44" s="26" t="n">
        <f aca="false">RANK($AP44,'Your Accounts'!$AP$6:$AP$185)</f>
        <v>31</v>
      </c>
      <c r="AR44" s="15" t="n">
        <f aca="false">SUMIF('Your Accounts'!$AQ$6:$AQ$185,"&lt;="&amp;$AQ44,'Your Accounts'!$AP$6:$AP$185)</f>
        <v>8323005.76</v>
      </c>
      <c r="AS44" s="15" t="n">
        <f aca="false">ROUND($D44*Sensitivity!$C$35+Sensitivity!$D$35,2)</f>
        <v>5062.5</v>
      </c>
      <c r="AT44" s="15" t="n">
        <f aca="false">ROUND($K44-$AW44,2)</f>
        <v>118023.47</v>
      </c>
      <c r="AU44" s="26" t="n">
        <f aca="false">RANK($AT44,'Your Accounts'!$AT$6:$AT$185)</f>
        <v>31</v>
      </c>
      <c r="AV44" s="15" t="n">
        <f aca="false">SUMIF('Your Accounts'!$AU$6:$AU$185,"&lt;="&amp;$AU44,'Your Accounts'!$AT$6:$AT$185)</f>
        <v>8161428.26</v>
      </c>
      <c r="AW44" s="15" t="n">
        <f aca="false">ROUND($D44*Sensitivity!$C$36+Sensitivity!$D$36,2)</f>
        <v>10125</v>
      </c>
      <c r="AX44" s="15" t="n">
        <f aca="false">ROUND($K44-$BA44,2)</f>
        <v>115492.22</v>
      </c>
      <c r="AY44" s="26" t="n">
        <f aca="false">RANK($AX44,'Your Accounts'!$AX$6:$AX$185)</f>
        <v>31</v>
      </c>
      <c r="AZ44" s="15" t="n">
        <f aca="false">SUMIF('Your Accounts'!$AY$6:$AY$185,"&lt;="&amp;$AY44,'Your Accounts'!$AX$6:$AX$185)</f>
        <v>8080639.51</v>
      </c>
      <c r="BA44" s="15" t="n">
        <f aca="false">ROUND($D44*Sensitivity!$C$37+Sensitivity!$D$37,2)</f>
        <v>12656.25</v>
      </c>
      <c r="BB44" s="15" t="n">
        <f aca="false">ROUND($K44-$BE44,2)</f>
        <v>112960.97</v>
      </c>
      <c r="BC44" s="26" t="n">
        <f aca="false">RANK($BB44,'Your Accounts'!$BB$6:$BB$185)</f>
        <v>31</v>
      </c>
      <c r="BD44" s="15" t="n">
        <f aca="false">SUMIF('Your Accounts'!$BC$6:$BC$185,"&lt;="&amp;$BC44,'Your Accounts'!$BB$6:$BB$185)</f>
        <v>7999850.76</v>
      </c>
      <c r="BE44" s="15" t="n">
        <f aca="false">ROUND($D44*Sensitivity!$C$38+Sensitivity!$D$38,2)</f>
        <v>15187.5</v>
      </c>
      <c r="BF44" s="15" t="n">
        <f aca="false">ROUND($K44-$BI44,2)</f>
        <v>107898.47</v>
      </c>
      <c r="BG44" s="26" t="n">
        <f aca="false">RANK($BF44,'Your Accounts'!$BF$6:$BF$185)</f>
        <v>31</v>
      </c>
      <c r="BH44" s="15" t="n">
        <f aca="false">SUMIF('Your Accounts'!$BG$6:$BG$185,"&lt;="&amp;$BG44,'Your Accounts'!$BF$6:$BF$185)</f>
        <v>7838273.26</v>
      </c>
      <c r="BI44" s="15" t="n">
        <f aca="false">ROUND($D44*Sensitivity!$C$39+Sensitivity!$D$39,2)</f>
        <v>20250</v>
      </c>
      <c r="BJ44" s="15" t="n">
        <f aca="false">ROUND($K44-$BM44,2)</f>
        <v>102835.97</v>
      </c>
      <c r="BK44" s="26" t="n">
        <f aca="false">RANK($BJ44,'Your Accounts'!$BJ$6:$BJ$185)</f>
        <v>31</v>
      </c>
      <c r="BL44" s="15" t="n">
        <f aca="false">SUMIF('Your Accounts'!$BK$6:$BK$185,"&lt;="&amp;$BK44,'Your Accounts'!$BJ$6:$BJ$185)</f>
        <v>7676695.76</v>
      </c>
      <c r="BM44" s="15" t="n">
        <f aca="false">ROUND($D44*Sensitivity!$C$40+Sensitivity!$D$40,2)</f>
        <v>25312.5</v>
      </c>
      <c r="BN44" s="15" t="n">
        <f aca="false">ROUND($K44-$BQ44,2)</f>
        <v>97773.47</v>
      </c>
      <c r="BO44" s="26" t="n">
        <f aca="false">RANK($BN44,'Your Accounts'!$BN$6:$BN$185)</f>
        <v>31</v>
      </c>
      <c r="BP44" s="15" t="n">
        <f aca="false">SUMIF('Your Accounts'!$BO$6:$BO$185,"&lt;="&amp;$BO44,'Your Accounts'!$BN$6:$BN$185)</f>
        <v>7515118.26</v>
      </c>
      <c r="BQ44" s="15" t="n">
        <f aca="false">ROUND($D44*Sensitivity!$C$41+Sensitivity!$D$41,2)</f>
        <v>30375</v>
      </c>
    </row>
    <row r="45" customFormat="false" ht="15" hidden="false" customHeight="false" outlineLevel="0" collapsed="false">
      <c r="B45" s="18" t="s">
        <v>155</v>
      </c>
      <c r="C45" s="18" t="s">
        <v>128</v>
      </c>
      <c r="D45" s="24" t="n">
        <v>19</v>
      </c>
      <c r="E45" s="26" t="n">
        <f aca="false">SUMIF('Your Lines'!$B$6:$B$463,$B45,'Your Lines'!$E$6:$E$463)</f>
        <v>8144</v>
      </c>
      <c r="F45" s="15" t="n">
        <f aca="false">ROUND(SUMIF('Your Lines'!$B$6:$B$463,$B45,'Your Lines'!$J$6:$J$463),2)</f>
        <v>600080</v>
      </c>
      <c r="G45" s="15" t="n">
        <f aca="false">ROUND(SUMIF('Your Lines'!$B$6:$B$463,$B45,'Your Lines'!$G$6:$G$463),2)</f>
        <v>422679.22</v>
      </c>
      <c r="H45" s="25" t="n">
        <f aca="false">$G45/$F45</f>
        <v>0.70437145047327</v>
      </c>
      <c r="I45" s="15" t="n">
        <f aca="false">ROUND(SUMIF('Your Lines'!$B$6:$B$463,$B45,'Your Lines'!$K$6:$K$463),2)</f>
        <v>353088</v>
      </c>
      <c r="J45" s="15" t="n">
        <f aca="false">ROUND(SUMIF('Your Lines'!$B$6:$B$463,$B45,'Your Lines'!$L$6:$L$463),2)</f>
        <v>9530.53</v>
      </c>
      <c r="K45" s="15" t="n">
        <f aca="false">ROUND($G45-$I45-$J45,2)</f>
        <v>60060.69</v>
      </c>
      <c r="L45" s="15" t="n">
        <f aca="false">ROUND($D45*'Your Inputs'!$C$40+'Your Inputs'!$C$41,2)</f>
        <v>9255</v>
      </c>
      <c r="M45" s="15" t="n">
        <f aca="false">ROUND($K45-$L45,2)</f>
        <v>50805.69</v>
      </c>
      <c r="N45" s="26" t="n">
        <f aca="false">RANK($M45,'Your Accounts'!$M$6:$M$185)</f>
        <v>75</v>
      </c>
      <c r="O45" s="15" t="n">
        <f aca="false">SUMIF('Your Accounts'!$N$6:$N$185,"&lt;="&amp;$N45,'Your Accounts'!$M$6:$M$185)</f>
        <v>11367023.26</v>
      </c>
      <c r="P45" s="15"/>
      <c r="Q45" s="26" t="n">
        <f aca="false">COUNTIFS('Your Lines'!$B$6:$B$463,$B45,'Your Lines'!$R$6:$R$463,"below the floor")</f>
        <v>3</v>
      </c>
      <c r="R45" s="15" t="n">
        <f aca="false">IF(Q45&gt;0,$K45,0)</f>
        <v>60060.69</v>
      </c>
      <c r="AN45" s="15" t="n">
        <f aca="false">IF(VLOOKUP($C45,'Your Floors'!$B$53:$F$56,5,FALSE())="yes",0,$R45)</f>
        <v>60060.69</v>
      </c>
      <c r="AP45" s="15" t="n">
        <f aca="false">ROUND($K45-$AS45,2)</f>
        <v>55433.19</v>
      </c>
      <c r="AQ45" s="26" t="n">
        <f aca="false">RANK($AP45,'Your Accounts'!$AP$6:$AP$185)</f>
        <v>75</v>
      </c>
      <c r="AR45" s="15" t="n">
        <f aca="false">SUMIF('Your Accounts'!$AQ$6:$AQ$185,"&lt;="&amp;$AQ45,'Your Accounts'!$AP$6:$AP$185)</f>
        <v>11742505.76</v>
      </c>
      <c r="AS45" s="15" t="n">
        <f aca="false">ROUND($D45*Sensitivity!$C$35+Sensitivity!$D$35,2)</f>
        <v>4627.5</v>
      </c>
      <c r="AT45" s="15" t="n">
        <f aca="false">ROUND($K45-$AW45,2)</f>
        <v>50805.69</v>
      </c>
      <c r="AU45" s="26" t="n">
        <f aca="false">RANK($AT45,'Your Accounts'!$AT$6:$AT$185)</f>
        <v>75</v>
      </c>
      <c r="AV45" s="15" t="n">
        <f aca="false">SUMIF('Your Accounts'!$AU$6:$AU$185,"&lt;="&amp;$AU45,'Your Accounts'!$AT$6:$AT$185)</f>
        <v>11367023.26</v>
      </c>
      <c r="AW45" s="15" t="n">
        <f aca="false">ROUND($D45*Sensitivity!$C$36+Sensitivity!$D$36,2)</f>
        <v>9255</v>
      </c>
      <c r="AX45" s="15" t="n">
        <f aca="false">ROUND($K45-$BA45,2)</f>
        <v>48491.94</v>
      </c>
      <c r="AY45" s="26" t="n">
        <f aca="false">RANK($AX45,'Your Accounts'!$AX$6:$AX$185)</f>
        <v>75</v>
      </c>
      <c r="AZ45" s="15" t="n">
        <f aca="false">SUMIF('Your Accounts'!$AY$6:$AY$185,"&lt;="&amp;$AY45,'Your Accounts'!$AX$6:$AX$185)</f>
        <v>11180563.03</v>
      </c>
      <c r="BA45" s="15" t="n">
        <f aca="false">ROUND($D45*Sensitivity!$C$37+Sensitivity!$D$37,2)</f>
        <v>11568.75</v>
      </c>
      <c r="BB45" s="15" t="n">
        <f aca="false">ROUND($K45-$BE45,2)</f>
        <v>46178.19</v>
      </c>
      <c r="BC45" s="26" t="n">
        <f aca="false">RANK($BB45,'Your Accounts'!$BB$6:$BB$185)</f>
        <v>76</v>
      </c>
      <c r="BD45" s="15" t="n">
        <f aca="false">SUMIF('Your Accounts'!$BC$6:$BC$185,"&lt;="&amp;$BC45,'Your Accounts'!$BB$6:$BB$185)</f>
        <v>11040681.99</v>
      </c>
      <c r="BE45" s="15" t="n">
        <f aca="false">ROUND($D45*Sensitivity!$C$38+Sensitivity!$D$38,2)</f>
        <v>13882.5</v>
      </c>
      <c r="BF45" s="15" t="n">
        <f aca="false">ROUND($K45-$BI45,2)</f>
        <v>41550.69</v>
      </c>
      <c r="BG45" s="26" t="n">
        <f aca="false">RANK($BF45,'Your Accounts'!$BF$6:$BF$185)</f>
        <v>76</v>
      </c>
      <c r="BH45" s="15" t="n">
        <f aca="false">SUMIF('Your Accounts'!$BG$6:$BG$185,"&lt;="&amp;$BG45,'Your Accounts'!$BF$6:$BF$185)</f>
        <v>10664486.99</v>
      </c>
      <c r="BI45" s="15" t="n">
        <f aca="false">ROUND($D45*Sensitivity!$C$39+Sensitivity!$D$39,2)</f>
        <v>18510</v>
      </c>
      <c r="BJ45" s="15" t="n">
        <f aca="false">ROUND($K45-$BM45,2)</f>
        <v>36923.19</v>
      </c>
      <c r="BK45" s="26" t="n">
        <f aca="false">RANK($BJ45,'Your Accounts'!$BJ$6:$BJ$185)</f>
        <v>77</v>
      </c>
      <c r="BL45" s="15" t="n">
        <f aca="false">SUMIF('Your Accounts'!$BK$6:$BK$185,"&lt;="&amp;$BK45,'Your Accounts'!$BJ$6:$BJ$185)</f>
        <v>10327017.43</v>
      </c>
      <c r="BM45" s="15" t="n">
        <f aca="false">ROUND($D45*Sensitivity!$C$40+Sensitivity!$D$40,2)</f>
        <v>23137.5</v>
      </c>
      <c r="BN45" s="15" t="n">
        <f aca="false">ROUND($K45-$BQ45,2)</f>
        <v>32295.69</v>
      </c>
      <c r="BO45" s="26" t="n">
        <f aca="false">RANK($BN45,'Your Accounts'!$BN$6:$BN$185)</f>
        <v>76</v>
      </c>
      <c r="BP45" s="15" t="n">
        <f aca="false">SUMIF('Your Accounts'!$BO$6:$BO$185,"&lt;="&amp;$BO45,'Your Accounts'!$BN$6:$BN$185)</f>
        <v>9918644.31</v>
      </c>
      <c r="BQ45" s="15" t="n">
        <f aca="false">ROUND($D45*Sensitivity!$C$41+Sensitivity!$D$41,2)</f>
        <v>27765</v>
      </c>
    </row>
    <row r="46" customFormat="false" ht="15" hidden="false" customHeight="false" outlineLevel="0" collapsed="false">
      <c r="B46" s="18" t="s">
        <v>156</v>
      </c>
      <c r="C46" s="18" t="s">
        <v>157</v>
      </c>
      <c r="D46" s="24" t="n">
        <v>29</v>
      </c>
      <c r="E46" s="26" t="n">
        <f aca="false">SUMIF('Your Lines'!$B$6:$B$463,$B46,'Your Lines'!$E$6:$E$463)</f>
        <v>7398</v>
      </c>
      <c r="F46" s="15" t="n">
        <f aca="false">ROUND(SUMIF('Your Lines'!$B$6:$B$463,$B46,'Your Lines'!$J$6:$J$463),2)</f>
        <v>653460</v>
      </c>
      <c r="G46" s="15" t="n">
        <f aca="false">ROUND(SUMIF('Your Lines'!$B$6:$B$463,$B46,'Your Lines'!$G$6:$G$463),2)</f>
        <v>528508.73</v>
      </c>
      <c r="H46" s="25" t="n">
        <f aca="false">$G46/$F46</f>
        <v>0.808785128393475</v>
      </c>
      <c r="I46" s="15" t="n">
        <f aca="false">ROUND(SUMIF('Your Lines'!$B$6:$B$463,$B46,'Your Lines'!$K$6:$K$463),2)</f>
        <v>373600</v>
      </c>
      <c r="J46" s="15" t="n">
        <f aca="false">ROUND(SUMIF('Your Lines'!$B$6:$B$463,$B46,'Your Lines'!$L$6:$L$463),2)</f>
        <v>11079.85</v>
      </c>
      <c r="K46" s="15" t="n">
        <f aca="false">ROUND($G46-$I46-$J46,2)</f>
        <v>143828.88</v>
      </c>
      <c r="L46" s="15" t="n">
        <f aca="false">ROUND($D46*'Your Inputs'!$C$40+'Your Inputs'!$C$41,2)</f>
        <v>10705</v>
      </c>
      <c r="M46" s="15" t="n">
        <f aca="false">ROUND($K46-$L46,2)</f>
        <v>133123.88</v>
      </c>
      <c r="N46" s="26" t="n">
        <f aca="false">RANK($M46,'Your Accounts'!$M$6:$M$185)</f>
        <v>27</v>
      </c>
      <c r="O46" s="15" t="n">
        <f aca="false">SUMIF('Your Accounts'!$N$6:$N$185,"&lt;="&amp;$N46,'Your Accounts'!$M$6:$M$185)</f>
        <v>7673148.43</v>
      </c>
      <c r="P46" s="15"/>
      <c r="Q46" s="26" t="n">
        <f aca="false">COUNTIFS('Your Lines'!$B$6:$B$463,$B46,'Your Lines'!$R$6:$R$463,"below the floor")</f>
        <v>3</v>
      </c>
      <c r="R46" s="15" t="n">
        <f aca="false">IF(Q46&gt;0,$K46,0)</f>
        <v>143828.88</v>
      </c>
      <c r="AN46" s="15" t="n">
        <f aca="false">IF(VLOOKUP($C46,'Your Floors'!$B$53:$F$56,5,FALSE())="yes",0,$R46)</f>
        <v>143828.88</v>
      </c>
      <c r="AP46" s="15" t="n">
        <f aca="false">ROUND($K46-$AS46,2)</f>
        <v>138476.38</v>
      </c>
      <c r="AQ46" s="26" t="n">
        <f aca="false">RANK($AP46,'Your Accounts'!$AP$6:$AP$185)</f>
        <v>27</v>
      </c>
      <c r="AR46" s="15" t="n">
        <f aca="false">SUMIF('Your Accounts'!$AQ$6:$AQ$185,"&lt;="&amp;$AQ46,'Your Accounts'!$AP$6:$AP$185)</f>
        <v>7815563.43</v>
      </c>
      <c r="AS46" s="15" t="n">
        <f aca="false">ROUND($D46*Sensitivity!$C$35+Sensitivity!$D$35,2)</f>
        <v>5352.5</v>
      </c>
      <c r="AT46" s="15" t="n">
        <f aca="false">ROUND($K46-$AW46,2)</f>
        <v>133123.88</v>
      </c>
      <c r="AU46" s="26" t="n">
        <f aca="false">RANK($AT46,'Your Accounts'!$AT$6:$AT$185)</f>
        <v>27</v>
      </c>
      <c r="AV46" s="15" t="n">
        <f aca="false">SUMIF('Your Accounts'!$AU$6:$AU$185,"&lt;="&amp;$AU46,'Your Accounts'!$AT$6:$AT$185)</f>
        <v>7673148.43</v>
      </c>
      <c r="AW46" s="15" t="n">
        <f aca="false">ROUND($D46*Sensitivity!$C$36+Sensitivity!$D$36,2)</f>
        <v>10705</v>
      </c>
      <c r="AX46" s="15" t="n">
        <f aca="false">ROUND($K46-$BA46,2)</f>
        <v>130447.63</v>
      </c>
      <c r="AY46" s="26" t="n">
        <f aca="false">RANK($AX46,'Your Accounts'!$AX$6:$AX$185)</f>
        <v>27</v>
      </c>
      <c r="AZ46" s="15" t="n">
        <f aca="false">SUMIF('Your Accounts'!$AY$6:$AY$185,"&lt;="&amp;$AY46,'Your Accounts'!$AX$6:$AX$185)</f>
        <v>7601940.93</v>
      </c>
      <c r="BA46" s="15" t="n">
        <f aca="false">ROUND($D46*Sensitivity!$C$37+Sensitivity!$D$37,2)</f>
        <v>13381.25</v>
      </c>
      <c r="BB46" s="15" t="n">
        <f aca="false">ROUND($K46-$BE46,2)</f>
        <v>127771.38</v>
      </c>
      <c r="BC46" s="26" t="n">
        <f aca="false">RANK($BB46,'Your Accounts'!$BB$6:$BB$185)</f>
        <v>27</v>
      </c>
      <c r="BD46" s="15" t="n">
        <f aca="false">SUMIF('Your Accounts'!$BC$6:$BC$185,"&lt;="&amp;$BC46,'Your Accounts'!$BB$6:$BB$185)</f>
        <v>7530733.43</v>
      </c>
      <c r="BE46" s="15" t="n">
        <f aca="false">ROUND($D46*Sensitivity!$C$38+Sensitivity!$D$38,2)</f>
        <v>16057.5</v>
      </c>
      <c r="BF46" s="15" t="n">
        <f aca="false">ROUND($K46-$BI46,2)</f>
        <v>122418.88</v>
      </c>
      <c r="BG46" s="26" t="n">
        <f aca="false">RANK($BF46,'Your Accounts'!$BF$6:$BF$185)</f>
        <v>27</v>
      </c>
      <c r="BH46" s="15" t="n">
        <f aca="false">SUMIF('Your Accounts'!$BG$6:$BG$185,"&lt;="&amp;$BG46,'Your Accounts'!$BF$6:$BF$185)</f>
        <v>7388318.43</v>
      </c>
      <c r="BI46" s="15" t="n">
        <f aca="false">ROUND($D46*Sensitivity!$C$39+Sensitivity!$D$39,2)</f>
        <v>21410</v>
      </c>
      <c r="BJ46" s="15" t="n">
        <f aca="false">ROUND($K46-$BM46,2)</f>
        <v>117066.38</v>
      </c>
      <c r="BK46" s="26" t="n">
        <f aca="false">RANK($BJ46,'Your Accounts'!$BJ$6:$BJ$185)</f>
        <v>27</v>
      </c>
      <c r="BL46" s="15" t="n">
        <f aca="false">SUMIF('Your Accounts'!$BK$6:$BK$185,"&lt;="&amp;$BK46,'Your Accounts'!$BJ$6:$BJ$185)</f>
        <v>7245903.43</v>
      </c>
      <c r="BM46" s="15" t="n">
        <f aca="false">ROUND($D46*Sensitivity!$C$40+Sensitivity!$D$40,2)</f>
        <v>26762.5</v>
      </c>
      <c r="BN46" s="15" t="n">
        <f aca="false">ROUND($K46-$BQ46,2)</f>
        <v>111713.88</v>
      </c>
      <c r="BO46" s="26" t="n">
        <f aca="false">RANK($BN46,'Your Accounts'!$BN$6:$BN$185)</f>
        <v>27</v>
      </c>
      <c r="BP46" s="15" t="n">
        <f aca="false">SUMIF('Your Accounts'!$BO$6:$BO$185,"&lt;="&amp;$BO46,'Your Accounts'!$BN$6:$BN$185)</f>
        <v>7103488.43</v>
      </c>
      <c r="BQ46" s="15" t="n">
        <f aca="false">ROUND($D46*Sensitivity!$C$41+Sensitivity!$D$41,2)</f>
        <v>32115</v>
      </c>
    </row>
    <row r="47" customFormat="false" ht="15" hidden="false" customHeight="false" outlineLevel="0" collapsed="false">
      <c r="B47" s="18" t="s">
        <v>158</v>
      </c>
      <c r="C47" s="18" t="s">
        <v>157</v>
      </c>
      <c r="D47" s="24" t="n">
        <v>7</v>
      </c>
      <c r="E47" s="26" t="n">
        <f aca="false">SUMIF('Your Lines'!$B$6:$B$463,$B47,'Your Lines'!$E$6:$E$463)</f>
        <v>1503</v>
      </c>
      <c r="F47" s="15" t="n">
        <f aca="false">ROUND(SUMIF('Your Lines'!$B$6:$B$463,$B47,'Your Lines'!$J$6:$J$463),2)</f>
        <v>106922</v>
      </c>
      <c r="G47" s="15" t="n">
        <f aca="false">ROUND(SUMIF('Your Lines'!$B$6:$B$463,$B47,'Your Lines'!$G$6:$G$463),2)</f>
        <v>97923.45</v>
      </c>
      <c r="H47" s="25" t="n">
        <f aca="false">$G47/$F47</f>
        <v>0.915840051626419</v>
      </c>
      <c r="I47" s="15" t="n">
        <f aca="false">ROUND(SUMIF('Your Lines'!$B$6:$B$463,$B47,'Your Lines'!$K$6:$K$463),2)</f>
        <v>62996</v>
      </c>
      <c r="J47" s="15" t="n">
        <f aca="false">ROUND(SUMIF('Your Lines'!$B$6:$B$463,$B47,'Your Lines'!$L$6:$L$463),2)</f>
        <v>2052.9</v>
      </c>
      <c r="K47" s="15" t="n">
        <f aca="false">ROUND($G47-$I47-$J47,2)</f>
        <v>32874.55</v>
      </c>
      <c r="L47" s="15" t="n">
        <f aca="false">ROUND($D47*'Your Inputs'!$C$40+'Your Inputs'!$C$41,2)</f>
        <v>7515</v>
      </c>
      <c r="M47" s="15" t="n">
        <f aca="false">ROUND($K47-$L47,2)</f>
        <v>25359.55</v>
      </c>
      <c r="N47" s="26" t="n">
        <f aca="false">RANK($M47,'Your Accounts'!$M$6:$M$185)</f>
        <v>113</v>
      </c>
      <c r="O47" s="15" t="n">
        <f aca="false">SUMIF('Your Accounts'!$N$6:$N$185,"&lt;="&amp;$N47,'Your Accounts'!$M$6:$M$185)</f>
        <v>12734555.22</v>
      </c>
      <c r="P47" s="15"/>
      <c r="Q47" s="26" t="n">
        <f aca="false">COUNTIFS('Your Lines'!$B$6:$B$463,$B47,'Your Lines'!$R$6:$R$463,"below the floor")</f>
        <v>0</v>
      </c>
      <c r="R47" s="15" t="n">
        <f aca="false">IF(Q47&gt;0,$K47,0)</f>
        <v>0</v>
      </c>
      <c r="AN47" s="15" t="n">
        <f aca="false">IF(VLOOKUP($C47,'Your Floors'!$B$53:$F$56,5,FALSE())="yes",0,$R47)</f>
        <v>0</v>
      </c>
      <c r="AP47" s="15" t="n">
        <f aca="false">ROUND($K47-$AS47,2)</f>
        <v>29117.05</v>
      </c>
      <c r="AQ47" s="26" t="n">
        <f aca="false">RANK($AP47,'Your Accounts'!$AP$6:$AP$185)</f>
        <v>114</v>
      </c>
      <c r="AR47" s="15" t="n">
        <f aca="false">SUMIF('Your Accounts'!$AQ$6:$AQ$185,"&lt;="&amp;$AQ47,'Your Accounts'!$AP$6:$AP$185)</f>
        <v>13317678.98</v>
      </c>
      <c r="AS47" s="15" t="n">
        <f aca="false">ROUND($D47*Sensitivity!$C$35+Sensitivity!$D$35,2)</f>
        <v>3757.5</v>
      </c>
      <c r="AT47" s="15" t="n">
        <f aca="false">ROUND($K47-$AW47,2)</f>
        <v>25359.55</v>
      </c>
      <c r="AU47" s="26" t="n">
        <f aca="false">RANK($AT47,'Your Accounts'!$AT$6:$AT$185)</f>
        <v>113</v>
      </c>
      <c r="AV47" s="15" t="n">
        <f aca="false">SUMIF('Your Accounts'!$AU$6:$AU$185,"&lt;="&amp;$AU47,'Your Accounts'!$AT$6:$AT$185)</f>
        <v>12734555.22</v>
      </c>
      <c r="AW47" s="15" t="n">
        <f aca="false">ROUND($D47*Sensitivity!$C$36+Sensitivity!$D$36,2)</f>
        <v>7515</v>
      </c>
      <c r="AX47" s="15" t="n">
        <f aca="false">ROUND($K47-$BA47,2)</f>
        <v>23480.8</v>
      </c>
      <c r="AY47" s="26" t="n">
        <f aca="false">RANK($AX47,'Your Accounts'!$AX$6:$AX$185)</f>
        <v>111</v>
      </c>
      <c r="AZ47" s="15" t="n">
        <f aca="false">SUMIF('Your Accounts'!$AY$6:$AY$185,"&lt;="&amp;$AY47,'Your Accounts'!$AX$6:$AX$185)</f>
        <v>12412074.71</v>
      </c>
      <c r="BA47" s="15" t="n">
        <f aca="false">ROUND($D47*Sensitivity!$C$37+Sensitivity!$D$37,2)</f>
        <v>9393.75</v>
      </c>
      <c r="BB47" s="15" t="n">
        <f aca="false">ROUND($K47-$BE47,2)</f>
        <v>21602.05</v>
      </c>
      <c r="BC47" s="26" t="n">
        <f aca="false">RANK($BB47,'Your Accounts'!$BB$6:$BB$185)</f>
        <v>111</v>
      </c>
      <c r="BD47" s="15" t="n">
        <f aca="false">SUMIF('Your Accounts'!$BC$6:$BC$185,"&lt;="&amp;$BC47,'Your Accounts'!$BB$6:$BB$185)</f>
        <v>12141038.46</v>
      </c>
      <c r="BE47" s="15" t="n">
        <f aca="false">ROUND($D47*Sensitivity!$C$38+Sensitivity!$D$38,2)</f>
        <v>11272.5</v>
      </c>
      <c r="BF47" s="15" t="n">
        <f aca="false">ROUND($K47-$BI47,2)</f>
        <v>17844.55</v>
      </c>
      <c r="BG47" s="26" t="n">
        <f aca="false">RANK($BF47,'Your Accounts'!$BF$6:$BF$185)</f>
        <v>110</v>
      </c>
      <c r="BH47" s="15" t="n">
        <f aca="false">SUMIF('Your Accounts'!$BG$6:$BG$185,"&lt;="&amp;$BG47,'Your Accounts'!$BF$6:$BF$185)</f>
        <v>11581346.51</v>
      </c>
      <c r="BI47" s="15" t="n">
        <f aca="false">ROUND($D47*Sensitivity!$C$39+Sensitivity!$D$39,2)</f>
        <v>15030</v>
      </c>
      <c r="BJ47" s="15" t="n">
        <f aca="false">ROUND($K47-$BM47,2)</f>
        <v>14087.05</v>
      </c>
      <c r="BK47" s="26" t="n">
        <f aca="false">RANK($BJ47,'Your Accounts'!$BJ$6:$BJ$185)</f>
        <v>105</v>
      </c>
      <c r="BL47" s="15" t="n">
        <f aca="false">SUMIF('Your Accounts'!$BK$6:$BK$185,"&lt;="&amp;$BK47,'Your Accounts'!$BJ$6:$BJ$185)</f>
        <v>10978936.58</v>
      </c>
      <c r="BM47" s="15" t="n">
        <f aca="false">ROUND($D47*Sensitivity!$C$40+Sensitivity!$D$40,2)</f>
        <v>18787.5</v>
      </c>
      <c r="BN47" s="15" t="n">
        <f aca="false">ROUND($K47-$BQ47,2)</f>
        <v>10329.55</v>
      </c>
      <c r="BO47" s="26" t="n">
        <f aca="false">RANK($BN47,'Your Accounts'!$BN$6:$BN$185)</f>
        <v>103</v>
      </c>
      <c r="BP47" s="15" t="n">
        <f aca="false">SUMIF('Your Accounts'!$BO$6:$BO$185,"&lt;="&amp;$BO47,'Your Accounts'!$BN$6:$BN$185)</f>
        <v>10448987.39</v>
      </c>
      <c r="BQ47" s="15" t="n">
        <f aca="false">ROUND($D47*Sensitivity!$C$41+Sensitivity!$D$41,2)</f>
        <v>22545</v>
      </c>
    </row>
    <row r="48" customFormat="false" ht="15" hidden="false" customHeight="false" outlineLevel="0" collapsed="false">
      <c r="B48" s="18" t="s">
        <v>159</v>
      </c>
      <c r="C48" s="18" t="s">
        <v>157</v>
      </c>
      <c r="D48" s="24" t="n">
        <v>9</v>
      </c>
      <c r="E48" s="26" t="n">
        <f aca="false">SUMIF('Your Lines'!$B$6:$B$463,$B48,'Your Lines'!$E$6:$E$463)</f>
        <v>1999</v>
      </c>
      <c r="F48" s="15" t="n">
        <f aca="false">ROUND(SUMIF('Your Lines'!$B$6:$B$463,$B48,'Your Lines'!$J$6:$J$463),2)</f>
        <v>184668</v>
      </c>
      <c r="G48" s="15" t="n">
        <f aca="false">ROUND(SUMIF('Your Lines'!$B$6:$B$463,$B48,'Your Lines'!$G$6:$G$463),2)</f>
        <v>171932.51</v>
      </c>
      <c r="H48" s="25" t="n">
        <f aca="false">$G48/$F48</f>
        <v>0.9310357506444</v>
      </c>
      <c r="I48" s="15" t="n">
        <f aca="false">ROUND(SUMIF('Your Lines'!$B$6:$B$463,$B48,'Your Lines'!$K$6:$K$463),2)</f>
        <v>104218</v>
      </c>
      <c r="J48" s="15" t="n">
        <f aca="false">ROUND(SUMIF('Your Lines'!$B$6:$B$463,$B48,'Your Lines'!$L$6:$L$463),2)</f>
        <v>3459.4</v>
      </c>
      <c r="K48" s="15" t="n">
        <f aca="false">ROUND($G48-$I48-$J48,2)</f>
        <v>64255.11</v>
      </c>
      <c r="L48" s="15" t="n">
        <f aca="false">ROUND($D48*'Your Inputs'!$C$40+'Your Inputs'!$C$41,2)</f>
        <v>7805</v>
      </c>
      <c r="M48" s="15" t="n">
        <f aca="false">ROUND($K48-$L48,2)</f>
        <v>56450.11</v>
      </c>
      <c r="N48" s="26" t="n">
        <f aca="false">RANK($M48,'Your Accounts'!$M$6:$M$185)</f>
        <v>67</v>
      </c>
      <c r="O48" s="15" t="n">
        <f aca="false">SUMIF('Your Accounts'!$N$6:$N$185,"&lt;="&amp;$N48,'Your Accounts'!$M$6:$M$185)</f>
        <v>10938448.23</v>
      </c>
      <c r="P48" s="15"/>
      <c r="Q48" s="26" t="n">
        <f aca="false">COUNTIFS('Your Lines'!$B$6:$B$463,$B48,'Your Lines'!$R$6:$R$463,"below the floor")</f>
        <v>0</v>
      </c>
      <c r="R48" s="15" t="n">
        <f aca="false">IF(Q48&gt;0,$K48,0)</f>
        <v>0</v>
      </c>
      <c r="AN48" s="15" t="n">
        <f aca="false">IF(VLOOKUP($C48,'Your Floors'!$B$53:$F$56,5,FALSE())="yes",0,$R48)</f>
        <v>0</v>
      </c>
      <c r="AP48" s="15" t="n">
        <f aca="false">ROUND($K48-$AS48,2)</f>
        <v>60352.61</v>
      </c>
      <c r="AQ48" s="26" t="n">
        <f aca="false">RANK($AP48,'Your Accounts'!$AP$6:$AP$185)</f>
        <v>68</v>
      </c>
      <c r="AR48" s="15" t="n">
        <f aca="false">SUMIF('Your Accounts'!$AQ$6:$AQ$185,"&lt;="&amp;$AQ48,'Your Accounts'!$AP$6:$AP$185)</f>
        <v>11337275.63</v>
      </c>
      <c r="AS48" s="15" t="n">
        <f aca="false">ROUND($D48*Sensitivity!$C$35+Sensitivity!$D$35,2)</f>
        <v>3902.5</v>
      </c>
      <c r="AT48" s="15" t="n">
        <f aca="false">ROUND($K48-$AW48,2)</f>
        <v>56450.11</v>
      </c>
      <c r="AU48" s="26" t="n">
        <f aca="false">RANK($AT48,'Your Accounts'!$AT$6:$AT$185)</f>
        <v>67</v>
      </c>
      <c r="AV48" s="15" t="n">
        <f aca="false">SUMIF('Your Accounts'!$AU$6:$AU$185,"&lt;="&amp;$AU48,'Your Accounts'!$AT$6:$AT$185)</f>
        <v>10938448.23</v>
      </c>
      <c r="AW48" s="15" t="n">
        <f aca="false">ROUND($D48*Sensitivity!$C$36+Sensitivity!$D$36,2)</f>
        <v>7805</v>
      </c>
      <c r="AX48" s="15" t="n">
        <f aca="false">ROUND($K48-$BA48,2)</f>
        <v>54498.86</v>
      </c>
      <c r="AY48" s="26" t="n">
        <f aca="false">RANK($AX48,'Your Accounts'!$AX$6:$AX$185)</f>
        <v>66</v>
      </c>
      <c r="AZ48" s="15" t="n">
        <f aca="false">SUMIF('Your Accounts'!$AY$6:$AY$185,"&lt;="&amp;$AY48,'Your Accounts'!$AX$6:$AX$185)</f>
        <v>10715554.56</v>
      </c>
      <c r="BA48" s="15" t="n">
        <f aca="false">ROUND($D48*Sensitivity!$C$37+Sensitivity!$D$37,2)</f>
        <v>9756.25</v>
      </c>
      <c r="BB48" s="15" t="n">
        <f aca="false">ROUND($K48-$BE48,2)</f>
        <v>52547.61</v>
      </c>
      <c r="BC48" s="26" t="n">
        <f aca="false">RANK($BB48,'Your Accounts'!$BB$6:$BB$185)</f>
        <v>66</v>
      </c>
      <c r="BD48" s="15" t="n">
        <f aca="false">SUMIF('Your Accounts'!$BC$6:$BC$185,"&lt;="&amp;$BC48,'Your Accounts'!$BB$6:$BB$185)</f>
        <v>10550142.92</v>
      </c>
      <c r="BE48" s="15" t="n">
        <f aca="false">ROUND($D48*Sensitivity!$C$38+Sensitivity!$D$38,2)</f>
        <v>11707.5</v>
      </c>
      <c r="BF48" s="15" t="n">
        <f aca="false">ROUND($K48-$BI48,2)</f>
        <v>48645.11</v>
      </c>
      <c r="BG48" s="26" t="n">
        <f aca="false">RANK($BF48,'Your Accounts'!$BF$6:$BF$185)</f>
        <v>64</v>
      </c>
      <c r="BH48" s="15" t="n">
        <f aca="false">SUMIF('Your Accounts'!$BG$6:$BG$185,"&lt;="&amp;$BG48,'Your Accounts'!$BF$6:$BF$185)</f>
        <v>10125736.1</v>
      </c>
      <c r="BI48" s="15" t="n">
        <f aca="false">ROUND($D48*Sensitivity!$C$39+Sensitivity!$D$39,2)</f>
        <v>15610</v>
      </c>
      <c r="BJ48" s="15" t="n">
        <f aca="false">ROUND($K48-$BM48,2)</f>
        <v>44742.61</v>
      </c>
      <c r="BK48" s="26" t="n">
        <f aca="false">RANK($BJ48,'Your Accounts'!$BJ$6:$BJ$185)</f>
        <v>64</v>
      </c>
      <c r="BL48" s="15" t="n">
        <f aca="false">SUMIF('Your Accounts'!$BK$6:$BK$185,"&lt;="&amp;$BK48,'Your Accounts'!$BJ$6:$BJ$185)</f>
        <v>9808188.6</v>
      </c>
      <c r="BM48" s="15" t="n">
        <f aca="false">ROUND($D48*Sensitivity!$C$40+Sensitivity!$D$40,2)</f>
        <v>19512.5</v>
      </c>
      <c r="BN48" s="15" t="n">
        <f aca="false">ROUND($K48-$BQ48,2)</f>
        <v>40840.11</v>
      </c>
      <c r="BO48" s="26" t="n">
        <f aca="false">RANK($BN48,'Your Accounts'!$BN$6:$BN$185)</f>
        <v>63</v>
      </c>
      <c r="BP48" s="15" t="n">
        <f aca="false">SUMIF('Your Accounts'!$BO$6:$BO$185,"&lt;="&amp;$BO48,'Your Accounts'!$BN$6:$BN$185)</f>
        <v>9450608.46</v>
      </c>
      <c r="BQ48" s="15" t="n">
        <f aca="false">ROUND($D48*Sensitivity!$C$41+Sensitivity!$D$41,2)</f>
        <v>23415</v>
      </c>
    </row>
    <row r="49" customFormat="false" ht="15" hidden="false" customHeight="false" outlineLevel="0" collapsed="false">
      <c r="B49" s="18" t="s">
        <v>160</v>
      </c>
      <c r="C49" s="18" t="s">
        <v>157</v>
      </c>
      <c r="D49" s="24" t="n">
        <v>29</v>
      </c>
      <c r="E49" s="26" t="n">
        <f aca="false">SUMIF('Your Lines'!$B$6:$B$463,$B49,'Your Lines'!$E$6:$E$463)</f>
        <v>5628</v>
      </c>
      <c r="F49" s="15" t="n">
        <f aca="false">ROUND(SUMIF('Your Lines'!$B$6:$B$463,$B49,'Your Lines'!$J$6:$J$463),2)</f>
        <v>486098</v>
      </c>
      <c r="G49" s="15" t="n">
        <f aca="false">ROUND(SUMIF('Your Lines'!$B$6:$B$463,$B49,'Your Lines'!$G$6:$G$463),2)</f>
        <v>429139.46</v>
      </c>
      <c r="H49" s="25" t="n">
        <f aca="false">$G49/$F49</f>
        <v>0.882824985908191</v>
      </c>
      <c r="I49" s="15" t="n">
        <f aca="false">ROUND(SUMIF('Your Lines'!$B$6:$B$463,$B49,'Your Lines'!$K$6:$K$463),2)</f>
        <v>278054</v>
      </c>
      <c r="J49" s="15" t="n">
        <f aca="false">ROUND(SUMIF('Your Lines'!$B$6:$B$463,$B49,'Your Lines'!$L$6:$L$463),2)</f>
        <v>8996.64</v>
      </c>
      <c r="K49" s="15" t="n">
        <f aca="false">ROUND($G49-$I49-$J49,2)</f>
        <v>142088.82</v>
      </c>
      <c r="L49" s="15" t="n">
        <f aca="false">ROUND($D49*'Your Inputs'!$C$40+'Your Inputs'!$C$41,2)</f>
        <v>10705</v>
      </c>
      <c r="M49" s="15" t="n">
        <f aca="false">ROUND($K49-$L49,2)</f>
        <v>131383.82</v>
      </c>
      <c r="N49" s="26" t="n">
        <f aca="false">RANK($M49,'Your Accounts'!$M$6:$M$185)</f>
        <v>28</v>
      </c>
      <c r="O49" s="15" t="n">
        <f aca="false">SUMIF('Your Accounts'!$N$6:$N$185,"&lt;="&amp;$N49,'Your Accounts'!$M$6:$M$185)</f>
        <v>7804532.25</v>
      </c>
      <c r="P49" s="15"/>
      <c r="Q49" s="26" t="n">
        <f aca="false">COUNTIFS('Your Lines'!$B$6:$B$463,$B49,'Your Lines'!$R$6:$R$463,"below the floor")</f>
        <v>0</v>
      </c>
      <c r="R49" s="15" t="n">
        <f aca="false">IF(Q49&gt;0,$K49,0)</f>
        <v>0</v>
      </c>
      <c r="AN49" s="15" t="n">
        <f aca="false">IF(VLOOKUP($C49,'Your Floors'!$B$53:$F$56,5,FALSE())="yes",0,$R49)</f>
        <v>0</v>
      </c>
      <c r="AP49" s="15" t="n">
        <f aca="false">ROUND($K49-$AS49,2)</f>
        <v>136736.32</v>
      </c>
      <c r="AQ49" s="26" t="n">
        <f aca="false">RANK($AP49,'Your Accounts'!$AP$6:$AP$185)</f>
        <v>28</v>
      </c>
      <c r="AR49" s="15" t="n">
        <f aca="false">SUMIF('Your Accounts'!$AQ$6:$AQ$185,"&lt;="&amp;$AQ49,'Your Accounts'!$AP$6:$AP$185)</f>
        <v>7952299.75</v>
      </c>
      <c r="AS49" s="15" t="n">
        <f aca="false">ROUND($D49*Sensitivity!$C$35+Sensitivity!$D$35,2)</f>
        <v>5352.5</v>
      </c>
      <c r="AT49" s="15" t="n">
        <f aca="false">ROUND($K49-$AW49,2)</f>
        <v>131383.82</v>
      </c>
      <c r="AU49" s="26" t="n">
        <f aca="false">RANK($AT49,'Your Accounts'!$AT$6:$AT$185)</f>
        <v>28</v>
      </c>
      <c r="AV49" s="15" t="n">
        <f aca="false">SUMIF('Your Accounts'!$AU$6:$AU$185,"&lt;="&amp;$AU49,'Your Accounts'!$AT$6:$AT$185)</f>
        <v>7804532.25</v>
      </c>
      <c r="AW49" s="15" t="n">
        <f aca="false">ROUND($D49*Sensitivity!$C$36+Sensitivity!$D$36,2)</f>
        <v>10705</v>
      </c>
      <c r="AX49" s="15" t="n">
        <f aca="false">ROUND($K49-$BA49,2)</f>
        <v>128707.57</v>
      </c>
      <c r="AY49" s="26" t="n">
        <f aca="false">RANK($AX49,'Your Accounts'!$AX$6:$AX$185)</f>
        <v>28</v>
      </c>
      <c r="AZ49" s="15" t="n">
        <f aca="false">SUMIF('Your Accounts'!$AY$6:$AY$185,"&lt;="&amp;$AY49,'Your Accounts'!$AX$6:$AX$185)</f>
        <v>7730648.5</v>
      </c>
      <c r="BA49" s="15" t="n">
        <f aca="false">ROUND($D49*Sensitivity!$C$37+Sensitivity!$D$37,2)</f>
        <v>13381.25</v>
      </c>
      <c r="BB49" s="15" t="n">
        <f aca="false">ROUND($K49-$BE49,2)</f>
        <v>126031.32</v>
      </c>
      <c r="BC49" s="26" t="n">
        <f aca="false">RANK($BB49,'Your Accounts'!$BB$6:$BB$185)</f>
        <v>28</v>
      </c>
      <c r="BD49" s="15" t="n">
        <f aca="false">SUMIF('Your Accounts'!$BC$6:$BC$185,"&lt;="&amp;$BC49,'Your Accounts'!$BB$6:$BB$185)</f>
        <v>7656764.75</v>
      </c>
      <c r="BE49" s="15" t="n">
        <f aca="false">ROUND($D49*Sensitivity!$C$38+Sensitivity!$D$38,2)</f>
        <v>16057.5</v>
      </c>
      <c r="BF49" s="15" t="n">
        <f aca="false">ROUND($K49-$BI49,2)</f>
        <v>120678.82</v>
      </c>
      <c r="BG49" s="26" t="n">
        <f aca="false">RANK($BF49,'Your Accounts'!$BF$6:$BF$185)</f>
        <v>28</v>
      </c>
      <c r="BH49" s="15" t="n">
        <f aca="false">SUMIF('Your Accounts'!$BG$6:$BG$185,"&lt;="&amp;$BG49,'Your Accounts'!$BF$6:$BF$185)</f>
        <v>7508997.25</v>
      </c>
      <c r="BI49" s="15" t="n">
        <f aca="false">ROUND($D49*Sensitivity!$C$39+Sensitivity!$D$39,2)</f>
        <v>21410</v>
      </c>
      <c r="BJ49" s="15" t="n">
        <f aca="false">ROUND($K49-$BM49,2)</f>
        <v>115326.32</v>
      </c>
      <c r="BK49" s="26" t="n">
        <f aca="false">RANK($BJ49,'Your Accounts'!$BJ$6:$BJ$185)</f>
        <v>28</v>
      </c>
      <c r="BL49" s="15" t="n">
        <f aca="false">SUMIF('Your Accounts'!$BK$6:$BK$185,"&lt;="&amp;$BK49,'Your Accounts'!$BJ$6:$BJ$185)</f>
        <v>7361229.75</v>
      </c>
      <c r="BM49" s="15" t="n">
        <f aca="false">ROUND($D49*Sensitivity!$C$40+Sensitivity!$D$40,2)</f>
        <v>26762.5</v>
      </c>
      <c r="BN49" s="15" t="n">
        <f aca="false">ROUND($K49-$BQ49,2)</f>
        <v>109973.82</v>
      </c>
      <c r="BO49" s="26" t="n">
        <f aca="false">RANK($BN49,'Your Accounts'!$BN$6:$BN$185)</f>
        <v>28</v>
      </c>
      <c r="BP49" s="15" t="n">
        <f aca="false">SUMIF('Your Accounts'!$BO$6:$BO$185,"&lt;="&amp;$BO49,'Your Accounts'!$BN$6:$BN$185)</f>
        <v>7213462.25</v>
      </c>
      <c r="BQ49" s="15" t="n">
        <f aca="false">ROUND($D49*Sensitivity!$C$41+Sensitivity!$D$41,2)</f>
        <v>32115</v>
      </c>
    </row>
    <row r="50" customFormat="false" ht="15" hidden="false" customHeight="false" outlineLevel="0" collapsed="false">
      <c r="B50" s="18" t="s">
        <v>161</v>
      </c>
      <c r="C50" s="18" t="s">
        <v>157</v>
      </c>
      <c r="D50" s="24" t="n">
        <v>19</v>
      </c>
      <c r="E50" s="26" t="n">
        <f aca="false">SUMIF('Your Lines'!$B$6:$B$463,$B50,'Your Lines'!$E$6:$E$463)</f>
        <v>2647</v>
      </c>
      <c r="F50" s="15" t="n">
        <f aca="false">ROUND(SUMIF('Your Lines'!$B$6:$B$463,$B50,'Your Lines'!$J$6:$J$463),2)</f>
        <v>232338</v>
      </c>
      <c r="G50" s="15" t="n">
        <f aca="false">ROUND(SUMIF('Your Lines'!$B$6:$B$463,$B50,'Your Lines'!$G$6:$G$463),2)</f>
        <v>184527.76</v>
      </c>
      <c r="H50" s="25" t="n">
        <f aca="false">$G50/$F50</f>
        <v>0.794221177766874</v>
      </c>
      <c r="I50" s="15" t="n">
        <f aca="false">ROUND(SUMIF('Your Lines'!$B$6:$B$463,$B50,'Your Lines'!$K$6:$K$463),2)</f>
        <v>132668</v>
      </c>
      <c r="J50" s="15" t="n">
        <f aca="false">ROUND(SUMIF('Your Lines'!$B$6:$B$463,$B50,'Your Lines'!$L$6:$L$463),2)</f>
        <v>3848.34</v>
      </c>
      <c r="K50" s="15" t="n">
        <f aca="false">ROUND($G50-$I50-$J50,2)</f>
        <v>48011.42</v>
      </c>
      <c r="L50" s="15" t="n">
        <f aca="false">ROUND($D50*'Your Inputs'!$C$40+'Your Inputs'!$C$41,2)</f>
        <v>9255</v>
      </c>
      <c r="M50" s="15" t="n">
        <f aca="false">ROUND($K50-$L50,2)</f>
        <v>38756.42</v>
      </c>
      <c r="N50" s="26" t="n">
        <f aca="false">RANK($M50,'Your Accounts'!$M$6:$M$185)</f>
        <v>88</v>
      </c>
      <c r="O50" s="15" t="n">
        <f aca="false">SUMIF('Your Accounts'!$N$6:$N$185,"&lt;="&amp;$N50,'Your Accounts'!$M$6:$M$185)</f>
        <v>11950999.93</v>
      </c>
      <c r="P50" s="15"/>
      <c r="Q50" s="26" t="n">
        <f aca="false">COUNTIFS('Your Lines'!$B$6:$B$463,$B50,'Your Lines'!$R$6:$R$463,"below the floor")</f>
        <v>3</v>
      </c>
      <c r="R50" s="15" t="n">
        <f aca="false">IF(Q50&gt;0,$K50,0)</f>
        <v>48011.42</v>
      </c>
      <c r="AN50" s="15" t="n">
        <f aca="false">IF(VLOOKUP($C50,'Your Floors'!$B$53:$F$56,5,FALSE())="yes",0,$R50)</f>
        <v>48011.42</v>
      </c>
      <c r="AP50" s="15" t="n">
        <f aca="false">ROUND($K50-$AS50,2)</f>
        <v>43383.92</v>
      </c>
      <c r="AQ50" s="26" t="n">
        <f aca="false">RANK($AP50,'Your Accounts'!$AP$6:$AP$185)</f>
        <v>88</v>
      </c>
      <c r="AR50" s="15" t="n">
        <f aca="false">SUMIF('Your Accounts'!$AQ$6:$AQ$185,"&lt;="&amp;$AQ50,'Your Accounts'!$AP$6:$AP$185)</f>
        <v>12387799.93</v>
      </c>
      <c r="AS50" s="15" t="n">
        <f aca="false">ROUND($D50*Sensitivity!$C$35+Sensitivity!$D$35,2)</f>
        <v>4627.5</v>
      </c>
      <c r="AT50" s="15" t="n">
        <f aca="false">ROUND($K50-$AW50,2)</f>
        <v>38756.42</v>
      </c>
      <c r="AU50" s="26" t="n">
        <f aca="false">RANK($AT50,'Your Accounts'!$AT$6:$AT$185)</f>
        <v>88</v>
      </c>
      <c r="AV50" s="15" t="n">
        <f aca="false">SUMIF('Your Accounts'!$AU$6:$AU$185,"&lt;="&amp;$AU50,'Your Accounts'!$AT$6:$AT$185)</f>
        <v>11950999.93</v>
      </c>
      <c r="AW50" s="15" t="n">
        <f aca="false">ROUND($D50*Sensitivity!$C$36+Sensitivity!$D$36,2)</f>
        <v>9255</v>
      </c>
      <c r="AX50" s="15" t="n">
        <f aca="false">ROUND($K50-$BA50,2)</f>
        <v>36442.67</v>
      </c>
      <c r="AY50" s="26" t="n">
        <f aca="false">RANK($AX50,'Your Accounts'!$AX$6:$AX$185)</f>
        <v>87</v>
      </c>
      <c r="AZ50" s="15" t="n">
        <f aca="false">SUMIF('Your Accounts'!$AY$6:$AY$185,"&lt;="&amp;$AY50,'Your Accounts'!$AX$6:$AX$185)</f>
        <v>11696783.16</v>
      </c>
      <c r="BA50" s="15" t="n">
        <f aca="false">ROUND($D50*Sensitivity!$C$37+Sensitivity!$D$37,2)</f>
        <v>11568.75</v>
      </c>
      <c r="BB50" s="15" t="n">
        <f aca="false">ROUND($K50-$BE50,2)</f>
        <v>34128.92</v>
      </c>
      <c r="BC50" s="26" t="n">
        <f aca="false">RANK($BB50,'Your Accounts'!$BB$6:$BB$185)</f>
        <v>86</v>
      </c>
      <c r="BD50" s="15" t="n">
        <f aca="false">SUMIF('Your Accounts'!$BC$6:$BC$185,"&lt;="&amp;$BC50,'Your Accounts'!$BB$6:$BB$185)</f>
        <v>11447643.95</v>
      </c>
      <c r="BE50" s="15" t="n">
        <f aca="false">ROUND($D50*Sensitivity!$C$38+Sensitivity!$D$38,2)</f>
        <v>13882.5</v>
      </c>
      <c r="BF50" s="15" t="n">
        <f aca="false">ROUND($K50-$BI50,2)</f>
        <v>29501.42</v>
      </c>
      <c r="BG50" s="26" t="n">
        <f aca="false">RANK($BF50,'Your Accounts'!$BF$6:$BF$185)</f>
        <v>87</v>
      </c>
      <c r="BH50" s="15" t="n">
        <f aca="false">SUMIF('Your Accounts'!$BG$6:$BG$185,"&lt;="&amp;$BG50,'Your Accounts'!$BF$6:$BF$185)</f>
        <v>11051859.82</v>
      </c>
      <c r="BI50" s="15" t="n">
        <f aca="false">ROUND($D50*Sensitivity!$C$39+Sensitivity!$D$39,2)</f>
        <v>18510</v>
      </c>
      <c r="BJ50" s="15" t="n">
        <f aca="false">ROUND($K50-$BM50,2)</f>
        <v>24873.92</v>
      </c>
      <c r="BK50" s="26" t="n">
        <f aca="false">RANK($BJ50,'Your Accounts'!$BJ$6:$BJ$185)</f>
        <v>87</v>
      </c>
      <c r="BL50" s="15" t="n">
        <f aca="false">SUMIF('Your Accounts'!$BK$6:$BK$185,"&lt;="&amp;$BK50,'Your Accounts'!$BJ$6:$BJ$185)</f>
        <v>10622587.32</v>
      </c>
      <c r="BM50" s="15" t="n">
        <f aca="false">ROUND($D50*Sensitivity!$C$40+Sensitivity!$D$40,2)</f>
        <v>23137.5</v>
      </c>
      <c r="BN50" s="15" t="n">
        <f aca="false">ROUND($K50-$BQ50,2)</f>
        <v>20246.42</v>
      </c>
      <c r="BO50" s="26" t="n">
        <f aca="false">RANK($BN50,'Your Accounts'!$BN$6:$BN$185)</f>
        <v>87</v>
      </c>
      <c r="BP50" s="15" t="n">
        <f aca="false">SUMIF('Your Accounts'!$BO$6:$BO$185,"&lt;="&amp;$BO50,'Your Accounts'!$BN$6:$BN$185)</f>
        <v>10194237.66</v>
      </c>
      <c r="BQ50" s="15" t="n">
        <f aca="false">ROUND($D50*Sensitivity!$C$41+Sensitivity!$D$41,2)</f>
        <v>27765</v>
      </c>
    </row>
    <row r="51" customFormat="false" ht="15" hidden="false" customHeight="false" outlineLevel="0" collapsed="false">
      <c r="B51" s="18" t="s">
        <v>162</v>
      </c>
      <c r="C51" s="18" t="s">
        <v>157</v>
      </c>
      <c r="D51" s="24" t="n">
        <v>13</v>
      </c>
      <c r="E51" s="26" t="n">
        <f aca="false">SUMIF('Your Lines'!$B$6:$B$463,$B51,'Your Lines'!$E$6:$E$463)</f>
        <v>3298</v>
      </c>
      <c r="F51" s="15" t="n">
        <f aca="false">ROUND(SUMIF('Your Lines'!$B$6:$B$463,$B51,'Your Lines'!$J$6:$J$463),2)</f>
        <v>287046</v>
      </c>
      <c r="G51" s="15" t="n">
        <f aca="false">ROUND(SUMIF('Your Lines'!$B$6:$B$463,$B51,'Your Lines'!$G$6:$G$463),2)</f>
        <v>267021.66</v>
      </c>
      <c r="H51" s="25" t="n">
        <f aca="false">$G51/$F51</f>
        <v>0.930239961539265</v>
      </c>
      <c r="I51" s="15" t="n">
        <f aca="false">ROUND(SUMIF('Your Lines'!$B$6:$B$463,$B51,'Your Lines'!$K$6:$K$463),2)</f>
        <v>164022</v>
      </c>
      <c r="J51" s="15" t="n">
        <f aca="false">ROUND(SUMIF('Your Lines'!$B$6:$B$463,$B51,'Your Lines'!$L$6:$L$463),2)</f>
        <v>5511.28</v>
      </c>
      <c r="K51" s="15" t="n">
        <f aca="false">ROUND($G51-$I51-$J51,2)</f>
        <v>97488.38</v>
      </c>
      <c r="L51" s="15" t="n">
        <f aca="false">ROUND($D51*'Your Inputs'!$C$40+'Your Inputs'!$C$41,2)</f>
        <v>8385</v>
      </c>
      <c r="M51" s="15" t="n">
        <f aca="false">ROUND($K51-$L51,2)</f>
        <v>89103.38</v>
      </c>
      <c r="N51" s="26" t="n">
        <f aca="false">RANK($M51,'Your Accounts'!$M$6:$M$185)</f>
        <v>40</v>
      </c>
      <c r="O51" s="15" t="n">
        <f aca="false">SUMIF('Your Accounts'!$N$6:$N$185,"&lt;="&amp;$N51,'Your Accounts'!$M$6:$M$185)</f>
        <v>9064997.04</v>
      </c>
      <c r="P51" s="15"/>
      <c r="Q51" s="26" t="n">
        <f aca="false">COUNTIFS('Your Lines'!$B$6:$B$463,$B51,'Your Lines'!$R$6:$R$463,"below the floor")</f>
        <v>0</v>
      </c>
      <c r="R51" s="15" t="n">
        <f aca="false">IF(Q51&gt;0,$K51,0)</f>
        <v>0</v>
      </c>
      <c r="AN51" s="15" t="n">
        <f aca="false">IF(VLOOKUP($C51,'Your Floors'!$B$53:$F$56,5,FALSE())="yes",0,$R51)</f>
        <v>0</v>
      </c>
      <c r="AP51" s="15" t="n">
        <f aca="false">ROUND($K51-$AS51,2)</f>
        <v>93295.88</v>
      </c>
      <c r="AQ51" s="26" t="n">
        <f aca="false">RANK($AP51,'Your Accounts'!$AP$6:$AP$185)</f>
        <v>40</v>
      </c>
      <c r="AR51" s="15" t="n">
        <f aca="false">SUMIF('Your Accounts'!$AQ$6:$AQ$185,"&lt;="&amp;$AQ51,'Your Accounts'!$AP$6:$AP$185)</f>
        <v>9268367.04</v>
      </c>
      <c r="AS51" s="15" t="n">
        <f aca="false">ROUND($D51*Sensitivity!$C$35+Sensitivity!$D$35,2)</f>
        <v>4192.5</v>
      </c>
      <c r="AT51" s="15" t="n">
        <f aca="false">ROUND($K51-$AW51,2)</f>
        <v>89103.38</v>
      </c>
      <c r="AU51" s="26" t="n">
        <f aca="false">RANK($AT51,'Your Accounts'!$AT$6:$AT$185)</f>
        <v>40</v>
      </c>
      <c r="AV51" s="15" t="n">
        <f aca="false">SUMIF('Your Accounts'!$AU$6:$AU$185,"&lt;="&amp;$AU51,'Your Accounts'!$AT$6:$AT$185)</f>
        <v>9064997.04</v>
      </c>
      <c r="AW51" s="15" t="n">
        <f aca="false">ROUND($D51*Sensitivity!$C$36+Sensitivity!$D$36,2)</f>
        <v>8385</v>
      </c>
      <c r="AX51" s="15" t="n">
        <f aca="false">ROUND($K51-$BA51,2)</f>
        <v>87007.13</v>
      </c>
      <c r="AY51" s="26" t="n">
        <f aca="false">RANK($AX51,'Your Accounts'!$AX$6:$AX$185)</f>
        <v>39</v>
      </c>
      <c r="AZ51" s="15" t="n">
        <f aca="false">SUMIF('Your Accounts'!$AY$6:$AY$185,"&lt;="&amp;$AY51,'Your Accounts'!$AX$6:$AX$185)</f>
        <v>8876877</v>
      </c>
      <c r="BA51" s="15" t="n">
        <f aca="false">ROUND($D51*Sensitivity!$C$37+Sensitivity!$D$37,2)</f>
        <v>10481.25</v>
      </c>
      <c r="BB51" s="15" t="n">
        <f aca="false">ROUND($K51-$BE51,2)</f>
        <v>84910.88</v>
      </c>
      <c r="BC51" s="26" t="n">
        <f aca="false">RANK($BB51,'Your Accounts'!$BB$6:$BB$185)</f>
        <v>39</v>
      </c>
      <c r="BD51" s="15" t="n">
        <f aca="false">SUMIF('Your Accounts'!$BC$6:$BC$185,"&lt;="&amp;$BC51,'Your Accounts'!$BB$6:$BB$185)</f>
        <v>8778122</v>
      </c>
      <c r="BE51" s="15" t="n">
        <f aca="false">ROUND($D51*Sensitivity!$C$38+Sensitivity!$D$38,2)</f>
        <v>12577.5</v>
      </c>
      <c r="BF51" s="15" t="n">
        <f aca="false">ROUND($K51-$BI51,2)</f>
        <v>80718.38</v>
      </c>
      <c r="BG51" s="26" t="n">
        <f aca="false">RANK($BF51,'Your Accounts'!$BF$6:$BF$185)</f>
        <v>39</v>
      </c>
      <c r="BH51" s="15" t="n">
        <f aca="false">SUMIF('Your Accounts'!$BG$6:$BG$185,"&lt;="&amp;$BG51,'Your Accounts'!$BF$6:$BF$185)</f>
        <v>8580612</v>
      </c>
      <c r="BI51" s="15" t="n">
        <f aca="false">ROUND($D51*Sensitivity!$C$39+Sensitivity!$D$39,2)</f>
        <v>16770</v>
      </c>
      <c r="BJ51" s="15" t="n">
        <f aca="false">ROUND($K51-$BM51,2)</f>
        <v>76525.88</v>
      </c>
      <c r="BK51" s="26" t="n">
        <f aca="false">RANK($BJ51,'Your Accounts'!$BJ$6:$BJ$185)</f>
        <v>39</v>
      </c>
      <c r="BL51" s="15" t="n">
        <f aca="false">SUMIF('Your Accounts'!$BK$6:$BK$185,"&lt;="&amp;$BK51,'Your Accounts'!$BJ$6:$BJ$185)</f>
        <v>8383102</v>
      </c>
      <c r="BM51" s="15" t="n">
        <f aca="false">ROUND($D51*Sensitivity!$C$40+Sensitivity!$D$40,2)</f>
        <v>20962.5</v>
      </c>
      <c r="BN51" s="15" t="n">
        <f aca="false">ROUND($K51-$BQ51,2)</f>
        <v>72333.38</v>
      </c>
      <c r="BO51" s="26" t="n">
        <f aca="false">RANK($BN51,'Your Accounts'!$BN$6:$BN$185)</f>
        <v>39</v>
      </c>
      <c r="BP51" s="15" t="n">
        <f aca="false">SUMIF('Your Accounts'!$BO$6:$BO$185,"&lt;="&amp;$BO51,'Your Accounts'!$BN$6:$BN$185)</f>
        <v>8185592</v>
      </c>
      <c r="BQ51" s="15" t="n">
        <f aca="false">ROUND($D51*Sensitivity!$C$41+Sensitivity!$D$41,2)</f>
        <v>25155</v>
      </c>
    </row>
    <row r="52" customFormat="false" ht="15" hidden="false" customHeight="false" outlineLevel="0" collapsed="false">
      <c r="B52" s="18" t="s">
        <v>163</v>
      </c>
      <c r="C52" s="18" t="s">
        <v>157</v>
      </c>
      <c r="D52" s="24" t="n">
        <v>5</v>
      </c>
      <c r="E52" s="26" t="n">
        <f aca="false">SUMIF('Your Lines'!$B$6:$B$463,$B52,'Your Lines'!$E$6:$E$463)</f>
        <v>1278</v>
      </c>
      <c r="F52" s="15" t="n">
        <f aca="false">ROUND(SUMIF('Your Lines'!$B$6:$B$463,$B52,'Your Lines'!$J$6:$J$463),2)</f>
        <v>155292</v>
      </c>
      <c r="G52" s="15" t="n">
        <f aca="false">ROUND(SUMIF('Your Lines'!$B$6:$B$463,$B52,'Your Lines'!$G$6:$G$463),2)</f>
        <v>145204.24</v>
      </c>
      <c r="H52" s="25" t="n">
        <f aca="false">$G52/$F52</f>
        <v>0.935040053576488</v>
      </c>
      <c r="I52" s="15" t="n">
        <f aca="false">ROUND(SUMIF('Your Lines'!$B$6:$B$463,$B52,'Your Lines'!$K$6:$K$463),2)</f>
        <v>86664</v>
      </c>
      <c r="J52" s="15" t="n">
        <f aca="false">ROUND(SUMIF('Your Lines'!$B$6:$B$463,$B52,'Your Lines'!$L$6:$L$463),2)</f>
        <v>2981.6</v>
      </c>
      <c r="K52" s="15" t="n">
        <f aca="false">ROUND($G52-$I52-$J52,2)</f>
        <v>55558.64</v>
      </c>
      <c r="L52" s="15" t="n">
        <f aca="false">ROUND($D52*'Your Inputs'!$C$40+'Your Inputs'!$C$41,2)</f>
        <v>7225</v>
      </c>
      <c r="M52" s="15" t="n">
        <f aca="false">ROUND($K52-$L52,2)</f>
        <v>48333.64</v>
      </c>
      <c r="N52" s="26" t="n">
        <f aca="false">RANK($M52,'Your Accounts'!$M$6:$M$185)</f>
        <v>80</v>
      </c>
      <c r="O52" s="15" t="n">
        <f aca="false">SUMIF('Your Accounts'!$N$6:$N$185,"&lt;="&amp;$N52,'Your Accounts'!$M$6:$M$185)</f>
        <v>11613988.13</v>
      </c>
      <c r="P52" s="15"/>
      <c r="Q52" s="26" t="n">
        <f aca="false">COUNTIFS('Your Lines'!$B$6:$B$463,$B52,'Your Lines'!$R$6:$R$463,"below the floor")</f>
        <v>0</v>
      </c>
      <c r="R52" s="15" t="n">
        <f aca="false">IF(Q52&gt;0,$K52,0)</f>
        <v>0</v>
      </c>
      <c r="AN52" s="15" t="n">
        <f aca="false">IF(VLOOKUP($C52,'Your Floors'!$B$53:$F$56,5,FALSE())="yes",0,$R52)</f>
        <v>0</v>
      </c>
      <c r="AP52" s="15" t="n">
        <f aca="false">ROUND($K52-$AS52,2)</f>
        <v>51946.14</v>
      </c>
      <c r="AQ52" s="26" t="n">
        <f aca="false">RANK($AP52,'Your Accounts'!$AP$6:$AP$185)</f>
        <v>82</v>
      </c>
      <c r="AR52" s="15" t="n">
        <f aca="false">SUMIF('Your Accounts'!$AQ$6:$AQ$185,"&lt;="&amp;$AQ52,'Your Accounts'!$AP$6:$AP$185)</f>
        <v>12115255.89</v>
      </c>
      <c r="AS52" s="15" t="n">
        <f aca="false">ROUND($D52*Sensitivity!$C$35+Sensitivity!$D$35,2)</f>
        <v>3612.5</v>
      </c>
      <c r="AT52" s="15" t="n">
        <f aca="false">ROUND($K52-$AW52,2)</f>
        <v>48333.64</v>
      </c>
      <c r="AU52" s="26" t="n">
        <f aca="false">RANK($AT52,'Your Accounts'!$AT$6:$AT$185)</f>
        <v>80</v>
      </c>
      <c r="AV52" s="15" t="n">
        <f aca="false">SUMIF('Your Accounts'!$AU$6:$AU$185,"&lt;="&amp;$AU52,'Your Accounts'!$AT$6:$AT$185)</f>
        <v>11613988.13</v>
      </c>
      <c r="AW52" s="15" t="n">
        <f aca="false">ROUND($D52*Sensitivity!$C$36+Sensitivity!$D$36,2)</f>
        <v>7225</v>
      </c>
      <c r="AX52" s="15" t="n">
        <f aca="false">ROUND($K52-$BA52,2)</f>
        <v>46527.39</v>
      </c>
      <c r="AY52" s="26" t="n">
        <f aca="false">RANK($AX52,'Your Accounts'!$AX$6:$AX$185)</f>
        <v>80</v>
      </c>
      <c r="AZ52" s="15" t="n">
        <f aca="false">SUMIF('Your Accounts'!$AY$6:$AY$185,"&lt;="&amp;$AY52,'Your Accounts'!$AX$6:$AX$185)</f>
        <v>11416381.88</v>
      </c>
      <c r="BA52" s="15" t="n">
        <f aca="false">ROUND($D52*Sensitivity!$C$37+Sensitivity!$D$37,2)</f>
        <v>9031.25</v>
      </c>
      <c r="BB52" s="15" t="n">
        <f aca="false">ROUND($K52-$BE52,2)</f>
        <v>44721.14</v>
      </c>
      <c r="BC52" s="26" t="n">
        <f aca="false">RANK($BB52,'Your Accounts'!$BB$6:$BB$185)</f>
        <v>78</v>
      </c>
      <c r="BD52" s="15" t="n">
        <f aca="false">SUMIF('Your Accounts'!$BC$6:$BC$185,"&lt;="&amp;$BC52,'Your Accounts'!$BB$6:$BB$185)</f>
        <v>11130419.83</v>
      </c>
      <c r="BE52" s="15" t="n">
        <f aca="false">ROUND($D52*Sensitivity!$C$38+Sensitivity!$D$38,2)</f>
        <v>10837.5</v>
      </c>
      <c r="BF52" s="15" t="n">
        <f aca="false">ROUND($K52-$BI52,2)</f>
        <v>41108.64</v>
      </c>
      <c r="BG52" s="26" t="n">
        <f aca="false">RANK($BF52,'Your Accounts'!$BF$6:$BF$185)</f>
        <v>78</v>
      </c>
      <c r="BH52" s="15" t="n">
        <f aca="false">SUMIF('Your Accounts'!$BG$6:$BG$185,"&lt;="&amp;$BG52,'Your Accounts'!$BF$6:$BF$185)</f>
        <v>10746854.83</v>
      </c>
      <c r="BI52" s="15" t="n">
        <f aca="false">ROUND($D52*Sensitivity!$C$39+Sensitivity!$D$39,2)</f>
        <v>14450</v>
      </c>
      <c r="BJ52" s="15" t="n">
        <f aca="false">ROUND($K52-$BM52,2)</f>
        <v>37496.14</v>
      </c>
      <c r="BK52" s="26" t="n">
        <f aca="false">RANK($BJ52,'Your Accounts'!$BJ$6:$BJ$185)</f>
        <v>76</v>
      </c>
      <c r="BL52" s="15" t="n">
        <f aca="false">SUMIF('Your Accounts'!$BK$6:$BK$185,"&lt;="&amp;$BK52,'Your Accounts'!$BJ$6:$BJ$185)</f>
        <v>10290094.24</v>
      </c>
      <c r="BM52" s="15" t="n">
        <f aca="false">ROUND($D52*Sensitivity!$C$40+Sensitivity!$D$40,2)</f>
        <v>18062.5</v>
      </c>
      <c r="BN52" s="15" t="n">
        <f aca="false">ROUND($K52-$BQ52,2)</f>
        <v>33883.64</v>
      </c>
      <c r="BO52" s="26" t="n">
        <f aca="false">RANK($BN52,'Your Accounts'!$BN$6:$BN$185)</f>
        <v>74</v>
      </c>
      <c r="BP52" s="15" t="n">
        <f aca="false">SUMIF('Your Accounts'!$BO$6:$BO$185,"&lt;="&amp;$BO52,'Your Accounts'!$BN$6:$BN$185)</f>
        <v>9852604.42</v>
      </c>
      <c r="BQ52" s="15" t="n">
        <f aca="false">ROUND($D52*Sensitivity!$C$41+Sensitivity!$D$41,2)</f>
        <v>21675</v>
      </c>
    </row>
    <row r="53" customFormat="false" ht="15" hidden="false" customHeight="false" outlineLevel="0" collapsed="false">
      <c r="B53" s="18" t="s">
        <v>164</v>
      </c>
      <c r="C53" s="18" t="s">
        <v>157</v>
      </c>
      <c r="D53" s="24" t="n">
        <v>7</v>
      </c>
      <c r="E53" s="26" t="n">
        <f aca="false">SUMIF('Your Lines'!$B$6:$B$463,$B53,'Your Lines'!$E$6:$E$463)</f>
        <v>1335</v>
      </c>
      <c r="F53" s="15" t="n">
        <f aca="false">ROUND(SUMIF('Your Lines'!$B$6:$B$463,$B53,'Your Lines'!$J$6:$J$463),2)</f>
        <v>119902</v>
      </c>
      <c r="G53" s="15" t="n">
        <f aca="false">ROUND(SUMIF('Your Lines'!$B$6:$B$463,$B53,'Your Lines'!$G$6:$G$463),2)</f>
        <v>103292.83</v>
      </c>
      <c r="H53" s="25" t="n">
        <f aca="false">$G53/$F53</f>
        <v>0.86147712298377</v>
      </c>
      <c r="I53" s="15" t="n">
        <f aca="false">ROUND(SUMIF('Your Lines'!$B$6:$B$463,$B53,'Your Lines'!$K$6:$K$463),2)</f>
        <v>68320</v>
      </c>
      <c r="J53" s="15" t="n">
        <f aca="false">ROUND(SUMIF('Your Lines'!$B$6:$B$463,$B53,'Your Lines'!$L$6:$L$463),2)</f>
        <v>2154.18</v>
      </c>
      <c r="K53" s="15" t="n">
        <f aca="false">ROUND($G53-$I53-$J53,2)</f>
        <v>32818.65</v>
      </c>
      <c r="L53" s="15" t="n">
        <f aca="false">ROUND($D53*'Your Inputs'!$C$40+'Your Inputs'!$C$41,2)</f>
        <v>7515</v>
      </c>
      <c r="M53" s="15" t="n">
        <f aca="false">ROUND($K53-$L53,2)</f>
        <v>25303.65</v>
      </c>
      <c r="N53" s="26" t="n">
        <f aca="false">RANK($M53,'Your Accounts'!$M$6:$M$185)</f>
        <v>115</v>
      </c>
      <c r="O53" s="15" t="n">
        <f aca="false">SUMIF('Your Accounts'!$N$6:$N$185,"&lt;="&amp;$N53,'Your Accounts'!$M$6:$M$185)</f>
        <v>12785215.13</v>
      </c>
      <c r="P53" s="15"/>
      <c r="Q53" s="26" t="n">
        <f aca="false">COUNTIFS('Your Lines'!$B$6:$B$463,$B53,'Your Lines'!$R$6:$R$463,"below the floor")</f>
        <v>1</v>
      </c>
      <c r="R53" s="15" t="n">
        <f aca="false">IF(Q53&gt;0,$K53,0)</f>
        <v>32818.65</v>
      </c>
      <c r="AN53" s="15" t="n">
        <f aca="false">IF(VLOOKUP($C53,'Your Floors'!$B$53:$F$56,5,FALSE())="yes",0,$R53)</f>
        <v>32818.65</v>
      </c>
      <c r="AP53" s="15" t="n">
        <f aca="false">ROUND($K53-$AS53,2)</f>
        <v>29061.15</v>
      </c>
      <c r="AQ53" s="26" t="n">
        <f aca="false">RANK($AP53,'Your Accounts'!$AP$6:$AP$185)</f>
        <v>116</v>
      </c>
      <c r="AR53" s="15" t="n">
        <f aca="false">SUMIF('Your Accounts'!$AQ$6:$AQ$185,"&lt;="&amp;$AQ53,'Your Accounts'!$AP$6:$AP$185)</f>
        <v>13375848.52</v>
      </c>
      <c r="AS53" s="15" t="n">
        <f aca="false">ROUND($D53*Sensitivity!$C$35+Sensitivity!$D$35,2)</f>
        <v>3757.5</v>
      </c>
      <c r="AT53" s="15" t="n">
        <f aca="false">ROUND($K53-$AW53,2)</f>
        <v>25303.65</v>
      </c>
      <c r="AU53" s="26" t="n">
        <f aca="false">RANK($AT53,'Your Accounts'!$AT$6:$AT$185)</f>
        <v>115</v>
      </c>
      <c r="AV53" s="15" t="n">
        <f aca="false">SUMIF('Your Accounts'!$AU$6:$AU$185,"&lt;="&amp;$AU53,'Your Accounts'!$AT$6:$AT$185)</f>
        <v>12785215.13</v>
      </c>
      <c r="AW53" s="15" t="n">
        <f aca="false">ROUND($D53*Sensitivity!$C$36+Sensitivity!$D$36,2)</f>
        <v>7515</v>
      </c>
      <c r="AX53" s="15" t="n">
        <f aca="false">ROUND($K53-$BA53,2)</f>
        <v>23424.9</v>
      </c>
      <c r="AY53" s="26" t="n">
        <f aca="false">RANK($AX53,'Your Accounts'!$AX$6:$AX$185)</f>
        <v>112</v>
      </c>
      <c r="AZ53" s="15" t="n">
        <f aca="false">SUMIF('Your Accounts'!$AY$6:$AY$185,"&lt;="&amp;$AY53,'Your Accounts'!$AX$6:$AX$185)</f>
        <v>12435499.61</v>
      </c>
      <c r="BA53" s="15" t="n">
        <f aca="false">ROUND($D53*Sensitivity!$C$37+Sensitivity!$D$37,2)</f>
        <v>9393.75</v>
      </c>
      <c r="BB53" s="15" t="n">
        <f aca="false">ROUND($K53-$BE53,2)</f>
        <v>21546.15</v>
      </c>
      <c r="BC53" s="26" t="n">
        <f aca="false">RANK($BB53,'Your Accounts'!$BB$6:$BB$185)</f>
        <v>112</v>
      </c>
      <c r="BD53" s="15" t="n">
        <f aca="false">SUMIF('Your Accounts'!$BC$6:$BC$185,"&lt;="&amp;$BC53,'Your Accounts'!$BB$6:$BB$185)</f>
        <v>12162584.61</v>
      </c>
      <c r="BE53" s="15" t="n">
        <f aca="false">ROUND($D53*Sensitivity!$C$38+Sensitivity!$D$38,2)</f>
        <v>11272.5</v>
      </c>
      <c r="BF53" s="15" t="n">
        <f aca="false">ROUND($K53-$BI53,2)</f>
        <v>17788.65</v>
      </c>
      <c r="BG53" s="26" t="n">
        <f aca="false">RANK($BF53,'Your Accounts'!$BF$6:$BF$185)</f>
        <v>111</v>
      </c>
      <c r="BH53" s="15" t="n">
        <f aca="false">SUMIF('Your Accounts'!$BG$6:$BG$185,"&lt;="&amp;$BG53,'Your Accounts'!$BF$6:$BF$185)</f>
        <v>11599135.16</v>
      </c>
      <c r="BI53" s="15" t="n">
        <f aca="false">ROUND($D53*Sensitivity!$C$39+Sensitivity!$D$39,2)</f>
        <v>15030</v>
      </c>
      <c r="BJ53" s="15" t="n">
        <f aca="false">ROUND($K53-$BM53,2)</f>
        <v>14031.15</v>
      </c>
      <c r="BK53" s="26" t="n">
        <f aca="false">RANK($BJ53,'Your Accounts'!$BJ$6:$BJ$185)</f>
        <v>106</v>
      </c>
      <c r="BL53" s="15" t="n">
        <f aca="false">SUMIF('Your Accounts'!$BK$6:$BK$185,"&lt;="&amp;$BK53,'Your Accounts'!$BJ$6:$BJ$185)</f>
        <v>10992967.73</v>
      </c>
      <c r="BM53" s="15" t="n">
        <f aca="false">ROUND($D53*Sensitivity!$C$40+Sensitivity!$D$40,2)</f>
        <v>18787.5</v>
      </c>
      <c r="BN53" s="15" t="n">
        <f aca="false">ROUND($K53-$BQ53,2)</f>
        <v>10273.65</v>
      </c>
      <c r="BO53" s="26" t="n">
        <f aca="false">RANK($BN53,'Your Accounts'!$BN$6:$BN$185)</f>
        <v>104</v>
      </c>
      <c r="BP53" s="15" t="n">
        <f aca="false">SUMIF('Your Accounts'!$BO$6:$BO$185,"&lt;="&amp;$BO53,'Your Accounts'!$BN$6:$BN$185)</f>
        <v>10459261.04</v>
      </c>
      <c r="BQ53" s="15" t="n">
        <f aca="false">ROUND($D53*Sensitivity!$C$41+Sensitivity!$D$41,2)</f>
        <v>22545</v>
      </c>
    </row>
    <row r="54" customFormat="false" ht="15" hidden="false" customHeight="false" outlineLevel="0" collapsed="false">
      <c r="B54" s="18" t="s">
        <v>165</v>
      </c>
      <c r="C54" s="18" t="s">
        <v>157</v>
      </c>
      <c r="D54" s="24" t="n">
        <v>8</v>
      </c>
      <c r="E54" s="26" t="n">
        <f aca="false">SUMIF('Your Lines'!$B$6:$B$463,$B54,'Your Lines'!$E$6:$E$463)</f>
        <v>1507</v>
      </c>
      <c r="F54" s="15" t="n">
        <f aca="false">ROUND(SUMIF('Your Lines'!$B$6:$B$463,$B54,'Your Lines'!$J$6:$J$463),2)</f>
        <v>111148</v>
      </c>
      <c r="G54" s="15" t="n">
        <f aca="false">ROUND(SUMIF('Your Lines'!$B$6:$B$463,$B54,'Your Lines'!$G$6:$G$463),2)</f>
        <v>98642.64</v>
      </c>
      <c r="H54" s="25" t="n">
        <f aca="false">$G54/$F54</f>
        <v>0.88748911361428</v>
      </c>
      <c r="I54" s="15" t="n">
        <f aca="false">ROUND(SUMIF('Your Lines'!$B$6:$B$463,$B54,'Your Lines'!$K$6:$K$463),2)</f>
        <v>65714</v>
      </c>
      <c r="J54" s="15" t="n">
        <f aca="false">ROUND(SUMIF('Your Lines'!$B$6:$B$463,$B54,'Your Lines'!$L$6:$L$463),2)</f>
        <v>2025.52</v>
      </c>
      <c r="K54" s="15" t="n">
        <f aca="false">ROUND($G54-$I54-$J54,2)</f>
        <v>30903.12</v>
      </c>
      <c r="L54" s="15" t="n">
        <f aca="false">ROUND($D54*'Your Inputs'!$C$40+'Your Inputs'!$C$41,2)</f>
        <v>7660</v>
      </c>
      <c r="M54" s="15" t="n">
        <f aca="false">ROUND($K54-$L54,2)</f>
        <v>23243.12</v>
      </c>
      <c r="N54" s="26" t="n">
        <f aca="false">RANK($M54,'Your Accounts'!$M$6:$M$185)</f>
        <v>120</v>
      </c>
      <c r="O54" s="15" t="n">
        <f aca="false">SUMIF('Your Accounts'!$N$6:$N$185,"&lt;="&amp;$N54,'Your Accounts'!$M$6:$M$185)</f>
        <v>12904146.24</v>
      </c>
      <c r="P54" s="15"/>
      <c r="Q54" s="26" t="n">
        <f aca="false">COUNTIFS('Your Lines'!$B$6:$B$463,$B54,'Your Lines'!$R$6:$R$463,"below the floor")</f>
        <v>0</v>
      </c>
      <c r="R54" s="15" t="n">
        <f aca="false">IF(Q54&gt;0,$K54,0)</f>
        <v>0</v>
      </c>
      <c r="AN54" s="15" t="n">
        <f aca="false">IF(VLOOKUP($C54,'Your Floors'!$B$53:$F$56,5,FALSE())="yes",0,$R54)</f>
        <v>0</v>
      </c>
      <c r="AP54" s="15" t="n">
        <f aca="false">ROUND($K54-$AS54,2)</f>
        <v>27073.12</v>
      </c>
      <c r="AQ54" s="26" t="n">
        <f aca="false">RANK($AP54,'Your Accounts'!$AP$6:$AP$185)</f>
        <v>121</v>
      </c>
      <c r="AR54" s="15" t="n">
        <f aca="false">SUMIF('Your Accounts'!$AQ$6:$AQ$185,"&lt;="&amp;$AQ54,'Your Accounts'!$AP$6:$AP$185)</f>
        <v>13513982.32</v>
      </c>
      <c r="AS54" s="15" t="n">
        <f aca="false">ROUND($D54*Sensitivity!$C$35+Sensitivity!$D$35,2)</f>
        <v>3830</v>
      </c>
      <c r="AT54" s="15" t="n">
        <f aca="false">ROUND($K54-$AW54,2)</f>
        <v>23243.12</v>
      </c>
      <c r="AU54" s="26" t="n">
        <f aca="false">RANK($AT54,'Your Accounts'!$AT$6:$AT$185)</f>
        <v>120</v>
      </c>
      <c r="AV54" s="15" t="n">
        <f aca="false">SUMIF('Your Accounts'!$AU$6:$AU$185,"&lt;="&amp;$AU54,'Your Accounts'!$AT$6:$AT$185)</f>
        <v>12904146.24</v>
      </c>
      <c r="AW54" s="15" t="n">
        <f aca="false">ROUND($D54*Sensitivity!$C$36+Sensitivity!$D$36,2)</f>
        <v>7660</v>
      </c>
      <c r="AX54" s="15" t="n">
        <f aca="false">ROUND($K54-$BA54,2)</f>
        <v>21328.12</v>
      </c>
      <c r="AY54" s="26" t="n">
        <f aca="false">RANK($AX54,'Your Accounts'!$AX$6:$AX$185)</f>
        <v>120</v>
      </c>
      <c r="AZ54" s="15" t="n">
        <f aca="false">SUMIF('Your Accounts'!$AY$6:$AY$185,"&lt;="&amp;$AY54,'Your Accounts'!$AX$6:$AX$185)</f>
        <v>12613301.24</v>
      </c>
      <c r="BA54" s="15" t="n">
        <f aca="false">ROUND($D54*Sensitivity!$C$37+Sensitivity!$D$37,2)</f>
        <v>9575</v>
      </c>
      <c r="BB54" s="15" t="n">
        <f aca="false">ROUND($K54-$BE54,2)</f>
        <v>19413.12</v>
      </c>
      <c r="BC54" s="26" t="n">
        <f aca="false">RANK($BB54,'Your Accounts'!$BB$6:$BB$185)</f>
        <v>119</v>
      </c>
      <c r="BD54" s="15" t="n">
        <f aca="false">SUMIF('Your Accounts'!$BC$6:$BC$185,"&lt;="&amp;$BC54,'Your Accounts'!$BB$6:$BB$185)</f>
        <v>12303081.63</v>
      </c>
      <c r="BE54" s="15" t="n">
        <f aca="false">ROUND($D54*Sensitivity!$C$38+Sensitivity!$D$38,2)</f>
        <v>11490</v>
      </c>
      <c r="BF54" s="15" t="n">
        <f aca="false">ROUND($K54-$BI54,2)</f>
        <v>15583.12</v>
      </c>
      <c r="BG54" s="26" t="n">
        <f aca="false">RANK($BF54,'Your Accounts'!$BF$6:$BF$185)</f>
        <v>118</v>
      </c>
      <c r="BH54" s="15" t="n">
        <f aca="false">SUMIF('Your Accounts'!$BG$6:$BG$185,"&lt;="&amp;$BG54,'Your Accounts'!$BF$6:$BF$185)</f>
        <v>11711585.37</v>
      </c>
      <c r="BI54" s="15" t="n">
        <f aca="false">ROUND($D54*Sensitivity!$C$39+Sensitivity!$D$39,2)</f>
        <v>15320</v>
      </c>
      <c r="BJ54" s="15" t="n">
        <f aca="false">ROUND($K54-$BM54,2)</f>
        <v>11753.12</v>
      </c>
      <c r="BK54" s="26" t="n">
        <f aca="false">RANK($BJ54,'Your Accounts'!$BJ$6:$BJ$185)</f>
        <v>115</v>
      </c>
      <c r="BL54" s="15" t="n">
        <f aca="false">SUMIF('Your Accounts'!$BK$6:$BK$185,"&lt;="&amp;$BK54,'Your Accounts'!$BJ$6:$BJ$185)</f>
        <v>11106467.72</v>
      </c>
      <c r="BM54" s="15" t="n">
        <f aca="false">ROUND($D54*Sensitivity!$C$40+Sensitivity!$D$40,2)</f>
        <v>19150</v>
      </c>
      <c r="BN54" s="15" t="n">
        <f aca="false">ROUND($K54-$BQ54,2)</f>
        <v>7923.12</v>
      </c>
      <c r="BO54" s="26" t="n">
        <f aca="false">RANK($BN54,'Your Accounts'!$BN$6:$BN$185)</f>
        <v>109</v>
      </c>
      <c r="BP54" s="15" t="n">
        <f aca="false">SUMIF('Your Accounts'!$BO$6:$BO$185,"&lt;="&amp;$BO54,'Your Accounts'!$BN$6:$BN$185)</f>
        <v>10505257.81</v>
      </c>
      <c r="BQ54" s="15" t="n">
        <f aca="false">ROUND($D54*Sensitivity!$C$41+Sensitivity!$D$41,2)</f>
        <v>22980</v>
      </c>
    </row>
    <row r="55" customFormat="false" ht="15" hidden="false" customHeight="false" outlineLevel="0" collapsed="false">
      <c r="B55" s="18" t="s">
        <v>166</v>
      </c>
      <c r="C55" s="18" t="s">
        <v>157</v>
      </c>
      <c r="D55" s="24" t="n">
        <v>16</v>
      </c>
      <c r="E55" s="26" t="n">
        <f aca="false">SUMIF('Your Lines'!$B$6:$B$463,$B55,'Your Lines'!$E$6:$E$463)</f>
        <v>4235</v>
      </c>
      <c r="F55" s="15" t="n">
        <f aca="false">ROUND(SUMIF('Your Lines'!$B$6:$B$463,$B55,'Your Lines'!$J$6:$J$463),2)</f>
        <v>375952</v>
      </c>
      <c r="G55" s="15" t="n">
        <f aca="false">ROUND(SUMIF('Your Lines'!$B$6:$B$463,$B55,'Your Lines'!$G$6:$G$463),2)</f>
        <v>342507.32</v>
      </c>
      <c r="H55" s="25" t="n">
        <f aca="false">$G55/$F55</f>
        <v>0.911040026386347</v>
      </c>
      <c r="I55" s="15" t="n">
        <f aca="false">ROUND(SUMIF('Your Lines'!$B$6:$B$463,$B55,'Your Lines'!$K$6:$K$463),2)</f>
        <v>213638</v>
      </c>
      <c r="J55" s="15" t="n">
        <f aca="false">ROUND(SUMIF('Your Lines'!$B$6:$B$463,$B55,'Your Lines'!$L$6:$L$463),2)</f>
        <v>7218.28</v>
      </c>
      <c r="K55" s="15" t="n">
        <f aca="false">ROUND($G55-$I55-$J55,2)</f>
        <v>121651.04</v>
      </c>
      <c r="L55" s="15" t="n">
        <f aca="false">ROUND($D55*'Your Inputs'!$C$40+'Your Inputs'!$C$41,2)</f>
        <v>8820</v>
      </c>
      <c r="M55" s="15" t="n">
        <f aca="false">ROUND($K55-$L55,2)</f>
        <v>112831.04</v>
      </c>
      <c r="N55" s="26" t="n">
        <f aca="false">RANK($M55,'Your Accounts'!$M$6:$M$185)</f>
        <v>32</v>
      </c>
      <c r="O55" s="15" t="n">
        <f aca="false">SUMIF('Your Accounts'!$N$6:$N$185,"&lt;="&amp;$N55,'Your Accounts'!$M$6:$M$185)</f>
        <v>8274259.3</v>
      </c>
      <c r="P55" s="15"/>
      <c r="Q55" s="26" t="n">
        <f aca="false">COUNTIFS('Your Lines'!$B$6:$B$463,$B55,'Your Lines'!$R$6:$R$463,"below the floor")</f>
        <v>0</v>
      </c>
      <c r="R55" s="15" t="n">
        <f aca="false">IF(Q55&gt;0,$K55,0)</f>
        <v>0</v>
      </c>
      <c r="AN55" s="15" t="n">
        <f aca="false">IF(VLOOKUP($C55,'Your Floors'!$B$53:$F$56,5,FALSE())="yes",0,$R55)</f>
        <v>0</v>
      </c>
      <c r="AP55" s="15" t="n">
        <f aca="false">ROUND($K55-$AS55,2)</f>
        <v>117241.04</v>
      </c>
      <c r="AQ55" s="26" t="n">
        <f aca="false">RANK($AP55,'Your Accounts'!$AP$6:$AP$185)</f>
        <v>32</v>
      </c>
      <c r="AR55" s="15" t="n">
        <f aca="false">SUMIF('Your Accounts'!$AQ$6:$AQ$185,"&lt;="&amp;$AQ55,'Your Accounts'!$AP$6:$AP$185)</f>
        <v>8440246.8</v>
      </c>
      <c r="AS55" s="15" t="n">
        <f aca="false">ROUND($D55*Sensitivity!$C$35+Sensitivity!$D$35,2)</f>
        <v>4410</v>
      </c>
      <c r="AT55" s="15" t="n">
        <f aca="false">ROUND($K55-$AW55,2)</f>
        <v>112831.04</v>
      </c>
      <c r="AU55" s="26" t="n">
        <f aca="false">RANK($AT55,'Your Accounts'!$AT$6:$AT$185)</f>
        <v>32</v>
      </c>
      <c r="AV55" s="15" t="n">
        <f aca="false">SUMIF('Your Accounts'!$AU$6:$AU$185,"&lt;="&amp;$AU55,'Your Accounts'!$AT$6:$AT$185)</f>
        <v>8274259.3</v>
      </c>
      <c r="AW55" s="15" t="n">
        <f aca="false">ROUND($D55*Sensitivity!$C$36+Sensitivity!$D$36,2)</f>
        <v>8820</v>
      </c>
      <c r="AX55" s="15" t="n">
        <f aca="false">ROUND($K55-$BA55,2)</f>
        <v>110626.04</v>
      </c>
      <c r="AY55" s="26" t="n">
        <f aca="false">RANK($AX55,'Your Accounts'!$AX$6:$AX$185)</f>
        <v>32</v>
      </c>
      <c r="AZ55" s="15" t="n">
        <f aca="false">SUMIF('Your Accounts'!$AY$6:$AY$185,"&lt;="&amp;$AY55,'Your Accounts'!$AX$6:$AX$185)</f>
        <v>8191265.55</v>
      </c>
      <c r="BA55" s="15" t="n">
        <f aca="false">ROUND($D55*Sensitivity!$C$37+Sensitivity!$D$37,2)</f>
        <v>11025</v>
      </c>
      <c r="BB55" s="15" t="n">
        <f aca="false">ROUND($K55-$BE55,2)</f>
        <v>108421.04</v>
      </c>
      <c r="BC55" s="26" t="n">
        <f aca="false">RANK($BB55,'Your Accounts'!$BB$6:$BB$185)</f>
        <v>32</v>
      </c>
      <c r="BD55" s="15" t="n">
        <f aca="false">SUMIF('Your Accounts'!$BC$6:$BC$185,"&lt;="&amp;$BC55,'Your Accounts'!$BB$6:$BB$185)</f>
        <v>8108271.8</v>
      </c>
      <c r="BE55" s="15" t="n">
        <f aca="false">ROUND($D55*Sensitivity!$C$38+Sensitivity!$D$38,2)</f>
        <v>13230</v>
      </c>
      <c r="BF55" s="15" t="n">
        <f aca="false">ROUND($K55-$BI55,2)</f>
        <v>104011.04</v>
      </c>
      <c r="BG55" s="26" t="n">
        <f aca="false">RANK($BF55,'Your Accounts'!$BF$6:$BF$185)</f>
        <v>32</v>
      </c>
      <c r="BH55" s="15" t="n">
        <f aca="false">SUMIF('Your Accounts'!$BG$6:$BG$185,"&lt;="&amp;$BG55,'Your Accounts'!$BF$6:$BF$185)</f>
        <v>7942284.3</v>
      </c>
      <c r="BI55" s="15" t="n">
        <f aca="false">ROUND($D55*Sensitivity!$C$39+Sensitivity!$D$39,2)</f>
        <v>17640</v>
      </c>
      <c r="BJ55" s="15" t="n">
        <f aca="false">ROUND($K55-$BM55,2)</f>
        <v>99601.04</v>
      </c>
      <c r="BK55" s="26" t="n">
        <f aca="false">RANK($BJ55,'Your Accounts'!$BJ$6:$BJ$185)</f>
        <v>32</v>
      </c>
      <c r="BL55" s="15" t="n">
        <f aca="false">SUMIF('Your Accounts'!$BK$6:$BK$185,"&lt;="&amp;$BK55,'Your Accounts'!$BJ$6:$BJ$185)</f>
        <v>7776296.8</v>
      </c>
      <c r="BM55" s="15" t="n">
        <f aca="false">ROUND($D55*Sensitivity!$C$40+Sensitivity!$D$40,2)</f>
        <v>22050</v>
      </c>
      <c r="BN55" s="15" t="n">
        <f aca="false">ROUND($K55-$BQ55,2)</f>
        <v>95191.04</v>
      </c>
      <c r="BO55" s="26" t="n">
        <f aca="false">RANK($BN55,'Your Accounts'!$BN$6:$BN$185)</f>
        <v>32</v>
      </c>
      <c r="BP55" s="15" t="n">
        <f aca="false">SUMIF('Your Accounts'!$BO$6:$BO$185,"&lt;="&amp;$BO55,'Your Accounts'!$BN$6:$BN$185)</f>
        <v>7610309.3</v>
      </c>
      <c r="BQ55" s="15" t="n">
        <f aca="false">ROUND($D55*Sensitivity!$C$41+Sensitivity!$D$41,2)</f>
        <v>26460</v>
      </c>
    </row>
    <row r="56" customFormat="false" ht="15" hidden="false" customHeight="false" outlineLevel="0" collapsed="false">
      <c r="B56" s="18" t="s">
        <v>167</v>
      </c>
      <c r="C56" s="18" t="s">
        <v>157</v>
      </c>
      <c r="D56" s="24" t="n">
        <v>12</v>
      </c>
      <c r="E56" s="26" t="n">
        <f aca="false">SUMIF('Your Lines'!$B$6:$B$463,$B56,'Your Lines'!$E$6:$E$463)</f>
        <v>4445</v>
      </c>
      <c r="F56" s="15" t="n">
        <f aca="false">ROUND(SUMIF('Your Lines'!$B$6:$B$463,$B56,'Your Lines'!$J$6:$J$463),2)</f>
        <v>387892</v>
      </c>
      <c r="G56" s="15" t="n">
        <f aca="false">ROUND(SUMIF('Your Lines'!$B$6:$B$463,$B56,'Your Lines'!$G$6:$G$463),2)</f>
        <v>357104.47</v>
      </c>
      <c r="H56" s="25" t="n">
        <f aca="false">$G56/$F56</f>
        <v>0.920628602806967</v>
      </c>
      <c r="I56" s="15" t="n">
        <f aca="false">ROUND(SUMIF('Your Lines'!$B$6:$B$463,$B56,'Your Lines'!$K$6:$K$463),2)</f>
        <v>222246</v>
      </c>
      <c r="J56" s="15" t="n">
        <f aca="false">ROUND(SUMIF('Your Lines'!$B$6:$B$463,$B56,'Your Lines'!$L$6:$L$463),2)</f>
        <v>7332.75</v>
      </c>
      <c r="K56" s="15" t="n">
        <f aca="false">ROUND($G56-$I56-$J56,2)</f>
        <v>127525.72</v>
      </c>
      <c r="L56" s="15" t="n">
        <f aca="false">ROUND($D56*'Your Inputs'!$C$40+'Your Inputs'!$C$41,2)</f>
        <v>8240</v>
      </c>
      <c r="M56" s="15" t="n">
        <f aca="false">ROUND($K56-$L56,2)</f>
        <v>119285.72</v>
      </c>
      <c r="N56" s="26" t="n">
        <f aca="false">RANK($M56,'Your Accounts'!$M$6:$M$185)</f>
        <v>30</v>
      </c>
      <c r="O56" s="15" t="n">
        <f aca="false">SUMIF('Your Accounts'!$N$6:$N$185,"&lt;="&amp;$N56,'Your Accounts'!$M$6:$M$185)</f>
        <v>8043404.79</v>
      </c>
      <c r="P56" s="15"/>
      <c r="Q56" s="26" t="n">
        <f aca="false">COUNTIFS('Your Lines'!$B$6:$B$463,$B56,'Your Lines'!$R$6:$R$463,"below the floor")</f>
        <v>0</v>
      </c>
      <c r="R56" s="15" t="n">
        <f aca="false">IF(Q56&gt;0,$K56,0)</f>
        <v>0</v>
      </c>
      <c r="AN56" s="15" t="n">
        <f aca="false">IF(VLOOKUP($C56,'Your Floors'!$B$53:$F$56,5,FALSE())="yes",0,$R56)</f>
        <v>0</v>
      </c>
      <c r="AP56" s="15" t="n">
        <f aca="false">ROUND($K56-$AS56,2)</f>
        <v>123405.72</v>
      </c>
      <c r="AQ56" s="26" t="n">
        <f aca="false">RANK($AP56,'Your Accounts'!$AP$6:$AP$185)</f>
        <v>30</v>
      </c>
      <c r="AR56" s="15" t="n">
        <f aca="false">SUMIF('Your Accounts'!$AQ$6:$AQ$185,"&lt;="&amp;$AQ56,'Your Accounts'!$AP$6:$AP$185)</f>
        <v>8199919.79</v>
      </c>
      <c r="AS56" s="15" t="n">
        <f aca="false">ROUND($D56*Sensitivity!$C$35+Sensitivity!$D$35,2)</f>
        <v>4120</v>
      </c>
      <c r="AT56" s="15" t="n">
        <f aca="false">ROUND($K56-$AW56,2)</f>
        <v>119285.72</v>
      </c>
      <c r="AU56" s="26" t="n">
        <f aca="false">RANK($AT56,'Your Accounts'!$AT$6:$AT$185)</f>
        <v>30</v>
      </c>
      <c r="AV56" s="15" t="n">
        <f aca="false">SUMIF('Your Accounts'!$AU$6:$AU$185,"&lt;="&amp;$AU56,'Your Accounts'!$AT$6:$AT$185)</f>
        <v>8043404.79</v>
      </c>
      <c r="AW56" s="15" t="n">
        <f aca="false">ROUND($D56*Sensitivity!$C$36+Sensitivity!$D$36,2)</f>
        <v>8240</v>
      </c>
      <c r="AX56" s="15" t="n">
        <f aca="false">ROUND($K56-$BA56,2)</f>
        <v>117225.72</v>
      </c>
      <c r="AY56" s="26" t="n">
        <f aca="false">RANK($AX56,'Your Accounts'!$AX$6:$AX$185)</f>
        <v>30</v>
      </c>
      <c r="AZ56" s="15" t="n">
        <f aca="false">SUMIF('Your Accounts'!$AY$6:$AY$185,"&lt;="&amp;$AY56,'Your Accounts'!$AX$6:$AX$185)</f>
        <v>7965147.29</v>
      </c>
      <c r="BA56" s="15" t="n">
        <f aca="false">ROUND($D56*Sensitivity!$C$37+Sensitivity!$D$37,2)</f>
        <v>10300</v>
      </c>
      <c r="BB56" s="15" t="n">
        <f aca="false">ROUND($K56-$BE56,2)</f>
        <v>115165.72</v>
      </c>
      <c r="BC56" s="26" t="n">
        <f aca="false">RANK($BB56,'Your Accounts'!$BB$6:$BB$185)</f>
        <v>29</v>
      </c>
      <c r="BD56" s="15" t="n">
        <f aca="false">SUMIF('Your Accounts'!$BC$6:$BC$185,"&lt;="&amp;$BC56,'Your Accounts'!$BB$6:$BB$185)</f>
        <v>7771930.47</v>
      </c>
      <c r="BE56" s="15" t="n">
        <f aca="false">ROUND($D56*Sensitivity!$C$38+Sensitivity!$D$38,2)</f>
        <v>12360</v>
      </c>
      <c r="BF56" s="15" t="n">
        <f aca="false">ROUND($K56-$BI56,2)</f>
        <v>111045.72</v>
      </c>
      <c r="BG56" s="26" t="n">
        <f aca="false">RANK($BF56,'Your Accounts'!$BF$6:$BF$185)</f>
        <v>29</v>
      </c>
      <c r="BH56" s="15" t="n">
        <f aca="false">SUMIF('Your Accounts'!$BG$6:$BG$185,"&lt;="&amp;$BG56,'Your Accounts'!$BF$6:$BF$185)</f>
        <v>7620042.97</v>
      </c>
      <c r="BI56" s="15" t="n">
        <f aca="false">ROUND($D56*Sensitivity!$C$39+Sensitivity!$D$39,2)</f>
        <v>16480</v>
      </c>
      <c r="BJ56" s="15" t="n">
        <f aca="false">ROUND($K56-$BM56,2)</f>
        <v>106925.72</v>
      </c>
      <c r="BK56" s="26" t="n">
        <f aca="false">RANK($BJ56,'Your Accounts'!$BJ$6:$BJ$185)</f>
        <v>29</v>
      </c>
      <c r="BL56" s="15" t="n">
        <f aca="false">SUMIF('Your Accounts'!$BK$6:$BK$185,"&lt;="&amp;$BK56,'Your Accounts'!$BJ$6:$BJ$185)</f>
        <v>7468155.47</v>
      </c>
      <c r="BM56" s="15" t="n">
        <f aca="false">ROUND($D56*Sensitivity!$C$40+Sensitivity!$D$40,2)</f>
        <v>20600</v>
      </c>
      <c r="BN56" s="15" t="n">
        <f aca="false">ROUND($K56-$BQ56,2)</f>
        <v>102805.72</v>
      </c>
      <c r="BO56" s="26" t="n">
        <f aca="false">RANK($BN56,'Your Accounts'!$BN$6:$BN$185)</f>
        <v>29</v>
      </c>
      <c r="BP56" s="15" t="n">
        <f aca="false">SUMIF('Your Accounts'!$BO$6:$BO$185,"&lt;="&amp;$BO56,'Your Accounts'!$BN$6:$BN$185)</f>
        <v>7316267.97</v>
      </c>
      <c r="BQ56" s="15" t="n">
        <f aca="false">ROUND($D56*Sensitivity!$C$41+Sensitivity!$D$41,2)</f>
        <v>24720</v>
      </c>
    </row>
    <row r="57" customFormat="false" ht="15" hidden="false" customHeight="false" outlineLevel="0" collapsed="false">
      <c r="B57" s="18" t="s">
        <v>168</v>
      </c>
      <c r="C57" s="18" t="s">
        <v>157</v>
      </c>
      <c r="D57" s="24" t="n">
        <v>19</v>
      </c>
      <c r="E57" s="26" t="n">
        <f aca="false">SUMIF('Your Lines'!$B$6:$B$463,$B57,'Your Lines'!$E$6:$E$463)</f>
        <v>3120</v>
      </c>
      <c r="F57" s="15" t="n">
        <f aca="false">ROUND(SUMIF('Your Lines'!$B$6:$B$463,$B57,'Your Lines'!$J$6:$J$463),2)</f>
        <v>231452</v>
      </c>
      <c r="G57" s="15" t="n">
        <f aca="false">ROUND(SUMIF('Your Lines'!$B$6:$B$463,$B57,'Your Lines'!$G$6:$G$463),2)</f>
        <v>211344.44</v>
      </c>
      <c r="H57" s="25" t="n">
        <f aca="false">$G57/$F57</f>
        <v>0.913124276307831</v>
      </c>
      <c r="I57" s="15" t="n">
        <f aca="false">ROUND(SUMIF('Your Lines'!$B$6:$B$463,$B57,'Your Lines'!$K$6:$K$463),2)</f>
        <v>136916</v>
      </c>
      <c r="J57" s="15" t="n">
        <f aca="false">ROUND(SUMIF('Your Lines'!$B$6:$B$463,$B57,'Your Lines'!$L$6:$L$463),2)</f>
        <v>4430.7</v>
      </c>
      <c r="K57" s="15" t="n">
        <f aca="false">ROUND($G57-$I57-$J57,2)</f>
        <v>69997.74</v>
      </c>
      <c r="L57" s="15" t="n">
        <f aca="false">ROUND($D57*'Your Inputs'!$C$40+'Your Inputs'!$C$41,2)</f>
        <v>9255</v>
      </c>
      <c r="M57" s="15" t="n">
        <f aca="false">ROUND($K57-$L57,2)</f>
        <v>60742.74</v>
      </c>
      <c r="N57" s="26" t="n">
        <f aca="false">RANK($M57,'Your Accounts'!$M$6:$M$185)</f>
        <v>60</v>
      </c>
      <c r="O57" s="15" t="n">
        <f aca="false">SUMIF('Your Accounts'!$N$6:$N$185,"&lt;="&amp;$N57,'Your Accounts'!$M$6:$M$185)</f>
        <v>10531698.02</v>
      </c>
      <c r="P57" s="15"/>
      <c r="Q57" s="26" t="n">
        <f aca="false">COUNTIFS('Your Lines'!$B$6:$B$463,$B57,'Your Lines'!$R$6:$R$463,"below the floor")</f>
        <v>0</v>
      </c>
      <c r="R57" s="15" t="n">
        <f aca="false">IF(Q57&gt;0,$K57,0)</f>
        <v>0</v>
      </c>
      <c r="AN57" s="15" t="n">
        <f aca="false">IF(VLOOKUP($C57,'Your Floors'!$B$53:$F$56,5,FALSE())="yes",0,$R57)</f>
        <v>0</v>
      </c>
      <c r="AP57" s="15" t="n">
        <f aca="false">ROUND($K57-$AS57,2)</f>
        <v>65370.24</v>
      </c>
      <c r="AQ57" s="26" t="n">
        <f aca="false">RANK($AP57,'Your Accounts'!$AP$6:$AP$185)</f>
        <v>62</v>
      </c>
      <c r="AR57" s="15" t="n">
        <f aca="false">SUMIF('Your Accounts'!$AQ$6:$AQ$185,"&lt;="&amp;$AQ57,'Your Accounts'!$AP$6:$AP$185)</f>
        <v>10965149.12</v>
      </c>
      <c r="AS57" s="15" t="n">
        <f aca="false">ROUND($D57*Sensitivity!$C$35+Sensitivity!$D$35,2)</f>
        <v>4627.5</v>
      </c>
      <c r="AT57" s="15" t="n">
        <f aca="false">ROUND($K57-$AW57,2)</f>
        <v>60742.74</v>
      </c>
      <c r="AU57" s="26" t="n">
        <f aca="false">RANK($AT57,'Your Accounts'!$AT$6:$AT$185)</f>
        <v>60</v>
      </c>
      <c r="AV57" s="15" t="n">
        <f aca="false">SUMIF('Your Accounts'!$AU$6:$AU$185,"&lt;="&amp;$AU57,'Your Accounts'!$AT$6:$AT$185)</f>
        <v>10531698.02</v>
      </c>
      <c r="AW57" s="15" t="n">
        <f aca="false">ROUND($D57*Sensitivity!$C$36+Sensitivity!$D$36,2)</f>
        <v>9255</v>
      </c>
      <c r="AX57" s="15" t="n">
        <f aca="false">ROUND($K57-$BA57,2)</f>
        <v>58428.99</v>
      </c>
      <c r="AY57" s="26" t="n">
        <f aca="false">RANK($AX57,'Your Accounts'!$AX$6:$AX$185)</f>
        <v>60</v>
      </c>
      <c r="AZ57" s="15" t="n">
        <f aca="false">SUMIF('Your Accounts'!$AY$6:$AY$185,"&lt;="&amp;$AY57,'Your Accounts'!$AX$6:$AX$185)</f>
        <v>10380620.52</v>
      </c>
      <c r="BA57" s="15" t="n">
        <f aca="false">ROUND($D57*Sensitivity!$C$37+Sensitivity!$D$37,2)</f>
        <v>11568.75</v>
      </c>
      <c r="BB57" s="15" t="n">
        <f aca="false">ROUND($K57-$BE57,2)</f>
        <v>56115.24</v>
      </c>
      <c r="BC57" s="26" t="n">
        <f aca="false">RANK($BB57,'Your Accounts'!$BB$6:$BB$185)</f>
        <v>60</v>
      </c>
      <c r="BD57" s="15" t="n">
        <f aca="false">SUMIF('Your Accounts'!$BC$6:$BC$185,"&lt;="&amp;$BC57,'Your Accounts'!$BB$6:$BB$185)</f>
        <v>10229543.02</v>
      </c>
      <c r="BE57" s="15" t="n">
        <f aca="false">ROUND($D57*Sensitivity!$C$38+Sensitivity!$D$38,2)</f>
        <v>13882.5</v>
      </c>
      <c r="BF57" s="15" t="n">
        <f aca="false">ROUND($K57-$BI57,2)</f>
        <v>51487.74</v>
      </c>
      <c r="BG57" s="26" t="n">
        <f aca="false">RANK($BF57,'Your Accounts'!$BF$6:$BF$185)</f>
        <v>60</v>
      </c>
      <c r="BH57" s="15" t="n">
        <f aca="false">SUMIF('Your Accounts'!$BG$6:$BG$185,"&lt;="&amp;$BG57,'Your Accounts'!$BF$6:$BF$185)</f>
        <v>9928670.9</v>
      </c>
      <c r="BI57" s="15" t="n">
        <f aca="false">ROUND($D57*Sensitivity!$C$39+Sensitivity!$D$39,2)</f>
        <v>18510</v>
      </c>
      <c r="BJ57" s="15" t="n">
        <f aca="false">ROUND($K57-$BM57,2)</f>
        <v>46860.24</v>
      </c>
      <c r="BK57" s="26" t="n">
        <f aca="false">RANK($BJ57,'Your Accounts'!$BJ$6:$BJ$185)</f>
        <v>60</v>
      </c>
      <c r="BL57" s="15" t="n">
        <f aca="false">SUMIF('Your Accounts'!$BK$6:$BK$185,"&lt;="&amp;$BK57,'Your Accounts'!$BJ$6:$BJ$185)</f>
        <v>9628110.9</v>
      </c>
      <c r="BM57" s="15" t="n">
        <f aca="false">ROUND($D57*Sensitivity!$C$40+Sensitivity!$D$40,2)</f>
        <v>23137.5</v>
      </c>
      <c r="BN57" s="15" t="n">
        <f aca="false">ROUND($K57-$BQ57,2)</f>
        <v>42232.74</v>
      </c>
      <c r="BO57" s="26" t="n">
        <f aca="false">RANK($BN57,'Your Accounts'!$BN$6:$BN$185)</f>
        <v>58</v>
      </c>
      <c r="BP57" s="15" t="n">
        <f aca="false">SUMIF('Your Accounts'!$BO$6:$BO$185,"&lt;="&amp;$BO57,'Your Accounts'!$BN$6:$BN$185)</f>
        <v>9243657.28</v>
      </c>
      <c r="BQ57" s="15" t="n">
        <f aca="false">ROUND($D57*Sensitivity!$C$41+Sensitivity!$D$41,2)</f>
        <v>27765</v>
      </c>
    </row>
    <row r="58" customFormat="false" ht="15" hidden="false" customHeight="false" outlineLevel="0" collapsed="false">
      <c r="B58" s="18" t="s">
        <v>169</v>
      </c>
      <c r="C58" s="18" t="s">
        <v>157</v>
      </c>
      <c r="D58" s="24" t="n">
        <v>17</v>
      </c>
      <c r="E58" s="26" t="n">
        <f aca="false">SUMIF('Your Lines'!$B$6:$B$463,$B58,'Your Lines'!$E$6:$E$463)</f>
        <v>2694</v>
      </c>
      <c r="F58" s="15" t="n">
        <f aca="false">ROUND(SUMIF('Your Lines'!$B$6:$B$463,$B58,'Your Lines'!$J$6:$J$463),2)</f>
        <v>224680</v>
      </c>
      <c r="G58" s="15" t="n">
        <f aca="false">ROUND(SUMIF('Your Lines'!$B$6:$B$463,$B58,'Your Lines'!$G$6:$G$463),2)</f>
        <v>196586.66</v>
      </c>
      <c r="H58" s="25" t="n">
        <f aca="false">$G58/$F58</f>
        <v>0.874962880541214</v>
      </c>
      <c r="I58" s="15" t="n">
        <f aca="false">ROUND(SUMIF('Your Lines'!$B$6:$B$463,$B58,'Your Lines'!$K$6:$K$463),2)</f>
        <v>129812</v>
      </c>
      <c r="J58" s="15" t="n">
        <f aca="false">ROUND(SUMIF('Your Lines'!$B$6:$B$463,$B58,'Your Lines'!$L$6:$L$463),2)</f>
        <v>4057.52</v>
      </c>
      <c r="K58" s="15" t="n">
        <f aca="false">ROUND($G58-$I58-$J58,2)</f>
        <v>62717.14</v>
      </c>
      <c r="L58" s="15" t="n">
        <f aca="false">ROUND($D58*'Your Inputs'!$C$40+'Your Inputs'!$C$41,2)</f>
        <v>8965</v>
      </c>
      <c r="M58" s="15" t="n">
        <f aca="false">ROUND($K58-$L58,2)</f>
        <v>53752.14</v>
      </c>
      <c r="N58" s="26" t="n">
        <f aca="false">RANK($M58,'Your Accounts'!$M$6:$M$185)</f>
        <v>71</v>
      </c>
      <c r="O58" s="15" t="n">
        <f aca="false">SUMIF('Your Accounts'!$N$6:$N$185,"&lt;="&amp;$N58,'Your Accounts'!$M$6:$M$185)</f>
        <v>11158894.88</v>
      </c>
      <c r="P58" s="15"/>
      <c r="Q58" s="26" t="n">
        <f aca="false">COUNTIFS('Your Lines'!$B$6:$B$463,$B58,'Your Lines'!$R$6:$R$463,"below the floor")</f>
        <v>0</v>
      </c>
      <c r="R58" s="15" t="n">
        <f aca="false">IF(Q58&gt;0,$K58,0)</f>
        <v>0</v>
      </c>
      <c r="AN58" s="15" t="n">
        <f aca="false">IF(VLOOKUP($C58,'Your Floors'!$B$53:$F$56,5,FALSE())="yes",0,$R58)</f>
        <v>0</v>
      </c>
      <c r="AP58" s="15" t="n">
        <f aca="false">ROUND($K58-$AS58,2)</f>
        <v>58234.64</v>
      </c>
      <c r="AQ58" s="26" t="n">
        <f aca="false">RANK($AP58,'Your Accounts'!$AP$6:$AP$185)</f>
        <v>71</v>
      </c>
      <c r="AR58" s="15" t="n">
        <f aca="false">SUMIF('Your Accounts'!$AQ$6:$AQ$185,"&lt;="&amp;$AQ58,'Your Accounts'!$AP$6:$AP$185)</f>
        <v>11514272.38</v>
      </c>
      <c r="AS58" s="15" t="n">
        <f aca="false">ROUND($D58*Sensitivity!$C$35+Sensitivity!$D$35,2)</f>
        <v>4482.5</v>
      </c>
      <c r="AT58" s="15" t="n">
        <f aca="false">ROUND($K58-$AW58,2)</f>
        <v>53752.14</v>
      </c>
      <c r="AU58" s="26" t="n">
        <f aca="false">RANK($AT58,'Your Accounts'!$AT$6:$AT$185)</f>
        <v>71</v>
      </c>
      <c r="AV58" s="15" t="n">
        <f aca="false">SUMIF('Your Accounts'!$AU$6:$AU$185,"&lt;="&amp;$AU58,'Your Accounts'!$AT$6:$AT$185)</f>
        <v>11158894.88</v>
      </c>
      <c r="AW58" s="15" t="n">
        <f aca="false">ROUND($D58*Sensitivity!$C$36+Sensitivity!$D$36,2)</f>
        <v>8965</v>
      </c>
      <c r="AX58" s="15" t="n">
        <f aca="false">ROUND($K58-$BA58,2)</f>
        <v>51510.89</v>
      </c>
      <c r="AY58" s="26" t="n">
        <f aca="false">RANK($AX58,'Your Accounts'!$AX$6:$AX$185)</f>
        <v>71</v>
      </c>
      <c r="AZ58" s="15" t="n">
        <f aca="false">SUMIF('Your Accounts'!$AY$6:$AY$185,"&lt;="&amp;$AY58,'Your Accounts'!$AX$6:$AX$185)</f>
        <v>10981206.13</v>
      </c>
      <c r="BA58" s="15" t="n">
        <f aca="false">ROUND($D58*Sensitivity!$C$37+Sensitivity!$D$37,2)</f>
        <v>11206.25</v>
      </c>
      <c r="BB58" s="15" t="n">
        <f aca="false">ROUND($K58-$BE58,2)</f>
        <v>49269.64</v>
      </c>
      <c r="BC58" s="26" t="n">
        <f aca="false">RANK($BB58,'Your Accounts'!$BB$6:$BB$185)</f>
        <v>70</v>
      </c>
      <c r="BD58" s="15" t="n">
        <f aca="false">SUMIF('Your Accounts'!$BC$6:$BC$185,"&lt;="&amp;$BC58,'Your Accounts'!$BB$6:$BB$185)</f>
        <v>10754364.98</v>
      </c>
      <c r="BE58" s="15" t="n">
        <f aca="false">ROUND($D58*Sensitivity!$C$38+Sensitivity!$D$38,2)</f>
        <v>13447.5</v>
      </c>
      <c r="BF58" s="15" t="n">
        <f aca="false">ROUND($K58-$BI58,2)</f>
        <v>44787.14</v>
      </c>
      <c r="BG58" s="26" t="n">
        <f aca="false">RANK($BF58,'Your Accounts'!$BF$6:$BF$185)</f>
        <v>70</v>
      </c>
      <c r="BH58" s="15" t="n">
        <f aca="false">SUMIF('Your Accounts'!$BG$6:$BG$185,"&lt;="&amp;$BG58,'Your Accounts'!$BF$6:$BF$185)</f>
        <v>10405427.48</v>
      </c>
      <c r="BI58" s="15" t="n">
        <f aca="false">ROUND($D58*Sensitivity!$C$39+Sensitivity!$D$39,2)</f>
        <v>17930</v>
      </c>
      <c r="BJ58" s="15" t="n">
        <f aca="false">ROUND($K58-$BM58,2)</f>
        <v>40304.64</v>
      </c>
      <c r="BK58" s="26" t="n">
        <f aca="false">RANK($BJ58,'Your Accounts'!$BJ$6:$BJ$185)</f>
        <v>70</v>
      </c>
      <c r="BL58" s="15" t="n">
        <f aca="false">SUMIF('Your Accounts'!$BK$6:$BK$185,"&lt;="&amp;$BK58,'Your Accounts'!$BJ$6:$BJ$185)</f>
        <v>10058772.23</v>
      </c>
      <c r="BM58" s="15" t="n">
        <f aca="false">ROUND($D58*Sensitivity!$C$40+Sensitivity!$D$40,2)</f>
        <v>22412.5</v>
      </c>
      <c r="BN58" s="15" t="n">
        <f aca="false">ROUND($K58-$BQ58,2)</f>
        <v>35822.14</v>
      </c>
      <c r="BO58" s="26" t="n">
        <f aca="false">RANK($BN58,'Your Accounts'!$BN$6:$BN$185)</f>
        <v>69</v>
      </c>
      <c r="BP58" s="15" t="n">
        <f aca="false">SUMIF('Your Accounts'!$BO$6:$BO$185,"&lt;="&amp;$BO58,'Your Accounts'!$BN$6:$BN$185)</f>
        <v>9677811.75</v>
      </c>
      <c r="BQ58" s="15" t="n">
        <f aca="false">ROUND($D58*Sensitivity!$C$41+Sensitivity!$D$41,2)</f>
        <v>26895</v>
      </c>
    </row>
    <row r="59" customFormat="false" ht="15" hidden="false" customHeight="false" outlineLevel="0" collapsed="false">
      <c r="B59" s="18" t="s">
        <v>170</v>
      </c>
      <c r="C59" s="18" t="s">
        <v>157</v>
      </c>
      <c r="D59" s="24" t="n">
        <v>8</v>
      </c>
      <c r="E59" s="26" t="n">
        <f aca="false">SUMIF('Your Lines'!$B$6:$B$463,$B59,'Your Lines'!$E$6:$E$463)</f>
        <v>1774</v>
      </c>
      <c r="F59" s="15" t="n">
        <f aca="false">ROUND(SUMIF('Your Lines'!$B$6:$B$463,$B59,'Your Lines'!$J$6:$J$463),2)</f>
        <v>154678</v>
      </c>
      <c r="G59" s="15" t="n">
        <f aca="false">ROUND(SUMIF('Your Lines'!$B$6:$B$463,$B59,'Your Lines'!$G$6:$G$463),2)</f>
        <v>134177.07</v>
      </c>
      <c r="H59" s="25" t="n">
        <f aca="false">$G59/$F59</f>
        <v>0.867460595559808</v>
      </c>
      <c r="I59" s="15" t="n">
        <f aca="false">ROUND(SUMIF('Your Lines'!$B$6:$B$463,$B59,'Your Lines'!$K$6:$K$463),2)</f>
        <v>89110</v>
      </c>
      <c r="J59" s="15" t="n">
        <f aca="false">ROUND(SUMIF('Your Lines'!$B$6:$B$463,$B59,'Your Lines'!$L$6:$L$463),2)</f>
        <v>2755.17</v>
      </c>
      <c r="K59" s="15" t="n">
        <f aca="false">ROUND($G59-$I59-$J59,2)</f>
        <v>42311.9</v>
      </c>
      <c r="L59" s="15" t="n">
        <f aca="false">ROUND($D59*'Your Inputs'!$C$40+'Your Inputs'!$C$41,2)</f>
        <v>7660</v>
      </c>
      <c r="M59" s="15" t="n">
        <f aca="false">ROUND($K59-$L59,2)</f>
        <v>34651.9</v>
      </c>
      <c r="N59" s="26" t="n">
        <f aca="false">RANK($M59,'Your Accounts'!$M$6:$M$185)</f>
        <v>95</v>
      </c>
      <c r="O59" s="15" t="n">
        <f aca="false">SUMIF('Your Accounts'!$N$6:$N$185,"&lt;="&amp;$N59,'Your Accounts'!$M$6:$M$185)</f>
        <v>12206722.19</v>
      </c>
      <c r="P59" s="15"/>
      <c r="Q59" s="26" t="n">
        <f aca="false">COUNTIFS('Your Lines'!$B$6:$B$463,$B59,'Your Lines'!$R$6:$R$463,"below the floor")</f>
        <v>0</v>
      </c>
      <c r="R59" s="15" t="n">
        <f aca="false">IF(Q59&gt;0,$K59,0)</f>
        <v>0</v>
      </c>
      <c r="AN59" s="15" t="n">
        <f aca="false">IF(VLOOKUP($C59,'Your Floors'!$B$53:$F$56,5,FALSE())="yes",0,$R59)</f>
        <v>0</v>
      </c>
      <c r="AP59" s="15" t="n">
        <f aca="false">ROUND($K59-$AS59,2)</f>
        <v>38481.9</v>
      </c>
      <c r="AQ59" s="26" t="n">
        <f aca="false">RANK($AP59,'Your Accounts'!$AP$6:$AP$185)</f>
        <v>95</v>
      </c>
      <c r="AR59" s="15" t="n">
        <f aca="false">SUMIF('Your Accounts'!$AQ$6:$AQ$185,"&lt;="&amp;$AQ59,'Your Accounts'!$AP$6:$AP$185)</f>
        <v>12675407.19</v>
      </c>
      <c r="AS59" s="15" t="n">
        <f aca="false">ROUND($D59*Sensitivity!$C$35+Sensitivity!$D$35,2)</f>
        <v>3830</v>
      </c>
      <c r="AT59" s="15" t="n">
        <f aca="false">ROUND($K59-$AW59,2)</f>
        <v>34651.9</v>
      </c>
      <c r="AU59" s="26" t="n">
        <f aca="false">RANK($AT59,'Your Accounts'!$AT$6:$AT$185)</f>
        <v>95</v>
      </c>
      <c r="AV59" s="15" t="n">
        <f aca="false">SUMIF('Your Accounts'!$AU$6:$AU$185,"&lt;="&amp;$AU59,'Your Accounts'!$AT$6:$AT$185)</f>
        <v>12206722.19</v>
      </c>
      <c r="AW59" s="15" t="n">
        <f aca="false">ROUND($D59*Sensitivity!$C$36+Sensitivity!$D$36,2)</f>
        <v>7660</v>
      </c>
      <c r="AX59" s="15" t="n">
        <f aca="false">ROUND($K59-$BA59,2)</f>
        <v>32736.9</v>
      </c>
      <c r="AY59" s="26" t="n">
        <f aca="false">RANK($AX59,'Your Accounts'!$AX$6:$AX$185)</f>
        <v>95</v>
      </c>
      <c r="AZ59" s="15" t="n">
        <f aca="false">SUMIF('Your Accounts'!$AY$6:$AY$185,"&lt;="&amp;$AY59,'Your Accounts'!$AX$6:$AX$185)</f>
        <v>11972379.69</v>
      </c>
      <c r="BA59" s="15" t="n">
        <f aca="false">ROUND($D59*Sensitivity!$C$37+Sensitivity!$D$37,2)</f>
        <v>9575</v>
      </c>
      <c r="BB59" s="15" t="n">
        <f aca="false">ROUND($K59-$BE59,2)</f>
        <v>30821.9</v>
      </c>
      <c r="BC59" s="26" t="n">
        <f aca="false">RANK($BB59,'Your Accounts'!$BB$6:$BB$185)</f>
        <v>94</v>
      </c>
      <c r="BD59" s="15" t="n">
        <f aca="false">SUMIF('Your Accounts'!$BC$6:$BC$185,"&lt;="&amp;$BC59,'Your Accounts'!$BB$6:$BB$185)</f>
        <v>11707882.75</v>
      </c>
      <c r="BE59" s="15" t="n">
        <f aca="false">ROUND($D59*Sensitivity!$C$38+Sensitivity!$D$38,2)</f>
        <v>11490</v>
      </c>
      <c r="BF59" s="15" t="n">
        <f aca="false">ROUND($K59-$BI59,2)</f>
        <v>26991.9</v>
      </c>
      <c r="BG59" s="26" t="n">
        <f aca="false">RANK($BF59,'Your Accounts'!$BF$6:$BF$185)</f>
        <v>92</v>
      </c>
      <c r="BH59" s="15" t="n">
        <f aca="false">SUMIF('Your Accounts'!$BG$6:$BG$185,"&lt;="&amp;$BG59,'Your Accounts'!$BF$6:$BF$185)</f>
        <v>11192369.37</v>
      </c>
      <c r="BI59" s="15" t="n">
        <f aca="false">ROUND($D59*Sensitivity!$C$39+Sensitivity!$D$39,2)</f>
        <v>15320</v>
      </c>
      <c r="BJ59" s="15" t="n">
        <f aca="false">ROUND($K59-$BM59,2)</f>
        <v>23161.9</v>
      </c>
      <c r="BK59" s="26" t="n">
        <f aca="false">RANK($BJ59,'Your Accounts'!$BJ$6:$BJ$185)</f>
        <v>92</v>
      </c>
      <c r="BL59" s="15" t="n">
        <f aca="false">SUMIF('Your Accounts'!$BK$6:$BK$185,"&lt;="&amp;$BK59,'Your Accounts'!$BJ$6:$BJ$185)</f>
        <v>10741409.37</v>
      </c>
      <c r="BM59" s="15" t="n">
        <f aca="false">ROUND($D59*Sensitivity!$C$40+Sensitivity!$D$40,2)</f>
        <v>19150</v>
      </c>
      <c r="BN59" s="15" t="n">
        <f aca="false">ROUND($K59-$BQ59,2)</f>
        <v>19331.9</v>
      </c>
      <c r="BO59" s="26" t="n">
        <f aca="false">RANK($BN59,'Your Accounts'!$BN$6:$BN$185)</f>
        <v>90</v>
      </c>
      <c r="BP59" s="15" t="n">
        <f aca="false">SUMIF('Your Accounts'!$BO$6:$BO$185,"&lt;="&amp;$BO59,'Your Accounts'!$BN$6:$BN$185)</f>
        <v>10253071.35</v>
      </c>
      <c r="BQ59" s="15" t="n">
        <f aca="false">ROUND($D59*Sensitivity!$C$41+Sensitivity!$D$41,2)</f>
        <v>22980</v>
      </c>
    </row>
    <row r="60" customFormat="false" ht="15" hidden="false" customHeight="false" outlineLevel="0" collapsed="false">
      <c r="B60" s="18" t="s">
        <v>171</v>
      </c>
      <c r="C60" s="18" t="s">
        <v>157</v>
      </c>
      <c r="D60" s="24" t="n">
        <v>8</v>
      </c>
      <c r="E60" s="26" t="n">
        <f aca="false">SUMIF('Your Lines'!$B$6:$B$463,$B60,'Your Lines'!$E$6:$E$463)</f>
        <v>1912</v>
      </c>
      <c r="F60" s="15" t="n">
        <f aca="false">ROUND(SUMIF('Your Lines'!$B$6:$B$463,$B60,'Your Lines'!$J$6:$J$463),2)</f>
        <v>169910</v>
      </c>
      <c r="G60" s="15" t="n">
        <f aca="false">ROUND(SUMIF('Your Lines'!$B$6:$B$463,$B60,'Your Lines'!$G$6:$G$463),2)</f>
        <v>137708.15</v>
      </c>
      <c r="H60" s="25" t="n">
        <f aca="false">$G60/$F60</f>
        <v>0.810477017244423</v>
      </c>
      <c r="I60" s="15" t="n">
        <f aca="false">ROUND(SUMIF('Your Lines'!$B$6:$B$463,$B60,'Your Lines'!$K$6:$K$463),2)</f>
        <v>96842</v>
      </c>
      <c r="J60" s="15" t="n">
        <f aca="false">ROUND(SUMIF('Your Lines'!$B$6:$B$463,$B60,'Your Lines'!$L$6:$L$463),2)</f>
        <v>2784.8</v>
      </c>
      <c r="K60" s="15" t="n">
        <f aca="false">ROUND($G60-$I60-$J60,2)</f>
        <v>38081.35</v>
      </c>
      <c r="L60" s="15" t="n">
        <f aca="false">ROUND($D60*'Your Inputs'!$C$40+'Your Inputs'!$C$41,2)</f>
        <v>7660</v>
      </c>
      <c r="M60" s="15" t="n">
        <f aca="false">ROUND($K60-$L60,2)</f>
        <v>30421.35</v>
      </c>
      <c r="N60" s="26" t="n">
        <f aca="false">RANK($M60,'Your Accounts'!$M$6:$M$185)</f>
        <v>101</v>
      </c>
      <c r="O60" s="15" t="n">
        <f aca="false">SUMIF('Your Accounts'!$N$6:$N$185,"&lt;="&amp;$N60,'Your Accounts'!$M$6:$M$185)</f>
        <v>12399305.69</v>
      </c>
      <c r="P60" s="15"/>
      <c r="Q60" s="26" t="n">
        <f aca="false">COUNTIFS('Your Lines'!$B$6:$B$463,$B60,'Your Lines'!$R$6:$R$463,"below the floor")</f>
        <v>3</v>
      </c>
      <c r="R60" s="15" t="n">
        <f aca="false">IF(Q60&gt;0,$K60,0)</f>
        <v>38081.35</v>
      </c>
      <c r="AN60" s="15" t="n">
        <f aca="false">IF(VLOOKUP($C60,'Your Floors'!$B$53:$F$56,5,FALSE())="yes",0,$R60)</f>
        <v>38081.35</v>
      </c>
      <c r="AP60" s="15" t="n">
        <f aca="false">ROUND($K60-$AS60,2)</f>
        <v>34251.35</v>
      </c>
      <c r="AQ60" s="26" t="n">
        <f aca="false">RANK($AP60,'Your Accounts'!$AP$6:$AP$185)</f>
        <v>105</v>
      </c>
      <c r="AR60" s="15" t="n">
        <f aca="false">SUMIF('Your Accounts'!$AQ$6:$AQ$185,"&lt;="&amp;$AQ60,'Your Accounts'!$AP$6:$AP$185)</f>
        <v>13035810.17</v>
      </c>
      <c r="AS60" s="15" t="n">
        <f aca="false">ROUND($D60*Sensitivity!$C$35+Sensitivity!$D$35,2)</f>
        <v>3830</v>
      </c>
      <c r="AT60" s="15" t="n">
        <f aca="false">ROUND($K60-$AW60,2)</f>
        <v>30421.35</v>
      </c>
      <c r="AU60" s="26" t="n">
        <f aca="false">RANK($AT60,'Your Accounts'!$AT$6:$AT$185)</f>
        <v>101</v>
      </c>
      <c r="AV60" s="15" t="n">
        <f aca="false">SUMIF('Your Accounts'!$AU$6:$AU$185,"&lt;="&amp;$AU60,'Your Accounts'!$AT$6:$AT$185)</f>
        <v>12399305.69</v>
      </c>
      <c r="AW60" s="15" t="n">
        <f aca="false">ROUND($D60*Sensitivity!$C$36+Sensitivity!$D$36,2)</f>
        <v>7660</v>
      </c>
      <c r="AX60" s="15" t="n">
        <f aca="false">ROUND($K60-$BA60,2)</f>
        <v>28506.35</v>
      </c>
      <c r="AY60" s="26" t="n">
        <f aca="false">RANK($AX60,'Your Accounts'!$AX$6:$AX$185)</f>
        <v>99</v>
      </c>
      <c r="AZ60" s="15" t="n">
        <f aca="false">SUMIF('Your Accounts'!$AY$6:$AY$185,"&lt;="&amp;$AY60,'Your Accounts'!$AX$6:$AX$185)</f>
        <v>12095454.78</v>
      </c>
      <c r="BA60" s="15" t="n">
        <f aca="false">ROUND($D60*Sensitivity!$C$37+Sensitivity!$D$37,2)</f>
        <v>9575</v>
      </c>
      <c r="BB60" s="15" t="n">
        <f aca="false">ROUND($K60-$BE60,2)</f>
        <v>26591.35</v>
      </c>
      <c r="BC60" s="26" t="n">
        <f aca="false">RANK($BB60,'Your Accounts'!$BB$6:$BB$185)</f>
        <v>99</v>
      </c>
      <c r="BD60" s="15" t="n">
        <f aca="false">SUMIF('Your Accounts'!$BC$6:$BC$185,"&lt;="&amp;$BC60,'Your Accounts'!$BB$6:$BB$185)</f>
        <v>11853198.53</v>
      </c>
      <c r="BE60" s="15" t="n">
        <f aca="false">ROUND($D60*Sensitivity!$C$38+Sensitivity!$D$38,2)</f>
        <v>11490</v>
      </c>
      <c r="BF60" s="15" t="n">
        <f aca="false">ROUND($K60-$BI60,2)</f>
        <v>22761.35</v>
      </c>
      <c r="BG60" s="26" t="n">
        <f aca="false">RANK($BF60,'Your Accounts'!$BF$6:$BF$185)</f>
        <v>99</v>
      </c>
      <c r="BH60" s="15" t="n">
        <f aca="false">SUMIF('Your Accounts'!$BG$6:$BG$185,"&lt;="&amp;$BG60,'Your Accounts'!$BF$6:$BF$185)</f>
        <v>11368686.03</v>
      </c>
      <c r="BI60" s="15" t="n">
        <f aca="false">ROUND($D60*Sensitivity!$C$39+Sensitivity!$D$39,2)</f>
        <v>15320</v>
      </c>
      <c r="BJ60" s="15" t="n">
        <f aca="false">ROUND($K60-$BM60,2)</f>
        <v>18931.35</v>
      </c>
      <c r="BK60" s="26" t="n">
        <f aca="false">RANK($BJ60,'Your Accounts'!$BJ$6:$BJ$185)</f>
        <v>98</v>
      </c>
      <c r="BL60" s="15" t="n">
        <f aca="false">SUMIF('Your Accounts'!$BK$6:$BK$185,"&lt;="&amp;$BK60,'Your Accounts'!$BJ$6:$BJ$185)</f>
        <v>10866754.09</v>
      </c>
      <c r="BM60" s="15" t="n">
        <f aca="false">ROUND($D60*Sensitivity!$C$40+Sensitivity!$D$40,2)</f>
        <v>19150</v>
      </c>
      <c r="BN60" s="15" t="n">
        <f aca="false">ROUND($K60-$BQ60,2)</f>
        <v>15101.35</v>
      </c>
      <c r="BO60" s="26" t="n">
        <f aca="false">RANK($BN60,'Your Accounts'!$BN$6:$BN$185)</f>
        <v>97</v>
      </c>
      <c r="BP60" s="15" t="n">
        <f aca="false">SUMIF('Your Accounts'!$BO$6:$BO$185,"&lt;="&amp;$BO60,'Your Accounts'!$BN$6:$BN$185)</f>
        <v>10374571.07</v>
      </c>
      <c r="BQ60" s="15" t="n">
        <f aca="false">ROUND($D60*Sensitivity!$C$41+Sensitivity!$D$41,2)</f>
        <v>22980</v>
      </c>
    </row>
    <row r="61" customFormat="false" ht="15" hidden="false" customHeight="false" outlineLevel="0" collapsed="false">
      <c r="B61" s="18" t="s">
        <v>172</v>
      </c>
      <c r="C61" s="18" t="s">
        <v>157</v>
      </c>
      <c r="D61" s="24" t="n">
        <v>10</v>
      </c>
      <c r="E61" s="26" t="n">
        <f aca="false">SUMIF('Your Lines'!$B$6:$B$463,$B61,'Your Lines'!$E$6:$E$463)</f>
        <v>1331</v>
      </c>
      <c r="F61" s="15" t="n">
        <f aca="false">ROUND(SUMIF('Your Lines'!$B$6:$B$463,$B61,'Your Lines'!$J$6:$J$463),2)</f>
        <v>110222</v>
      </c>
      <c r="G61" s="15" t="n">
        <f aca="false">ROUND(SUMIF('Your Lines'!$B$6:$B$463,$B61,'Your Lines'!$G$6:$G$463),2)</f>
        <v>95043.32</v>
      </c>
      <c r="H61" s="25" t="n">
        <f aca="false">$G61/$F61</f>
        <v>0.862289923971621</v>
      </c>
      <c r="I61" s="15" t="n">
        <f aca="false">ROUND(SUMIF('Your Lines'!$B$6:$B$463,$B61,'Your Lines'!$K$6:$K$463),2)</f>
        <v>63424</v>
      </c>
      <c r="J61" s="15" t="n">
        <f aca="false">ROUND(SUMIF('Your Lines'!$B$6:$B$463,$B61,'Your Lines'!$L$6:$L$463),2)</f>
        <v>1922</v>
      </c>
      <c r="K61" s="15" t="n">
        <f aca="false">ROUND($G61-$I61-$J61,2)</f>
        <v>29697.32</v>
      </c>
      <c r="L61" s="15" t="n">
        <f aca="false">ROUND($D61*'Your Inputs'!$C$40+'Your Inputs'!$C$41,2)</f>
        <v>7950</v>
      </c>
      <c r="M61" s="15" t="n">
        <f aca="false">ROUND($K61-$L61,2)</f>
        <v>21747.32</v>
      </c>
      <c r="N61" s="26" t="n">
        <f aca="false">RANK($M61,'Your Accounts'!$M$6:$M$185)</f>
        <v>122</v>
      </c>
      <c r="O61" s="15" t="n">
        <f aca="false">SUMIF('Your Accounts'!$N$6:$N$185,"&lt;="&amp;$N61,'Your Accounts'!$M$6:$M$185)</f>
        <v>12948832.14</v>
      </c>
      <c r="P61" s="15"/>
      <c r="Q61" s="26" t="n">
        <f aca="false">COUNTIFS('Your Lines'!$B$6:$B$463,$B61,'Your Lines'!$R$6:$R$463,"below the floor")</f>
        <v>0</v>
      </c>
      <c r="R61" s="15" t="n">
        <f aca="false">IF(Q61&gt;0,$K61,0)</f>
        <v>0</v>
      </c>
      <c r="AN61" s="15" t="n">
        <f aca="false">IF(VLOOKUP($C61,'Your Floors'!$B$53:$F$56,5,FALSE())="yes",0,$R61)</f>
        <v>0</v>
      </c>
      <c r="AP61" s="15" t="n">
        <f aca="false">ROUND($K61-$AS61,2)</f>
        <v>25722.32</v>
      </c>
      <c r="AQ61" s="26" t="n">
        <f aca="false">RANK($AP61,'Your Accounts'!$AP$6:$AP$185)</f>
        <v>123</v>
      </c>
      <c r="AR61" s="15" t="n">
        <f aca="false">SUMIF('Your Accounts'!$AQ$6:$AQ$185,"&lt;="&amp;$AQ61,'Your Accounts'!$AP$6:$AP$185)</f>
        <v>13565900.6</v>
      </c>
      <c r="AS61" s="15" t="n">
        <f aca="false">ROUND($D61*Sensitivity!$C$35+Sensitivity!$D$35,2)</f>
        <v>3975</v>
      </c>
      <c r="AT61" s="15" t="n">
        <f aca="false">ROUND($K61-$AW61,2)</f>
        <v>21747.32</v>
      </c>
      <c r="AU61" s="26" t="n">
        <f aca="false">RANK($AT61,'Your Accounts'!$AT$6:$AT$185)</f>
        <v>122</v>
      </c>
      <c r="AV61" s="15" t="n">
        <f aca="false">SUMIF('Your Accounts'!$AU$6:$AU$185,"&lt;="&amp;$AU61,'Your Accounts'!$AT$6:$AT$185)</f>
        <v>12948832.14</v>
      </c>
      <c r="AW61" s="15" t="n">
        <f aca="false">ROUND($D61*Sensitivity!$C$36+Sensitivity!$D$36,2)</f>
        <v>7950</v>
      </c>
      <c r="AX61" s="15" t="n">
        <f aca="false">ROUND($K61-$BA61,2)</f>
        <v>19759.82</v>
      </c>
      <c r="AY61" s="26" t="n">
        <f aca="false">RANK($AX61,'Your Accounts'!$AX$6:$AX$185)</f>
        <v>122</v>
      </c>
      <c r="AZ61" s="15" t="n">
        <f aca="false">SUMIF('Your Accounts'!$AY$6:$AY$185,"&lt;="&amp;$AY61,'Your Accounts'!$AX$6:$AX$185)</f>
        <v>12653395.89</v>
      </c>
      <c r="BA61" s="15" t="n">
        <f aca="false">ROUND($D61*Sensitivity!$C$37+Sensitivity!$D$37,2)</f>
        <v>9937.5</v>
      </c>
      <c r="BB61" s="15" t="n">
        <f aca="false">ROUND($K61-$BE61,2)</f>
        <v>17772.32</v>
      </c>
      <c r="BC61" s="26" t="n">
        <f aca="false">RANK($BB61,'Your Accounts'!$BB$6:$BB$185)</f>
        <v>121</v>
      </c>
      <c r="BD61" s="15" t="n">
        <f aca="false">SUMIF('Your Accounts'!$BC$6:$BC$185,"&lt;="&amp;$BC61,'Your Accounts'!$BB$6:$BB$185)</f>
        <v>12340228.56</v>
      </c>
      <c r="BE61" s="15" t="n">
        <f aca="false">ROUND($D61*Sensitivity!$C$38+Sensitivity!$D$38,2)</f>
        <v>11925</v>
      </c>
      <c r="BF61" s="15" t="n">
        <f aca="false">ROUND($K61-$BI61,2)</f>
        <v>13797.32</v>
      </c>
      <c r="BG61" s="26" t="n">
        <f aca="false">RANK($BF61,'Your Accounts'!$BF$6:$BF$185)</f>
        <v>120</v>
      </c>
      <c r="BH61" s="15" t="n">
        <f aca="false">SUMIF('Your Accounts'!$BG$6:$BG$185,"&lt;="&amp;$BG61,'Your Accounts'!$BF$6:$BF$185)</f>
        <v>11740782.3</v>
      </c>
      <c r="BI61" s="15" t="n">
        <f aca="false">ROUND($D61*Sensitivity!$C$39+Sensitivity!$D$39,2)</f>
        <v>15900</v>
      </c>
      <c r="BJ61" s="15" t="n">
        <f aca="false">ROUND($K61-$BM61,2)</f>
        <v>9822.32</v>
      </c>
      <c r="BK61" s="26" t="n">
        <f aca="false">RANK($BJ61,'Your Accounts'!$BJ$6:$BJ$185)</f>
        <v>120</v>
      </c>
      <c r="BL61" s="15" t="n">
        <f aca="false">SUMIF('Your Accounts'!$BK$6:$BK$185,"&lt;="&amp;$BK61,'Your Accounts'!$BJ$6:$BJ$185)</f>
        <v>11160904.8</v>
      </c>
      <c r="BM61" s="15" t="n">
        <f aca="false">ROUND($D61*Sensitivity!$C$40+Sensitivity!$D$40,2)</f>
        <v>19875</v>
      </c>
      <c r="BN61" s="15" t="n">
        <f aca="false">ROUND($K61-$BQ61,2)</f>
        <v>5847.32</v>
      </c>
      <c r="BO61" s="26" t="n">
        <f aca="false">RANK($BN61,'Your Accounts'!$BN$6:$BN$185)</f>
        <v>119</v>
      </c>
      <c r="BP61" s="15" t="n">
        <f aca="false">SUMIF('Your Accounts'!$BO$6:$BO$185,"&lt;="&amp;$BO61,'Your Accounts'!$BN$6:$BN$185)</f>
        <v>10575405.04</v>
      </c>
      <c r="BQ61" s="15" t="n">
        <f aca="false">ROUND($D61*Sensitivity!$C$41+Sensitivity!$D$41,2)</f>
        <v>23850</v>
      </c>
    </row>
    <row r="62" customFormat="false" ht="15" hidden="false" customHeight="false" outlineLevel="0" collapsed="false">
      <c r="B62" s="18" t="s">
        <v>173</v>
      </c>
      <c r="C62" s="18" t="s">
        <v>157</v>
      </c>
      <c r="D62" s="24" t="n">
        <v>13</v>
      </c>
      <c r="E62" s="26" t="n">
        <f aca="false">SUMIF('Your Lines'!$B$6:$B$463,$B62,'Your Lines'!$E$6:$E$463)</f>
        <v>3686</v>
      </c>
      <c r="F62" s="15" t="n">
        <f aca="false">ROUND(SUMIF('Your Lines'!$B$6:$B$463,$B62,'Your Lines'!$J$6:$J$463),2)</f>
        <v>434612</v>
      </c>
      <c r="G62" s="15" t="n">
        <f aca="false">ROUND(SUMIF('Your Lines'!$B$6:$B$463,$B62,'Your Lines'!$G$6:$G$463),2)</f>
        <v>349512.64</v>
      </c>
      <c r="H62" s="25" t="n">
        <f aca="false">$G62/$F62</f>
        <v>0.804194637975942</v>
      </c>
      <c r="I62" s="15" t="n">
        <f aca="false">ROUND(SUMIF('Your Lines'!$B$6:$B$463,$B62,'Your Lines'!$K$6:$K$463),2)</f>
        <v>244848</v>
      </c>
      <c r="J62" s="15" t="n">
        <f aca="false">ROUND(SUMIF('Your Lines'!$B$6:$B$463,$B62,'Your Lines'!$L$6:$L$463),2)</f>
        <v>7327.31</v>
      </c>
      <c r="K62" s="15" t="n">
        <f aca="false">ROUND($G62-$I62-$J62,2)</f>
        <v>97337.33</v>
      </c>
      <c r="L62" s="15" t="n">
        <f aca="false">ROUND($D62*'Your Inputs'!$C$40+'Your Inputs'!$C$41,2)</f>
        <v>8385</v>
      </c>
      <c r="M62" s="15" t="n">
        <f aca="false">ROUND($K62-$L62,2)</f>
        <v>88952.33</v>
      </c>
      <c r="N62" s="26" t="n">
        <f aca="false">RANK($M62,'Your Accounts'!$M$6:$M$185)</f>
        <v>41</v>
      </c>
      <c r="O62" s="15" t="n">
        <f aca="false">SUMIF('Your Accounts'!$N$6:$N$185,"&lt;="&amp;$N62,'Your Accounts'!$M$6:$M$185)</f>
        <v>9153949.37</v>
      </c>
      <c r="P62" s="15"/>
      <c r="Q62" s="26" t="n">
        <f aca="false">COUNTIFS('Your Lines'!$B$6:$B$463,$B62,'Your Lines'!$R$6:$R$463,"below the floor")</f>
        <v>2</v>
      </c>
      <c r="R62" s="15" t="n">
        <f aca="false">IF(Q62&gt;0,$K62,0)</f>
        <v>97337.33</v>
      </c>
      <c r="AN62" s="15" t="n">
        <f aca="false">IF(VLOOKUP($C62,'Your Floors'!$B$53:$F$56,5,FALSE())="yes",0,$R62)</f>
        <v>97337.33</v>
      </c>
      <c r="AP62" s="15" t="n">
        <f aca="false">ROUND($K62-$AS62,2)</f>
        <v>93144.83</v>
      </c>
      <c r="AQ62" s="26" t="n">
        <f aca="false">RANK($AP62,'Your Accounts'!$AP$6:$AP$185)</f>
        <v>41</v>
      </c>
      <c r="AR62" s="15" t="n">
        <f aca="false">SUMIF('Your Accounts'!$AQ$6:$AQ$185,"&lt;="&amp;$AQ62,'Your Accounts'!$AP$6:$AP$185)</f>
        <v>9361511.87</v>
      </c>
      <c r="AS62" s="15" t="n">
        <f aca="false">ROUND($D62*Sensitivity!$C$35+Sensitivity!$D$35,2)</f>
        <v>4192.5</v>
      </c>
      <c r="AT62" s="15" t="n">
        <f aca="false">ROUND($K62-$AW62,2)</f>
        <v>88952.33</v>
      </c>
      <c r="AU62" s="26" t="n">
        <f aca="false">RANK($AT62,'Your Accounts'!$AT$6:$AT$185)</f>
        <v>41</v>
      </c>
      <c r="AV62" s="15" t="n">
        <f aca="false">SUMIF('Your Accounts'!$AU$6:$AU$185,"&lt;="&amp;$AU62,'Your Accounts'!$AT$6:$AT$185)</f>
        <v>9153949.37</v>
      </c>
      <c r="AW62" s="15" t="n">
        <f aca="false">ROUND($D62*Sensitivity!$C$36+Sensitivity!$D$36,2)</f>
        <v>8385</v>
      </c>
      <c r="AX62" s="15" t="n">
        <f aca="false">ROUND($K62-$BA62,2)</f>
        <v>86856.08</v>
      </c>
      <c r="AY62" s="26" t="n">
        <f aca="false">RANK($AX62,'Your Accounts'!$AX$6:$AX$185)</f>
        <v>40</v>
      </c>
      <c r="AZ62" s="15" t="n">
        <f aca="false">SUMIF('Your Accounts'!$AY$6:$AY$185,"&lt;="&amp;$AY62,'Your Accounts'!$AX$6:$AX$185)</f>
        <v>8963733.08</v>
      </c>
      <c r="BA62" s="15" t="n">
        <f aca="false">ROUND($D62*Sensitivity!$C$37+Sensitivity!$D$37,2)</f>
        <v>10481.25</v>
      </c>
      <c r="BB62" s="15" t="n">
        <f aca="false">ROUND($K62-$BE62,2)</f>
        <v>84759.83</v>
      </c>
      <c r="BC62" s="26" t="n">
        <f aca="false">RANK($BB62,'Your Accounts'!$BB$6:$BB$185)</f>
        <v>40</v>
      </c>
      <c r="BD62" s="15" t="n">
        <f aca="false">SUMIF('Your Accounts'!$BC$6:$BC$185,"&lt;="&amp;$BC62,'Your Accounts'!$BB$6:$BB$185)</f>
        <v>8862881.83</v>
      </c>
      <c r="BE62" s="15" t="n">
        <f aca="false">ROUND($D62*Sensitivity!$C$38+Sensitivity!$D$38,2)</f>
        <v>12577.5</v>
      </c>
      <c r="BF62" s="15" t="n">
        <f aca="false">ROUND($K62-$BI62,2)</f>
        <v>80567.33</v>
      </c>
      <c r="BG62" s="26" t="n">
        <f aca="false">RANK($BF62,'Your Accounts'!$BF$6:$BF$185)</f>
        <v>40</v>
      </c>
      <c r="BH62" s="15" t="n">
        <f aca="false">SUMIF('Your Accounts'!$BG$6:$BG$185,"&lt;="&amp;$BG62,'Your Accounts'!$BF$6:$BF$185)</f>
        <v>8661179.33</v>
      </c>
      <c r="BI62" s="15" t="n">
        <f aca="false">ROUND($D62*Sensitivity!$C$39+Sensitivity!$D$39,2)</f>
        <v>16770</v>
      </c>
      <c r="BJ62" s="15" t="n">
        <f aca="false">ROUND($K62-$BM62,2)</f>
        <v>76374.83</v>
      </c>
      <c r="BK62" s="26" t="n">
        <f aca="false">RANK($BJ62,'Your Accounts'!$BJ$6:$BJ$185)</f>
        <v>40</v>
      </c>
      <c r="BL62" s="15" t="n">
        <f aca="false">SUMIF('Your Accounts'!$BK$6:$BK$185,"&lt;="&amp;$BK62,'Your Accounts'!$BJ$6:$BJ$185)</f>
        <v>8459476.83</v>
      </c>
      <c r="BM62" s="15" t="n">
        <f aca="false">ROUND($D62*Sensitivity!$C$40+Sensitivity!$D$40,2)</f>
        <v>20962.5</v>
      </c>
      <c r="BN62" s="15" t="n">
        <f aca="false">ROUND($K62-$BQ62,2)</f>
        <v>72182.33</v>
      </c>
      <c r="BO62" s="26" t="n">
        <f aca="false">RANK($BN62,'Your Accounts'!$BN$6:$BN$185)</f>
        <v>40</v>
      </c>
      <c r="BP62" s="15" t="n">
        <f aca="false">SUMIF('Your Accounts'!$BO$6:$BO$185,"&lt;="&amp;$BO62,'Your Accounts'!$BN$6:$BN$185)</f>
        <v>8257774.33</v>
      </c>
      <c r="BQ62" s="15" t="n">
        <f aca="false">ROUND($D62*Sensitivity!$C$41+Sensitivity!$D$41,2)</f>
        <v>25155</v>
      </c>
    </row>
    <row r="63" customFormat="false" ht="15" hidden="false" customHeight="false" outlineLevel="0" collapsed="false">
      <c r="B63" s="18" t="s">
        <v>174</v>
      </c>
      <c r="C63" s="18" t="s">
        <v>157</v>
      </c>
      <c r="D63" s="24" t="n">
        <v>12</v>
      </c>
      <c r="E63" s="26" t="n">
        <f aca="false">SUMIF('Your Lines'!$B$6:$B$463,$B63,'Your Lines'!$E$6:$E$463)</f>
        <v>4096</v>
      </c>
      <c r="F63" s="15" t="n">
        <f aca="false">ROUND(SUMIF('Your Lines'!$B$6:$B$463,$B63,'Your Lines'!$J$6:$J$463),2)</f>
        <v>291148</v>
      </c>
      <c r="G63" s="15" t="n">
        <f aca="false">ROUND(SUMIF('Your Lines'!$B$6:$B$463,$B63,'Your Lines'!$G$6:$G$463),2)</f>
        <v>257114.92</v>
      </c>
      <c r="H63" s="25" t="n">
        <f aca="false">$G63/$F63</f>
        <v>0.883107285641667</v>
      </c>
      <c r="I63" s="15" t="n">
        <f aca="false">ROUND(SUMIF('Your Lines'!$B$6:$B$463,$B63,'Your Lines'!$K$6:$K$463),2)</f>
        <v>171524</v>
      </c>
      <c r="J63" s="15" t="n">
        <f aca="false">ROUND(SUMIF('Your Lines'!$B$6:$B$463,$B63,'Your Lines'!$L$6:$L$463),2)</f>
        <v>5418.65</v>
      </c>
      <c r="K63" s="15" t="n">
        <f aca="false">ROUND($G63-$I63-$J63,2)</f>
        <v>80172.27</v>
      </c>
      <c r="L63" s="15" t="n">
        <f aca="false">ROUND($D63*'Your Inputs'!$C$40+'Your Inputs'!$C$41,2)</f>
        <v>8240</v>
      </c>
      <c r="M63" s="15" t="n">
        <f aca="false">ROUND($K63-$L63,2)</f>
        <v>71932.27</v>
      </c>
      <c r="N63" s="26" t="n">
        <f aca="false">RANK($M63,'Your Accounts'!$M$6:$M$185)</f>
        <v>52</v>
      </c>
      <c r="O63" s="15" t="n">
        <f aca="false">SUMIF('Your Accounts'!$N$6:$N$185,"&lt;="&amp;$N63,'Your Accounts'!$M$6:$M$185)</f>
        <v>10024002.11</v>
      </c>
      <c r="P63" s="15"/>
      <c r="Q63" s="26" t="n">
        <f aca="false">COUNTIFS('Your Lines'!$B$6:$B$463,$B63,'Your Lines'!$R$6:$R$463,"below the floor")</f>
        <v>0</v>
      </c>
      <c r="R63" s="15" t="n">
        <f aca="false">IF(Q63&gt;0,$K63,0)</f>
        <v>0</v>
      </c>
      <c r="AN63" s="15" t="n">
        <f aca="false">IF(VLOOKUP($C63,'Your Floors'!$B$53:$F$56,5,FALSE())="yes",0,$R63)</f>
        <v>0</v>
      </c>
      <c r="AP63" s="15" t="n">
        <f aca="false">ROUND($K63-$AS63,2)</f>
        <v>76052.27</v>
      </c>
      <c r="AQ63" s="26" t="n">
        <f aca="false">RANK($AP63,'Your Accounts'!$AP$6:$AP$185)</f>
        <v>52</v>
      </c>
      <c r="AR63" s="15" t="n">
        <f aca="false">SUMIF('Your Accounts'!$AQ$6:$AQ$185,"&lt;="&amp;$AQ63,'Your Accounts'!$AP$6:$AP$185)</f>
        <v>10289644.61</v>
      </c>
      <c r="AS63" s="15" t="n">
        <f aca="false">ROUND($D63*Sensitivity!$C$35+Sensitivity!$D$35,2)</f>
        <v>4120</v>
      </c>
      <c r="AT63" s="15" t="n">
        <f aca="false">ROUND($K63-$AW63,2)</f>
        <v>71932.27</v>
      </c>
      <c r="AU63" s="26" t="n">
        <f aca="false">RANK($AT63,'Your Accounts'!$AT$6:$AT$185)</f>
        <v>52</v>
      </c>
      <c r="AV63" s="15" t="n">
        <f aca="false">SUMIF('Your Accounts'!$AU$6:$AU$185,"&lt;="&amp;$AU63,'Your Accounts'!$AT$6:$AT$185)</f>
        <v>10024002.11</v>
      </c>
      <c r="AW63" s="15" t="n">
        <f aca="false">ROUND($D63*Sensitivity!$C$36+Sensitivity!$D$36,2)</f>
        <v>8240</v>
      </c>
      <c r="AX63" s="15" t="n">
        <f aca="false">ROUND($K63-$BA63,2)</f>
        <v>69872.27</v>
      </c>
      <c r="AY63" s="26" t="n">
        <f aca="false">RANK($AX63,'Your Accounts'!$AX$6:$AX$185)</f>
        <v>52</v>
      </c>
      <c r="AZ63" s="15" t="n">
        <f aca="false">SUMIF('Your Accounts'!$AY$6:$AY$185,"&lt;="&amp;$AY63,'Your Accounts'!$AX$6:$AX$185)</f>
        <v>9891180.86</v>
      </c>
      <c r="BA63" s="15" t="n">
        <f aca="false">ROUND($D63*Sensitivity!$C$37+Sensitivity!$D$37,2)</f>
        <v>10300</v>
      </c>
      <c r="BB63" s="15" t="n">
        <f aca="false">ROUND($K63-$BE63,2)</f>
        <v>67812.27</v>
      </c>
      <c r="BC63" s="26" t="n">
        <f aca="false">RANK($BB63,'Your Accounts'!$BB$6:$BB$185)</f>
        <v>52</v>
      </c>
      <c r="BD63" s="15" t="n">
        <f aca="false">SUMIF('Your Accounts'!$BC$6:$BC$185,"&lt;="&amp;$BC63,'Your Accounts'!$BB$6:$BB$185)</f>
        <v>9758359.61</v>
      </c>
      <c r="BE63" s="15" t="n">
        <f aca="false">ROUND($D63*Sensitivity!$C$38+Sensitivity!$D$38,2)</f>
        <v>12360</v>
      </c>
      <c r="BF63" s="15" t="n">
        <f aca="false">ROUND($K63-$BI63,2)</f>
        <v>63692.27</v>
      </c>
      <c r="BG63" s="26" t="n">
        <f aca="false">RANK($BF63,'Your Accounts'!$BF$6:$BF$185)</f>
        <v>50</v>
      </c>
      <c r="BH63" s="15" t="n">
        <f aca="false">SUMIF('Your Accounts'!$BG$6:$BG$185,"&lt;="&amp;$BG63,'Your Accounts'!$BF$6:$BF$185)</f>
        <v>9369936.21</v>
      </c>
      <c r="BI63" s="15" t="n">
        <f aca="false">ROUND($D63*Sensitivity!$C$39+Sensitivity!$D$39,2)</f>
        <v>16480</v>
      </c>
      <c r="BJ63" s="15" t="n">
        <f aca="false">ROUND($K63-$BM63,2)</f>
        <v>59572.27</v>
      </c>
      <c r="BK63" s="26" t="n">
        <f aca="false">RANK($BJ63,'Your Accounts'!$BJ$6:$BJ$185)</f>
        <v>49</v>
      </c>
      <c r="BL63" s="15" t="n">
        <f aca="false">SUMIF('Your Accounts'!$BK$6:$BK$185,"&lt;="&amp;$BK63,'Your Accounts'!$BJ$6:$BJ$185)</f>
        <v>9061714.08</v>
      </c>
      <c r="BM63" s="15" t="n">
        <f aca="false">ROUND($D63*Sensitivity!$C$40+Sensitivity!$D$40,2)</f>
        <v>20600</v>
      </c>
      <c r="BN63" s="15" t="n">
        <f aca="false">ROUND($K63-$BQ63,2)</f>
        <v>55452.27</v>
      </c>
      <c r="BO63" s="26" t="n">
        <f aca="false">RANK($BN63,'Your Accounts'!$BN$6:$BN$185)</f>
        <v>49</v>
      </c>
      <c r="BP63" s="15" t="n">
        <f aca="false">SUMIF('Your Accounts'!$BO$6:$BO$185,"&lt;="&amp;$BO63,'Your Accounts'!$BN$6:$BN$185)</f>
        <v>8818871.58</v>
      </c>
      <c r="BQ63" s="15" t="n">
        <f aca="false">ROUND($D63*Sensitivity!$C$41+Sensitivity!$D$41,2)</f>
        <v>24720</v>
      </c>
    </row>
    <row r="64" customFormat="false" ht="15" hidden="false" customHeight="false" outlineLevel="0" collapsed="false">
      <c r="B64" s="18" t="s">
        <v>175</v>
      </c>
      <c r="C64" s="18" t="s">
        <v>157</v>
      </c>
      <c r="D64" s="24" t="n">
        <v>9</v>
      </c>
      <c r="E64" s="26" t="n">
        <f aca="false">SUMIF('Your Lines'!$B$6:$B$463,$B64,'Your Lines'!$E$6:$E$463)</f>
        <v>2528</v>
      </c>
      <c r="F64" s="15" t="n">
        <f aca="false">ROUND(SUMIF('Your Lines'!$B$6:$B$463,$B64,'Your Lines'!$J$6:$J$463),2)</f>
        <v>212128</v>
      </c>
      <c r="G64" s="15" t="n">
        <f aca="false">ROUND(SUMIF('Your Lines'!$B$6:$B$463,$B64,'Your Lines'!$G$6:$G$463),2)</f>
        <v>187857.58</v>
      </c>
      <c r="H64" s="25" t="n">
        <f aca="false">$G64/$F64</f>
        <v>0.885585966963343</v>
      </c>
      <c r="I64" s="15" t="n">
        <f aca="false">ROUND(SUMIF('Your Lines'!$B$6:$B$463,$B64,'Your Lines'!$K$6:$K$463),2)</f>
        <v>121432</v>
      </c>
      <c r="J64" s="15" t="n">
        <f aca="false">ROUND(SUMIF('Your Lines'!$B$6:$B$463,$B64,'Your Lines'!$L$6:$L$463),2)</f>
        <v>3857.45</v>
      </c>
      <c r="K64" s="15" t="n">
        <f aca="false">ROUND($G64-$I64-$J64,2)</f>
        <v>62568.13</v>
      </c>
      <c r="L64" s="15" t="n">
        <f aca="false">ROUND($D64*'Your Inputs'!$C$40+'Your Inputs'!$C$41,2)</f>
        <v>7805</v>
      </c>
      <c r="M64" s="15" t="n">
        <f aca="false">ROUND($K64-$L64,2)</f>
        <v>54763.13</v>
      </c>
      <c r="N64" s="26" t="n">
        <f aca="false">RANK($M64,'Your Accounts'!$M$6:$M$185)</f>
        <v>70</v>
      </c>
      <c r="O64" s="15" t="n">
        <f aca="false">SUMIF('Your Accounts'!$N$6:$N$185,"&lt;="&amp;$N64,'Your Accounts'!$M$6:$M$185)</f>
        <v>11105142.74</v>
      </c>
      <c r="P64" s="15"/>
      <c r="Q64" s="26" t="n">
        <f aca="false">COUNTIFS('Your Lines'!$B$6:$B$463,$B64,'Your Lines'!$R$6:$R$463,"below the floor")</f>
        <v>0</v>
      </c>
      <c r="R64" s="15" t="n">
        <f aca="false">IF(Q64&gt;0,$K64,0)</f>
        <v>0</v>
      </c>
      <c r="AN64" s="15" t="n">
        <f aca="false">IF(VLOOKUP($C64,'Your Floors'!$B$53:$F$56,5,FALSE())="yes",0,$R64)</f>
        <v>0</v>
      </c>
      <c r="AP64" s="15" t="n">
        <f aca="false">ROUND($K64-$AS64,2)</f>
        <v>58665.63</v>
      </c>
      <c r="AQ64" s="26" t="n">
        <f aca="false">RANK($AP64,'Your Accounts'!$AP$6:$AP$185)</f>
        <v>70</v>
      </c>
      <c r="AR64" s="15" t="n">
        <f aca="false">SUMIF('Your Accounts'!$AQ$6:$AQ$185,"&lt;="&amp;$AQ64,'Your Accounts'!$AP$6:$AP$185)</f>
        <v>11456037.74</v>
      </c>
      <c r="AS64" s="15" t="n">
        <f aca="false">ROUND($D64*Sensitivity!$C$35+Sensitivity!$D$35,2)</f>
        <v>3902.5</v>
      </c>
      <c r="AT64" s="15" t="n">
        <f aca="false">ROUND($K64-$AW64,2)</f>
        <v>54763.13</v>
      </c>
      <c r="AU64" s="26" t="n">
        <f aca="false">RANK($AT64,'Your Accounts'!$AT$6:$AT$185)</f>
        <v>70</v>
      </c>
      <c r="AV64" s="15" t="n">
        <f aca="false">SUMIF('Your Accounts'!$AU$6:$AU$185,"&lt;="&amp;$AU64,'Your Accounts'!$AT$6:$AT$185)</f>
        <v>11105142.74</v>
      </c>
      <c r="AW64" s="15" t="n">
        <f aca="false">ROUND($D64*Sensitivity!$C$36+Sensitivity!$D$36,2)</f>
        <v>7805</v>
      </c>
      <c r="AX64" s="15" t="n">
        <f aca="false">ROUND($K64-$BA64,2)</f>
        <v>52811.88</v>
      </c>
      <c r="AY64" s="26" t="n">
        <f aca="false">RANK($AX64,'Your Accounts'!$AX$6:$AX$185)</f>
        <v>69</v>
      </c>
      <c r="AZ64" s="15" t="n">
        <f aca="false">SUMIF('Your Accounts'!$AY$6:$AY$185,"&lt;="&amp;$AY64,'Your Accounts'!$AX$6:$AX$185)</f>
        <v>10877322.84</v>
      </c>
      <c r="BA64" s="15" t="n">
        <f aca="false">ROUND($D64*Sensitivity!$C$37+Sensitivity!$D$37,2)</f>
        <v>9756.25</v>
      </c>
      <c r="BB64" s="15" t="n">
        <f aca="false">ROUND($K64-$BE64,2)</f>
        <v>50860.63</v>
      </c>
      <c r="BC64" s="26" t="n">
        <f aca="false">RANK($BB64,'Your Accounts'!$BB$6:$BB$185)</f>
        <v>69</v>
      </c>
      <c r="BD64" s="15" t="n">
        <f aca="false">SUMIF('Your Accounts'!$BC$6:$BC$185,"&lt;="&amp;$BC64,'Your Accounts'!$BB$6:$BB$185)</f>
        <v>10705095.34</v>
      </c>
      <c r="BE64" s="15" t="n">
        <f aca="false">ROUND($D64*Sensitivity!$C$38+Sensitivity!$D$38,2)</f>
        <v>11707.5</v>
      </c>
      <c r="BF64" s="15" t="n">
        <f aca="false">ROUND($K64-$BI64,2)</f>
        <v>46958.13</v>
      </c>
      <c r="BG64" s="26" t="n">
        <f aca="false">RANK($BF64,'Your Accounts'!$BF$6:$BF$185)</f>
        <v>68</v>
      </c>
      <c r="BH64" s="15" t="n">
        <f aca="false">SUMIF('Your Accounts'!$BG$6:$BG$185,"&lt;="&amp;$BG64,'Your Accounts'!$BF$6:$BF$185)</f>
        <v>10315642.22</v>
      </c>
      <c r="BI64" s="15" t="n">
        <f aca="false">ROUND($D64*Sensitivity!$C$39+Sensitivity!$D$39,2)</f>
        <v>15610</v>
      </c>
      <c r="BJ64" s="15" t="n">
        <f aca="false">ROUND($K64-$BM64,2)</f>
        <v>43055.63</v>
      </c>
      <c r="BK64" s="26" t="n">
        <f aca="false">RANK($BJ64,'Your Accounts'!$BJ$6:$BJ$185)</f>
        <v>66</v>
      </c>
      <c r="BL64" s="15" t="n">
        <f aca="false">SUMIF('Your Accounts'!$BK$6:$BK$185,"&lt;="&amp;$BK64,'Your Accounts'!$BJ$6:$BJ$185)</f>
        <v>9894352.9</v>
      </c>
      <c r="BM64" s="15" t="n">
        <f aca="false">ROUND($D64*Sensitivity!$C$40+Sensitivity!$D$40,2)</f>
        <v>19512.5</v>
      </c>
      <c r="BN64" s="15" t="n">
        <f aca="false">ROUND($K64-$BQ64,2)</f>
        <v>39153.13</v>
      </c>
      <c r="BO64" s="26" t="n">
        <f aca="false">RANK($BN64,'Your Accounts'!$BN$6:$BN$185)</f>
        <v>65</v>
      </c>
      <c r="BP64" s="15" t="n">
        <f aca="false">SUMIF('Your Accounts'!$BO$6:$BO$185,"&lt;="&amp;$BO64,'Your Accounts'!$BN$6:$BN$185)</f>
        <v>9529794.23</v>
      </c>
      <c r="BQ64" s="15" t="n">
        <f aca="false">ROUND($D64*Sensitivity!$C$41+Sensitivity!$D$41,2)</f>
        <v>23415</v>
      </c>
    </row>
    <row r="65" customFormat="false" ht="15" hidden="false" customHeight="false" outlineLevel="0" collapsed="false">
      <c r="B65" s="18" t="s">
        <v>176</v>
      </c>
      <c r="C65" s="18" t="s">
        <v>157</v>
      </c>
      <c r="D65" s="24" t="n">
        <v>7</v>
      </c>
      <c r="E65" s="26" t="n">
        <f aca="false">SUMIF('Your Lines'!$B$6:$B$463,$B65,'Your Lines'!$E$6:$E$463)</f>
        <v>1616</v>
      </c>
      <c r="F65" s="15" t="n">
        <f aca="false">ROUND(SUMIF('Your Lines'!$B$6:$B$463,$B65,'Your Lines'!$J$6:$J$463),2)</f>
        <v>146718</v>
      </c>
      <c r="G65" s="15" t="n">
        <f aca="false">ROUND(SUMIF('Your Lines'!$B$6:$B$463,$B65,'Your Lines'!$G$6:$G$463),2)</f>
        <v>140004.19</v>
      </c>
      <c r="H65" s="25" t="n">
        <f aca="false">$G65/$F65</f>
        <v>0.954240038713723</v>
      </c>
      <c r="I65" s="15" t="n">
        <f aca="false">ROUND(SUMIF('Your Lines'!$B$6:$B$463,$B65,'Your Lines'!$K$6:$K$463),2)</f>
        <v>80898</v>
      </c>
      <c r="J65" s="15" t="n">
        <f aca="false">ROUND(SUMIF('Your Lines'!$B$6:$B$463,$B65,'Your Lines'!$L$6:$L$463),2)</f>
        <v>2816.99</v>
      </c>
      <c r="K65" s="15" t="n">
        <f aca="false">ROUND($G65-$I65-$J65,2)</f>
        <v>56289.2</v>
      </c>
      <c r="L65" s="15" t="n">
        <f aca="false">ROUND($D65*'Your Inputs'!$C$40+'Your Inputs'!$C$41,2)</f>
        <v>7515</v>
      </c>
      <c r="M65" s="15" t="n">
        <f aca="false">ROUND($K65-$L65,2)</f>
        <v>48774.2</v>
      </c>
      <c r="N65" s="26" t="n">
        <f aca="false">RANK($M65,'Your Accounts'!$M$6:$M$185)</f>
        <v>79</v>
      </c>
      <c r="O65" s="15" t="n">
        <f aca="false">SUMIF('Your Accounts'!$N$6:$N$185,"&lt;="&amp;$N65,'Your Accounts'!$M$6:$M$185)</f>
        <v>11565654.49</v>
      </c>
      <c r="P65" s="15"/>
      <c r="Q65" s="26" t="n">
        <f aca="false">COUNTIFS('Your Lines'!$B$6:$B$463,$B65,'Your Lines'!$R$6:$R$463,"below the floor")</f>
        <v>0</v>
      </c>
      <c r="R65" s="15" t="n">
        <f aca="false">IF(Q65&gt;0,$K65,0)</f>
        <v>0</v>
      </c>
      <c r="AN65" s="15" t="n">
        <f aca="false">IF(VLOOKUP($C65,'Your Floors'!$B$53:$F$56,5,FALSE())="yes",0,$R65)</f>
        <v>0</v>
      </c>
      <c r="AP65" s="15" t="n">
        <f aca="false">ROUND($K65-$AS65,2)</f>
        <v>52531.7</v>
      </c>
      <c r="AQ65" s="26" t="n">
        <f aca="false">RANK($AP65,'Your Accounts'!$AP$6:$AP$185)</f>
        <v>81</v>
      </c>
      <c r="AR65" s="15" t="n">
        <f aca="false">SUMIF('Your Accounts'!$AQ$6:$AQ$185,"&lt;="&amp;$AQ65,'Your Accounts'!$AP$6:$AP$185)</f>
        <v>12063309.75</v>
      </c>
      <c r="AS65" s="15" t="n">
        <f aca="false">ROUND($D65*Sensitivity!$C$35+Sensitivity!$D$35,2)</f>
        <v>3757.5</v>
      </c>
      <c r="AT65" s="15" t="n">
        <f aca="false">ROUND($K65-$AW65,2)</f>
        <v>48774.2</v>
      </c>
      <c r="AU65" s="26" t="n">
        <f aca="false">RANK($AT65,'Your Accounts'!$AT$6:$AT$185)</f>
        <v>79</v>
      </c>
      <c r="AV65" s="15" t="n">
        <f aca="false">SUMIF('Your Accounts'!$AU$6:$AU$185,"&lt;="&amp;$AU65,'Your Accounts'!$AT$6:$AT$185)</f>
        <v>11565654.49</v>
      </c>
      <c r="AW65" s="15" t="n">
        <f aca="false">ROUND($D65*Sensitivity!$C$36+Sensitivity!$D$36,2)</f>
        <v>7515</v>
      </c>
      <c r="AX65" s="15" t="n">
        <f aca="false">ROUND($K65-$BA65,2)</f>
        <v>46895.45</v>
      </c>
      <c r="AY65" s="26" t="n">
        <f aca="false">RANK($AX65,'Your Accounts'!$AX$6:$AX$185)</f>
        <v>78</v>
      </c>
      <c r="AZ65" s="15" t="n">
        <f aca="false">SUMIF('Your Accounts'!$AY$6:$AY$185,"&lt;="&amp;$AY65,'Your Accounts'!$AX$6:$AX$185)</f>
        <v>11323189.55</v>
      </c>
      <c r="BA65" s="15" t="n">
        <f aca="false">ROUND($D65*Sensitivity!$C$37+Sensitivity!$D$37,2)</f>
        <v>9393.75</v>
      </c>
      <c r="BB65" s="15" t="n">
        <f aca="false">ROUND($K65-$BE65,2)</f>
        <v>45016.7</v>
      </c>
      <c r="BC65" s="26" t="n">
        <f aca="false">RANK($BB65,'Your Accounts'!$BB$6:$BB$185)</f>
        <v>77</v>
      </c>
      <c r="BD65" s="15" t="n">
        <f aca="false">SUMIF('Your Accounts'!$BC$6:$BC$185,"&lt;="&amp;$BC65,'Your Accounts'!$BB$6:$BB$185)</f>
        <v>11085698.69</v>
      </c>
      <c r="BE65" s="15" t="n">
        <f aca="false">ROUND($D65*Sensitivity!$C$38+Sensitivity!$D$38,2)</f>
        <v>11272.5</v>
      </c>
      <c r="BF65" s="15" t="n">
        <f aca="false">ROUND($K65-$BI65,2)</f>
        <v>41259.2</v>
      </c>
      <c r="BG65" s="26" t="n">
        <f aca="false">RANK($BF65,'Your Accounts'!$BF$6:$BF$185)</f>
        <v>77</v>
      </c>
      <c r="BH65" s="15" t="n">
        <f aca="false">SUMIF('Your Accounts'!$BG$6:$BG$185,"&lt;="&amp;$BG65,'Your Accounts'!$BF$6:$BF$185)</f>
        <v>10705746.19</v>
      </c>
      <c r="BI65" s="15" t="n">
        <f aca="false">ROUND($D65*Sensitivity!$C$39+Sensitivity!$D$39,2)</f>
        <v>15030</v>
      </c>
      <c r="BJ65" s="15" t="n">
        <f aca="false">ROUND($K65-$BM65,2)</f>
        <v>37501.7</v>
      </c>
      <c r="BK65" s="26" t="n">
        <f aca="false">RANK($BJ65,'Your Accounts'!$BJ$6:$BJ$185)</f>
        <v>75</v>
      </c>
      <c r="BL65" s="15" t="n">
        <f aca="false">SUMIF('Your Accounts'!$BK$6:$BK$185,"&lt;="&amp;$BK65,'Your Accounts'!$BJ$6:$BJ$185)</f>
        <v>10252598.1</v>
      </c>
      <c r="BM65" s="15" t="n">
        <f aca="false">ROUND($D65*Sensitivity!$C$40+Sensitivity!$D$40,2)</f>
        <v>18787.5</v>
      </c>
      <c r="BN65" s="15" t="n">
        <f aca="false">ROUND($K65-$BQ65,2)</f>
        <v>33744.2</v>
      </c>
      <c r="BO65" s="26" t="n">
        <f aca="false">RANK($BN65,'Your Accounts'!$BN$6:$BN$185)</f>
        <v>75</v>
      </c>
      <c r="BP65" s="15" t="n">
        <f aca="false">SUMIF('Your Accounts'!$BO$6:$BO$185,"&lt;="&amp;$BO65,'Your Accounts'!$BN$6:$BN$185)</f>
        <v>9886348.62</v>
      </c>
      <c r="BQ65" s="15" t="n">
        <f aca="false">ROUND($D65*Sensitivity!$C$41+Sensitivity!$D$41,2)</f>
        <v>22545</v>
      </c>
    </row>
    <row r="66" customFormat="false" ht="15" hidden="false" customHeight="false" outlineLevel="0" collapsed="false">
      <c r="B66" s="18" t="s">
        <v>177</v>
      </c>
      <c r="C66" s="18" t="s">
        <v>157</v>
      </c>
      <c r="D66" s="24" t="n">
        <v>12</v>
      </c>
      <c r="E66" s="26" t="n">
        <f aca="false">SUMIF('Your Lines'!$B$6:$B$463,$B66,'Your Lines'!$E$6:$E$463)</f>
        <v>2505</v>
      </c>
      <c r="F66" s="15" t="n">
        <f aca="false">ROUND(SUMIF('Your Lines'!$B$6:$B$463,$B66,'Your Lines'!$J$6:$J$463),2)</f>
        <v>183776</v>
      </c>
      <c r="G66" s="15" t="n">
        <f aca="false">ROUND(SUMIF('Your Lines'!$B$6:$B$463,$B66,'Your Lines'!$G$6:$G$463),2)</f>
        <v>148566.5</v>
      </c>
      <c r="H66" s="25" t="n">
        <f aca="false">$G66/$F66</f>
        <v>0.808410782691973</v>
      </c>
      <c r="I66" s="15" t="n">
        <f aca="false">ROUND(SUMIF('Your Lines'!$B$6:$B$463,$B66,'Your Lines'!$K$6:$K$463),2)</f>
        <v>104082</v>
      </c>
      <c r="J66" s="15" t="n">
        <f aca="false">ROUND(SUMIF('Your Lines'!$B$6:$B$463,$B66,'Your Lines'!$L$6:$L$463),2)</f>
        <v>3035.07</v>
      </c>
      <c r="K66" s="15" t="n">
        <f aca="false">ROUND($G66-$I66-$J66,2)</f>
        <v>41449.43</v>
      </c>
      <c r="L66" s="15" t="n">
        <f aca="false">ROUND($D66*'Your Inputs'!$C$40+'Your Inputs'!$C$41,2)</f>
        <v>8240</v>
      </c>
      <c r="M66" s="15" t="n">
        <f aca="false">ROUND($K66-$L66,2)</f>
        <v>33209.43</v>
      </c>
      <c r="N66" s="26" t="n">
        <f aca="false">RANK($M66,'Your Accounts'!$M$6:$M$185)</f>
        <v>98</v>
      </c>
      <c r="O66" s="15" t="n">
        <f aca="false">SUMIF('Your Accounts'!$N$6:$N$185,"&lt;="&amp;$N66,'Your Accounts'!$M$6:$M$185)</f>
        <v>12307289.68</v>
      </c>
      <c r="P66" s="15"/>
      <c r="Q66" s="26" t="n">
        <f aca="false">COUNTIFS('Your Lines'!$B$6:$B$463,$B66,'Your Lines'!$R$6:$R$463,"below the floor")</f>
        <v>2</v>
      </c>
      <c r="R66" s="15" t="n">
        <f aca="false">IF(Q66&gt;0,$K66,0)</f>
        <v>41449.43</v>
      </c>
      <c r="AN66" s="15" t="n">
        <f aca="false">IF(VLOOKUP($C66,'Your Floors'!$B$53:$F$56,5,FALSE())="yes",0,$R66)</f>
        <v>41449.43</v>
      </c>
      <c r="AP66" s="15" t="n">
        <f aca="false">ROUND($K66-$AS66,2)</f>
        <v>37329.43</v>
      </c>
      <c r="AQ66" s="26" t="n">
        <f aca="false">RANK($AP66,'Your Accounts'!$AP$6:$AP$185)</f>
        <v>97</v>
      </c>
      <c r="AR66" s="15" t="n">
        <f aca="false">SUMIF('Your Accounts'!$AQ$6:$AQ$185,"&lt;="&amp;$AQ66,'Your Accounts'!$AP$6:$AP$185)</f>
        <v>12750672.15</v>
      </c>
      <c r="AS66" s="15" t="n">
        <f aca="false">ROUND($D66*Sensitivity!$C$35+Sensitivity!$D$35,2)</f>
        <v>4120</v>
      </c>
      <c r="AT66" s="15" t="n">
        <f aca="false">ROUND($K66-$AW66,2)</f>
        <v>33209.43</v>
      </c>
      <c r="AU66" s="26" t="n">
        <f aca="false">RANK($AT66,'Your Accounts'!$AT$6:$AT$185)</f>
        <v>98</v>
      </c>
      <c r="AV66" s="15" t="n">
        <f aca="false">SUMIF('Your Accounts'!$AU$6:$AU$185,"&lt;="&amp;$AU66,'Your Accounts'!$AT$6:$AT$185)</f>
        <v>12307289.68</v>
      </c>
      <c r="AW66" s="15" t="n">
        <f aca="false">ROUND($D66*Sensitivity!$C$36+Sensitivity!$D$36,2)</f>
        <v>8240</v>
      </c>
      <c r="AX66" s="15" t="n">
        <f aca="false">ROUND($K66-$BA66,2)</f>
        <v>31149.43</v>
      </c>
      <c r="AY66" s="26" t="n">
        <f aca="false">RANK($AX66,'Your Accounts'!$AX$6:$AX$185)</f>
        <v>98</v>
      </c>
      <c r="AZ66" s="15" t="n">
        <f aca="false">SUMIF('Your Accounts'!$AY$6:$AY$185,"&lt;="&amp;$AY66,'Your Accounts'!$AX$6:$AX$185)</f>
        <v>12066948.43</v>
      </c>
      <c r="BA66" s="15" t="n">
        <f aca="false">ROUND($D66*Sensitivity!$C$37+Sensitivity!$D$37,2)</f>
        <v>10300</v>
      </c>
      <c r="BB66" s="15" t="n">
        <f aca="false">ROUND($K66-$BE66,2)</f>
        <v>29089.43</v>
      </c>
      <c r="BC66" s="26" t="n">
        <f aca="false">RANK($BB66,'Your Accounts'!$BB$6:$BB$185)</f>
        <v>98</v>
      </c>
      <c r="BD66" s="15" t="n">
        <f aca="false">SUMIF('Your Accounts'!$BC$6:$BC$185,"&lt;="&amp;$BC66,'Your Accounts'!$BB$6:$BB$185)</f>
        <v>11826607.18</v>
      </c>
      <c r="BE66" s="15" t="n">
        <f aca="false">ROUND($D66*Sensitivity!$C$38+Sensitivity!$D$38,2)</f>
        <v>12360</v>
      </c>
      <c r="BF66" s="15" t="n">
        <f aca="false">ROUND($K66-$BI66,2)</f>
        <v>24969.43</v>
      </c>
      <c r="BG66" s="26" t="n">
        <f aca="false">RANK($BF66,'Your Accounts'!$BF$6:$BF$185)</f>
        <v>97</v>
      </c>
      <c r="BH66" s="15" t="n">
        <f aca="false">SUMIF('Your Accounts'!$BG$6:$BG$185,"&lt;="&amp;$BG66,'Your Accounts'!$BF$6:$BF$185)</f>
        <v>11322137.74</v>
      </c>
      <c r="BI66" s="15" t="n">
        <f aca="false">ROUND($D66*Sensitivity!$C$39+Sensitivity!$D$39,2)</f>
        <v>16480</v>
      </c>
      <c r="BJ66" s="15" t="n">
        <f aca="false">ROUND($K66-$BM66,2)</f>
        <v>20849.43</v>
      </c>
      <c r="BK66" s="26" t="n">
        <f aca="false">RANK($BJ66,'Your Accounts'!$BJ$6:$BJ$185)</f>
        <v>96</v>
      </c>
      <c r="BL66" s="15" t="n">
        <f aca="false">SUMIF('Your Accounts'!$BK$6:$BK$185,"&lt;="&amp;$BK66,'Your Accounts'!$BJ$6:$BJ$185)</f>
        <v>10827562.22</v>
      </c>
      <c r="BM66" s="15" t="n">
        <f aca="false">ROUND($D66*Sensitivity!$C$40+Sensitivity!$D$40,2)</f>
        <v>20600</v>
      </c>
      <c r="BN66" s="15" t="n">
        <f aca="false">ROUND($K66-$BQ66,2)</f>
        <v>16729.43</v>
      </c>
      <c r="BO66" s="26" t="n">
        <f aca="false">RANK($BN66,'Your Accounts'!$BN$6:$BN$185)</f>
        <v>95</v>
      </c>
      <c r="BP66" s="15" t="n">
        <f aca="false">SUMIF('Your Accounts'!$BO$6:$BO$185,"&lt;="&amp;$BO66,'Your Accounts'!$BN$6:$BN$185)</f>
        <v>10343026.86</v>
      </c>
      <c r="BQ66" s="15" t="n">
        <f aca="false">ROUND($D66*Sensitivity!$C$41+Sensitivity!$D$41,2)</f>
        <v>24720</v>
      </c>
    </row>
    <row r="67" customFormat="false" ht="15" hidden="false" customHeight="false" outlineLevel="0" collapsed="false">
      <c r="B67" s="18" t="s">
        <v>178</v>
      </c>
      <c r="C67" s="18" t="s">
        <v>157</v>
      </c>
      <c r="D67" s="24" t="n">
        <v>20</v>
      </c>
      <c r="E67" s="26" t="n">
        <f aca="false">SUMIF('Your Lines'!$B$6:$B$463,$B67,'Your Lines'!$E$6:$E$463)</f>
        <v>3394</v>
      </c>
      <c r="F67" s="15" t="n">
        <f aca="false">ROUND(SUMIF('Your Lines'!$B$6:$B$463,$B67,'Your Lines'!$J$6:$J$463),2)</f>
        <v>287648</v>
      </c>
      <c r="G67" s="15" t="n">
        <f aca="false">ROUND(SUMIF('Your Lines'!$B$6:$B$463,$B67,'Your Lines'!$G$6:$G$463),2)</f>
        <v>239791.67</v>
      </c>
      <c r="H67" s="25" t="n">
        <f aca="false">$G67/$F67</f>
        <v>0.833628844977194</v>
      </c>
      <c r="I67" s="15" t="n">
        <f aca="false">ROUND(SUMIF('Your Lines'!$B$6:$B$463,$B67,'Your Lines'!$K$6:$K$463),2)</f>
        <v>164412</v>
      </c>
      <c r="J67" s="15" t="n">
        <f aca="false">ROUND(SUMIF('Your Lines'!$B$6:$B$463,$B67,'Your Lines'!$L$6:$L$463),2)</f>
        <v>5000.87</v>
      </c>
      <c r="K67" s="15" t="n">
        <f aca="false">ROUND($G67-$I67-$J67,2)</f>
        <v>70378.8</v>
      </c>
      <c r="L67" s="15" t="n">
        <f aca="false">ROUND($D67*'Your Inputs'!$C$40+'Your Inputs'!$C$41,2)</f>
        <v>9400</v>
      </c>
      <c r="M67" s="15" t="n">
        <f aca="false">ROUND($K67-$L67,2)</f>
        <v>60978.8</v>
      </c>
      <c r="N67" s="26" t="n">
        <f aca="false">RANK($M67,'Your Accounts'!$M$6:$M$185)</f>
        <v>59</v>
      </c>
      <c r="O67" s="15" t="n">
        <f aca="false">SUMIF('Your Accounts'!$N$6:$N$185,"&lt;="&amp;$N67,'Your Accounts'!$M$6:$M$185)</f>
        <v>10470955.28</v>
      </c>
      <c r="P67" s="15"/>
      <c r="Q67" s="26" t="n">
        <f aca="false">COUNTIFS('Your Lines'!$B$6:$B$463,$B67,'Your Lines'!$R$6:$R$463,"below the floor")</f>
        <v>3</v>
      </c>
      <c r="R67" s="15" t="n">
        <f aca="false">IF(Q67&gt;0,$K67,0)</f>
        <v>70378.8</v>
      </c>
      <c r="AN67" s="15" t="n">
        <f aca="false">IF(VLOOKUP($C67,'Your Floors'!$B$53:$F$56,5,FALSE())="yes",0,$R67)</f>
        <v>70378.8</v>
      </c>
      <c r="AP67" s="15" t="n">
        <f aca="false">ROUND($K67-$AS67,2)</f>
        <v>65678.8</v>
      </c>
      <c r="AQ67" s="26" t="n">
        <f aca="false">RANK($AP67,'Your Accounts'!$AP$6:$AP$185)</f>
        <v>59</v>
      </c>
      <c r="AR67" s="15" t="n">
        <f aca="false">SUMIF('Your Accounts'!$AQ$6:$AQ$185,"&lt;="&amp;$AQ67,'Your Accounts'!$AP$6:$AP$185)</f>
        <v>10768482.78</v>
      </c>
      <c r="AS67" s="15" t="n">
        <f aca="false">ROUND($D67*Sensitivity!$C$35+Sensitivity!$D$35,2)</f>
        <v>4700</v>
      </c>
      <c r="AT67" s="15" t="n">
        <f aca="false">ROUND($K67-$AW67,2)</f>
        <v>60978.8</v>
      </c>
      <c r="AU67" s="26" t="n">
        <f aca="false">RANK($AT67,'Your Accounts'!$AT$6:$AT$185)</f>
        <v>59</v>
      </c>
      <c r="AV67" s="15" t="n">
        <f aca="false">SUMIF('Your Accounts'!$AU$6:$AU$185,"&lt;="&amp;$AU67,'Your Accounts'!$AT$6:$AT$185)</f>
        <v>10470955.28</v>
      </c>
      <c r="AW67" s="15" t="n">
        <f aca="false">ROUND($D67*Sensitivity!$C$36+Sensitivity!$D$36,2)</f>
        <v>9400</v>
      </c>
      <c r="AX67" s="15" t="n">
        <f aca="false">ROUND($K67-$BA67,2)</f>
        <v>58628.8</v>
      </c>
      <c r="AY67" s="26" t="n">
        <f aca="false">RANK($AX67,'Your Accounts'!$AX$6:$AX$185)</f>
        <v>59</v>
      </c>
      <c r="AZ67" s="15" t="n">
        <f aca="false">SUMIF('Your Accounts'!$AY$6:$AY$185,"&lt;="&amp;$AY67,'Your Accounts'!$AX$6:$AX$185)</f>
        <v>10322191.53</v>
      </c>
      <c r="BA67" s="15" t="n">
        <f aca="false">ROUND($D67*Sensitivity!$C$37+Sensitivity!$D$37,2)</f>
        <v>11750</v>
      </c>
      <c r="BB67" s="15" t="n">
        <f aca="false">ROUND($K67-$BE67,2)</f>
        <v>56278.8</v>
      </c>
      <c r="BC67" s="26" t="n">
        <f aca="false">RANK($BB67,'Your Accounts'!$BB$6:$BB$185)</f>
        <v>59</v>
      </c>
      <c r="BD67" s="15" t="n">
        <f aca="false">SUMIF('Your Accounts'!$BC$6:$BC$185,"&lt;="&amp;$BC67,'Your Accounts'!$BB$6:$BB$185)</f>
        <v>10173427.78</v>
      </c>
      <c r="BE67" s="15" t="n">
        <f aca="false">ROUND($D67*Sensitivity!$C$38+Sensitivity!$D$38,2)</f>
        <v>14100</v>
      </c>
      <c r="BF67" s="15" t="n">
        <f aca="false">ROUND($K67-$BI67,2)</f>
        <v>51578.8</v>
      </c>
      <c r="BG67" s="26" t="n">
        <f aca="false">RANK($BF67,'Your Accounts'!$BF$6:$BF$185)</f>
        <v>59</v>
      </c>
      <c r="BH67" s="15" t="n">
        <f aca="false">SUMIF('Your Accounts'!$BG$6:$BG$185,"&lt;="&amp;$BG67,'Your Accounts'!$BF$6:$BF$185)</f>
        <v>9877183.16</v>
      </c>
      <c r="BI67" s="15" t="n">
        <f aca="false">ROUND($D67*Sensitivity!$C$39+Sensitivity!$D$39,2)</f>
        <v>18800</v>
      </c>
      <c r="BJ67" s="15" t="n">
        <f aca="false">ROUND($K67-$BM67,2)</f>
        <v>46878.8</v>
      </c>
      <c r="BK67" s="26" t="n">
        <f aca="false">RANK($BJ67,'Your Accounts'!$BJ$6:$BJ$185)</f>
        <v>59</v>
      </c>
      <c r="BL67" s="15" t="n">
        <f aca="false">SUMIF('Your Accounts'!$BK$6:$BK$185,"&lt;="&amp;$BK67,'Your Accounts'!$BJ$6:$BJ$185)</f>
        <v>9581250.66</v>
      </c>
      <c r="BM67" s="15" t="n">
        <f aca="false">ROUND($D67*Sensitivity!$C$40+Sensitivity!$D$40,2)</f>
        <v>23500</v>
      </c>
      <c r="BN67" s="15" t="n">
        <f aca="false">ROUND($K67-$BQ67,2)</f>
        <v>42178.8</v>
      </c>
      <c r="BO67" s="26" t="n">
        <f aca="false">RANK($BN67,'Your Accounts'!$BN$6:$BN$185)</f>
        <v>59</v>
      </c>
      <c r="BP67" s="15" t="n">
        <f aca="false">SUMIF('Your Accounts'!$BO$6:$BO$185,"&lt;="&amp;$BO67,'Your Accounts'!$BN$6:$BN$185)</f>
        <v>9285836.08</v>
      </c>
      <c r="BQ67" s="15" t="n">
        <f aca="false">ROUND($D67*Sensitivity!$C$41+Sensitivity!$D$41,2)</f>
        <v>28200</v>
      </c>
    </row>
    <row r="68" customFormat="false" ht="15" hidden="false" customHeight="false" outlineLevel="0" collapsed="false">
      <c r="B68" s="18" t="s">
        <v>179</v>
      </c>
      <c r="C68" s="18" t="s">
        <v>157</v>
      </c>
      <c r="D68" s="24" t="n">
        <v>8</v>
      </c>
      <c r="E68" s="26" t="n">
        <f aca="false">SUMIF('Your Lines'!$B$6:$B$463,$B68,'Your Lines'!$E$6:$E$463)</f>
        <v>1229</v>
      </c>
      <c r="F68" s="15" t="n">
        <f aca="false">ROUND(SUMIF('Your Lines'!$B$6:$B$463,$B68,'Your Lines'!$J$6:$J$463),2)</f>
        <v>107776</v>
      </c>
      <c r="G68" s="15" t="n">
        <f aca="false">ROUND(SUMIF('Your Lines'!$B$6:$B$463,$B68,'Your Lines'!$G$6:$G$463),2)</f>
        <v>96730.88</v>
      </c>
      <c r="H68" s="25" t="n">
        <f aca="false">$G68/$F68</f>
        <v>0.897517814726841</v>
      </c>
      <c r="I68" s="15" t="n">
        <f aca="false">ROUND(SUMIF('Your Lines'!$B$6:$B$463,$B68,'Your Lines'!$K$6:$K$463),2)</f>
        <v>61538</v>
      </c>
      <c r="J68" s="15" t="n">
        <f aca="false">ROUND(SUMIF('Your Lines'!$B$6:$B$463,$B68,'Your Lines'!$L$6:$L$463),2)</f>
        <v>2027.9</v>
      </c>
      <c r="K68" s="15" t="n">
        <f aca="false">ROUND($G68-$I68-$J68,2)</f>
        <v>33164.98</v>
      </c>
      <c r="L68" s="15" t="n">
        <f aca="false">ROUND($D68*'Your Inputs'!$C$40+'Your Inputs'!$C$41,2)</f>
        <v>7660</v>
      </c>
      <c r="M68" s="15" t="n">
        <f aca="false">ROUND($K68-$L68,2)</f>
        <v>25504.98</v>
      </c>
      <c r="N68" s="26" t="n">
        <f aca="false">RANK($M68,'Your Accounts'!$M$6:$M$185)</f>
        <v>112</v>
      </c>
      <c r="O68" s="15" t="n">
        <f aca="false">SUMIF('Your Accounts'!$N$6:$N$185,"&lt;="&amp;$N68,'Your Accounts'!$M$6:$M$185)</f>
        <v>12709195.67</v>
      </c>
      <c r="P68" s="15"/>
      <c r="Q68" s="26" t="n">
        <f aca="false">COUNTIFS('Your Lines'!$B$6:$B$463,$B68,'Your Lines'!$R$6:$R$463,"below the floor")</f>
        <v>0</v>
      </c>
      <c r="R68" s="15" t="n">
        <f aca="false">IF(Q68&gt;0,$K68,0)</f>
        <v>0</v>
      </c>
      <c r="AN68" s="15" t="n">
        <f aca="false">IF(VLOOKUP($C68,'Your Floors'!$B$53:$F$56,5,FALSE())="yes",0,$R68)</f>
        <v>0</v>
      </c>
      <c r="AP68" s="15" t="n">
        <f aca="false">ROUND($K68-$AS68,2)</f>
        <v>29334.98</v>
      </c>
      <c r="AQ68" s="26" t="n">
        <f aca="false">RANK($AP68,'Your Accounts'!$AP$6:$AP$185)</f>
        <v>113</v>
      </c>
      <c r="AR68" s="15" t="n">
        <f aca="false">SUMIF('Your Accounts'!$AQ$6:$AQ$185,"&lt;="&amp;$AQ68,'Your Accounts'!$AP$6:$AP$185)</f>
        <v>13288561.93</v>
      </c>
      <c r="AS68" s="15" t="n">
        <f aca="false">ROUND($D68*Sensitivity!$C$35+Sensitivity!$D$35,2)</f>
        <v>3830</v>
      </c>
      <c r="AT68" s="15" t="n">
        <f aca="false">ROUND($K68-$AW68,2)</f>
        <v>25504.98</v>
      </c>
      <c r="AU68" s="26" t="n">
        <f aca="false">RANK($AT68,'Your Accounts'!$AT$6:$AT$185)</f>
        <v>112</v>
      </c>
      <c r="AV68" s="15" t="n">
        <f aca="false">SUMIF('Your Accounts'!$AU$6:$AU$185,"&lt;="&amp;$AU68,'Your Accounts'!$AT$6:$AT$185)</f>
        <v>12709195.67</v>
      </c>
      <c r="AW68" s="15" t="n">
        <f aca="false">ROUND($D68*Sensitivity!$C$36+Sensitivity!$D$36,2)</f>
        <v>7660</v>
      </c>
      <c r="AX68" s="15" t="n">
        <f aca="false">ROUND($K68-$BA68,2)</f>
        <v>23589.98</v>
      </c>
      <c r="AY68" s="26" t="n">
        <f aca="false">RANK($AX68,'Your Accounts'!$AX$6:$AX$185)</f>
        <v>110</v>
      </c>
      <c r="AZ68" s="15" t="n">
        <f aca="false">SUMIF('Your Accounts'!$AY$6:$AY$185,"&lt;="&amp;$AY68,'Your Accounts'!$AX$6:$AX$185)</f>
        <v>12388593.91</v>
      </c>
      <c r="BA68" s="15" t="n">
        <f aca="false">ROUND($D68*Sensitivity!$C$37+Sensitivity!$D$37,2)</f>
        <v>9575</v>
      </c>
      <c r="BB68" s="15" t="n">
        <f aca="false">ROUND($K68-$BE68,2)</f>
        <v>21674.98</v>
      </c>
      <c r="BC68" s="26" t="n">
        <f aca="false">RANK($BB68,'Your Accounts'!$BB$6:$BB$185)</f>
        <v>110</v>
      </c>
      <c r="BD68" s="15" t="n">
        <f aca="false">SUMIF('Your Accounts'!$BC$6:$BC$185,"&lt;="&amp;$BC68,'Your Accounts'!$BB$6:$BB$185)</f>
        <v>12119436.41</v>
      </c>
      <c r="BE68" s="15" t="n">
        <f aca="false">ROUND($D68*Sensitivity!$C$38+Sensitivity!$D$38,2)</f>
        <v>11490</v>
      </c>
      <c r="BF68" s="15" t="n">
        <f aca="false">ROUND($K68-$BI68,2)</f>
        <v>17844.98</v>
      </c>
      <c r="BG68" s="26" t="n">
        <f aca="false">RANK($BF68,'Your Accounts'!$BF$6:$BF$185)</f>
        <v>109</v>
      </c>
      <c r="BH68" s="15" t="n">
        <f aca="false">SUMIF('Your Accounts'!$BG$6:$BG$185,"&lt;="&amp;$BG68,'Your Accounts'!$BF$6:$BF$185)</f>
        <v>11563501.96</v>
      </c>
      <c r="BI68" s="15" t="n">
        <f aca="false">ROUND($D68*Sensitivity!$C$39+Sensitivity!$D$39,2)</f>
        <v>15320</v>
      </c>
      <c r="BJ68" s="15" t="n">
        <f aca="false">ROUND($K68-$BM68,2)</f>
        <v>14014.98</v>
      </c>
      <c r="BK68" s="26" t="n">
        <f aca="false">RANK($BJ68,'Your Accounts'!$BJ$6:$BJ$185)</f>
        <v>107</v>
      </c>
      <c r="BL68" s="15" t="n">
        <f aca="false">SUMIF('Your Accounts'!$BK$6:$BK$185,"&lt;="&amp;$BK68,'Your Accounts'!$BJ$6:$BJ$185)</f>
        <v>11006982.71</v>
      </c>
      <c r="BM68" s="15" t="n">
        <f aca="false">ROUND($D68*Sensitivity!$C$40+Sensitivity!$D$40,2)</f>
        <v>19150</v>
      </c>
      <c r="BN68" s="15" t="n">
        <f aca="false">ROUND($K68-$BQ68,2)</f>
        <v>10184.98</v>
      </c>
      <c r="BO68" s="26" t="n">
        <f aca="false">RANK($BN68,'Your Accounts'!$BN$6:$BN$185)</f>
        <v>106</v>
      </c>
      <c r="BP68" s="15" t="n">
        <f aca="false">SUMIF('Your Accounts'!$BO$6:$BO$185,"&lt;="&amp;$BO68,'Your Accounts'!$BN$6:$BN$185)</f>
        <v>10479677.05</v>
      </c>
      <c r="BQ68" s="15" t="n">
        <f aca="false">ROUND($D68*Sensitivity!$C$41+Sensitivity!$D$41,2)</f>
        <v>22980</v>
      </c>
    </row>
    <row r="69" customFormat="false" ht="15" hidden="false" customHeight="false" outlineLevel="0" collapsed="false">
      <c r="B69" s="18" t="s">
        <v>180</v>
      </c>
      <c r="C69" s="18" t="s">
        <v>157</v>
      </c>
      <c r="D69" s="24" t="n">
        <v>13</v>
      </c>
      <c r="E69" s="26" t="n">
        <f aca="false">SUMIF('Your Lines'!$B$6:$B$463,$B69,'Your Lines'!$E$6:$E$463)</f>
        <v>3251</v>
      </c>
      <c r="F69" s="15" t="n">
        <f aca="false">ROUND(SUMIF('Your Lines'!$B$6:$B$463,$B69,'Your Lines'!$J$6:$J$463),2)</f>
        <v>262882</v>
      </c>
      <c r="G69" s="15" t="n">
        <f aca="false">ROUND(SUMIF('Your Lines'!$B$6:$B$463,$B69,'Your Lines'!$G$6:$G$463),2)</f>
        <v>201450.98</v>
      </c>
      <c r="H69" s="25" t="n">
        <f aca="false">$G69/$F69</f>
        <v>0.766317130880015</v>
      </c>
      <c r="I69" s="15" t="n">
        <f aca="false">ROUND(SUMIF('Your Lines'!$B$6:$B$463,$B69,'Your Lines'!$K$6:$K$463),2)</f>
        <v>152988</v>
      </c>
      <c r="J69" s="15" t="n">
        <f aca="false">ROUND(SUMIF('Your Lines'!$B$6:$B$463,$B69,'Your Lines'!$L$6:$L$463),2)</f>
        <v>4157.92</v>
      </c>
      <c r="K69" s="15" t="n">
        <f aca="false">ROUND($G69-$I69-$J69,2)</f>
        <v>44305.06</v>
      </c>
      <c r="L69" s="15" t="n">
        <f aca="false">ROUND($D69*'Your Inputs'!$C$40+'Your Inputs'!$C$41,2)</f>
        <v>8385</v>
      </c>
      <c r="M69" s="15" t="n">
        <f aca="false">ROUND($K69-$L69,2)</f>
        <v>35920.06</v>
      </c>
      <c r="N69" s="26" t="n">
        <f aca="false">RANK($M69,'Your Accounts'!$M$6:$M$185)</f>
        <v>94</v>
      </c>
      <c r="O69" s="15" t="n">
        <f aca="false">SUMIF('Your Accounts'!$N$6:$N$185,"&lt;="&amp;$N69,'Your Accounts'!$M$6:$M$185)</f>
        <v>12172070.29</v>
      </c>
      <c r="P69" s="15"/>
      <c r="Q69" s="26" t="n">
        <f aca="false">COUNTIFS('Your Lines'!$B$6:$B$463,$B69,'Your Lines'!$R$6:$R$463,"below the floor")</f>
        <v>3</v>
      </c>
      <c r="R69" s="15" t="n">
        <f aca="false">IF(Q69&gt;0,$K69,0)</f>
        <v>44305.06</v>
      </c>
      <c r="AN69" s="15" t="n">
        <f aca="false">IF(VLOOKUP($C69,'Your Floors'!$B$53:$F$56,5,FALSE())="yes",0,$R69)</f>
        <v>44305.06</v>
      </c>
      <c r="AP69" s="15" t="n">
        <f aca="false">ROUND($K69-$AS69,2)</f>
        <v>40112.56</v>
      </c>
      <c r="AQ69" s="26" t="n">
        <f aca="false">RANK($AP69,'Your Accounts'!$AP$6:$AP$185)</f>
        <v>94</v>
      </c>
      <c r="AR69" s="15" t="n">
        <f aca="false">SUMIF('Your Accounts'!$AQ$6:$AQ$185,"&lt;="&amp;$AQ69,'Your Accounts'!$AP$6:$AP$185)</f>
        <v>12636925.29</v>
      </c>
      <c r="AS69" s="15" t="n">
        <f aca="false">ROUND($D69*Sensitivity!$C$35+Sensitivity!$D$35,2)</f>
        <v>4192.5</v>
      </c>
      <c r="AT69" s="15" t="n">
        <f aca="false">ROUND($K69-$AW69,2)</f>
        <v>35920.06</v>
      </c>
      <c r="AU69" s="26" t="n">
        <f aca="false">RANK($AT69,'Your Accounts'!$AT$6:$AT$185)</f>
        <v>94</v>
      </c>
      <c r="AV69" s="15" t="n">
        <f aca="false">SUMIF('Your Accounts'!$AU$6:$AU$185,"&lt;="&amp;$AU69,'Your Accounts'!$AT$6:$AT$185)</f>
        <v>12172070.29</v>
      </c>
      <c r="AW69" s="15" t="n">
        <f aca="false">ROUND($D69*Sensitivity!$C$36+Sensitivity!$D$36,2)</f>
        <v>8385</v>
      </c>
      <c r="AX69" s="15" t="n">
        <f aca="false">ROUND($K69-$BA69,2)</f>
        <v>33823.81</v>
      </c>
      <c r="AY69" s="26" t="n">
        <f aca="false">RANK($AX69,'Your Accounts'!$AX$6:$AX$185)</f>
        <v>93</v>
      </c>
      <c r="AZ69" s="15" t="n">
        <f aca="false">SUMIF('Your Accounts'!$AY$6:$AY$185,"&lt;="&amp;$AY69,'Your Accounts'!$AX$6:$AX$185)</f>
        <v>11906304.6</v>
      </c>
      <c r="BA69" s="15" t="n">
        <f aca="false">ROUND($D69*Sensitivity!$C$37+Sensitivity!$D$37,2)</f>
        <v>10481.25</v>
      </c>
      <c r="BB69" s="15" t="n">
        <f aca="false">ROUND($K69-$BE69,2)</f>
        <v>31727.56</v>
      </c>
      <c r="BC69" s="26" t="n">
        <f aca="false">RANK($BB69,'Your Accounts'!$BB$6:$BB$185)</f>
        <v>93</v>
      </c>
      <c r="BD69" s="15" t="n">
        <f aca="false">SUMIF('Your Accounts'!$BC$6:$BC$185,"&lt;="&amp;$BC69,'Your Accounts'!$BB$6:$BB$185)</f>
        <v>11677060.85</v>
      </c>
      <c r="BE69" s="15" t="n">
        <f aca="false">ROUND($D69*Sensitivity!$C$38+Sensitivity!$D$38,2)</f>
        <v>12577.5</v>
      </c>
      <c r="BF69" s="15" t="n">
        <f aca="false">ROUND($K69-$BI69,2)</f>
        <v>27535.06</v>
      </c>
      <c r="BG69" s="26" t="n">
        <f aca="false">RANK($BF69,'Your Accounts'!$BF$6:$BF$185)</f>
        <v>91</v>
      </c>
      <c r="BH69" s="15" t="n">
        <f aca="false">SUMIF('Your Accounts'!$BG$6:$BG$185,"&lt;="&amp;$BG69,'Your Accounts'!$BF$6:$BF$185)</f>
        <v>11165377.47</v>
      </c>
      <c r="BI69" s="15" t="n">
        <f aca="false">ROUND($D69*Sensitivity!$C$39+Sensitivity!$D$39,2)</f>
        <v>16770</v>
      </c>
      <c r="BJ69" s="15" t="n">
        <f aca="false">ROUND($K69-$BM69,2)</f>
        <v>23342.56</v>
      </c>
      <c r="BK69" s="26" t="n">
        <f aca="false">RANK($BJ69,'Your Accounts'!$BJ$6:$BJ$185)</f>
        <v>91</v>
      </c>
      <c r="BL69" s="15" t="n">
        <f aca="false">SUMIF('Your Accounts'!$BK$6:$BK$185,"&lt;="&amp;$BK69,'Your Accounts'!$BJ$6:$BJ$185)</f>
        <v>10718247.47</v>
      </c>
      <c r="BM69" s="15" t="n">
        <f aca="false">ROUND($D69*Sensitivity!$C$40+Sensitivity!$D$40,2)</f>
        <v>20962.5</v>
      </c>
      <c r="BN69" s="15" t="n">
        <f aca="false">ROUND($K69-$BQ69,2)</f>
        <v>19150.06</v>
      </c>
      <c r="BO69" s="26" t="n">
        <f aca="false">RANK($BN69,'Your Accounts'!$BN$6:$BN$185)</f>
        <v>91</v>
      </c>
      <c r="BP69" s="15" t="n">
        <f aca="false">SUMIF('Your Accounts'!$BO$6:$BO$185,"&lt;="&amp;$BO69,'Your Accounts'!$BN$6:$BN$185)</f>
        <v>10272221.41</v>
      </c>
      <c r="BQ69" s="15" t="n">
        <f aca="false">ROUND($D69*Sensitivity!$C$41+Sensitivity!$D$41,2)</f>
        <v>25155</v>
      </c>
    </row>
    <row r="70" customFormat="false" ht="15" hidden="false" customHeight="false" outlineLevel="0" collapsed="false">
      <c r="B70" s="18" t="s">
        <v>181</v>
      </c>
      <c r="C70" s="18" t="s">
        <v>157</v>
      </c>
      <c r="D70" s="24" t="n">
        <v>8</v>
      </c>
      <c r="E70" s="26" t="n">
        <f aca="false">SUMIF('Your Lines'!$B$6:$B$463,$B70,'Your Lines'!$E$6:$E$463)</f>
        <v>851</v>
      </c>
      <c r="F70" s="15" t="n">
        <f aca="false">ROUND(SUMIF('Your Lines'!$B$6:$B$463,$B70,'Your Lines'!$J$6:$J$463),2)</f>
        <v>90588</v>
      </c>
      <c r="G70" s="15" t="n">
        <f aca="false">ROUND(SUMIF('Your Lines'!$B$6:$B$463,$B70,'Your Lines'!$G$6:$G$463),2)</f>
        <v>85704.83</v>
      </c>
      <c r="H70" s="25" t="n">
        <f aca="false">$G70/$F70</f>
        <v>0.946094736609705</v>
      </c>
      <c r="I70" s="15" t="n">
        <f aca="false">ROUND(SUMIF('Your Lines'!$B$6:$B$463,$B70,'Your Lines'!$K$6:$K$463),2)</f>
        <v>52778</v>
      </c>
      <c r="J70" s="15" t="n">
        <f aca="false">ROUND(SUMIF('Your Lines'!$B$6:$B$463,$B70,'Your Lines'!$L$6:$L$463),2)</f>
        <v>1759.85</v>
      </c>
      <c r="K70" s="15" t="n">
        <f aca="false">ROUND($G70-$I70-$J70,2)</f>
        <v>31166.98</v>
      </c>
      <c r="L70" s="15" t="n">
        <f aca="false">ROUND($D70*'Your Inputs'!$C$40+'Your Inputs'!$C$41,2)</f>
        <v>7660</v>
      </c>
      <c r="M70" s="15" t="n">
        <f aca="false">ROUND($K70-$L70,2)</f>
        <v>23506.98</v>
      </c>
      <c r="N70" s="26" t="n">
        <f aca="false">RANK($M70,'Your Accounts'!$M$6:$M$185)</f>
        <v>118</v>
      </c>
      <c r="O70" s="15" t="n">
        <f aca="false">SUMIF('Your Accounts'!$N$6:$N$185,"&lt;="&amp;$N70,'Your Accounts'!$M$6:$M$185)</f>
        <v>12857553.51</v>
      </c>
      <c r="P70" s="15"/>
      <c r="Q70" s="26" t="n">
        <f aca="false">COUNTIFS('Your Lines'!$B$6:$B$463,$B70,'Your Lines'!$R$6:$R$463,"below the floor")</f>
        <v>0</v>
      </c>
      <c r="R70" s="15" t="n">
        <f aca="false">IF(Q70&gt;0,$K70,0)</f>
        <v>0</v>
      </c>
      <c r="AN70" s="15" t="n">
        <f aca="false">IF(VLOOKUP($C70,'Your Floors'!$B$53:$F$56,5,FALSE())="yes",0,$R70)</f>
        <v>0</v>
      </c>
      <c r="AP70" s="15" t="n">
        <f aca="false">ROUND($K70-$AS70,2)</f>
        <v>27336.98</v>
      </c>
      <c r="AQ70" s="26" t="n">
        <f aca="false">RANK($AP70,'Your Accounts'!$AP$6:$AP$185)</f>
        <v>119</v>
      </c>
      <c r="AR70" s="15" t="n">
        <f aca="false">SUMIF('Your Accounts'!$AQ$6:$AQ$185,"&lt;="&amp;$AQ70,'Your Accounts'!$AP$6:$AP$185)</f>
        <v>13459584.59</v>
      </c>
      <c r="AS70" s="15" t="n">
        <f aca="false">ROUND($D70*Sensitivity!$C$35+Sensitivity!$D$35,2)</f>
        <v>3830</v>
      </c>
      <c r="AT70" s="15" t="n">
        <f aca="false">ROUND($K70-$AW70,2)</f>
        <v>23506.98</v>
      </c>
      <c r="AU70" s="26" t="n">
        <f aca="false">RANK($AT70,'Your Accounts'!$AT$6:$AT$185)</f>
        <v>118</v>
      </c>
      <c r="AV70" s="15" t="n">
        <f aca="false">SUMIF('Your Accounts'!$AU$6:$AU$185,"&lt;="&amp;$AU70,'Your Accounts'!$AT$6:$AT$185)</f>
        <v>12857553.51</v>
      </c>
      <c r="AW70" s="15" t="n">
        <f aca="false">ROUND($D70*Sensitivity!$C$36+Sensitivity!$D$36,2)</f>
        <v>7660</v>
      </c>
      <c r="AX70" s="15" t="n">
        <f aca="false">ROUND($K70-$BA70,2)</f>
        <v>21591.98</v>
      </c>
      <c r="AY70" s="26" t="n">
        <f aca="false">RANK($AX70,'Your Accounts'!$AX$6:$AX$185)</f>
        <v>118</v>
      </c>
      <c r="AZ70" s="15" t="n">
        <f aca="false">SUMIF('Your Accounts'!$AY$6:$AY$185,"&lt;="&amp;$AY70,'Your Accounts'!$AX$6:$AX$185)</f>
        <v>12570611.01</v>
      </c>
      <c r="BA70" s="15" t="n">
        <f aca="false">ROUND($D70*Sensitivity!$C$37+Sensitivity!$D$37,2)</f>
        <v>9575</v>
      </c>
      <c r="BB70" s="15" t="n">
        <f aca="false">ROUND($K70-$BE70,2)</f>
        <v>19676.98</v>
      </c>
      <c r="BC70" s="26" t="n">
        <f aca="false">RANK($BB70,'Your Accounts'!$BB$6:$BB$185)</f>
        <v>117</v>
      </c>
      <c r="BD70" s="15" t="n">
        <f aca="false">SUMIF('Your Accounts'!$BC$6:$BC$185,"&lt;="&amp;$BC70,'Your Accounts'!$BB$6:$BB$185)</f>
        <v>12264099.75</v>
      </c>
      <c r="BE70" s="15" t="n">
        <f aca="false">ROUND($D70*Sensitivity!$C$38+Sensitivity!$D$38,2)</f>
        <v>11490</v>
      </c>
      <c r="BF70" s="15" t="n">
        <f aca="false">ROUND($K70-$BI70,2)</f>
        <v>15846.98</v>
      </c>
      <c r="BG70" s="26" t="n">
        <f aca="false">RANK($BF70,'Your Accounts'!$BF$6:$BF$185)</f>
        <v>116</v>
      </c>
      <c r="BH70" s="15" t="n">
        <f aca="false">SUMIF('Your Accounts'!$BG$6:$BG$185,"&lt;="&amp;$BG70,'Your Accounts'!$BF$6:$BF$185)</f>
        <v>11680254.99</v>
      </c>
      <c r="BI70" s="15" t="n">
        <f aca="false">ROUND($D70*Sensitivity!$C$39+Sensitivity!$D$39,2)</f>
        <v>15320</v>
      </c>
      <c r="BJ70" s="15" t="n">
        <f aca="false">ROUND($K70-$BM70,2)</f>
        <v>12016.98</v>
      </c>
      <c r="BK70" s="26" t="n">
        <f aca="false">RANK($BJ70,'Your Accounts'!$BJ$6:$BJ$185)</f>
        <v>113</v>
      </c>
      <c r="BL70" s="15" t="n">
        <f aca="false">SUMIF('Your Accounts'!$BK$6:$BK$185,"&lt;="&amp;$BK70,'Your Accounts'!$BJ$6:$BJ$185)</f>
        <v>11082941.59</v>
      </c>
      <c r="BM70" s="15" t="n">
        <f aca="false">ROUND($D70*Sensitivity!$C$40+Sensitivity!$D$40,2)</f>
        <v>19150</v>
      </c>
      <c r="BN70" s="15" t="n">
        <f aca="false">ROUND($K70-$BQ70,2)</f>
        <v>8186.98</v>
      </c>
      <c r="BO70" s="26" t="n">
        <f aca="false">RANK($BN70,'Your Accounts'!$BN$6:$BN$185)</f>
        <v>108</v>
      </c>
      <c r="BP70" s="15" t="n">
        <f aca="false">SUMIF('Your Accounts'!$BO$6:$BO$185,"&lt;="&amp;$BO70,'Your Accounts'!$BN$6:$BN$185)</f>
        <v>10497334.69</v>
      </c>
      <c r="BQ70" s="15" t="n">
        <f aca="false">ROUND($D70*Sensitivity!$C$41+Sensitivity!$D$41,2)</f>
        <v>22980</v>
      </c>
    </row>
    <row r="71" customFormat="false" ht="15" hidden="false" customHeight="false" outlineLevel="0" collapsed="false">
      <c r="B71" s="18" t="s">
        <v>182</v>
      </c>
      <c r="C71" s="18" t="s">
        <v>157</v>
      </c>
      <c r="D71" s="24" t="n">
        <v>7</v>
      </c>
      <c r="E71" s="26" t="n">
        <f aca="false">SUMIF('Your Lines'!$B$6:$B$463,$B71,'Your Lines'!$E$6:$E$463)</f>
        <v>1500</v>
      </c>
      <c r="F71" s="15" t="n">
        <f aca="false">ROUND(SUMIF('Your Lines'!$B$6:$B$463,$B71,'Your Lines'!$J$6:$J$463),2)</f>
        <v>93000</v>
      </c>
      <c r="G71" s="15" t="n">
        <f aca="false">ROUND(SUMIF('Your Lines'!$B$6:$B$463,$B71,'Your Lines'!$G$6:$G$463),2)</f>
        <v>77676.11</v>
      </c>
      <c r="H71" s="25" t="n">
        <f aca="false">$G71/$F71</f>
        <v>0.835226989247312</v>
      </c>
      <c r="I71" s="15" t="n">
        <f aca="false">ROUND(SUMIF('Your Lines'!$B$6:$B$463,$B71,'Your Lines'!$K$6:$K$463),2)</f>
        <v>54000</v>
      </c>
      <c r="J71" s="15" t="n">
        <f aca="false">ROUND(SUMIF('Your Lines'!$B$6:$B$463,$B71,'Your Lines'!$L$6:$L$463),2)</f>
        <v>1628.43</v>
      </c>
      <c r="K71" s="15" t="n">
        <f aca="false">ROUND($G71-$I71-$J71,2)</f>
        <v>22047.68</v>
      </c>
      <c r="L71" s="15" t="n">
        <f aca="false">ROUND($D71*'Your Inputs'!$C$40+'Your Inputs'!$C$41,2)</f>
        <v>7515</v>
      </c>
      <c r="M71" s="15" t="n">
        <f aca="false">ROUND($K71-$L71,2)</f>
        <v>14532.68</v>
      </c>
      <c r="N71" s="26" t="n">
        <f aca="false">RANK($M71,'Your Accounts'!$M$6:$M$185)</f>
        <v>136</v>
      </c>
      <c r="O71" s="15" t="n">
        <f aca="false">SUMIF('Your Accounts'!$N$6:$N$185,"&lt;="&amp;$N71,'Your Accounts'!$M$6:$M$185)</f>
        <v>13201176.47</v>
      </c>
      <c r="P71" s="15"/>
      <c r="Q71" s="26" t="n">
        <f aca="false">COUNTIFS('Your Lines'!$B$6:$B$463,$B71,'Your Lines'!$R$6:$R$463,"below the floor")</f>
        <v>0</v>
      </c>
      <c r="R71" s="15" t="n">
        <f aca="false">IF(Q71&gt;0,$K71,0)</f>
        <v>0</v>
      </c>
      <c r="AN71" s="15" t="n">
        <f aca="false">IF(VLOOKUP($C71,'Your Floors'!$B$53:$F$56,5,FALSE())="yes",0,$R71)</f>
        <v>0</v>
      </c>
      <c r="AP71" s="15" t="n">
        <f aca="false">ROUND($K71-$AS71,2)</f>
        <v>18290.18</v>
      </c>
      <c r="AQ71" s="26" t="n">
        <f aca="false">RANK($AP71,'Your Accounts'!$AP$6:$AP$185)</f>
        <v>138</v>
      </c>
      <c r="AR71" s="15" t="n">
        <f aca="false">SUMIF('Your Accounts'!$AQ$6:$AQ$185,"&lt;="&amp;$AQ71,'Your Accounts'!$AP$6:$AP$185)</f>
        <v>13890849.81</v>
      </c>
      <c r="AS71" s="15" t="n">
        <f aca="false">ROUND($D71*Sensitivity!$C$35+Sensitivity!$D$35,2)</f>
        <v>3757.5</v>
      </c>
      <c r="AT71" s="15" t="n">
        <f aca="false">ROUND($K71-$AW71,2)</f>
        <v>14532.68</v>
      </c>
      <c r="AU71" s="26" t="n">
        <f aca="false">RANK($AT71,'Your Accounts'!$AT$6:$AT$185)</f>
        <v>136</v>
      </c>
      <c r="AV71" s="15" t="n">
        <f aca="false">SUMIF('Your Accounts'!$AU$6:$AU$185,"&lt;="&amp;$AU71,'Your Accounts'!$AT$6:$AT$185)</f>
        <v>13201176.47</v>
      </c>
      <c r="AW71" s="15" t="n">
        <f aca="false">ROUND($D71*Sensitivity!$C$36+Sensitivity!$D$36,2)</f>
        <v>7515</v>
      </c>
      <c r="AX71" s="15" t="n">
        <f aca="false">ROUND($K71-$BA71,2)</f>
        <v>12653.93</v>
      </c>
      <c r="AY71" s="26" t="n">
        <f aca="false">RANK($AX71,'Your Accounts'!$AX$6:$AX$185)</f>
        <v>136</v>
      </c>
      <c r="AZ71" s="15" t="n">
        <f aca="false">SUMIF('Your Accounts'!$AY$6:$AY$185,"&lt;="&amp;$AY71,'Your Accounts'!$AX$6:$AX$185)</f>
        <v>12875486.47</v>
      </c>
      <c r="BA71" s="15" t="n">
        <f aca="false">ROUND($D71*Sensitivity!$C$37+Sensitivity!$D$37,2)</f>
        <v>9393.75</v>
      </c>
      <c r="BB71" s="15" t="n">
        <f aca="false">ROUND($K71-$BE71,2)</f>
        <v>10775.18</v>
      </c>
      <c r="BC71" s="26" t="n">
        <f aca="false">RANK($BB71,'Your Accounts'!$BB$6:$BB$185)</f>
        <v>136</v>
      </c>
      <c r="BD71" s="15" t="n">
        <f aca="false">SUMIF('Your Accounts'!$BC$6:$BC$185,"&lt;="&amp;$BC71,'Your Accounts'!$BB$6:$BB$185)</f>
        <v>12549796.47</v>
      </c>
      <c r="BE71" s="15" t="n">
        <f aca="false">ROUND($D71*Sensitivity!$C$38+Sensitivity!$D$38,2)</f>
        <v>11272.5</v>
      </c>
      <c r="BF71" s="15" t="n">
        <f aca="false">ROUND($K71-$BI71,2)</f>
        <v>7017.68</v>
      </c>
      <c r="BG71" s="26" t="n">
        <f aca="false">RANK($BF71,'Your Accounts'!$BF$6:$BF$185)</f>
        <v>134</v>
      </c>
      <c r="BH71" s="15" t="n">
        <f aca="false">SUMIF('Your Accounts'!$BG$6:$BG$185,"&lt;="&amp;$BG71,'Your Accounts'!$BF$6:$BF$185)</f>
        <v>11886088.72</v>
      </c>
      <c r="BI71" s="15" t="n">
        <f aca="false">ROUND($D71*Sensitivity!$C$39+Sensitivity!$D$39,2)</f>
        <v>15030</v>
      </c>
      <c r="BJ71" s="15" t="n">
        <f aca="false">ROUND($K71-$BM71,2)</f>
        <v>3260.18</v>
      </c>
      <c r="BK71" s="26" t="n">
        <f aca="false">RANK($BJ71,'Your Accounts'!$BJ$6:$BJ$185)</f>
        <v>134</v>
      </c>
      <c r="BL71" s="15" t="n">
        <f aca="false">SUMIF('Your Accounts'!$BK$6:$BK$185,"&lt;="&amp;$BK71,'Your Accounts'!$BJ$6:$BJ$185)</f>
        <v>11244543.72</v>
      </c>
      <c r="BM71" s="15" t="n">
        <f aca="false">ROUND($D71*Sensitivity!$C$40+Sensitivity!$D$40,2)</f>
        <v>18787.5</v>
      </c>
      <c r="BN71" s="15" t="n">
        <f aca="false">ROUND($K71-$BQ71,2)</f>
        <v>-497.32</v>
      </c>
      <c r="BO71" s="26" t="n">
        <f aca="false">RANK($BN71,'Your Accounts'!$BN$6:$BN$185)</f>
        <v>132</v>
      </c>
      <c r="BP71" s="15" t="n">
        <f aca="false">SUMIF('Your Accounts'!$BO$6:$BO$185,"&lt;="&amp;$BO71,'Your Accounts'!$BN$6:$BN$185)</f>
        <v>10604703.12</v>
      </c>
      <c r="BQ71" s="15" t="n">
        <f aca="false">ROUND($D71*Sensitivity!$C$41+Sensitivity!$D$41,2)</f>
        <v>22545</v>
      </c>
    </row>
    <row r="72" customFormat="false" ht="15" hidden="false" customHeight="false" outlineLevel="0" collapsed="false">
      <c r="B72" s="18" t="s">
        <v>183</v>
      </c>
      <c r="C72" s="18" t="s">
        <v>157</v>
      </c>
      <c r="D72" s="24" t="n">
        <v>23</v>
      </c>
      <c r="E72" s="26" t="n">
        <f aca="false">SUMIF('Your Lines'!$B$6:$B$463,$B72,'Your Lines'!$E$6:$E$463)</f>
        <v>3732</v>
      </c>
      <c r="F72" s="15" t="n">
        <f aca="false">ROUND(SUMIF('Your Lines'!$B$6:$B$463,$B72,'Your Lines'!$J$6:$J$463),2)</f>
        <v>322518</v>
      </c>
      <c r="G72" s="15" t="n">
        <f aca="false">ROUND(SUMIF('Your Lines'!$B$6:$B$463,$B72,'Your Lines'!$G$6:$G$463),2)</f>
        <v>307849.89</v>
      </c>
      <c r="H72" s="25" t="n">
        <f aca="false">$G72/$F72</f>
        <v>0.954520026789203</v>
      </c>
      <c r="I72" s="15" t="n">
        <f aca="false">ROUND(SUMIF('Your Lines'!$B$6:$B$463,$B72,'Your Lines'!$K$6:$K$463),2)</f>
        <v>184546</v>
      </c>
      <c r="J72" s="15" t="n">
        <f aca="false">ROUND(SUMIF('Your Lines'!$B$6:$B$463,$B72,'Your Lines'!$L$6:$L$463),2)</f>
        <v>6321.35</v>
      </c>
      <c r="K72" s="15" t="n">
        <f aca="false">ROUND($G72-$I72-$J72,2)</f>
        <v>116982.54</v>
      </c>
      <c r="L72" s="15" t="n">
        <f aca="false">ROUND($D72*'Your Inputs'!$C$40+'Your Inputs'!$C$41,2)</f>
        <v>9835</v>
      </c>
      <c r="M72" s="15" t="n">
        <f aca="false">ROUND($K72-$L72,2)</f>
        <v>107147.54</v>
      </c>
      <c r="N72" s="26" t="n">
        <f aca="false">RANK($M72,'Your Accounts'!$M$6:$M$185)</f>
        <v>34</v>
      </c>
      <c r="O72" s="15" t="n">
        <f aca="false">SUMIF('Your Accounts'!$N$6:$N$185,"&lt;="&amp;$N72,'Your Accounts'!$M$6:$M$185)</f>
        <v>8488564.68</v>
      </c>
      <c r="P72" s="15"/>
      <c r="Q72" s="26" t="n">
        <f aca="false">COUNTIFS('Your Lines'!$B$6:$B$463,$B72,'Your Lines'!$R$6:$R$463,"below the floor")</f>
        <v>0</v>
      </c>
      <c r="R72" s="15" t="n">
        <f aca="false">IF(Q72&gt;0,$K72,0)</f>
        <v>0</v>
      </c>
      <c r="AN72" s="15" t="n">
        <f aca="false">IF(VLOOKUP($C72,'Your Floors'!$B$53:$F$56,5,FALSE())="yes",0,$R72)</f>
        <v>0</v>
      </c>
      <c r="AP72" s="15" t="n">
        <f aca="false">ROUND($K72-$AS72,2)</f>
        <v>112065.04</v>
      </c>
      <c r="AQ72" s="26" t="n">
        <f aca="false">RANK($AP72,'Your Accounts'!$AP$6:$AP$185)</f>
        <v>33</v>
      </c>
      <c r="AR72" s="15" t="n">
        <f aca="false">SUMIF('Your Accounts'!$AQ$6:$AQ$185,"&lt;="&amp;$AQ72,'Your Accounts'!$AP$6:$AP$185)</f>
        <v>8552311.84</v>
      </c>
      <c r="AS72" s="15" t="n">
        <f aca="false">ROUND($D72*Sensitivity!$C$35+Sensitivity!$D$35,2)</f>
        <v>4917.5</v>
      </c>
      <c r="AT72" s="15" t="n">
        <f aca="false">ROUND($K72-$AW72,2)</f>
        <v>107147.54</v>
      </c>
      <c r="AU72" s="26" t="n">
        <f aca="false">RANK($AT72,'Your Accounts'!$AT$6:$AT$185)</f>
        <v>34</v>
      </c>
      <c r="AV72" s="15" t="n">
        <f aca="false">SUMIF('Your Accounts'!$AU$6:$AU$185,"&lt;="&amp;$AU72,'Your Accounts'!$AT$6:$AT$185)</f>
        <v>8488564.68</v>
      </c>
      <c r="AW72" s="15" t="n">
        <f aca="false">ROUND($D72*Sensitivity!$C$36+Sensitivity!$D$36,2)</f>
        <v>9835</v>
      </c>
      <c r="AX72" s="15" t="n">
        <f aca="false">ROUND($K72-$BA72,2)</f>
        <v>104688.79</v>
      </c>
      <c r="AY72" s="26" t="n">
        <f aca="false">RANK($AX72,'Your Accounts'!$AX$6:$AX$185)</f>
        <v>34</v>
      </c>
      <c r="AZ72" s="15" t="n">
        <f aca="false">SUMIF('Your Accounts'!$AY$6:$AY$185,"&lt;="&amp;$AY72,'Your Accounts'!$AX$6:$AX$185)</f>
        <v>8400834.68</v>
      </c>
      <c r="BA72" s="15" t="n">
        <f aca="false">ROUND($D72*Sensitivity!$C$37+Sensitivity!$D$37,2)</f>
        <v>12293.75</v>
      </c>
      <c r="BB72" s="15" t="n">
        <f aca="false">ROUND($K72-$BE72,2)</f>
        <v>102230.04</v>
      </c>
      <c r="BC72" s="26" t="n">
        <f aca="false">RANK($BB72,'Your Accounts'!$BB$6:$BB$185)</f>
        <v>34</v>
      </c>
      <c r="BD72" s="15" t="n">
        <f aca="false">SUMIF('Your Accounts'!$BC$6:$BC$185,"&lt;="&amp;$BC72,'Your Accounts'!$BB$6:$BB$185)</f>
        <v>8313104.68</v>
      </c>
      <c r="BE72" s="15" t="n">
        <f aca="false">ROUND($D72*Sensitivity!$C$38+Sensitivity!$D$38,2)</f>
        <v>14752.5</v>
      </c>
      <c r="BF72" s="15" t="n">
        <f aca="false">ROUND($K72-$BI72,2)</f>
        <v>97312.54</v>
      </c>
      <c r="BG72" s="26" t="n">
        <f aca="false">RANK($BF72,'Your Accounts'!$BF$6:$BF$185)</f>
        <v>34</v>
      </c>
      <c r="BH72" s="15" t="n">
        <f aca="false">SUMIF('Your Accounts'!$BG$6:$BG$185,"&lt;="&amp;$BG72,'Your Accounts'!$BF$6:$BF$185)</f>
        <v>8137644.68</v>
      </c>
      <c r="BI72" s="15" t="n">
        <f aca="false">ROUND($D72*Sensitivity!$C$39+Sensitivity!$D$39,2)</f>
        <v>19670</v>
      </c>
      <c r="BJ72" s="15" t="n">
        <f aca="false">ROUND($K72-$BM72,2)</f>
        <v>92395.04</v>
      </c>
      <c r="BK72" s="26" t="n">
        <f aca="false">RANK($BJ72,'Your Accounts'!$BJ$6:$BJ$185)</f>
        <v>34</v>
      </c>
      <c r="BL72" s="15" t="n">
        <f aca="false">SUMIF('Your Accounts'!$BK$6:$BK$185,"&lt;="&amp;$BK72,'Your Accounts'!$BJ$6:$BJ$185)</f>
        <v>7962184.68</v>
      </c>
      <c r="BM72" s="15" t="n">
        <f aca="false">ROUND($D72*Sensitivity!$C$40+Sensitivity!$D$40,2)</f>
        <v>24587.5</v>
      </c>
      <c r="BN72" s="15" t="n">
        <f aca="false">ROUND($K72-$BQ72,2)</f>
        <v>87477.54</v>
      </c>
      <c r="BO72" s="26" t="n">
        <f aca="false">RANK($BN72,'Your Accounts'!$BN$6:$BN$185)</f>
        <v>34</v>
      </c>
      <c r="BP72" s="15" t="n">
        <f aca="false">SUMIF('Your Accounts'!$BO$6:$BO$185,"&lt;="&amp;$BO72,'Your Accounts'!$BN$6:$BN$185)</f>
        <v>7786724.68</v>
      </c>
      <c r="BQ72" s="15" t="n">
        <f aca="false">ROUND($D72*Sensitivity!$C$41+Sensitivity!$D$41,2)</f>
        <v>29505</v>
      </c>
    </row>
    <row r="73" customFormat="false" ht="15" hidden="false" customHeight="false" outlineLevel="0" collapsed="false">
      <c r="B73" s="18" t="s">
        <v>184</v>
      </c>
      <c r="C73" s="18" t="s">
        <v>157</v>
      </c>
      <c r="D73" s="24" t="n">
        <v>18</v>
      </c>
      <c r="E73" s="26" t="n">
        <f aca="false">SUMIF('Your Lines'!$B$6:$B$463,$B73,'Your Lines'!$E$6:$E$463)</f>
        <v>2802</v>
      </c>
      <c r="F73" s="15" t="n">
        <f aca="false">ROUND(SUMIF('Your Lines'!$B$6:$B$463,$B73,'Your Lines'!$J$6:$J$463),2)</f>
        <v>227310</v>
      </c>
      <c r="G73" s="15" t="n">
        <f aca="false">ROUND(SUMIF('Your Lines'!$B$6:$B$463,$B73,'Your Lines'!$G$6:$G$463),2)</f>
        <v>201834.1</v>
      </c>
      <c r="H73" s="25" t="n">
        <f aca="false">$G73/$F73</f>
        <v>0.887924420395055</v>
      </c>
      <c r="I73" s="15" t="n">
        <f aca="false">ROUND(SUMIF('Your Lines'!$B$6:$B$463,$B73,'Your Lines'!$K$6:$K$463),2)</f>
        <v>131806</v>
      </c>
      <c r="J73" s="15" t="n">
        <f aca="false">ROUND(SUMIF('Your Lines'!$B$6:$B$463,$B73,'Your Lines'!$L$6:$L$463),2)</f>
        <v>4144.43</v>
      </c>
      <c r="K73" s="15" t="n">
        <f aca="false">ROUND($G73-$I73-$J73,2)</f>
        <v>65883.67</v>
      </c>
      <c r="L73" s="15" t="n">
        <f aca="false">ROUND($D73*'Your Inputs'!$C$40+'Your Inputs'!$C$41,2)</f>
        <v>9110</v>
      </c>
      <c r="M73" s="15" t="n">
        <f aca="false">ROUND($K73-$L73,2)</f>
        <v>56773.67</v>
      </c>
      <c r="N73" s="26" t="n">
        <f aca="false">RANK($M73,'Your Accounts'!$M$6:$M$185)</f>
        <v>65</v>
      </c>
      <c r="O73" s="15" t="n">
        <f aca="false">SUMIF('Your Accounts'!$N$6:$N$185,"&lt;="&amp;$N73,'Your Accounts'!$M$6:$M$185)</f>
        <v>10825479.65</v>
      </c>
      <c r="P73" s="15"/>
      <c r="Q73" s="26" t="n">
        <f aca="false">COUNTIFS('Your Lines'!$B$6:$B$463,$B73,'Your Lines'!$R$6:$R$463,"below the floor")</f>
        <v>0</v>
      </c>
      <c r="R73" s="15" t="n">
        <f aca="false">IF(Q73&gt;0,$K73,0)</f>
        <v>0</v>
      </c>
      <c r="AN73" s="15" t="n">
        <f aca="false">IF(VLOOKUP($C73,'Your Floors'!$B$53:$F$56,5,FALSE())="yes",0,$R73)</f>
        <v>0</v>
      </c>
      <c r="AP73" s="15" t="n">
        <f aca="false">ROUND($K73-$AS73,2)</f>
        <v>61328.67</v>
      </c>
      <c r="AQ73" s="26" t="n">
        <f aca="false">RANK($AP73,'Your Accounts'!$AP$6:$AP$185)</f>
        <v>66</v>
      </c>
      <c r="AR73" s="15" t="n">
        <f aca="false">SUMIF('Your Accounts'!$AQ$6:$AQ$185,"&lt;="&amp;$AQ73,'Your Accounts'!$AP$6:$AP$185)</f>
        <v>11216502.05</v>
      </c>
      <c r="AS73" s="15" t="n">
        <f aca="false">ROUND($D73*Sensitivity!$C$35+Sensitivity!$D$35,2)</f>
        <v>4555</v>
      </c>
      <c r="AT73" s="15" t="n">
        <f aca="false">ROUND($K73-$AW73,2)</f>
        <v>56773.67</v>
      </c>
      <c r="AU73" s="26" t="n">
        <f aca="false">RANK($AT73,'Your Accounts'!$AT$6:$AT$185)</f>
        <v>65</v>
      </c>
      <c r="AV73" s="15" t="n">
        <f aca="false">SUMIF('Your Accounts'!$AU$6:$AU$185,"&lt;="&amp;$AU73,'Your Accounts'!$AT$6:$AT$185)</f>
        <v>10825479.65</v>
      </c>
      <c r="AW73" s="15" t="n">
        <f aca="false">ROUND($D73*Sensitivity!$C$36+Sensitivity!$D$36,2)</f>
        <v>9110</v>
      </c>
      <c r="AX73" s="15" t="n">
        <f aca="false">ROUND($K73-$BA73,2)</f>
        <v>54496.17</v>
      </c>
      <c r="AY73" s="26" t="n">
        <f aca="false">RANK($AX73,'Your Accounts'!$AX$6:$AX$185)</f>
        <v>67</v>
      </c>
      <c r="AZ73" s="15" t="n">
        <f aca="false">SUMIF('Your Accounts'!$AY$6:$AY$185,"&lt;="&amp;$AY73,'Your Accounts'!$AX$6:$AX$185)</f>
        <v>10770050.73</v>
      </c>
      <c r="BA73" s="15" t="n">
        <f aca="false">ROUND($D73*Sensitivity!$C$37+Sensitivity!$D$37,2)</f>
        <v>11387.5</v>
      </c>
      <c r="BB73" s="15" t="n">
        <f aca="false">ROUND($K73-$BE73,2)</f>
        <v>52218.67</v>
      </c>
      <c r="BC73" s="26" t="n">
        <f aca="false">RANK($BB73,'Your Accounts'!$BB$6:$BB$185)</f>
        <v>67</v>
      </c>
      <c r="BD73" s="15" t="n">
        <f aca="false">SUMIF('Your Accounts'!$BC$6:$BC$185,"&lt;="&amp;$BC73,'Your Accounts'!$BB$6:$BB$185)</f>
        <v>10602361.59</v>
      </c>
      <c r="BE73" s="15" t="n">
        <f aca="false">ROUND($D73*Sensitivity!$C$38+Sensitivity!$D$38,2)</f>
        <v>13665</v>
      </c>
      <c r="BF73" s="15" t="n">
        <f aca="false">ROUND($K73-$BI73,2)</f>
        <v>47663.67</v>
      </c>
      <c r="BG73" s="26" t="n">
        <f aca="false">RANK($BF73,'Your Accounts'!$BF$6:$BF$185)</f>
        <v>66</v>
      </c>
      <c r="BH73" s="15" t="n">
        <f aca="false">SUMIF('Your Accounts'!$BG$6:$BG$185,"&lt;="&amp;$BG73,'Your Accounts'!$BF$6:$BF$185)</f>
        <v>10221678.61</v>
      </c>
      <c r="BI73" s="15" t="n">
        <f aca="false">ROUND($D73*Sensitivity!$C$39+Sensitivity!$D$39,2)</f>
        <v>18220</v>
      </c>
      <c r="BJ73" s="15" t="n">
        <f aca="false">ROUND($K73-$BM73,2)</f>
        <v>43108.67</v>
      </c>
      <c r="BK73" s="26" t="n">
        <f aca="false">RANK($BJ73,'Your Accounts'!$BJ$6:$BJ$185)</f>
        <v>65</v>
      </c>
      <c r="BL73" s="15" t="n">
        <f aca="false">SUMIF('Your Accounts'!$BK$6:$BK$185,"&lt;="&amp;$BK73,'Your Accounts'!$BJ$6:$BJ$185)</f>
        <v>9851297.27</v>
      </c>
      <c r="BM73" s="15" t="n">
        <f aca="false">ROUND($D73*Sensitivity!$C$40+Sensitivity!$D$40,2)</f>
        <v>22775</v>
      </c>
      <c r="BN73" s="15" t="n">
        <f aca="false">ROUND($K73-$BQ73,2)</f>
        <v>38553.67</v>
      </c>
      <c r="BO73" s="26" t="n">
        <f aca="false">RANK($BN73,'Your Accounts'!$BN$6:$BN$185)</f>
        <v>66</v>
      </c>
      <c r="BP73" s="15" t="n">
        <f aca="false">SUMIF('Your Accounts'!$BO$6:$BO$185,"&lt;="&amp;$BO73,'Your Accounts'!$BN$6:$BN$185)</f>
        <v>9568347.9</v>
      </c>
      <c r="BQ73" s="15" t="n">
        <f aca="false">ROUND($D73*Sensitivity!$C$41+Sensitivity!$D$41,2)</f>
        <v>27330</v>
      </c>
    </row>
    <row r="74" customFormat="false" ht="15" hidden="false" customHeight="false" outlineLevel="0" collapsed="false">
      <c r="B74" s="18" t="s">
        <v>185</v>
      </c>
      <c r="C74" s="18" t="s">
        <v>157</v>
      </c>
      <c r="D74" s="24" t="n">
        <v>16</v>
      </c>
      <c r="E74" s="26" t="n">
        <f aca="false">SUMIF('Your Lines'!$B$6:$B$463,$B74,'Your Lines'!$E$6:$E$463)</f>
        <v>4698</v>
      </c>
      <c r="F74" s="15" t="n">
        <f aca="false">ROUND(SUMIF('Your Lines'!$B$6:$B$463,$B74,'Your Lines'!$J$6:$J$463),2)</f>
        <v>387858</v>
      </c>
      <c r="G74" s="15" t="n">
        <f aca="false">ROUND(SUMIF('Your Lines'!$B$6:$B$463,$B74,'Your Lines'!$G$6:$G$463),2)</f>
        <v>316734.26</v>
      </c>
      <c r="H74" s="25" t="n">
        <f aca="false">$G74/$F74</f>
        <v>0.816624280020007</v>
      </c>
      <c r="I74" s="15" t="n">
        <f aca="false">ROUND(SUMIF('Your Lines'!$B$6:$B$463,$B74,'Your Lines'!$K$6:$K$463),2)</f>
        <v>223434</v>
      </c>
      <c r="J74" s="15" t="n">
        <f aca="false">ROUND(SUMIF('Your Lines'!$B$6:$B$463,$B74,'Your Lines'!$L$6:$L$463),2)</f>
        <v>6605.51</v>
      </c>
      <c r="K74" s="15" t="n">
        <f aca="false">ROUND($G74-$I74-$J74,2)</f>
        <v>86694.75</v>
      </c>
      <c r="L74" s="15" t="n">
        <f aca="false">ROUND($D74*'Your Inputs'!$C$40+'Your Inputs'!$C$41,2)</f>
        <v>8820</v>
      </c>
      <c r="M74" s="15" t="n">
        <f aca="false">ROUND($K74-$L74,2)</f>
        <v>77874.75</v>
      </c>
      <c r="N74" s="26" t="n">
        <f aca="false">RANK($M74,'Your Accounts'!$M$6:$M$185)</f>
        <v>47</v>
      </c>
      <c r="O74" s="15" t="n">
        <f aca="false">SUMIF('Your Accounts'!$N$6:$N$185,"&lt;="&amp;$N74,'Your Accounts'!$M$6:$M$185)</f>
        <v>9647243.35</v>
      </c>
      <c r="P74" s="15"/>
      <c r="Q74" s="26" t="n">
        <f aca="false">COUNTIFS('Your Lines'!$B$6:$B$463,$B74,'Your Lines'!$R$6:$R$463,"below the floor")</f>
        <v>3</v>
      </c>
      <c r="R74" s="15" t="n">
        <f aca="false">IF(Q74&gt;0,$K74,0)</f>
        <v>86694.75</v>
      </c>
      <c r="AN74" s="15" t="n">
        <f aca="false">IF(VLOOKUP($C74,'Your Floors'!$B$53:$F$56,5,FALSE())="yes",0,$R74)</f>
        <v>86694.75</v>
      </c>
      <c r="AP74" s="15" t="n">
        <f aca="false">ROUND($K74-$AS74,2)</f>
        <v>82284.75</v>
      </c>
      <c r="AQ74" s="26" t="n">
        <f aca="false">RANK($AP74,'Your Accounts'!$AP$6:$AP$185)</f>
        <v>49</v>
      </c>
      <c r="AR74" s="15" t="n">
        <f aca="false">SUMIF('Your Accounts'!$AQ$6:$AQ$185,"&lt;="&amp;$AQ74,'Your Accounts'!$AP$6:$AP$185)</f>
        <v>10055809.25</v>
      </c>
      <c r="AS74" s="15" t="n">
        <f aca="false">ROUND($D74*Sensitivity!$C$35+Sensitivity!$D$35,2)</f>
        <v>4410</v>
      </c>
      <c r="AT74" s="15" t="n">
        <f aca="false">ROUND($K74-$AW74,2)</f>
        <v>77874.75</v>
      </c>
      <c r="AU74" s="26" t="n">
        <f aca="false">RANK($AT74,'Your Accounts'!$AT$6:$AT$185)</f>
        <v>47</v>
      </c>
      <c r="AV74" s="15" t="n">
        <f aca="false">SUMIF('Your Accounts'!$AU$6:$AU$185,"&lt;="&amp;$AU74,'Your Accounts'!$AT$6:$AT$185)</f>
        <v>9647243.35</v>
      </c>
      <c r="AW74" s="15" t="n">
        <f aca="false">ROUND($D74*Sensitivity!$C$36+Sensitivity!$D$36,2)</f>
        <v>8820</v>
      </c>
      <c r="AX74" s="15" t="n">
        <f aca="false">ROUND($K74-$BA74,2)</f>
        <v>75669.75</v>
      </c>
      <c r="AY74" s="26" t="n">
        <f aca="false">RANK($AX74,'Your Accounts'!$AX$6:$AX$185)</f>
        <v>46</v>
      </c>
      <c r="AZ74" s="15" t="n">
        <f aca="false">SUMIF('Your Accounts'!$AY$6:$AY$185,"&lt;="&amp;$AY74,'Your Accounts'!$AX$6:$AX$185)</f>
        <v>9452981.22</v>
      </c>
      <c r="BA74" s="15" t="n">
        <f aca="false">ROUND($D74*Sensitivity!$C$37+Sensitivity!$D$37,2)</f>
        <v>11025</v>
      </c>
      <c r="BB74" s="15" t="n">
        <f aca="false">ROUND($K74-$BE74,2)</f>
        <v>73464.75</v>
      </c>
      <c r="BC74" s="26" t="n">
        <f aca="false">RANK($BB74,'Your Accounts'!$BB$6:$BB$185)</f>
        <v>46</v>
      </c>
      <c r="BD74" s="15" t="n">
        <f aca="false">SUMIF('Your Accounts'!$BC$6:$BC$185,"&lt;="&amp;$BC74,'Your Accounts'!$BB$6:$BB$185)</f>
        <v>9337558.72</v>
      </c>
      <c r="BE74" s="15" t="n">
        <f aca="false">ROUND($D74*Sensitivity!$C$38+Sensitivity!$D$38,2)</f>
        <v>13230</v>
      </c>
      <c r="BF74" s="15" t="n">
        <f aca="false">ROUND($K74-$BI74,2)</f>
        <v>69054.75</v>
      </c>
      <c r="BG74" s="26" t="n">
        <f aca="false">RANK($BF74,'Your Accounts'!$BF$6:$BF$185)</f>
        <v>46</v>
      </c>
      <c r="BH74" s="15" t="n">
        <f aca="false">SUMIF('Your Accounts'!$BG$6:$BG$185,"&lt;="&amp;$BG74,'Your Accounts'!$BF$6:$BF$185)</f>
        <v>9106713.72</v>
      </c>
      <c r="BI74" s="15" t="n">
        <f aca="false">ROUND($D74*Sensitivity!$C$39+Sensitivity!$D$39,2)</f>
        <v>17640</v>
      </c>
      <c r="BJ74" s="15" t="n">
        <f aca="false">ROUND($K74-$BM74,2)</f>
        <v>64644.75</v>
      </c>
      <c r="BK74" s="26" t="n">
        <f aca="false">RANK($BJ74,'Your Accounts'!$BJ$6:$BJ$185)</f>
        <v>46</v>
      </c>
      <c r="BL74" s="15" t="n">
        <f aca="false">SUMIF('Your Accounts'!$BK$6:$BK$185,"&lt;="&amp;$BK74,'Your Accounts'!$BJ$6:$BJ$185)</f>
        <v>8875868.72</v>
      </c>
      <c r="BM74" s="15" t="n">
        <f aca="false">ROUND($D74*Sensitivity!$C$40+Sensitivity!$D$40,2)</f>
        <v>22050</v>
      </c>
      <c r="BN74" s="15" t="n">
        <f aca="false">ROUND($K74-$BQ74,2)</f>
        <v>60234.75</v>
      </c>
      <c r="BO74" s="26" t="n">
        <f aca="false">RANK($BN74,'Your Accounts'!$BN$6:$BN$185)</f>
        <v>46</v>
      </c>
      <c r="BP74" s="15" t="n">
        <f aca="false">SUMIF('Your Accounts'!$BO$6:$BO$185,"&lt;="&amp;$BO74,'Your Accounts'!$BN$6:$BN$185)</f>
        <v>8645023.72</v>
      </c>
      <c r="BQ74" s="15" t="n">
        <f aca="false">ROUND($D74*Sensitivity!$C$41+Sensitivity!$D$41,2)</f>
        <v>26460</v>
      </c>
    </row>
    <row r="75" customFormat="false" ht="15" hidden="false" customHeight="false" outlineLevel="0" collapsed="false">
      <c r="B75" s="18" t="s">
        <v>186</v>
      </c>
      <c r="C75" s="18" t="s">
        <v>157</v>
      </c>
      <c r="D75" s="24" t="n">
        <v>9</v>
      </c>
      <c r="E75" s="26" t="n">
        <f aca="false">SUMIF('Your Lines'!$B$6:$B$463,$B75,'Your Lines'!$E$6:$E$463)</f>
        <v>2932</v>
      </c>
      <c r="F75" s="15" t="n">
        <f aca="false">ROUND(SUMIF('Your Lines'!$B$6:$B$463,$B75,'Your Lines'!$J$6:$J$463),2)</f>
        <v>257894</v>
      </c>
      <c r="G75" s="15" t="n">
        <f aca="false">ROUND(SUMIF('Your Lines'!$B$6:$B$463,$B75,'Your Lines'!$G$6:$G$463),2)</f>
        <v>235148.31</v>
      </c>
      <c r="H75" s="25" t="n">
        <f aca="false">$G75/$F75</f>
        <v>0.911802174536825</v>
      </c>
      <c r="I75" s="15" t="n">
        <f aca="false">ROUND(SUMIF('Your Lines'!$B$6:$B$463,$B75,'Your Lines'!$K$6:$K$463),2)</f>
        <v>142722</v>
      </c>
      <c r="J75" s="15" t="n">
        <f aca="false">ROUND(SUMIF('Your Lines'!$B$6:$B$463,$B75,'Your Lines'!$L$6:$L$463),2)</f>
        <v>4803.85</v>
      </c>
      <c r="K75" s="15" t="n">
        <f aca="false">ROUND($G75-$I75-$J75,2)</f>
        <v>87622.46</v>
      </c>
      <c r="L75" s="15" t="n">
        <f aca="false">ROUND($D75*'Your Inputs'!$C$40+'Your Inputs'!$C$41,2)</f>
        <v>7805</v>
      </c>
      <c r="M75" s="15" t="n">
        <f aca="false">ROUND($K75-$L75,2)</f>
        <v>79817.46</v>
      </c>
      <c r="N75" s="26" t="n">
        <f aca="false">RANK($M75,'Your Accounts'!$M$6:$M$185)</f>
        <v>45</v>
      </c>
      <c r="O75" s="15" t="n">
        <f aca="false">SUMIF('Your Accounts'!$N$6:$N$185,"&lt;="&amp;$N75,'Your Accounts'!$M$6:$M$185)</f>
        <v>9490528.97</v>
      </c>
      <c r="P75" s="15"/>
      <c r="Q75" s="26" t="n">
        <f aca="false">COUNTIFS('Your Lines'!$B$6:$B$463,$B75,'Your Lines'!$R$6:$R$463,"below the floor")</f>
        <v>0</v>
      </c>
      <c r="R75" s="15" t="n">
        <f aca="false">IF(Q75&gt;0,$K75,0)</f>
        <v>0</v>
      </c>
      <c r="AN75" s="15" t="n">
        <f aca="false">IF(VLOOKUP($C75,'Your Floors'!$B$53:$F$56,5,FALSE())="yes",0,$R75)</f>
        <v>0</v>
      </c>
      <c r="AP75" s="15" t="n">
        <f aca="false">ROUND($K75-$AS75,2)</f>
        <v>83719.96</v>
      </c>
      <c r="AQ75" s="26" t="n">
        <f aca="false">RANK($AP75,'Your Accounts'!$AP$6:$AP$185)</f>
        <v>48</v>
      </c>
      <c r="AR75" s="15" t="n">
        <f aca="false">SUMIF('Your Accounts'!$AQ$6:$AQ$185,"&lt;="&amp;$AQ75,'Your Accounts'!$AP$6:$AP$185)</f>
        <v>9973524.5</v>
      </c>
      <c r="AS75" s="15" t="n">
        <f aca="false">ROUND($D75*Sensitivity!$C$35+Sensitivity!$D$35,2)</f>
        <v>3902.5</v>
      </c>
      <c r="AT75" s="15" t="n">
        <f aca="false">ROUND($K75-$AW75,2)</f>
        <v>79817.46</v>
      </c>
      <c r="AU75" s="26" t="n">
        <f aca="false">RANK($AT75,'Your Accounts'!$AT$6:$AT$185)</f>
        <v>45</v>
      </c>
      <c r="AV75" s="15" t="n">
        <f aca="false">SUMIF('Your Accounts'!$AU$6:$AU$185,"&lt;="&amp;$AU75,'Your Accounts'!$AT$6:$AT$185)</f>
        <v>9490528.97</v>
      </c>
      <c r="AW75" s="15" t="n">
        <f aca="false">ROUND($D75*Sensitivity!$C$36+Sensitivity!$D$36,2)</f>
        <v>7805</v>
      </c>
      <c r="AX75" s="15" t="n">
        <f aca="false">ROUND($K75-$BA75,2)</f>
        <v>77866.21</v>
      </c>
      <c r="AY75" s="26" t="n">
        <f aca="false">RANK($AX75,'Your Accounts'!$AX$6:$AX$185)</f>
        <v>45</v>
      </c>
      <c r="AZ75" s="15" t="n">
        <f aca="false">SUMIF('Your Accounts'!$AY$6:$AY$185,"&lt;="&amp;$AY75,'Your Accounts'!$AX$6:$AX$185)</f>
        <v>9377311.47</v>
      </c>
      <c r="BA75" s="15" t="n">
        <f aca="false">ROUND($D75*Sensitivity!$C$37+Sensitivity!$D$37,2)</f>
        <v>9756.25</v>
      </c>
      <c r="BB75" s="15" t="n">
        <f aca="false">ROUND($K75-$BE75,2)</f>
        <v>75914.96</v>
      </c>
      <c r="BC75" s="26" t="n">
        <f aca="false">RANK($BB75,'Your Accounts'!$BB$6:$BB$185)</f>
        <v>45</v>
      </c>
      <c r="BD75" s="15" t="n">
        <f aca="false">SUMIF('Your Accounts'!$BC$6:$BC$185,"&lt;="&amp;$BC75,'Your Accounts'!$BB$6:$BB$185)</f>
        <v>9264093.97</v>
      </c>
      <c r="BE75" s="15" t="n">
        <f aca="false">ROUND($D75*Sensitivity!$C$38+Sensitivity!$D$38,2)</f>
        <v>11707.5</v>
      </c>
      <c r="BF75" s="15" t="n">
        <f aca="false">ROUND($K75-$BI75,2)</f>
        <v>72012.46</v>
      </c>
      <c r="BG75" s="26" t="n">
        <f aca="false">RANK($BF75,'Your Accounts'!$BF$6:$BF$185)</f>
        <v>45</v>
      </c>
      <c r="BH75" s="15" t="n">
        <f aca="false">SUMIF('Your Accounts'!$BG$6:$BG$185,"&lt;="&amp;$BG75,'Your Accounts'!$BF$6:$BF$185)</f>
        <v>9037658.97</v>
      </c>
      <c r="BI75" s="15" t="n">
        <f aca="false">ROUND($D75*Sensitivity!$C$39+Sensitivity!$D$39,2)</f>
        <v>15610</v>
      </c>
      <c r="BJ75" s="15" t="n">
        <f aca="false">ROUND($K75-$BM75,2)</f>
        <v>68109.96</v>
      </c>
      <c r="BK75" s="26" t="n">
        <f aca="false">RANK($BJ75,'Your Accounts'!$BJ$6:$BJ$185)</f>
        <v>45</v>
      </c>
      <c r="BL75" s="15" t="n">
        <f aca="false">SUMIF('Your Accounts'!$BK$6:$BK$185,"&lt;="&amp;$BK75,'Your Accounts'!$BJ$6:$BJ$185)</f>
        <v>8811223.97</v>
      </c>
      <c r="BM75" s="15" t="n">
        <f aca="false">ROUND($D75*Sensitivity!$C$40+Sensitivity!$D$40,2)</f>
        <v>19512.5</v>
      </c>
      <c r="BN75" s="15" t="n">
        <f aca="false">ROUND($K75-$BQ75,2)</f>
        <v>64207.46</v>
      </c>
      <c r="BO75" s="26" t="n">
        <f aca="false">RANK($BN75,'Your Accounts'!$BN$6:$BN$185)</f>
        <v>44</v>
      </c>
      <c r="BP75" s="15" t="n">
        <f aca="false">SUMIF('Your Accounts'!$BO$6:$BO$185,"&lt;="&amp;$BO75,'Your Accounts'!$BN$6:$BN$185)</f>
        <v>8520675.43</v>
      </c>
      <c r="BQ75" s="15" t="n">
        <f aca="false">ROUND($D75*Sensitivity!$C$41+Sensitivity!$D$41,2)</f>
        <v>23415</v>
      </c>
    </row>
    <row r="76" customFormat="false" ht="15" hidden="false" customHeight="false" outlineLevel="0" collapsed="false">
      <c r="B76" s="18" t="s">
        <v>187</v>
      </c>
      <c r="C76" s="18" t="s">
        <v>157</v>
      </c>
      <c r="D76" s="24" t="n">
        <v>10</v>
      </c>
      <c r="E76" s="26" t="n">
        <f aca="false">SUMIF('Your Lines'!$B$6:$B$463,$B76,'Your Lines'!$E$6:$E$463)</f>
        <v>1143</v>
      </c>
      <c r="F76" s="15" t="n">
        <f aca="false">ROUND(SUMIF('Your Lines'!$B$6:$B$463,$B76,'Your Lines'!$J$6:$J$463),2)</f>
        <v>96064</v>
      </c>
      <c r="G76" s="15" t="n">
        <f aca="false">ROUND(SUMIF('Your Lines'!$B$6:$B$463,$B76,'Your Lines'!$G$6:$G$463),2)</f>
        <v>86502.91</v>
      </c>
      <c r="H76" s="25" t="n">
        <f aca="false">$G76/$F76</f>
        <v>0.900471664723518</v>
      </c>
      <c r="I76" s="15" t="n">
        <f aca="false">ROUND(SUMIF('Your Lines'!$B$6:$B$463,$B76,'Your Lines'!$K$6:$K$463),2)</f>
        <v>53454</v>
      </c>
      <c r="J76" s="15" t="n">
        <f aca="false">ROUND(SUMIF('Your Lines'!$B$6:$B$463,$B76,'Your Lines'!$L$6:$L$463),2)</f>
        <v>1749.3</v>
      </c>
      <c r="K76" s="15" t="n">
        <f aca="false">ROUND($G76-$I76-$J76,2)</f>
        <v>31299.61</v>
      </c>
      <c r="L76" s="15" t="n">
        <f aca="false">ROUND($D76*'Your Inputs'!$C$40+'Your Inputs'!$C$41,2)</f>
        <v>7950</v>
      </c>
      <c r="M76" s="15" t="n">
        <f aca="false">ROUND($K76-$L76,2)</f>
        <v>23349.61</v>
      </c>
      <c r="N76" s="26" t="n">
        <f aca="false">RANK($M76,'Your Accounts'!$M$6:$M$185)</f>
        <v>119</v>
      </c>
      <c r="O76" s="15" t="n">
        <f aca="false">SUMIF('Your Accounts'!$N$6:$N$185,"&lt;="&amp;$N76,'Your Accounts'!$M$6:$M$185)</f>
        <v>12880903.12</v>
      </c>
      <c r="P76" s="15"/>
      <c r="Q76" s="26" t="n">
        <f aca="false">COUNTIFS('Your Lines'!$B$6:$B$463,$B76,'Your Lines'!$R$6:$R$463,"below the floor")</f>
        <v>0</v>
      </c>
      <c r="R76" s="15" t="n">
        <f aca="false">IF(Q76&gt;0,$K76,0)</f>
        <v>0</v>
      </c>
      <c r="AN76" s="15" t="n">
        <f aca="false">IF(VLOOKUP($C76,'Your Floors'!$B$53:$F$56,5,FALSE())="yes",0,$R76)</f>
        <v>0</v>
      </c>
      <c r="AP76" s="15" t="n">
        <f aca="false">ROUND($K76-$AS76,2)</f>
        <v>27324.61</v>
      </c>
      <c r="AQ76" s="26" t="n">
        <f aca="false">RANK($AP76,'Your Accounts'!$AP$6:$AP$185)</f>
        <v>120</v>
      </c>
      <c r="AR76" s="15" t="n">
        <f aca="false">SUMIF('Your Accounts'!$AQ$6:$AQ$185,"&lt;="&amp;$AQ76,'Your Accounts'!$AP$6:$AP$185)</f>
        <v>13486909.2</v>
      </c>
      <c r="AS76" s="15" t="n">
        <f aca="false">ROUND($D76*Sensitivity!$C$35+Sensitivity!$D$35,2)</f>
        <v>3975</v>
      </c>
      <c r="AT76" s="15" t="n">
        <f aca="false">ROUND($K76-$AW76,2)</f>
        <v>23349.61</v>
      </c>
      <c r="AU76" s="26" t="n">
        <f aca="false">RANK($AT76,'Your Accounts'!$AT$6:$AT$185)</f>
        <v>119</v>
      </c>
      <c r="AV76" s="15" t="n">
        <f aca="false">SUMIF('Your Accounts'!$AU$6:$AU$185,"&lt;="&amp;$AU76,'Your Accounts'!$AT$6:$AT$185)</f>
        <v>12880903.12</v>
      </c>
      <c r="AW76" s="15" t="n">
        <f aca="false">ROUND($D76*Sensitivity!$C$36+Sensitivity!$D$36,2)</f>
        <v>7950</v>
      </c>
      <c r="AX76" s="15" t="n">
        <f aca="false">ROUND($K76-$BA76,2)</f>
        <v>21362.11</v>
      </c>
      <c r="AY76" s="26" t="n">
        <f aca="false">RANK($AX76,'Your Accounts'!$AX$6:$AX$185)</f>
        <v>119</v>
      </c>
      <c r="AZ76" s="15" t="n">
        <f aca="false">SUMIF('Your Accounts'!$AY$6:$AY$185,"&lt;="&amp;$AY76,'Your Accounts'!$AX$6:$AX$185)</f>
        <v>12591973.12</v>
      </c>
      <c r="BA76" s="15" t="n">
        <f aca="false">ROUND($D76*Sensitivity!$C$37+Sensitivity!$D$37,2)</f>
        <v>9937.5</v>
      </c>
      <c r="BB76" s="15" t="n">
        <f aca="false">ROUND($K76-$BE76,2)</f>
        <v>19374.61</v>
      </c>
      <c r="BC76" s="26" t="n">
        <f aca="false">RANK($BB76,'Your Accounts'!$BB$6:$BB$185)</f>
        <v>120</v>
      </c>
      <c r="BD76" s="15" t="n">
        <f aca="false">SUMIF('Your Accounts'!$BC$6:$BC$185,"&lt;="&amp;$BC76,'Your Accounts'!$BB$6:$BB$185)</f>
        <v>12322456.24</v>
      </c>
      <c r="BE76" s="15" t="n">
        <f aca="false">ROUND($D76*Sensitivity!$C$38+Sensitivity!$D$38,2)</f>
        <v>11925</v>
      </c>
      <c r="BF76" s="15" t="n">
        <f aca="false">ROUND($K76-$BI76,2)</f>
        <v>15399.61</v>
      </c>
      <c r="BG76" s="26" t="n">
        <f aca="false">RANK($BF76,'Your Accounts'!$BF$6:$BF$185)</f>
        <v>119</v>
      </c>
      <c r="BH76" s="15" t="n">
        <f aca="false">SUMIF('Your Accounts'!$BG$6:$BG$185,"&lt;="&amp;$BG76,'Your Accounts'!$BF$6:$BF$185)</f>
        <v>11726984.98</v>
      </c>
      <c r="BI76" s="15" t="n">
        <f aca="false">ROUND($D76*Sensitivity!$C$39+Sensitivity!$D$39,2)</f>
        <v>15900</v>
      </c>
      <c r="BJ76" s="15" t="n">
        <f aca="false">ROUND($K76-$BM76,2)</f>
        <v>11424.61</v>
      </c>
      <c r="BK76" s="26" t="n">
        <f aca="false">RANK($BJ76,'Your Accounts'!$BJ$6:$BJ$185)</f>
        <v>117</v>
      </c>
      <c r="BL76" s="15" t="n">
        <f aca="false">SUMIF('Your Accounts'!$BK$6:$BK$185,"&lt;="&amp;$BK76,'Your Accounts'!$BJ$6:$BJ$185)</f>
        <v>11129360.72</v>
      </c>
      <c r="BM76" s="15" t="n">
        <f aca="false">ROUND($D76*Sensitivity!$C$40+Sensitivity!$D$40,2)</f>
        <v>19875</v>
      </c>
      <c r="BN76" s="15" t="n">
        <f aca="false">ROUND($K76-$BQ76,2)</f>
        <v>7449.61</v>
      </c>
      <c r="BO76" s="26" t="n">
        <f aca="false">RANK($BN76,'Your Accounts'!$BN$6:$BN$185)</f>
        <v>113</v>
      </c>
      <c r="BP76" s="15" t="n">
        <f aca="false">SUMIF('Your Accounts'!$BO$6:$BO$185,"&lt;="&amp;$BO76,'Your Accounts'!$BN$6:$BN$185)</f>
        <v>10535804.19</v>
      </c>
      <c r="BQ76" s="15" t="n">
        <f aca="false">ROUND($D76*Sensitivity!$C$41+Sensitivity!$D$41,2)</f>
        <v>23850</v>
      </c>
    </row>
    <row r="77" customFormat="false" ht="15" hidden="false" customHeight="false" outlineLevel="0" collapsed="false">
      <c r="B77" s="18" t="s">
        <v>188</v>
      </c>
      <c r="C77" s="18" t="s">
        <v>157</v>
      </c>
      <c r="D77" s="24" t="n">
        <v>10</v>
      </c>
      <c r="E77" s="26" t="n">
        <f aca="false">SUMIF('Your Lines'!$B$6:$B$463,$B77,'Your Lines'!$E$6:$E$463)</f>
        <v>1386</v>
      </c>
      <c r="F77" s="15" t="n">
        <f aca="false">ROUND(SUMIF('Your Lines'!$B$6:$B$463,$B77,'Your Lines'!$J$6:$J$463),2)</f>
        <v>162020</v>
      </c>
      <c r="G77" s="15" t="n">
        <f aca="false">ROUND(SUMIF('Your Lines'!$B$6:$B$463,$B77,'Your Lines'!$G$6:$G$463),2)</f>
        <v>146155.48</v>
      </c>
      <c r="H77" s="25" t="n">
        <f aca="false">$G77/$F77</f>
        <v>0.902082952721886</v>
      </c>
      <c r="I77" s="15" t="n">
        <f aca="false">ROUND(SUMIF('Your Lines'!$B$6:$B$463,$B77,'Your Lines'!$K$6:$K$463),2)</f>
        <v>91528</v>
      </c>
      <c r="J77" s="15" t="n">
        <f aca="false">ROUND(SUMIF('Your Lines'!$B$6:$B$463,$B77,'Your Lines'!$L$6:$L$463),2)</f>
        <v>3048.09</v>
      </c>
      <c r="K77" s="15" t="n">
        <f aca="false">ROUND($G77-$I77-$J77,2)</f>
        <v>51579.39</v>
      </c>
      <c r="L77" s="15" t="n">
        <f aca="false">ROUND($D77*'Your Inputs'!$C$40+'Your Inputs'!$C$41,2)</f>
        <v>7950</v>
      </c>
      <c r="M77" s="15" t="n">
        <f aca="false">ROUND($K77-$L77,2)</f>
        <v>43629.39</v>
      </c>
      <c r="N77" s="26" t="n">
        <f aca="false">RANK($M77,'Your Accounts'!$M$6:$M$185)</f>
        <v>84</v>
      </c>
      <c r="O77" s="15" t="n">
        <f aca="false">SUMIF('Your Accounts'!$N$6:$N$185,"&lt;="&amp;$N77,'Your Accounts'!$M$6:$M$185)</f>
        <v>11794810.73</v>
      </c>
      <c r="P77" s="15"/>
      <c r="Q77" s="26" t="n">
        <f aca="false">COUNTIFS('Your Lines'!$B$6:$B$463,$B77,'Your Lines'!$R$6:$R$463,"below the floor")</f>
        <v>0</v>
      </c>
      <c r="R77" s="15" t="n">
        <f aca="false">IF(Q77&gt;0,$K77,0)</f>
        <v>0</v>
      </c>
      <c r="AN77" s="15" t="n">
        <f aca="false">IF(VLOOKUP($C77,'Your Floors'!$B$53:$F$56,5,FALSE())="yes",0,$R77)</f>
        <v>0</v>
      </c>
      <c r="AP77" s="15" t="n">
        <f aca="false">ROUND($K77-$AS77,2)</f>
        <v>47604.39</v>
      </c>
      <c r="AQ77" s="26" t="n">
        <f aca="false">RANK($AP77,'Your Accounts'!$AP$6:$AP$185)</f>
        <v>84</v>
      </c>
      <c r="AR77" s="15" t="n">
        <f aca="false">SUMIF('Your Accounts'!$AQ$6:$AQ$185,"&lt;="&amp;$AQ77,'Your Accounts'!$AP$6:$AP$185)</f>
        <v>12210998.23</v>
      </c>
      <c r="AS77" s="15" t="n">
        <f aca="false">ROUND($D77*Sensitivity!$C$35+Sensitivity!$D$35,2)</f>
        <v>3975</v>
      </c>
      <c r="AT77" s="15" t="n">
        <f aca="false">ROUND($K77-$AW77,2)</f>
        <v>43629.39</v>
      </c>
      <c r="AU77" s="26" t="n">
        <f aca="false">RANK($AT77,'Your Accounts'!$AT$6:$AT$185)</f>
        <v>84</v>
      </c>
      <c r="AV77" s="15" t="n">
        <f aca="false">SUMIF('Your Accounts'!$AU$6:$AU$185,"&lt;="&amp;$AU77,'Your Accounts'!$AT$6:$AT$185)</f>
        <v>11794810.73</v>
      </c>
      <c r="AW77" s="15" t="n">
        <f aca="false">ROUND($D77*Sensitivity!$C$36+Sensitivity!$D$36,2)</f>
        <v>7950</v>
      </c>
      <c r="AX77" s="15" t="n">
        <f aca="false">ROUND($K77-$BA77,2)</f>
        <v>41641.89</v>
      </c>
      <c r="AY77" s="26" t="n">
        <f aca="false">RANK($AX77,'Your Accounts'!$AX$6:$AX$185)</f>
        <v>84</v>
      </c>
      <c r="AZ77" s="15" t="n">
        <f aca="false">SUMIF('Your Accounts'!$AY$6:$AY$185,"&lt;="&amp;$AY77,'Your Accounts'!$AX$6:$AX$185)</f>
        <v>11586716.98</v>
      </c>
      <c r="BA77" s="15" t="n">
        <f aca="false">ROUND($D77*Sensitivity!$C$37+Sensitivity!$D$37,2)</f>
        <v>9937.5</v>
      </c>
      <c r="BB77" s="15" t="n">
        <f aca="false">ROUND($K77-$BE77,2)</f>
        <v>39654.39</v>
      </c>
      <c r="BC77" s="26" t="n">
        <f aca="false">RANK($BB77,'Your Accounts'!$BB$6:$BB$185)</f>
        <v>83</v>
      </c>
      <c r="BD77" s="15" t="n">
        <f aca="false">SUMIF('Your Accounts'!$BC$6:$BC$185,"&lt;="&amp;$BC77,'Your Accounts'!$BB$6:$BB$185)</f>
        <v>11339008.68</v>
      </c>
      <c r="BE77" s="15" t="n">
        <f aca="false">ROUND($D77*Sensitivity!$C$38+Sensitivity!$D$38,2)</f>
        <v>11925</v>
      </c>
      <c r="BF77" s="15" t="n">
        <f aca="false">ROUND($K77-$BI77,2)</f>
        <v>35679.39</v>
      </c>
      <c r="BG77" s="26" t="n">
        <f aca="false">RANK($BF77,'Your Accounts'!$BF$6:$BF$185)</f>
        <v>82</v>
      </c>
      <c r="BH77" s="15" t="n">
        <f aca="false">SUMIF('Your Accounts'!$BG$6:$BG$185,"&lt;="&amp;$BG77,'Your Accounts'!$BF$6:$BF$185)</f>
        <v>10895672.97</v>
      </c>
      <c r="BI77" s="15" t="n">
        <f aca="false">ROUND($D77*Sensitivity!$C$39+Sensitivity!$D$39,2)</f>
        <v>15900</v>
      </c>
      <c r="BJ77" s="15" t="n">
        <f aca="false">ROUND($K77-$BM77,2)</f>
        <v>31704.39</v>
      </c>
      <c r="BK77" s="26" t="n">
        <f aca="false">RANK($BJ77,'Your Accounts'!$BJ$6:$BJ$185)</f>
        <v>81</v>
      </c>
      <c r="BL77" s="15" t="n">
        <f aca="false">SUMIF('Your Accounts'!$BK$6:$BK$185,"&lt;="&amp;$BK77,'Your Accounts'!$BJ$6:$BJ$185)</f>
        <v>10462074.61</v>
      </c>
      <c r="BM77" s="15" t="n">
        <f aca="false">ROUND($D77*Sensitivity!$C$40+Sensitivity!$D$40,2)</f>
        <v>19875</v>
      </c>
      <c r="BN77" s="15" t="n">
        <f aca="false">ROUND($K77-$BQ77,2)</f>
        <v>27729.39</v>
      </c>
      <c r="BO77" s="26" t="n">
        <f aca="false">RANK($BN77,'Your Accounts'!$BN$6:$BN$185)</f>
        <v>81</v>
      </c>
      <c r="BP77" s="15" t="n">
        <f aca="false">SUMIF('Your Accounts'!$BO$6:$BO$185,"&lt;="&amp;$BO77,'Your Accounts'!$BN$6:$BN$185)</f>
        <v>10065787.11</v>
      </c>
      <c r="BQ77" s="15" t="n">
        <f aca="false">ROUND($D77*Sensitivity!$C$41+Sensitivity!$D$41,2)</f>
        <v>23850</v>
      </c>
    </row>
    <row r="78" customFormat="false" ht="15" hidden="false" customHeight="false" outlineLevel="0" collapsed="false">
      <c r="B78" s="18" t="s">
        <v>189</v>
      </c>
      <c r="C78" s="18" t="s">
        <v>157</v>
      </c>
      <c r="D78" s="24" t="n">
        <v>37</v>
      </c>
      <c r="E78" s="26" t="n">
        <f aca="false">SUMIF('Your Lines'!$B$6:$B$463,$B78,'Your Lines'!$E$6:$E$463)</f>
        <v>10845</v>
      </c>
      <c r="F78" s="15" t="n">
        <f aca="false">ROUND(SUMIF('Your Lines'!$B$6:$B$463,$B78,'Your Lines'!$J$6:$J$463),2)</f>
        <v>939062</v>
      </c>
      <c r="G78" s="15" t="n">
        <f aca="false">ROUND(SUMIF('Your Lines'!$B$6:$B$463,$B78,'Your Lines'!$G$6:$G$463),2)</f>
        <v>807125.78</v>
      </c>
      <c r="H78" s="25" t="n">
        <f aca="false">$G78/$F78</f>
        <v>0.859502120200796</v>
      </c>
      <c r="I78" s="15" t="n">
        <f aca="false">ROUND(SUMIF('Your Lines'!$B$6:$B$463,$B78,'Your Lines'!$K$6:$K$463),2)</f>
        <v>538244</v>
      </c>
      <c r="J78" s="15" t="n">
        <f aca="false">ROUND(SUMIF('Your Lines'!$B$6:$B$463,$B78,'Your Lines'!$L$6:$L$463),2)</f>
        <v>17191.18</v>
      </c>
      <c r="K78" s="15" t="n">
        <f aca="false">ROUND($G78-$I78-$J78,2)</f>
        <v>251690.6</v>
      </c>
      <c r="L78" s="15" t="n">
        <f aca="false">ROUND($D78*'Your Inputs'!$C$40+'Your Inputs'!$C$41,2)</f>
        <v>11865</v>
      </c>
      <c r="M78" s="15" t="n">
        <f aca="false">ROUND($K78-$L78,2)</f>
        <v>239825.6</v>
      </c>
      <c r="N78" s="26" t="n">
        <f aca="false">RANK($M78,'Your Accounts'!$M$6:$M$185)</f>
        <v>15</v>
      </c>
      <c r="O78" s="15" t="n">
        <f aca="false">SUMIF('Your Accounts'!$N$6:$N$185,"&lt;="&amp;$N78,'Your Accounts'!$M$6:$M$185)</f>
        <v>5690427.61</v>
      </c>
      <c r="P78" s="15"/>
      <c r="Q78" s="26" t="n">
        <f aca="false">COUNTIFS('Your Lines'!$B$6:$B$463,$B78,'Your Lines'!$R$6:$R$463,"below the floor")</f>
        <v>0</v>
      </c>
      <c r="R78" s="15" t="n">
        <f aca="false">IF(Q78&gt;0,$K78,0)</f>
        <v>0</v>
      </c>
      <c r="AN78" s="15" t="n">
        <f aca="false">IF(VLOOKUP($C78,'Your Floors'!$B$53:$F$56,5,FALSE())="yes",0,$R78)</f>
        <v>0</v>
      </c>
      <c r="AP78" s="15" t="n">
        <f aca="false">ROUND($K78-$AS78,2)</f>
        <v>245758.1</v>
      </c>
      <c r="AQ78" s="26" t="n">
        <f aca="false">RANK($AP78,'Your Accounts'!$AP$6:$AP$185)</f>
        <v>15</v>
      </c>
      <c r="AR78" s="15" t="n">
        <f aca="false">SUMIF('Your Accounts'!$AQ$6:$AQ$185,"&lt;="&amp;$AQ78,'Your Accounts'!$AP$6:$AP$185)</f>
        <v>5772237.61</v>
      </c>
      <c r="AS78" s="15" t="n">
        <f aca="false">ROUND($D78*Sensitivity!$C$35+Sensitivity!$D$35,2)</f>
        <v>5932.5</v>
      </c>
      <c r="AT78" s="15" t="n">
        <f aca="false">ROUND($K78-$AW78,2)</f>
        <v>239825.6</v>
      </c>
      <c r="AU78" s="26" t="n">
        <f aca="false">RANK($AT78,'Your Accounts'!$AT$6:$AT$185)</f>
        <v>15</v>
      </c>
      <c r="AV78" s="15" t="n">
        <f aca="false">SUMIF('Your Accounts'!$AU$6:$AU$185,"&lt;="&amp;$AU78,'Your Accounts'!$AT$6:$AT$185)</f>
        <v>5690427.61</v>
      </c>
      <c r="AW78" s="15" t="n">
        <f aca="false">ROUND($D78*Sensitivity!$C$36+Sensitivity!$D$36,2)</f>
        <v>11865</v>
      </c>
      <c r="AX78" s="15" t="n">
        <f aca="false">ROUND($K78-$BA78,2)</f>
        <v>236859.35</v>
      </c>
      <c r="AY78" s="26" t="n">
        <f aca="false">RANK($AX78,'Your Accounts'!$AX$6:$AX$185)</f>
        <v>15</v>
      </c>
      <c r="AZ78" s="15" t="n">
        <f aca="false">SUMIF('Your Accounts'!$AY$6:$AY$185,"&lt;="&amp;$AY78,'Your Accounts'!$AX$6:$AX$185)</f>
        <v>5649522.61</v>
      </c>
      <c r="BA78" s="15" t="n">
        <f aca="false">ROUND($D78*Sensitivity!$C$37+Sensitivity!$D$37,2)</f>
        <v>14831.25</v>
      </c>
      <c r="BB78" s="15" t="n">
        <f aca="false">ROUND($K78-$BE78,2)</f>
        <v>233893.1</v>
      </c>
      <c r="BC78" s="26" t="n">
        <f aca="false">RANK($BB78,'Your Accounts'!$BB$6:$BB$185)</f>
        <v>15</v>
      </c>
      <c r="BD78" s="15" t="n">
        <f aca="false">SUMIF('Your Accounts'!$BC$6:$BC$185,"&lt;="&amp;$BC78,'Your Accounts'!$BB$6:$BB$185)</f>
        <v>5608617.61</v>
      </c>
      <c r="BE78" s="15" t="n">
        <f aca="false">ROUND($D78*Sensitivity!$C$38+Sensitivity!$D$38,2)</f>
        <v>17797.5</v>
      </c>
      <c r="BF78" s="15" t="n">
        <f aca="false">ROUND($K78-$BI78,2)</f>
        <v>227960.6</v>
      </c>
      <c r="BG78" s="26" t="n">
        <f aca="false">RANK($BF78,'Your Accounts'!$BF$6:$BF$185)</f>
        <v>15</v>
      </c>
      <c r="BH78" s="15" t="n">
        <f aca="false">SUMIF('Your Accounts'!$BG$6:$BG$185,"&lt;="&amp;$BG78,'Your Accounts'!$BF$6:$BF$185)</f>
        <v>5526807.61</v>
      </c>
      <c r="BI78" s="15" t="n">
        <f aca="false">ROUND($D78*Sensitivity!$C$39+Sensitivity!$D$39,2)</f>
        <v>23730</v>
      </c>
      <c r="BJ78" s="15" t="n">
        <f aca="false">ROUND($K78-$BM78,2)</f>
        <v>222028.1</v>
      </c>
      <c r="BK78" s="26" t="n">
        <f aca="false">RANK($BJ78,'Your Accounts'!$BJ$6:$BJ$185)</f>
        <v>15</v>
      </c>
      <c r="BL78" s="15" t="n">
        <f aca="false">SUMIF('Your Accounts'!$BK$6:$BK$185,"&lt;="&amp;$BK78,'Your Accounts'!$BJ$6:$BJ$185)</f>
        <v>5444997.61</v>
      </c>
      <c r="BM78" s="15" t="n">
        <f aca="false">ROUND($D78*Sensitivity!$C$40+Sensitivity!$D$40,2)</f>
        <v>29662.5</v>
      </c>
      <c r="BN78" s="15" t="n">
        <f aca="false">ROUND($K78-$BQ78,2)</f>
        <v>216095.6</v>
      </c>
      <c r="BO78" s="26" t="n">
        <f aca="false">RANK($BN78,'Your Accounts'!$BN$6:$BN$185)</f>
        <v>15</v>
      </c>
      <c r="BP78" s="15" t="n">
        <f aca="false">SUMIF('Your Accounts'!$BO$6:$BO$185,"&lt;="&amp;$BO78,'Your Accounts'!$BN$6:$BN$185)</f>
        <v>5363187.61</v>
      </c>
      <c r="BQ78" s="15" t="n">
        <f aca="false">ROUND($D78*Sensitivity!$C$41+Sensitivity!$D$41,2)</f>
        <v>35595</v>
      </c>
    </row>
    <row r="79" customFormat="false" ht="15" hidden="false" customHeight="false" outlineLevel="0" collapsed="false">
      <c r="B79" s="18" t="s">
        <v>190</v>
      </c>
      <c r="C79" s="18" t="s">
        <v>157</v>
      </c>
      <c r="D79" s="24" t="n">
        <v>18</v>
      </c>
      <c r="E79" s="26" t="n">
        <f aca="false">SUMIF('Your Lines'!$B$6:$B$463,$B79,'Your Lines'!$E$6:$E$463)</f>
        <v>5719</v>
      </c>
      <c r="F79" s="15" t="n">
        <f aca="false">ROUND(SUMIF('Your Lines'!$B$6:$B$463,$B79,'Your Lines'!$J$6:$J$463),2)</f>
        <v>482928</v>
      </c>
      <c r="G79" s="15" t="n">
        <f aca="false">ROUND(SUMIF('Your Lines'!$B$6:$B$463,$B79,'Your Lines'!$G$6:$G$463),2)</f>
        <v>396896.91</v>
      </c>
      <c r="H79" s="25" t="n">
        <f aca="false">$G79/$F79</f>
        <v>0.821855245502435</v>
      </c>
      <c r="I79" s="15" t="n">
        <f aca="false">ROUND(SUMIF('Your Lines'!$B$6:$B$463,$B79,'Your Lines'!$K$6:$K$463),2)</f>
        <v>276406</v>
      </c>
      <c r="J79" s="15" t="n">
        <f aca="false">ROUND(SUMIF('Your Lines'!$B$6:$B$463,$B79,'Your Lines'!$L$6:$L$463),2)</f>
        <v>8149.84</v>
      </c>
      <c r="K79" s="15" t="n">
        <f aca="false">ROUND($G79-$I79-$J79,2)</f>
        <v>112341.07</v>
      </c>
      <c r="L79" s="15" t="n">
        <f aca="false">ROUND($D79*'Your Inputs'!$C$40+'Your Inputs'!$C$41,2)</f>
        <v>9110</v>
      </c>
      <c r="M79" s="15" t="n">
        <f aca="false">ROUND($K79-$L79,2)</f>
        <v>103231.07</v>
      </c>
      <c r="N79" s="26" t="n">
        <f aca="false">RANK($M79,'Your Accounts'!$M$6:$M$185)</f>
        <v>36</v>
      </c>
      <c r="O79" s="15" t="n">
        <f aca="false">SUMIF('Your Accounts'!$N$6:$N$185,"&lt;="&amp;$N79,'Your Accounts'!$M$6:$M$185)</f>
        <v>8696275.89</v>
      </c>
      <c r="P79" s="15"/>
      <c r="Q79" s="26" t="n">
        <f aca="false">COUNTIFS('Your Lines'!$B$6:$B$463,$B79,'Your Lines'!$R$6:$R$463,"below the floor")</f>
        <v>3</v>
      </c>
      <c r="R79" s="15" t="n">
        <f aca="false">IF(Q79&gt;0,$K79,0)</f>
        <v>112341.07</v>
      </c>
      <c r="AN79" s="15" t="n">
        <f aca="false">IF(VLOOKUP($C79,'Your Floors'!$B$53:$F$56,5,FALSE())="yes",0,$R79)</f>
        <v>112341.07</v>
      </c>
      <c r="AP79" s="15" t="n">
        <f aca="false">ROUND($K79-$AS79,2)</f>
        <v>107786.07</v>
      </c>
      <c r="AQ79" s="26" t="n">
        <f aca="false">RANK($AP79,'Your Accounts'!$AP$6:$AP$185)</f>
        <v>36</v>
      </c>
      <c r="AR79" s="15" t="n">
        <f aca="false">SUMIF('Your Accounts'!$AQ$6:$AQ$185,"&lt;="&amp;$AQ79,'Your Accounts'!$AP$6:$AP$185)</f>
        <v>8880918.39</v>
      </c>
      <c r="AS79" s="15" t="n">
        <f aca="false">ROUND($D79*Sensitivity!$C$35+Sensitivity!$D$35,2)</f>
        <v>4555</v>
      </c>
      <c r="AT79" s="15" t="n">
        <f aca="false">ROUND($K79-$AW79,2)</f>
        <v>103231.07</v>
      </c>
      <c r="AU79" s="26" t="n">
        <f aca="false">RANK($AT79,'Your Accounts'!$AT$6:$AT$185)</f>
        <v>36</v>
      </c>
      <c r="AV79" s="15" t="n">
        <f aca="false">SUMIF('Your Accounts'!$AU$6:$AU$185,"&lt;="&amp;$AU79,'Your Accounts'!$AT$6:$AT$185)</f>
        <v>8696275.89</v>
      </c>
      <c r="AW79" s="15" t="n">
        <f aca="false">ROUND($D79*Sensitivity!$C$36+Sensitivity!$D$36,2)</f>
        <v>9110</v>
      </c>
      <c r="AX79" s="15" t="n">
        <f aca="false">ROUND($K79-$BA79,2)</f>
        <v>100953.57</v>
      </c>
      <c r="AY79" s="26" t="n">
        <f aca="false">RANK($AX79,'Your Accounts'!$AX$6:$AX$185)</f>
        <v>36</v>
      </c>
      <c r="AZ79" s="15" t="n">
        <f aca="false">SUMIF('Your Accounts'!$AY$6:$AY$185,"&lt;="&amp;$AY79,'Your Accounts'!$AX$6:$AX$185)</f>
        <v>8603954.64</v>
      </c>
      <c r="BA79" s="15" t="n">
        <f aca="false">ROUND($D79*Sensitivity!$C$37+Sensitivity!$D$37,2)</f>
        <v>11387.5</v>
      </c>
      <c r="BB79" s="15" t="n">
        <f aca="false">ROUND($K79-$BE79,2)</f>
        <v>98676.07</v>
      </c>
      <c r="BC79" s="26" t="n">
        <f aca="false">RANK($BB79,'Your Accounts'!$BB$6:$BB$185)</f>
        <v>36</v>
      </c>
      <c r="BD79" s="15" t="n">
        <f aca="false">SUMIF('Your Accounts'!$BC$6:$BC$185,"&lt;="&amp;$BC79,'Your Accounts'!$BB$6:$BB$185)</f>
        <v>8511633.39</v>
      </c>
      <c r="BE79" s="15" t="n">
        <f aca="false">ROUND($D79*Sensitivity!$C$38+Sensitivity!$D$38,2)</f>
        <v>13665</v>
      </c>
      <c r="BF79" s="15" t="n">
        <f aca="false">ROUND($K79-$BI79,2)</f>
        <v>94121.07</v>
      </c>
      <c r="BG79" s="26" t="n">
        <f aca="false">RANK($BF79,'Your Accounts'!$BF$6:$BF$185)</f>
        <v>36</v>
      </c>
      <c r="BH79" s="15" t="n">
        <f aca="false">SUMIF('Your Accounts'!$BG$6:$BG$185,"&lt;="&amp;$BG79,'Your Accounts'!$BF$6:$BF$185)</f>
        <v>8326990.89</v>
      </c>
      <c r="BI79" s="15" t="n">
        <f aca="false">ROUND($D79*Sensitivity!$C$39+Sensitivity!$D$39,2)</f>
        <v>18220</v>
      </c>
      <c r="BJ79" s="15" t="n">
        <f aca="false">ROUND($K79-$BM79,2)</f>
        <v>89566.07</v>
      </c>
      <c r="BK79" s="26" t="n">
        <f aca="false">RANK($BJ79,'Your Accounts'!$BJ$6:$BJ$185)</f>
        <v>36</v>
      </c>
      <c r="BL79" s="15" t="n">
        <f aca="false">SUMIF('Your Accounts'!$BK$6:$BK$185,"&lt;="&amp;$BK79,'Your Accounts'!$BJ$6:$BJ$185)</f>
        <v>8142348.39</v>
      </c>
      <c r="BM79" s="15" t="n">
        <f aca="false">ROUND($D79*Sensitivity!$C$40+Sensitivity!$D$40,2)</f>
        <v>22775</v>
      </c>
      <c r="BN79" s="15" t="n">
        <f aca="false">ROUND($K79-$BQ79,2)</f>
        <v>85011.07</v>
      </c>
      <c r="BO79" s="26" t="n">
        <f aca="false">RANK($BN79,'Your Accounts'!$BN$6:$BN$185)</f>
        <v>36</v>
      </c>
      <c r="BP79" s="15" t="n">
        <f aca="false">SUMIF('Your Accounts'!$BO$6:$BO$185,"&lt;="&amp;$BO79,'Your Accounts'!$BN$6:$BN$185)</f>
        <v>7957705.89</v>
      </c>
      <c r="BQ79" s="15" t="n">
        <f aca="false">ROUND($D79*Sensitivity!$C$41+Sensitivity!$D$41,2)</f>
        <v>27330</v>
      </c>
    </row>
    <row r="80" customFormat="false" ht="15" hidden="false" customHeight="false" outlineLevel="0" collapsed="false">
      <c r="B80" s="18" t="s">
        <v>191</v>
      </c>
      <c r="C80" s="18" t="s">
        <v>157</v>
      </c>
      <c r="D80" s="24" t="n">
        <v>36</v>
      </c>
      <c r="E80" s="26" t="n">
        <f aca="false">SUMIF('Your Lines'!$B$6:$B$463,$B80,'Your Lines'!$E$6:$E$463)</f>
        <v>9360</v>
      </c>
      <c r="F80" s="15" t="n">
        <f aca="false">ROUND(SUMIF('Your Lines'!$B$6:$B$463,$B80,'Your Lines'!$J$6:$J$463),2)</f>
        <v>837996</v>
      </c>
      <c r="G80" s="15" t="n">
        <f aca="false">ROUND(SUMIF('Your Lines'!$B$6:$B$463,$B80,'Your Lines'!$G$6:$G$463),2)</f>
        <v>748279.26</v>
      </c>
      <c r="H80" s="25" t="n">
        <f aca="false">$G80/$F80</f>
        <v>0.892938940042673</v>
      </c>
      <c r="I80" s="15" t="n">
        <f aca="false">ROUND(SUMIF('Your Lines'!$B$6:$B$463,$B80,'Your Lines'!$K$6:$K$463),2)</f>
        <v>477148</v>
      </c>
      <c r="J80" s="15" t="n">
        <f aca="false">ROUND(SUMIF('Your Lines'!$B$6:$B$463,$B80,'Your Lines'!$L$6:$L$463),2)</f>
        <v>15605.41</v>
      </c>
      <c r="K80" s="15" t="n">
        <f aca="false">ROUND($G80-$I80-$J80,2)</f>
        <v>255525.85</v>
      </c>
      <c r="L80" s="15" t="n">
        <f aca="false">ROUND($D80*'Your Inputs'!$C$40+'Your Inputs'!$C$41,2)</f>
        <v>11720</v>
      </c>
      <c r="M80" s="15" t="n">
        <f aca="false">ROUND($K80-$L80,2)</f>
        <v>243805.85</v>
      </c>
      <c r="N80" s="26" t="n">
        <f aca="false">RANK($M80,'Your Accounts'!$M$6:$M$185)</f>
        <v>14</v>
      </c>
      <c r="O80" s="15" t="n">
        <f aca="false">SUMIF('Your Accounts'!$N$6:$N$185,"&lt;="&amp;$N80,'Your Accounts'!$M$6:$M$185)</f>
        <v>5450602.01</v>
      </c>
      <c r="P80" s="15"/>
      <c r="Q80" s="26" t="n">
        <f aca="false">COUNTIFS('Your Lines'!$B$6:$B$463,$B80,'Your Lines'!$R$6:$R$463,"below the floor")</f>
        <v>0</v>
      </c>
      <c r="R80" s="15" t="n">
        <f aca="false">IF(Q80&gt;0,$K80,0)</f>
        <v>0</v>
      </c>
      <c r="AN80" s="15" t="n">
        <f aca="false">IF(VLOOKUP($C80,'Your Floors'!$B$53:$F$56,5,FALSE())="yes",0,$R80)</f>
        <v>0</v>
      </c>
      <c r="AP80" s="15" t="n">
        <f aca="false">ROUND($K80-$AS80,2)</f>
        <v>249665.85</v>
      </c>
      <c r="AQ80" s="26" t="n">
        <f aca="false">RANK($AP80,'Your Accounts'!$AP$6:$AP$185)</f>
        <v>14</v>
      </c>
      <c r="AR80" s="15" t="n">
        <f aca="false">SUMIF('Your Accounts'!$AQ$6:$AQ$185,"&lt;="&amp;$AQ80,'Your Accounts'!$AP$6:$AP$185)</f>
        <v>5526479.51</v>
      </c>
      <c r="AS80" s="15" t="n">
        <f aca="false">ROUND($D80*Sensitivity!$C$35+Sensitivity!$D$35,2)</f>
        <v>5860</v>
      </c>
      <c r="AT80" s="15" t="n">
        <f aca="false">ROUND($K80-$AW80,2)</f>
        <v>243805.85</v>
      </c>
      <c r="AU80" s="26" t="n">
        <f aca="false">RANK($AT80,'Your Accounts'!$AT$6:$AT$185)</f>
        <v>14</v>
      </c>
      <c r="AV80" s="15" t="n">
        <f aca="false">SUMIF('Your Accounts'!$AU$6:$AU$185,"&lt;="&amp;$AU80,'Your Accounts'!$AT$6:$AT$185)</f>
        <v>5450602.01</v>
      </c>
      <c r="AW80" s="15" t="n">
        <f aca="false">ROUND($D80*Sensitivity!$C$36+Sensitivity!$D$36,2)</f>
        <v>11720</v>
      </c>
      <c r="AX80" s="15" t="n">
        <f aca="false">ROUND($K80-$BA80,2)</f>
        <v>240875.85</v>
      </c>
      <c r="AY80" s="26" t="n">
        <f aca="false">RANK($AX80,'Your Accounts'!$AX$6:$AX$185)</f>
        <v>14</v>
      </c>
      <c r="AZ80" s="15" t="n">
        <f aca="false">SUMIF('Your Accounts'!$AY$6:$AY$185,"&lt;="&amp;$AY80,'Your Accounts'!$AX$6:$AX$185)</f>
        <v>5412663.26</v>
      </c>
      <c r="BA80" s="15" t="n">
        <f aca="false">ROUND($D80*Sensitivity!$C$37+Sensitivity!$D$37,2)</f>
        <v>14650</v>
      </c>
      <c r="BB80" s="15" t="n">
        <f aca="false">ROUND($K80-$BE80,2)</f>
        <v>237945.85</v>
      </c>
      <c r="BC80" s="26" t="n">
        <f aca="false">RANK($BB80,'Your Accounts'!$BB$6:$BB$185)</f>
        <v>14</v>
      </c>
      <c r="BD80" s="15" t="n">
        <f aca="false">SUMIF('Your Accounts'!$BC$6:$BC$185,"&lt;="&amp;$BC80,'Your Accounts'!$BB$6:$BB$185)</f>
        <v>5374724.51</v>
      </c>
      <c r="BE80" s="15" t="n">
        <f aca="false">ROUND($D80*Sensitivity!$C$38+Sensitivity!$D$38,2)</f>
        <v>17580</v>
      </c>
      <c r="BF80" s="15" t="n">
        <f aca="false">ROUND($K80-$BI80,2)</f>
        <v>232085.85</v>
      </c>
      <c r="BG80" s="26" t="n">
        <f aca="false">RANK($BF80,'Your Accounts'!$BF$6:$BF$185)</f>
        <v>14</v>
      </c>
      <c r="BH80" s="15" t="n">
        <f aca="false">SUMIF('Your Accounts'!$BG$6:$BG$185,"&lt;="&amp;$BG80,'Your Accounts'!$BF$6:$BF$185)</f>
        <v>5298847.01</v>
      </c>
      <c r="BI80" s="15" t="n">
        <f aca="false">ROUND($D80*Sensitivity!$C$39+Sensitivity!$D$39,2)</f>
        <v>23440</v>
      </c>
      <c r="BJ80" s="15" t="n">
        <f aca="false">ROUND($K80-$BM80,2)</f>
        <v>226225.85</v>
      </c>
      <c r="BK80" s="26" t="n">
        <f aca="false">RANK($BJ80,'Your Accounts'!$BJ$6:$BJ$185)</f>
        <v>14</v>
      </c>
      <c r="BL80" s="15" t="n">
        <f aca="false">SUMIF('Your Accounts'!$BK$6:$BK$185,"&lt;="&amp;$BK80,'Your Accounts'!$BJ$6:$BJ$185)</f>
        <v>5222969.51</v>
      </c>
      <c r="BM80" s="15" t="n">
        <f aca="false">ROUND($D80*Sensitivity!$C$40+Sensitivity!$D$40,2)</f>
        <v>29300</v>
      </c>
      <c r="BN80" s="15" t="n">
        <f aca="false">ROUND($K80-$BQ80,2)</f>
        <v>220365.85</v>
      </c>
      <c r="BO80" s="26" t="n">
        <f aca="false">RANK($BN80,'Your Accounts'!$BN$6:$BN$185)</f>
        <v>14</v>
      </c>
      <c r="BP80" s="15" t="n">
        <f aca="false">SUMIF('Your Accounts'!$BO$6:$BO$185,"&lt;="&amp;$BO80,'Your Accounts'!$BN$6:$BN$185)</f>
        <v>5147092.01</v>
      </c>
      <c r="BQ80" s="15" t="n">
        <f aca="false">ROUND($D80*Sensitivity!$C$41+Sensitivity!$D$41,2)</f>
        <v>35160</v>
      </c>
    </row>
    <row r="81" customFormat="false" ht="15" hidden="false" customHeight="false" outlineLevel="0" collapsed="false">
      <c r="B81" s="18" t="s">
        <v>192</v>
      </c>
      <c r="C81" s="18" t="s">
        <v>157</v>
      </c>
      <c r="D81" s="24" t="n">
        <v>10</v>
      </c>
      <c r="E81" s="26" t="n">
        <f aca="false">SUMIF('Your Lines'!$B$6:$B$463,$B81,'Your Lines'!$E$6:$E$463)</f>
        <v>2107</v>
      </c>
      <c r="F81" s="15" t="n">
        <f aca="false">ROUND(SUMIF('Your Lines'!$B$6:$B$463,$B81,'Your Lines'!$J$6:$J$463),2)</f>
        <v>130634</v>
      </c>
      <c r="G81" s="15" t="n">
        <f aca="false">ROUND(SUMIF('Your Lines'!$B$6:$B$463,$B81,'Your Lines'!$G$6:$G$463),2)</f>
        <v>122775.06</v>
      </c>
      <c r="H81" s="25" t="n">
        <f aca="false">$G81/$F81</f>
        <v>0.939840011023164</v>
      </c>
      <c r="I81" s="15" t="n">
        <f aca="false">ROUND(SUMIF('Your Lines'!$B$6:$B$463,$B81,'Your Lines'!$K$6:$K$463),2)</f>
        <v>75852</v>
      </c>
      <c r="J81" s="15" t="n">
        <f aca="false">ROUND(SUMIF('Your Lines'!$B$6:$B$463,$B81,'Your Lines'!$L$6:$L$463),2)</f>
        <v>2508.17</v>
      </c>
      <c r="K81" s="15" t="n">
        <f aca="false">ROUND($G81-$I81-$J81,2)</f>
        <v>44414.89</v>
      </c>
      <c r="L81" s="15" t="n">
        <f aca="false">ROUND($D81*'Your Inputs'!$C$40+'Your Inputs'!$C$41,2)</f>
        <v>7950</v>
      </c>
      <c r="M81" s="15" t="n">
        <f aca="false">ROUND($K81-$L81,2)</f>
        <v>36464.89</v>
      </c>
      <c r="N81" s="26" t="n">
        <f aca="false">RANK($M81,'Your Accounts'!$M$6:$M$185)</f>
        <v>93</v>
      </c>
      <c r="O81" s="15" t="n">
        <f aca="false">SUMIF('Your Accounts'!$N$6:$N$185,"&lt;="&amp;$N81,'Your Accounts'!$M$6:$M$185)</f>
        <v>12136150.23</v>
      </c>
      <c r="P81" s="15"/>
      <c r="Q81" s="26" t="n">
        <f aca="false">COUNTIFS('Your Lines'!$B$6:$B$463,$B81,'Your Lines'!$R$6:$R$463,"below the floor")</f>
        <v>0</v>
      </c>
      <c r="R81" s="15" t="n">
        <f aca="false">IF(Q81&gt;0,$K81,0)</f>
        <v>0</v>
      </c>
      <c r="AN81" s="15" t="n">
        <f aca="false">IF(VLOOKUP($C81,'Your Floors'!$B$53:$F$56,5,FALSE())="yes",0,$R81)</f>
        <v>0</v>
      </c>
      <c r="AP81" s="15" t="n">
        <f aca="false">ROUND($K81-$AS81,2)</f>
        <v>40439.89</v>
      </c>
      <c r="AQ81" s="26" t="n">
        <f aca="false">RANK($AP81,'Your Accounts'!$AP$6:$AP$185)</f>
        <v>93</v>
      </c>
      <c r="AR81" s="15" t="n">
        <f aca="false">SUMIF('Your Accounts'!$AQ$6:$AQ$185,"&lt;="&amp;$AQ81,'Your Accounts'!$AP$6:$AP$185)</f>
        <v>12596812.73</v>
      </c>
      <c r="AS81" s="15" t="n">
        <f aca="false">ROUND($D81*Sensitivity!$C$35+Sensitivity!$D$35,2)</f>
        <v>3975</v>
      </c>
      <c r="AT81" s="15" t="n">
        <f aca="false">ROUND($K81-$AW81,2)</f>
        <v>36464.89</v>
      </c>
      <c r="AU81" s="26" t="n">
        <f aca="false">RANK($AT81,'Your Accounts'!$AT$6:$AT$185)</f>
        <v>93</v>
      </c>
      <c r="AV81" s="15" t="n">
        <f aca="false">SUMIF('Your Accounts'!$AU$6:$AU$185,"&lt;="&amp;$AU81,'Your Accounts'!$AT$6:$AT$185)</f>
        <v>12136150.23</v>
      </c>
      <c r="AW81" s="15" t="n">
        <f aca="false">ROUND($D81*Sensitivity!$C$36+Sensitivity!$D$36,2)</f>
        <v>7950</v>
      </c>
      <c r="AX81" s="15" t="n">
        <f aca="false">ROUND($K81-$BA81,2)</f>
        <v>34477.39</v>
      </c>
      <c r="AY81" s="26" t="n">
        <f aca="false">RANK($AX81,'Your Accounts'!$AX$6:$AX$185)</f>
        <v>91</v>
      </c>
      <c r="AZ81" s="15" t="n">
        <f aca="false">SUMIF('Your Accounts'!$AY$6:$AY$185,"&lt;="&amp;$AY81,'Your Accounts'!$AX$6:$AX$185)</f>
        <v>11838065.43</v>
      </c>
      <c r="BA81" s="15" t="n">
        <f aca="false">ROUND($D81*Sensitivity!$C$37+Sensitivity!$D$37,2)</f>
        <v>9937.5</v>
      </c>
      <c r="BB81" s="15" t="n">
        <f aca="false">ROUND($K81-$BE81,2)</f>
        <v>32489.89</v>
      </c>
      <c r="BC81" s="26" t="n">
        <f aca="false">RANK($BB81,'Your Accounts'!$BB$6:$BB$185)</f>
        <v>91</v>
      </c>
      <c r="BD81" s="15" t="n">
        <f aca="false">SUMIF('Your Accounts'!$BC$6:$BC$185,"&lt;="&amp;$BC81,'Your Accounts'!$BB$6:$BB$185)</f>
        <v>11613485.43</v>
      </c>
      <c r="BE81" s="15" t="n">
        <f aca="false">ROUND($D81*Sensitivity!$C$38+Sensitivity!$D$38,2)</f>
        <v>11925</v>
      </c>
      <c r="BF81" s="15" t="n">
        <f aca="false">ROUND($K81-$BI81,2)</f>
        <v>28514.89</v>
      </c>
      <c r="BG81" s="26" t="n">
        <f aca="false">RANK($BF81,'Your Accounts'!$BF$6:$BF$185)</f>
        <v>90</v>
      </c>
      <c r="BH81" s="15" t="n">
        <f aca="false">SUMIF('Your Accounts'!$BG$6:$BG$185,"&lt;="&amp;$BG81,'Your Accounts'!$BF$6:$BF$185)</f>
        <v>11137842.41</v>
      </c>
      <c r="BI81" s="15" t="n">
        <f aca="false">ROUND($D81*Sensitivity!$C$39+Sensitivity!$D$39,2)</f>
        <v>15900</v>
      </c>
      <c r="BJ81" s="15" t="n">
        <f aca="false">ROUND($K81-$BM81,2)</f>
        <v>24539.89</v>
      </c>
      <c r="BK81" s="26" t="n">
        <f aca="false">RANK($BJ81,'Your Accounts'!$BJ$6:$BJ$185)</f>
        <v>88</v>
      </c>
      <c r="BL81" s="15" t="n">
        <f aca="false">SUMIF('Your Accounts'!$BK$6:$BK$185,"&lt;="&amp;$BK81,'Your Accounts'!$BJ$6:$BJ$185)</f>
        <v>10647127.21</v>
      </c>
      <c r="BM81" s="15" t="n">
        <f aca="false">ROUND($D81*Sensitivity!$C$40+Sensitivity!$D$40,2)</f>
        <v>19875</v>
      </c>
      <c r="BN81" s="15" t="n">
        <f aca="false">ROUND($K81-$BQ81,2)</f>
        <v>20564.89</v>
      </c>
      <c r="BO81" s="26" t="n">
        <f aca="false">RANK($BN81,'Your Accounts'!$BN$6:$BN$185)</f>
        <v>86</v>
      </c>
      <c r="BP81" s="15" t="n">
        <f aca="false">SUMIF('Your Accounts'!$BO$6:$BO$185,"&lt;="&amp;$BO81,'Your Accounts'!$BN$6:$BN$185)</f>
        <v>10173991.24</v>
      </c>
      <c r="BQ81" s="15" t="n">
        <f aca="false">ROUND($D81*Sensitivity!$C$41+Sensitivity!$D$41,2)</f>
        <v>23850</v>
      </c>
    </row>
    <row r="82" customFormat="false" ht="15" hidden="false" customHeight="false" outlineLevel="0" collapsed="false">
      <c r="B82" s="18" t="s">
        <v>193</v>
      </c>
      <c r="C82" s="18" t="s">
        <v>157</v>
      </c>
      <c r="D82" s="24" t="n">
        <v>11</v>
      </c>
      <c r="E82" s="26" t="n">
        <f aca="false">SUMIF('Your Lines'!$B$6:$B$463,$B82,'Your Lines'!$E$6:$E$463)</f>
        <v>3292</v>
      </c>
      <c r="F82" s="15" t="n">
        <f aca="false">ROUND(SUMIF('Your Lines'!$B$6:$B$463,$B82,'Your Lines'!$J$6:$J$463),2)</f>
        <v>382748</v>
      </c>
      <c r="G82" s="15" t="n">
        <f aca="false">ROUND(SUMIF('Your Lines'!$B$6:$B$463,$B82,'Your Lines'!$G$6:$G$463),2)</f>
        <v>329633.54</v>
      </c>
      <c r="H82" s="25" t="n">
        <f aca="false">$G82/$F82</f>
        <v>0.861228641299236</v>
      </c>
      <c r="I82" s="15" t="n">
        <f aca="false">ROUND(SUMIF('Your Lines'!$B$6:$B$463,$B82,'Your Lines'!$K$6:$K$463),2)</f>
        <v>216596</v>
      </c>
      <c r="J82" s="15" t="n">
        <f aca="false">ROUND(SUMIF('Your Lines'!$B$6:$B$463,$B82,'Your Lines'!$L$6:$L$463),2)</f>
        <v>6803.58</v>
      </c>
      <c r="K82" s="15" t="n">
        <f aca="false">ROUND($G82-$I82-$J82,2)</f>
        <v>106233.96</v>
      </c>
      <c r="L82" s="15" t="n">
        <f aca="false">ROUND($D82*'Your Inputs'!$C$40+'Your Inputs'!$C$41,2)</f>
        <v>8095</v>
      </c>
      <c r="M82" s="15" t="n">
        <f aca="false">ROUND($K82-$L82,2)</f>
        <v>98138.96</v>
      </c>
      <c r="N82" s="26" t="n">
        <f aca="false">RANK($M82,'Your Accounts'!$M$6:$M$185)</f>
        <v>37</v>
      </c>
      <c r="O82" s="15" t="n">
        <f aca="false">SUMIF('Your Accounts'!$N$6:$N$185,"&lt;="&amp;$N82,'Your Accounts'!$M$6:$M$185)</f>
        <v>8794414.85</v>
      </c>
      <c r="P82" s="15"/>
      <c r="Q82" s="26" t="n">
        <f aca="false">COUNTIFS('Your Lines'!$B$6:$B$463,$B82,'Your Lines'!$R$6:$R$463,"below the floor")</f>
        <v>1</v>
      </c>
      <c r="R82" s="15" t="n">
        <f aca="false">IF(Q82&gt;0,$K82,0)</f>
        <v>106233.96</v>
      </c>
      <c r="AN82" s="15" t="n">
        <f aca="false">IF(VLOOKUP($C82,'Your Floors'!$B$53:$F$56,5,FALSE())="yes",0,$R82)</f>
        <v>106233.96</v>
      </c>
      <c r="AP82" s="15" t="n">
        <f aca="false">ROUND($K82-$AS82,2)</f>
        <v>102186.46</v>
      </c>
      <c r="AQ82" s="26" t="n">
        <f aca="false">RANK($AP82,'Your Accounts'!$AP$6:$AP$185)</f>
        <v>37</v>
      </c>
      <c r="AR82" s="15" t="n">
        <f aca="false">SUMIF('Your Accounts'!$AQ$6:$AQ$185,"&lt;="&amp;$AQ82,'Your Accounts'!$AP$6:$AP$185)</f>
        <v>8983104.85</v>
      </c>
      <c r="AS82" s="15" t="n">
        <f aca="false">ROUND($D82*Sensitivity!$C$35+Sensitivity!$D$35,2)</f>
        <v>4047.5</v>
      </c>
      <c r="AT82" s="15" t="n">
        <f aca="false">ROUND($K82-$AW82,2)</f>
        <v>98138.96</v>
      </c>
      <c r="AU82" s="26" t="n">
        <f aca="false">RANK($AT82,'Your Accounts'!$AT$6:$AT$185)</f>
        <v>37</v>
      </c>
      <c r="AV82" s="15" t="n">
        <f aca="false">SUMIF('Your Accounts'!$AU$6:$AU$185,"&lt;="&amp;$AU82,'Your Accounts'!$AT$6:$AT$185)</f>
        <v>8794414.85</v>
      </c>
      <c r="AW82" s="15" t="n">
        <f aca="false">ROUND($D82*Sensitivity!$C$36+Sensitivity!$D$36,2)</f>
        <v>8095</v>
      </c>
      <c r="AX82" s="15" t="n">
        <f aca="false">ROUND($K82-$BA82,2)</f>
        <v>96115.21</v>
      </c>
      <c r="AY82" s="26" t="n">
        <f aca="false">RANK($AX82,'Your Accounts'!$AX$6:$AX$185)</f>
        <v>37</v>
      </c>
      <c r="AZ82" s="15" t="n">
        <f aca="false">SUMIF('Your Accounts'!$AY$6:$AY$185,"&lt;="&amp;$AY82,'Your Accounts'!$AX$6:$AX$185)</f>
        <v>8700069.85</v>
      </c>
      <c r="BA82" s="15" t="n">
        <f aca="false">ROUND($D82*Sensitivity!$C$37+Sensitivity!$D$37,2)</f>
        <v>10118.75</v>
      </c>
      <c r="BB82" s="15" t="n">
        <f aca="false">ROUND($K82-$BE82,2)</f>
        <v>94091.46</v>
      </c>
      <c r="BC82" s="26" t="n">
        <f aca="false">RANK($BB82,'Your Accounts'!$BB$6:$BB$185)</f>
        <v>37</v>
      </c>
      <c r="BD82" s="15" t="n">
        <f aca="false">SUMIF('Your Accounts'!$BC$6:$BC$185,"&lt;="&amp;$BC82,'Your Accounts'!$BB$6:$BB$185)</f>
        <v>8605724.85</v>
      </c>
      <c r="BE82" s="15" t="n">
        <f aca="false">ROUND($D82*Sensitivity!$C$38+Sensitivity!$D$38,2)</f>
        <v>12142.5</v>
      </c>
      <c r="BF82" s="15" t="n">
        <f aca="false">ROUND($K82-$BI82,2)</f>
        <v>90043.96</v>
      </c>
      <c r="BG82" s="26" t="n">
        <f aca="false">RANK($BF82,'Your Accounts'!$BF$6:$BF$185)</f>
        <v>37</v>
      </c>
      <c r="BH82" s="15" t="n">
        <f aca="false">SUMIF('Your Accounts'!$BG$6:$BG$185,"&lt;="&amp;$BG82,'Your Accounts'!$BF$6:$BF$185)</f>
        <v>8417034.85</v>
      </c>
      <c r="BI82" s="15" t="n">
        <f aca="false">ROUND($D82*Sensitivity!$C$39+Sensitivity!$D$39,2)</f>
        <v>16190</v>
      </c>
      <c r="BJ82" s="15" t="n">
        <f aca="false">ROUND($K82-$BM82,2)</f>
        <v>85996.46</v>
      </c>
      <c r="BK82" s="26" t="n">
        <f aca="false">RANK($BJ82,'Your Accounts'!$BJ$6:$BJ$185)</f>
        <v>37</v>
      </c>
      <c r="BL82" s="15" t="n">
        <f aca="false">SUMIF('Your Accounts'!$BK$6:$BK$185,"&lt;="&amp;$BK82,'Your Accounts'!$BJ$6:$BJ$185)</f>
        <v>8228344.85</v>
      </c>
      <c r="BM82" s="15" t="n">
        <f aca="false">ROUND($D82*Sensitivity!$C$40+Sensitivity!$D$40,2)</f>
        <v>20237.5</v>
      </c>
      <c r="BN82" s="15" t="n">
        <f aca="false">ROUND($K82-$BQ82,2)</f>
        <v>81948.96</v>
      </c>
      <c r="BO82" s="26" t="n">
        <f aca="false">RANK($BN82,'Your Accounts'!$BN$6:$BN$185)</f>
        <v>37</v>
      </c>
      <c r="BP82" s="15" t="n">
        <f aca="false">SUMIF('Your Accounts'!$BO$6:$BO$185,"&lt;="&amp;$BO82,'Your Accounts'!$BN$6:$BN$185)</f>
        <v>8039654.85</v>
      </c>
      <c r="BQ82" s="15" t="n">
        <f aca="false">ROUND($D82*Sensitivity!$C$41+Sensitivity!$D$41,2)</f>
        <v>24285</v>
      </c>
    </row>
    <row r="83" customFormat="false" ht="15" hidden="false" customHeight="false" outlineLevel="0" collapsed="false">
      <c r="B83" s="18" t="s">
        <v>194</v>
      </c>
      <c r="C83" s="18" t="s">
        <v>157</v>
      </c>
      <c r="D83" s="24" t="n">
        <v>23</v>
      </c>
      <c r="E83" s="26" t="n">
        <f aca="false">SUMIF('Your Lines'!$B$6:$B$463,$B83,'Your Lines'!$E$6:$E$463)</f>
        <v>2649</v>
      </c>
      <c r="F83" s="15" t="n">
        <f aca="false">ROUND(SUMIF('Your Lines'!$B$6:$B$463,$B83,'Your Lines'!$J$6:$J$463),2)</f>
        <v>231702</v>
      </c>
      <c r="G83" s="15" t="n">
        <f aca="false">ROUND(SUMIF('Your Lines'!$B$6:$B$463,$B83,'Your Lines'!$G$6:$G$463),2)</f>
        <v>210132.55</v>
      </c>
      <c r="H83" s="25" t="n">
        <f aca="false">$G83/$F83</f>
        <v>0.906908658535533</v>
      </c>
      <c r="I83" s="15" t="n">
        <f aca="false">ROUND(SUMIF('Your Lines'!$B$6:$B$463,$B83,'Your Lines'!$K$6:$K$463),2)</f>
        <v>131716</v>
      </c>
      <c r="J83" s="15" t="n">
        <f aca="false">ROUND(SUMIF('Your Lines'!$B$6:$B$463,$B83,'Your Lines'!$L$6:$L$463),2)</f>
        <v>4405.29</v>
      </c>
      <c r="K83" s="15" t="n">
        <f aca="false">ROUND($G83-$I83-$J83,2)</f>
        <v>74011.26</v>
      </c>
      <c r="L83" s="15" t="n">
        <f aca="false">ROUND($D83*'Your Inputs'!$C$40+'Your Inputs'!$C$41,2)</f>
        <v>9835</v>
      </c>
      <c r="M83" s="15" t="n">
        <f aca="false">ROUND($K83-$L83,2)</f>
        <v>64176.26</v>
      </c>
      <c r="N83" s="26" t="n">
        <f aca="false">RANK($M83,'Your Accounts'!$M$6:$M$185)</f>
        <v>54</v>
      </c>
      <c r="O83" s="15" t="n">
        <f aca="false">SUMIF('Your Accounts'!$N$6:$N$185,"&lt;="&amp;$N83,'Your Accounts'!$M$6:$M$185)</f>
        <v>10157051.46</v>
      </c>
      <c r="P83" s="15"/>
      <c r="Q83" s="26" t="n">
        <f aca="false">COUNTIFS('Your Lines'!$B$6:$B$463,$B83,'Your Lines'!$R$6:$R$463,"below the floor")</f>
        <v>0</v>
      </c>
      <c r="R83" s="15" t="n">
        <f aca="false">IF(Q83&gt;0,$K83,0)</f>
        <v>0</v>
      </c>
      <c r="AN83" s="15" t="n">
        <f aca="false">IF(VLOOKUP($C83,'Your Floors'!$B$53:$F$56,5,FALSE())="yes",0,$R83)</f>
        <v>0</v>
      </c>
      <c r="AP83" s="15" t="n">
        <f aca="false">ROUND($K83-$AS83,2)</f>
        <v>69093.76</v>
      </c>
      <c r="AQ83" s="26" t="n">
        <f aca="false">RANK($AP83,'Your Accounts'!$AP$6:$AP$185)</f>
        <v>54</v>
      </c>
      <c r="AR83" s="15" t="n">
        <f aca="false">SUMIF('Your Accounts'!$AQ$6:$AQ$185,"&lt;="&amp;$AQ83,'Your Accounts'!$AP$6:$AP$185)</f>
        <v>10431586.46</v>
      </c>
      <c r="AS83" s="15" t="n">
        <f aca="false">ROUND($D83*Sensitivity!$C$35+Sensitivity!$D$35,2)</f>
        <v>4917.5</v>
      </c>
      <c r="AT83" s="15" t="n">
        <f aca="false">ROUND($K83-$AW83,2)</f>
        <v>64176.26</v>
      </c>
      <c r="AU83" s="26" t="n">
        <f aca="false">RANK($AT83,'Your Accounts'!$AT$6:$AT$185)</f>
        <v>54</v>
      </c>
      <c r="AV83" s="15" t="n">
        <f aca="false">SUMIF('Your Accounts'!$AU$6:$AU$185,"&lt;="&amp;$AU83,'Your Accounts'!$AT$6:$AT$185)</f>
        <v>10157051.46</v>
      </c>
      <c r="AW83" s="15" t="n">
        <f aca="false">ROUND($D83*Sensitivity!$C$36+Sensitivity!$D$36,2)</f>
        <v>9835</v>
      </c>
      <c r="AX83" s="15" t="n">
        <f aca="false">ROUND($K83-$BA83,2)</f>
        <v>61717.51</v>
      </c>
      <c r="AY83" s="26" t="n">
        <f aca="false">RANK($AX83,'Your Accounts'!$AX$6:$AX$185)</f>
        <v>56</v>
      </c>
      <c r="AZ83" s="15" t="n">
        <f aca="false">SUMIF('Your Accounts'!$AY$6:$AY$185,"&lt;="&amp;$AY83,'Your Accounts'!$AX$6:$AX$185)</f>
        <v>10143526.68</v>
      </c>
      <c r="BA83" s="15" t="n">
        <f aca="false">ROUND($D83*Sensitivity!$C$37+Sensitivity!$D$37,2)</f>
        <v>12293.75</v>
      </c>
      <c r="BB83" s="15" t="n">
        <f aca="false">ROUND($K83-$BE83,2)</f>
        <v>59258.76</v>
      </c>
      <c r="BC83" s="26" t="n">
        <f aca="false">RANK($BB83,'Your Accounts'!$BB$6:$BB$185)</f>
        <v>56</v>
      </c>
      <c r="BD83" s="15" t="n">
        <f aca="false">SUMIF('Your Accounts'!$BC$6:$BC$185,"&lt;="&amp;$BC83,'Your Accounts'!$BB$6:$BB$185)</f>
        <v>10002356.68</v>
      </c>
      <c r="BE83" s="15" t="n">
        <f aca="false">ROUND($D83*Sensitivity!$C$38+Sensitivity!$D$38,2)</f>
        <v>14752.5</v>
      </c>
      <c r="BF83" s="15" t="n">
        <f aca="false">ROUND($K83-$BI83,2)</f>
        <v>54341.26</v>
      </c>
      <c r="BG83" s="26" t="n">
        <f aca="false">RANK($BF83,'Your Accounts'!$BF$6:$BF$185)</f>
        <v>56</v>
      </c>
      <c r="BH83" s="15" t="n">
        <f aca="false">SUMIF('Your Accounts'!$BG$6:$BG$185,"&lt;="&amp;$BG83,'Your Accounts'!$BF$6:$BF$185)</f>
        <v>9720016.68</v>
      </c>
      <c r="BI83" s="15" t="n">
        <f aca="false">ROUND($D83*Sensitivity!$C$39+Sensitivity!$D$39,2)</f>
        <v>19670</v>
      </c>
      <c r="BJ83" s="15" t="n">
        <f aca="false">ROUND($K83-$BM83,2)</f>
        <v>49423.76</v>
      </c>
      <c r="BK83" s="26" t="n">
        <f aca="false">RANK($BJ83,'Your Accounts'!$BJ$6:$BJ$185)</f>
        <v>56</v>
      </c>
      <c r="BL83" s="15" t="n">
        <f aca="false">SUMIF('Your Accounts'!$BK$6:$BK$185,"&lt;="&amp;$BK83,'Your Accounts'!$BJ$6:$BJ$185)</f>
        <v>9437676.68</v>
      </c>
      <c r="BM83" s="15" t="n">
        <f aca="false">ROUND($D83*Sensitivity!$C$40+Sensitivity!$D$40,2)</f>
        <v>24587.5</v>
      </c>
      <c r="BN83" s="15" t="n">
        <f aca="false">ROUND($K83-$BQ83,2)</f>
        <v>44506.26</v>
      </c>
      <c r="BO83" s="26" t="n">
        <f aca="false">RANK($BN83,'Your Accounts'!$BN$6:$BN$185)</f>
        <v>55</v>
      </c>
      <c r="BP83" s="15" t="n">
        <f aca="false">SUMIF('Your Accounts'!$BO$6:$BO$185,"&lt;="&amp;$BO83,'Your Accounts'!$BN$6:$BN$185)</f>
        <v>9113621.86</v>
      </c>
      <c r="BQ83" s="15" t="n">
        <f aca="false">ROUND($D83*Sensitivity!$C$41+Sensitivity!$D$41,2)</f>
        <v>29505</v>
      </c>
    </row>
    <row r="84" customFormat="false" ht="15" hidden="false" customHeight="false" outlineLevel="0" collapsed="false">
      <c r="B84" s="18" t="s">
        <v>195</v>
      </c>
      <c r="C84" s="18" t="s">
        <v>157</v>
      </c>
      <c r="D84" s="24" t="n">
        <v>62</v>
      </c>
      <c r="E84" s="26" t="n">
        <f aca="false">SUMIF('Your Lines'!$B$6:$B$463,$B84,'Your Lines'!$E$6:$E$463)</f>
        <v>14397</v>
      </c>
      <c r="F84" s="15" t="n">
        <f aca="false">ROUND(SUMIF('Your Lines'!$B$6:$B$463,$B84,'Your Lines'!$J$6:$J$463),2)</f>
        <v>1321138</v>
      </c>
      <c r="G84" s="15" t="n">
        <f aca="false">ROUND(SUMIF('Your Lines'!$B$6:$B$463,$B84,'Your Lines'!$G$6:$G$463),2)</f>
        <v>1119939.36</v>
      </c>
      <c r="H84" s="25" t="n">
        <f aca="false">$G84/$F84</f>
        <v>0.847708081971755</v>
      </c>
      <c r="I84" s="15" t="n">
        <f aca="false">ROUND(SUMIF('Your Lines'!$B$6:$B$463,$B84,'Your Lines'!$K$6:$K$463),2)</f>
        <v>757688</v>
      </c>
      <c r="J84" s="15" t="n">
        <f aca="false">ROUND(SUMIF('Your Lines'!$B$6:$B$463,$B84,'Your Lines'!$L$6:$L$463),2)</f>
        <v>23356.4</v>
      </c>
      <c r="K84" s="15" t="n">
        <f aca="false">ROUND($G84-$I84-$J84,2)</f>
        <v>338894.96</v>
      </c>
      <c r="L84" s="15" t="n">
        <f aca="false">ROUND($D84*'Your Inputs'!$C$40+'Your Inputs'!$C$41,2)</f>
        <v>15490</v>
      </c>
      <c r="M84" s="15" t="n">
        <f aca="false">ROUND($K84-$L84,2)</f>
        <v>323404.96</v>
      </c>
      <c r="N84" s="26" t="n">
        <f aca="false">RANK($M84,'Your Accounts'!$M$6:$M$185)</f>
        <v>10</v>
      </c>
      <c r="O84" s="15" t="n">
        <f aca="false">SUMIF('Your Accounts'!$N$6:$N$185,"&lt;="&amp;$N84,'Your Accounts'!$M$6:$M$185)</f>
        <v>4408601.16</v>
      </c>
      <c r="P84" s="15"/>
      <c r="Q84" s="26" t="n">
        <f aca="false">COUNTIFS('Your Lines'!$B$6:$B$463,$B84,'Your Lines'!$R$6:$R$463,"below the floor")</f>
        <v>3</v>
      </c>
      <c r="R84" s="15" t="n">
        <f aca="false">IF(Q84&gt;0,$K84,0)</f>
        <v>338894.96</v>
      </c>
      <c r="AN84" s="15" t="n">
        <f aca="false">IF(VLOOKUP($C84,'Your Floors'!$B$53:$F$56,5,FALSE())="yes",0,$R84)</f>
        <v>338894.96</v>
      </c>
      <c r="AP84" s="15" t="n">
        <f aca="false">ROUND($K84-$AS84,2)</f>
        <v>331149.96</v>
      </c>
      <c r="AQ84" s="26" t="n">
        <f aca="false">RANK($AP84,'Your Accounts'!$AP$6:$AP$185)</f>
        <v>10</v>
      </c>
      <c r="AR84" s="15" t="n">
        <f aca="false">SUMIF('Your Accounts'!$AQ$6:$AQ$185,"&lt;="&amp;$AQ84,'Your Accounts'!$AP$6:$AP$185)</f>
        <v>4462271.16</v>
      </c>
      <c r="AS84" s="15" t="n">
        <f aca="false">ROUND($D84*Sensitivity!$C$35+Sensitivity!$D$35,2)</f>
        <v>7745</v>
      </c>
      <c r="AT84" s="15" t="n">
        <f aca="false">ROUND($K84-$AW84,2)</f>
        <v>323404.96</v>
      </c>
      <c r="AU84" s="26" t="n">
        <f aca="false">RANK($AT84,'Your Accounts'!$AT$6:$AT$185)</f>
        <v>10</v>
      </c>
      <c r="AV84" s="15" t="n">
        <f aca="false">SUMIF('Your Accounts'!$AU$6:$AU$185,"&lt;="&amp;$AU84,'Your Accounts'!$AT$6:$AT$185)</f>
        <v>4408601.16</v>
      </c>
      <c r="AW84" s="15" t="n">
        <f aca="false">ROUND($D84*Sensitivity!$C$36+Sensitivity!$D$36,2)</f>
        <v>15490</v>
      </c>
      <c r="AX84" s="15" t="n">
        <f aca="false">ROUND($K84-$BA84,2)</f>
        <v>319532.46</v>
      </c>
      <c r="AY84" s="26" t="n">
        <f aca="false">RANK($AX84,'Your Accounts'!$AX$6:$AX$185)</f>
        <v>10</v>
      </c>
      <c r="AZ84" s="15" t="n">
        <f aca="false">SUMIF('Your Accounts'!$AY$6:$AY$185,"&lt;="&amp;$AY84,'Your Accounts'!$AX$6:$AX$185)</f>
        <v>4381766.16</v>
      </c>
      <c r="BA84" s="15" t="n">
        <f aca="false">ROUND($D84*Sensitivity!$C$37+Sensitivity!$D$37,2)</f>
        <v>19362.5</v>
      </c>
      <c r="BB84" s="15" t="n">
        <f aca="false">ROUND($K84-$BE84,2)</f>
        <v>315659.96</v>
      </c>
      <c r="BC84" s="26" t="n">
        <f aca="false">RANK($BB84,'Your Accounts'!$BB$6:$BB$185)</f>
        <v>10</v>
      </c>
      <c r="BD84" s="15" t="n">
        <f aca="false">SUMIF('Your Accounts'!$BC$6:$BC$185,"&lt;="&amp;$BC84,'Your Accounts'!$BB$6:$BB$185)</f>
        <v>4354931.16</v>
      </c>
      <c r="BE84" s="15" t="n">
        <f aca="false">ROUND($D84*Sensitivity!$C$38+Sensitivity!$D$38,2)</f>
        <v>23235</v>
      </c>
      <c r="BF84" s="15" t="n">
        <f aca="false">ROUND($K84-$BI84,2)</f>
        <v>307914.96</v>
      </c>
      <c r="BG84" s="26" t="n">
        <f aca="false">RANK($BF84,'Your Accounts'!$BF$6:$BF$185)</f>
        <v>10</v>
      </c>
      <c r="BH84" s="15" t="n">
        <f aca="false">SUMIF('Your Accounts'!$BG$6:$BG$185,"&lt;="&amp;$BG84,'Your Accounts'!$BF$6:$BF$185)</f>
        <v>4301261.16</v>
      </c>
      <c r="BI84" s="15" t="n">
        <f aca="false">ROUND($D84*Sensitivity!$C$39+Sensitivity!$D$39,2)</f>
        <v>30980</v>
      </c>
      <c r="BJ84" s="15" t="n">
        <f aca="false">ROUND($K84-$BM84,2)</f>
        <v>300169.96</v>
      </c>
      <c r="BK84" s="26" t="n">
        <f aca="false">RANK($BJ84,'Your Accounts'!$BJ$6:$BJ$185)</f>
        <v>10</v>
      </c>
      <c r="BL84" s="15" t="n">
        <f aca="false">SUMIF('Your Accounts'!$BK$6:$BK$185,"&lt;="&amp;$BK84,'Your Accounts'!$BJ$6:$BJ$185)</f>
        <v>4247591.16</v>
      </c>
      <c r="BM84" s="15" t="n">
        <f aca="false">ROUND($D84*Sensitivity!$C$40+Sensitivity!$D$40,2)</f>
        <v>38725</v>
      </c>
      <c r="BN84" s="15" t="n">
        <f aca="false">ROUND($K84-$BQ84,2)</f>
        <v>292424.96</v>
      </c>
      <c r="BO84" s="26" t="n">
        <f aca="false">RANK($BN84,'Your Accounts'!$BN$6:$BN$185)</f>
        <v>10</v>
      </c>
      <c r="BP84" s="15" t="n">
        <f aca="false">SUMIF('Your Accounts'!$BO$6:$BO$185,"&lt;="&amp;$BO84,'Your Accounts'!$BN$6:$BN$185)</f>
        <v>4193921.16</v>
      </c>
      <c r="BQ84" s="15" t="n">
        <f aca="false">ROUND($D84*Sensitivity!$C$41+Sensitivity!$D$41,2)</f>
        <v>46470</v>
      </c>
    </row>
    <row r="85" customFormat="false" ht="15" hidden="false" customHeight="false" outlineLevel="0" collapsed="false">
      <c r="B85" s="18" t="s">
        <v>196</v>
      </c>
      <c r="C85" s="18" t="s">
        <v>157</v>
      </c>
      <c r="D85" s="24" t="n">
        <v>9</v>
      </c>
      <c r="E85" s="26" t="n">
        <f aca="false">SUMIF('Your Lines'!$B$6:$B$463,$B85,'Your Lines'!$E$6:$E$463)</f>
        <v>2084</v>
      </c>
      <c r="F85" s="15" t="n">
        <f aca="false">ROUND(SUMIF('Your Lines'!$B$6:$B$463,$B85,'Your Lines'!$J$6:$J$463),2)</f>
        <v>178964</v>
      </c>
      <c r="G85" s="15" t="n">
        <f aca="false">ROUND(SUMIF('Your Lines'!$B$6:$B$463,$B85,'Your Lines'!$G$6:$G$463),2)</f>
        <v>169915.58</v>
      </c>
      <c r="H85" s="25" t="n">
        <f aca="false">$G85/$F85</f>
        <v>0.949439999105965</v>
      </c>
      <c r="I85" s="15" t="n">
        <f aca="false">ROUND(SUMIF('Your Lines'!$B$6:$B$463,$B85,'Your Lines'!$K$6:$K$463),2)</f>
        <v>102156</v>
      </c>
      <c r="J85" s="15" t="n">
        <f aca="false">ROUND(SUMIF('Your Lines'!$B$6:$B$463,$B85,'Your Lines'!$L$6:$L$463),2)</f>
        <v>3436.11</v>
      </c>
      <c r="K85" s="15" t="n">
        <f aca="false">ROUND($G85-$I85-$J85,2)</f>
        <v>64323.47</v>
      </c>
      <c r="L85" s="15" t="n">
        <f aca="false">ROUND($D85*'Your Inputs'!$C$40+'Your Inputs'!$C$41,2)</f>
        <v>7805</v>
      </c>
      <c r="M85" s="15" t="n">
        <f aca="false">ROUND($K85-$L85,2)</f>
        <v>56518.47</v>
      </c>
      <c r="N85" s="26" t="n">
        <f aca="false">RANK($M85,'Your Accounts'!$M$6:$M$185)</f>
        <v>66</v>
      </c>
      <c r="O85" s="15" t="n">
        <f aca="false">SUMIF('Your Accounts'!$N$6:$N$185,"&lt;="&amp;$N85,'Your Accounts'!$M$6:$M$185)</f>
        <v>10881998.12</v>
      </c>
      <c r="P85" s="15"/>
      <c r="Q85" s="26" t="n">
        <f aca="false">COUNTIFS('Your Lines'!$B$6:$B$463,$B85,'Your Lines'!$R$6:$R$463,"below the floor")</f>
        <v>0</v>
      </c>
      <c r="R85" s="15" t="n">
        <f aca="false">IF(Q85&gt;0,$K85,0)</f>
        <v>0</v>
      </c>
      <c r="AN85" s="15" t="n">
        <f aca="false">IF(VLOOKUP($C85,'Your Floors'!$B$53:$F$56,5,FALSE())="yes",0,$R85)</f>
        <v>0</v>
      </c>
      <c r="AP85" s="15" t="n">
        <f aca="false">ROUND($K85-$AS85,2)</f>
        <v>60420.97</v>
      </c>
      <c r="AQ85" s="26" t="n">
        <f aca="false">RANK($AP85,'Your Accounts'!$AP$6:$AP$185)</f>
        <v>67</v>
      </c>
      <c r="AR85" s="15" t="n">
        <f aca="false">SUMIF('Your Accounts'!$AQ$6:$AQ$185,"&lt;="&amp;$AQ85,'Your Accounts'!$AP$6:$AP$185)</f>
        <v>11276923.02</v>
      </c>
      <c r="AS85" s="15" t="n">
        <f aca="false">ROUND($D85*Sensitivity!$C$35+Sensitivity!$D$35,2)</f>
        <v>3902.5</v>
      </c>
      <c r="AT85" s="15" t="n">
        <f aca="false">ROUND($K85-$AW85,2)</f>
        <v>56518.47</v>
      </c>
      <c r="AU85" s="26" t="n">
        <f aca="false">RANK($AT85,'Your Accounts'!$AT$6:$AT$185)</f>
        <v>66</v>
      </c>
      <c r="AV85" s="15" t="n">
        <f aca="false">SUMIF('Your Accounts'!$AU$6:$AU$185,"&lt;="&amp;$AU85,'Your Accounts'!$AT$6:$AT$185)</f>
        <v>10881998.12</v>
      </c>
      <c r="AW85" s="15" t="n">
        <f aca="false">ROUND($D85*Sensitivity!$C$36+Sensitivity!$D$36,2)</f>
        <v>7805</v>
      </c>
      <c r="AX85" s="15" t="n">
        <f aca="false">ROUND($K85-$BA85,2)</f>
        <v>54567.22</v>
      </c>
      <c r="AY85" s="26" t="n">
        <f aca="false">RANK($AX85,'Your Accounts'!$AX$6:$AX$185)</f>
        <v>65</v>
      </c>
      <c r="AZ85" s="15" t="n">
        <f aca="false">SUMIF('Your Accounts'!$AY$6:$AY$185,"&lt;="&amp;$AY85,'Your Accounts'!$AX$6:$AX$185)</f>
        <v>10661055.7</v>
      </c>
      <c r="BA85" s="15" t="n">
        <f aca="false">ROUND($D85*Sensitivity!$C$37+Sensitivity!$D$37,2)</f>
        <v>9756.25</v>
      </c>
      <c r="BB85" s="15" t="n">
        <f aca="false">ROUND($K85-$BE85,2)</f>
        <v>52615.97</v>
      </c>
      <c r="BC85" s="26" t="n">
        <f aca="false">RANK($BB85,'Your Accounts'!$BB$6:$BB$185)</f>
        <v>64</v>
      </c>
      <c r="BD85" s="15" t="n">
        <f aca="false">SUMIF('Your Accounts'!$BC$6:$BC$185,"&lt;="&amp;$BC85,'Your Accounts'!$BB$6:$BB$185)</f>
        <v>10445013.83</v>
      </c>
      <c r="BE85" s="15" t="n">
        <f aca="false">ROUND($D85*Sensitivity!$C$38+Sensitivity!$D$38,2)</f>
        <v>11707.5</v>
      </c>
      <c r="BF85" s="15" t="n">
        <f aca="false">ROUND($K85-$BI85,2)</f>
        <v>48713.47</v>
      </c>
      <c r="BG85" s="26" t="n">
        <f aca="false">RANK($BF85,'Your Accounts'!$BF$6:$BF$185)</f>
        <v>63</v>
      </c>
      <c r="BH85" s="15" t="n">
        <f aca="false">SUMIF('Your Accounts'!$BG$6:$BG$185,"&lt;="&amp;$BG85,'Your Accounts'!$BF$6:$BF$185)</f>
        <v>10077090.99</v>
      </c>
      <c r="BI85" s="15" t="n">
        <f aca="false">ROUND($D85*Sensitivity!$C$39+Sensitivity!$D$39,2)</f>
        <v>15610</v>
      </c>
      <c r="BJ85" s="15" t="n">
        <f aca="false">ROUND($K85-$BM85,2)</f>
        <v>44810.97</v>
      </c>
      <c r="BK85" s="26" t="n">
        <f aca="false">RANK($BJ85,'Your Accounts'!$BJ$6:$BJ$185)</f>
        <v>63</v>
      </c>
      <c r="BL85" s="15" t="n">
        <f aca="false">SUMIF('Your Accounts'!$BK$6:$BK$185,"&lt;="&amp;$BK85,'Your Accounts'!$BJ$6:$BJ$185)</f>
        <v>9763445.99</v>
      </c>
      <c r="BM85" s="15" t="n">
        <f aca="false">ROUND($D85*Sensitivity!$C$40+Sensitivity!$D$40,2)</f>
        <v>19512.5</v>
      </c>
      <c r="BN85" s="15" t="n">
        <f aca="false">ROUND($K85-$BQ85,2)</f>
        <v>40908.47</v>
      </c>
      <c r="BO85" s="26" t="n">
        <f aca="false">RANK($BN85,'Your Accounts'!$BN$6:$BN$185)</f>
        <v>62</v>
      </c>
      <c r="BP85" s="15" t="n">
        <f aca="false">SUMIF('Your Accounts'!$BO$6:$BO$185,"&lt;="&amp;$BO85,'Your Accounts'!$BN$6:$BN$185)</f>
        <v>9409768.35</v>
      </c>
      <c r="BQ85" s="15" t="n">
        <f aca="false">ROUND($D85*Sensitivity!$C$41+Sensitivity!$D$41,2)</f>
        <v>23415</v>
      </c>
    </row>
    <row r="86" customFormat="false" ht="15" hidden="false" customHeight="false" outlineLevel="0" collapsed="false">
      <c r="B86" s="18" t="s">
        <v>197</v>
      </c>
      <c r="C86" s="18" t="s">
        <v>157</v>
      </c>
      <c r="D86" s="24" t="n">
        <v>36</v>
      </c>
      <c r="E86" s="26" t="n">
        <f aca="false">SUMIF('Your Lines'!$B$6:$B$463,$B86,'Your Lines'!$E$6:$E$463)</f>
        <v>10406</v>
      </c>
      <c r="F86" s="15" t="n">
        <f aca="false">ROUND(SUMIF('Your Lines'!$B$6:$B$463,$B86,'Your Lines'!$J$6:$J$463),2)</f>
        <v>867664</v>
      </c>
      <c r="G86" s="15" t="n">
        <f aca="false">ROUND(SUMIF('Your Lines'!$B$6:$B$463,$B86,'Your Lines'!$G$6:$G$463),2)</f>
        <v>782147.03</v>
      </c>
      <c r="H86" s="25" t="n">
        <f aca="false">$G86/$F86</f>
        <v>0.901439992900478</v>
      </c>
      <c r="I86" s="15" t="n">
        <f aca="false">ROUND(SUMIF('Your Lines'!$B$6:$B$463,$B86,'Your Lines'!$K$6:$K$463),2)</f>
        <v>501236</v>
      </c>
      <c r="J86" s="15" t="n">
        <f aca="false">ROUND(SUMIF('Your Lines'!$B$6:$B$463,$B86,'Your Lines'!$L$6:$L$463),2)</f>
        <v>16659.14</v>
      </c>
      <c r="K86" s="15" t="n">
        <f aca="false">ROUND($G86-$I86-$J86,2)</f>
        <v>264251.89</v>
      </c>
      <c r="L86" s="15" t="n">
        <f aca="false">ROUND($D86*'Your Inputs'!$C$40+'Your Inputs'!$C$41,2)</f>
        <v>11720</v>
      </c>
      <c r="M86" s="15" t="n">
        <f aca="false">ROUND($K86-$L86,2)</f>
        <v>252531.89</v>
      </c>
      <c r="N86" s="26" t="n">
        <f aca="false">RANK($M86,'Your Accounts'!$M$6:$M$185)</f>
        <v>13</v>
      </c>
      <c r="O86" s="15" t="n">
        <f aca="false">SUMIF('Your Accounts'!$N$6:$N$185,"&lt;="&amp;$N86,'Your Accounts'!$M$6:$M$185)</f>
        <v>5206796.16</v>
      </c>
      <c r="P86" s="15"/>
      <c r="Q86" s="26" t="n">
        <f aca="false">COUNTIFS('Your Lines'!$B$6:$B$463,$B86,'Your Lines'!$R$6:$R$463,"below the floor")</f>
        <v>0</v>
      </c>
      <c r="R86" s="15" t="n">
        <f aca="false">IF(Q86&gt;0,$K86,0)</f>
        <v>0</v>
      </c>
      <c r="AN86" s="15" t="n">
        <f aca="false">IF(VLOOKUP($C86,'Your Floors'!$B$53:$F$56,5,FALSE())="yes",0,$R86)</f>
        <v>0</v>
      </c>
      <c r="AP86" s="15" t="n">
        <f aca="false">ROUND($K86-$AS86,2)</f>
        <v>258391.89</v>
      </c>
      <c r="AQ86" s="26" t="n">
        <f aca="false">RANK($AP86,'Your Accounts'!$AP$6:$AP$185)</f>
        <v>13</v>
      </c>
      <c r="AR86" s="15" t="n">
        <f aca="false">SUMIF('Your Accounts'!$AQ$6:$AQ$185,"&lt;="&amp;$AQ86,'Your Accounts'!$AP$6:$AP$185)</f>
        <v>5276813.66</v>
      </c>
      <c r="AS86" s="15" t="n">
        <f aca="false">ROUND($D86*Sensitivity!$C$35+Sensitivity!$D$35,2)</f>
        <v>5860</v>
      </c>
      <c r="AT86" s="15" t="n">
        <f aca="false">ROUND($K86-$AW86,2)</f>
        <v>252531.89</v>
      </c>
      <c r="AU86" s="26" t="n">
        <f aca="false">RANK($AT86,'Your Accounts'!$AT$6:$AT$185)</f>
        <v>13</v>
      </c>
      <c r="AV86" s="15" t="n">
        <f aca="false">SUMIF('Your Accounts'!$AU$6:$AU$185,"&lt;="&amp;$AU86,'Your Accounts'!$AT$6:$AT$185)</f>
        <v>5206796.16</v>
      </c>
      <c r="AW86" s="15" t="n">
        <f aca="false">ROUND($D86*Sensitivity!$C$36+Sensitivity!$D$36,2)</f>
        <v>11720</v>
      </c>
      <c r="AX86" s="15" t="n">
        <f aca="false">ROUND($K86-$BA86,2)</f>
        <v>249601.89</v>
      </c>
      <c r="AY86" s="26" t="n">
        <f aca="false">RANK($AX86,'Your Accounts'!$AX$6:$AX$185)</f>
        <v>13</v>
      </c>
      <c r="AZ86" s="15" t="n">
        <f aca="false">SUMIF('Your Accounts'!$AY$6:$AY$185,"&lt;="&amp;$AY86,'Your Accounts'!$AX$6:$AX$185)</f>
        <v>5171787.41</v>
      </c>
      <c r="BA86" s="15" t="n">
        <f aca="false">ROUND($D86*Sensitivity!$C$37+Sensitivity!$D$37,2)</f>
        <v>14650</v>
      </c>
      <c r="BB86" s="15" t="n">
        <f aca="false">ROUND($K86-$BE86,2)</f>
        <v>246671.89</v>
      </c>
      <c r="BC86" s="26" t="n">
        <f aca="false">RANK($BB86,'Your Accounts'!$BB$6:$BB$185)</f>
        <v>13</v>
      </c>
      <c r="BD86" s="15" t="n">
        <f aca="false">SUMIF('Your Accounts'!$BC$6:$BC$185,"&lt;="&amp;$BC86,'Your Accounts'!$BB$6:$BB$185)</f>
        <v>5136778.66</v>
      </c>
      <c r="BE86" s="15" t="n">
        <f aca="false">ROUND($D86*Sensitivity!$C$38+Sensitivity!$D$38,2)</f>
        <v>17580</v>
      </c>
      <c r="BF86" s="15" t="n">
        <f aca="false">ROUND($K86-$BI86,2)</f>
        <v>240811.89</v>
      </c>
      <c r="BG86" s="26" t="n">
        <f aca="false">RANK($BF86,'Your Accounts'!$BF$6:$BF$185)</f>
        <v>13</v>
      </c>
      <c r="BH86" s="15" t="n">
        <f aca="false">SUMIF('Your Accounts'!$BG$6:$BG$185,"&lt;="&amp;$BG86,'Your Accounts'!$BF$6:$BF$185)</f>
        <v>5066761.16</v>
      </c>
      <c r="BI86" s="15" t="n">
        <f aca="false">ROUND($D86*Sensitivity!$C$39+Sensitivity!$D$39,2)</f>
        <v>23440</v>
      </c>
      <c r="BJ86" s="15" t="n">
        <f aca="false">ROUND($K86-$BM86,2)</f>
        <v>234951.89</v>
      </c>
      <c r="BK86" s="26" t="n">
        <f aca="false">RANK($BJ86,'Your Accounts'!$BJ$6:$BJ$185)</f>
        <v>13</v>
      </c>
      <c r="BL86" s="15" t="n">
        <f aca="false">SUMIF('Your Accounts'!$BK$6:$BK$185,"&lt;="&amp;$BK86,'Your Accounts'!$BJ$6:$BJ$185)</f>
        <v>4996743.66</v>
      </c>
      <c r="BM86" s="15" t="n">
        <f aca="false">ROUND($D86*Sensitivity!$C$40+Sensitivity!$D$40,2)</f>
        <v>29300</v>
      </c>
      <c r="BN86" s="15" t="n">
        <f aca="false">ROUND($K86-$BQ86,2)</f>
        <v>229091.89</v>
      </c>
      <c r="BO86" s="26" t="n">
        <f aca="false">RANK($BN86,'Your Accounts'!$BN$6:$BN$185)</f>
        <v>13</v>
      </c>
      <c r="BP86" s="15" t="n">
        <f aca="false">SUMIF('Your Accounts'!$BO$6:$BO$185,"&lt;="&amp;$BO86,'Your Accounts'!$BN$6:$BN$185)</f>
        <v>4926726.16</v>
      </c>
      <c r="BQ86" s="15" t="n">
        <f aca="false">ROUND($D86*Sensitivity!$C$41+Sensitivity!$D$41,2)</f>
        <v>35160</v>
      </c>
    </row>
    <row r="87" customFormat="false" ht="15" hidden="false" customHeight="false" outlineLevel="0" collapsed="false">
      <c r="B87" s="18" t="s">
        <v>198</v>
      </c>
      <c r="C87" s="18" t="s">
        <v>157</v>
      </c>
      <c r="D87" s="24" t="n">
        <v>27</v>
      </c>
      <c r="E87" s="26" t="n">
        <f aca="false">SUMIF('Your Lines'!$B$6:$B$463,$B87,'Your Lines'!$E$6:$E$463)</f>
        <v>1346</v>
      </c>
      <c r="F87" s="15" t="n">
        <f aca="false">ROUND(SUMIF('Your Lines'!$B$6:$B$463,$B87,'Your Lines'!$J$6:$J$463),2)</f>
        <v>116374</v>
      </c>
      <c r="G87" s="15" t="n">
        <f aca="false">ROUND(SUMIF('Your Lines'!$B$6:$B$463,$B87,'Your Lines'!$G$6:$G$463),2)</f>
        <v>109370.6</v>
      </c>
      <c r="H87" s="25" t="n">
        <f aca="false">$G87/$F87</f>
        <v>0.939819891040954</v>
      </c>
      <c r="I87" s="15" t="n">
        <f aca="false">ROUND(SUMIF('Your Lines'!$B$6:$B$463,$B87,'Your Lines'!$K$6:$K$463),2)</f>
        <v>66374</v>
      </c>
      <c r="J87" s="15" t="n">
        <f aca="false">ROUND(SUMIF('Your Lines'!$B$6:$B$463,$B87,'Your Lines'!$L$6:$L$463),2)</f>
        <v>2280.94</v>
      </c>
      <c r="K87" s="15" t="n">
        <f aca="false">ROUND($G87-$I87-$J87,2)</f>
        <v>40715.66</v>
      </c>
      <c r="L87" s="15" t="n">
        <f aca="false">ROUND($D87*'Your Inputs'!$C$40+'Your Inputs'!$C$41,2)</f>
        <v>10415</v>
      </c>
      <c r="M87" s="15" t="n">
        <f aca="false">ROUND($K87-$L87,2)</f>
        <v>30300.66</v>
      </c>
      <c r="N87" s="26" t="n">
        <f aca="false">RANK($M87,'Your Accounts'!$M$6:$M$185)</f>
        <v>102</v>
      </c>
      <c r="O87" s="15" t="n">
        <f aca="false">SUMIF('Your Accounts'!$N$6:$N$185,"&lt;="&amp;$N87,'Your Accounts'!$M$6:$M$185)</f>
        <v>12429606.35</v>
      </c>
      <c r="P87" s="15"/>
      <c r="Q87" s="26" t="n">
        <f aca="false">COUNTIFS('Your Lines'!$B$6:$B$463,$B87,'Your Lines'!$R$6:$R$463,"below the floor")</f>
        <v>0</v>
      </c>
      <c r="R87" s="15" t="n">
        <f aca="false">IF(Q87&gt;0,$K87,0)</f>
        <v>0</v>
      </c>
      <c r="AN87" s="15" t="n">
        <f aca="false">IF(VLOOKUP($C87,'Your Floors'!$B$53:$F$56,5,FALSE())="yes",0,$R87)</f>
        <v>0</v>
      </c>
      <c r="AP87" s="15" t="n">
        <f aca="false">ROUND($K87-$AS87,2)</f>
        <v>35508.16</v>
      </c>
      <c r="AQ87" s="26" t="n">
        <f aca="false">RANK($AP87,'Your Accounts'!$AP$6:$AP$185)</f>
        <v>101</v>
      </c>
      <c r="AR87" s="15" t="n">
        <f aca="false">SUMIF('Your Accounts'!$AQ$6:$AQ$185,"&lt;="&amp;$AQ87,'Your Accounts'!$AP$6:$AP$185)</f>
        <v>12896940</v>
      </c>
      <c r="AS87" s="15" t="n">
        <f aca="false">ROUND($D87*Sensitivity!$C$35+Sensitivity!$D$35,2)</f>
        <v>5207.5</v>
      </c>
      <c r="AT87" s="15" t="n">
        <f aca="false">ROUND($K87-$AW87,2)</f>
        <v>30300.66</v>
      </c>
      <c r="AU87" s="26" t="n">
        <f aca="false">RANK($AT87,'Your Accounts'!$AT$6:$AT$185)</f>
        <v>102</v>
      </c>
      <c r="AV87" s="15" t="n">
        <f aca="false">SUMIF('Your Accounts'!$AU$6:$AU$185,"&lt;="&amp;$AU87,'Your Accounts'!$AT$6:$AT$185)</f>
        <v>12429606.35</v>
      </c>
      <c r="AW87" s="15" t="n">
        <f aca="false">ROUND($D87*Sensitivity!$C$36+Sensitivity!$D$36,2)</f>
        <v>10415</v>
      </c>
      <c r="AX87" s="15" t="n">
        <f aca="false">ROUND($K87-$BA87,2)</f>
        <v>27696.91</v>
      </c>
      <c r="AY87" s="26" t="n">
        <f aca="false">RANK($AX87,'Your Accounts'!$AX$6:$AX$185)</f>
        <v>103</v>
      </c>
      <c r="AZ87" s="15" t="n">
        <f aca="false">SUMIF('Your Accounts'!$AY$6:$AY$185,"&lt;="&amp;$AY87,'Your Accounts'!$AX$6:$AX$185)</f>
        <v>12206723.92</v>
      </c>
      <c r="BA87" s="15" t="n">
        <f aca="false">ROUND($D87*Sensitivity!$C$37+Sensitivity!$D$37,2)</f>
        <v>13018.75</v>
      </c>
      <c r="BB87" s="15" t="n">
        <f aca="false">ROUND($K87-$BE87,2)</f>
        <v>25093.16</v>
      </c>
      <c r="BC87" s="26" t="n">
        <f aca="false">RANK($BB87,'Your Accounts'!$BB$6:$BB$185)</f>
        <v>103</v>
      </c>
      <c r="BD87" s="15" t="n">
        <f aca="false">SUMIF('Your Accounts'!$BC$6:$BC$185,"&lt;="&amp;$BC87,'Your Accounts'!$BB$6:$BB$185)</f>
        <v>11954511.36</v>
      </c>
      <c r="BE87" s="15" t="n">
        <f aca="false">ROUND($D87*Sensitivity!$C$38+Sensitivity!$D$38,2)</f>
        <v>15622.5</v>
      </c>
      <c r="BF87" s="15" t="n">
        <f aca="false">ROUND($K87-$BI87,2)</f>
        <v>19885.66</v>
      </c>
      <c r="BG87" s="26" t="n">
        <f aca="false">RANK($BF87,'Your Accounts'!$BF$6:$BF$185)</f>
        <v>103</v>
      </c>
      <c r="BH87" s="15" t="n">
        <f aca="false">SUMIF('Your Accounts'!$BG$6:$BG$185,"&lt;="&amp;$BG87,'Your Accounts'!$BF$6:$BF$185)</f>
        <v>11451996.36</v>
      </c>
      <c r="BI87" s="15" t="n">
        <f aca="false">ROUND($D87*Sensitivity!$C$39+Sensitivity!$D$39,2)</f>
        <v>20830</v>
      </c>
      <c r="BJ87" s="15" t="n">
        <f aca="false">ROUND($K87-$BM87,2)</f>
        <v>14678.16</v>
      </c>
      <c r="BK87" s="26" t="n">
        <f aca="false">RANK($BJ87,'Your Accounts'!$BJ$6:$BJ$185)</f>
        <v>104</v>
      </c>
      <c r="BL87" s="15" t="n">
        <f aca="false">SUMIF('Your Accounts'!$BK$6:$BK$185,"&lt;="&amp;$BK87,'Your Accounts'!$BJ$6:$BJ$185)</f>
        <v>10964849.53</v>
      </c>
      <c r="BM87" s="15" t="n">
        <f aca="false">ROUND($D87*Sensitivity!$C$40+Sensitivity!$D$40,2)</f>
        <v>26037.5</v>
      </c>
      <c r="BN87" s="15" t="n">
        <f aca="false">ROUND($K87-$BQ87,2)</f>
        <v>9470.66</v>
      </c>
      <c r="BO87" s="26" t="n">
        <f aca="false">RANK($BN87,'Your Accounts'!$BN$6:$BN$185)</f>
        <v>107</v>
      </c>
      <c r="BP87" s="15" t="n">
        <f aca="false">SUMIF('Your Accounts'!$BO$6:$BO$185,"&lt;="&amp;$BO87,'Your Accounts'!$BN$6:$BN$185)</f>
        <v>10489147.71</v>
      </c>
      <c r="BQ87" s="15" t="n">
        <f aca="false">ROUND($D87*Sensitivity!$C$41+Sensitivity!$D$41,2)</f>
        <v>31245</v>
      </c>
    </row>
    <row r="88" customFormat="false" ht="15" hidden="false" customHeight="false" outlineLevel="0" collapsed="false">
      <c r="B88" s="18" t="s">
        <v>199</v>
      </c>
      <c r="C88" s="18" t="s">
        <v>157</v>
      </c>
      <c r="D88" s="24" t="n">
        <v>10</v>
      </c>
      <c r="E88" s="26" t="n">
        <f aca="false">SUMIF('Your Lines'!$B$6:$B$463,$B88,'Your Lines'!$E$6:$E$463)</f>
        <v>2438</v>
      </c>
      <c r="F88" s="15" t="n">
        <f aca="false">ROUND(SUMIF('Your Lines'!$B$6:$B$463,$B88,'Your Lines'!$J$6:$J$463),2)</f>
        <v>281940</v>
      </c>
      <c r="G88" s="15" t="n">
        <f aca="false">ROUND(SUMIF('Your Lines'!$B$6:$B$463,$B88,'Your Lines'!$G$6:$G$463),2)</f>
        <v>248331.19</v>
      </c>
      <c r="H88" s="25" t="n">
        <f aca="false">$G88/$F88</f>
        <v>0.880794459814145</v>
      </c>
      <c r="I88" s="15" t="n">
        <f aca="false">ROUND(SUMIF('Your Lines'!$B$6:$B$463,$B88,'Your Lines'!$K$6:$K$463),2)</f>
        <v>159824</v>
      </c>
      <c r="J88" s="15" t="n">
        <f aca="false">ROUND(SUMIF('Your Lines'!$B$6:$B$463,$B88,'Your Lines'!$L$6:$L$463),2)</f>
        <v>5099.21</v>
      </c>
      <c r="K88" s="15" t="n">
        <f aca="false">ROUND($G88-$I88-$J88,2)</f>
        <v>83407.98</v>
      </c>
      <c r="L88" s="15" t="n">
        <f aca="false">ROUND($D88*'Your Inputs'!$C$40+'Your Inputs'!$C$41,2)</f>
        <v>7950</v>
      </c>
      <c r="M88" s="15" t="n">
        <f aca="false">ROUND($K88-$L88,2)</f>
        <v>75457.98</v>
      </c>
      <c r="N88" s="26" t="n">
        <f aca="false">RANK($M88,'Your Accounts'!$M$6:$M$185)</f>
        <v>50</v>
      </c>
      <c r="O88" s="15" t="n">
        <f aca="false">SUMIF('Your Accounts'!$N$6:$N$185,"&lt;="&amp;$N88,'Your Accounts'!$M$6:$M$185)</f>
        <v>9877622.23</v>
      </c>
      <c r="P88" s="15"/>
      <c r="Q88" s="26" t="n">
        <f aca="false">COUNTIFS('Your Lines'!$B$6:$B$463,$B88,'Your Lines'!$R$6:$R$463,"below the floor")</f>
        <v>0</v>
      </c>
      <c r="R88" s="15" t="n">
        <f aca="false">IF(Q88&gt;0,$K88,0)</f>
        <v>0</v>
      </c>
      <c r="AN88" s="15" t="n">
        <f aca="false">IF(VLOOKUP($C88,'Your Floors'!$B$53:$F$56,5,FALSE())="yes",0,$R88)</f>
        <v>0</v>
      </c>
      <c r="AP88" s="15" t="n">
        <f aca="false">ROUND($K88-$AS88,2)</f>
        <v>79432.98</v>
      </c>
      <c r="AQ88" s="26" t="n">
        <f aca="false">RANK($AP88,'Your Accounts'!$AP$6:$AP$185)</f>
        <v>50</v>
      </c>
      <c r="AR88" s="15" t="n">
        <f aca="false">SUMIF('Your Accounts'!$AQ$6:$AQ$185,"&lt;="&amp;$AQ88,'Your Accounts'!$AP$6:$AP$185)</f>
        <v>10135242.23</v>
      </c>
      <c r="AS88" s="15" t="n">
        <f aca="false">ROUND($D88*Sensitivity!$C$35+Sensitivity!$D$35,2)</f>
        <v>3975</v>
      </c>
      <c r="AT88" s="15" t="n">
        <f aca="false">ROUND($K88-$AW88,2)</f>
        <v>75457.98</v>
      </c>
      <c r="AU88" s="26" t="n">
        <f aca="false">RANK($AT88,'Your Accounts'!$AT$6:$AT$185)</f>
        <v>50</v>
      </c>
      <c r="AV88" s="15" t="n">
        <f aca="false">SUMIF('Your Accounts'!$AU$6:$AU$185,"&lt;="&amp;$AU88,'Your Accounts'!$AT$6:$AT$185)</f>
        <v>9877622.23</v>
      </c>
      <c r="AW88" s="15" t="n">
        <f aca="false">ROUND($D88*Sensitivity!$C$36+Sensitivity!$D$36,2)</f>
        <v>7950</v>
      </c>
      <c r="AX88" s="15" t="n">
        <f aca="false">ROUND($K88-$BA88,2)</f>
        <v>73470.48</v>
      </c>
      <c r="AY88" s="26" t="n">
        <f aca="false">RANK($AX88,'Your Accounts'!$AX$6:$AX$185)</f>
        <v>49</v>
      </c>
      <c r="AZ88" s="15" t="n">
        <f aca="false">SUMIF('Your Accounts'!$AY$6:$AY$185,"&lt;="&amp;$AY88,'Your Accounts'!$AX$6:$AX$185)</f>
        <v>9675929.91</v>
      </c>
      <c r="BA88" s="15" t="n">
        <f aca="false">ROUND($D88*Sensitivity!$C$37+Sensitivity!$D$37,2)</f>
        <v>9937.5</v>
      </c>
      <c r="BB88" s="15" t="n">
        <f aca="false">ROUND($K88-$BE88,2)</f>
        <v>71482.98</v>
      </c>
      <c r="BC88" s="26" t="n">
        <f aca="false">RANK($BB88,'Your Accounts'!$BB$6:$BB$185)</f>
        <v>48</v>
      </c>
      <c r="BD88" s="15" t="n">
        <f aca="false">SUMIF('Your Accounts'!$BC$6:$BC$185,"&lt;="&amp;$BC88,'Your Accounts'!$BB$6:$BB$185)</f>
        <v>9481151.33</v>
      </c>
      <c r="BE88" s="15" t="n">
        <f aca="false">ROUND($D88*Sensitivity!$C$38+Sensitivity!$D$38,2)</f>
        <v>11925</v>
      </c>
      <c r="BF88" s="15" t="n">
        <f aca="false">ROUND($K88-$BI88,2)</f>
        <v>67507.98</v>
      </c>
      <c r="BG88" s="26" t="n">
        <f aca="false">RANK($BF88,'Your Accounts'!$BF$6:$BF$185)</f>
        <v>47</v>
      </c>
      <c r="BH88" s="15" t="n">
        <f aca="false">SUMIF('Your Accounts'!$BG$6:$BG$185,"&lt;="&amp;$BG88,'Your Accounts'!$BF$6:$BF$185)</f>
        <v>9174221.7</v>
      </c>
      <c r="BI88" s="15" t="n">
        <f aca="false">ROUND($D88*Sensitivity!$C$39+Sensitivity!$D$39,2)</f>
        <v>15900</v>
      </c>
      <c r="BJ88" s="15" t="n">
        <f aca="false">ROUND($K88-$BM88,2)</f>
        <v>63532.98</v>
      </c>
      <c r="BK88" s="26" t="n">
        <f aca="false">RANK($BJ88,'Your Accounts'!$BJ$6:$BJ$185)</f>
        <v>47</v>
      </c>
      <c r="BL88" s="15" t="n">
        <f aca="false">SUMIF('Your Accounts'!$BK$6:$BK$185,"&lt;="&amp;$BK88,'Your Accounts'!$BJ$6:$BJ$185)</f>
        <v>8939401.7</v>
      </c>
      <c r="BM88" s="15" t="n">
        <f aca="false">ROUND($D88*Sensitivity!$C$40+Sensitivity!$D$40,2)</f>
        <v>19875</v>
      </c>
      <c r="BN88" s="15" t="n">
        <f aca="false">ROUND($K88-$BQ88,2)</f>
        <v>59557.98</v>
      </c>
      <c r="BO88" s="26" t="n">
        <f aca="false">RANK($BN88,'Your Accounts'!$BN$6:$BN$185)</f>
        <v>47</v>
      </c>
      <c r="BP88" s="15" t="n">
        <f aca="false">SUMIF('Your Accounts'!$BO$6:$BO$185,"&lt;="&amp;$BO88,'Your Accounts'!$BN$6:$BN$185)</f>
        <v>8704581.7</v>
      </c>
      <c r="BQ88" s="15" t="n">
        <f aca="false">ROUND($D88*Sensitivity!$C$41+Sensitivity!$D$41,2)</f>
        <v>23850</v>
      </c>
    </row>
    <row r="89" customFormat="false" ht="15" hidden="false" customHeight="false" outlineLevel="0" collapsed="false">
      <c r="B89" s="18" t="s">
        <v>200</v>
      </c>
      <c r="C89" s="18" t="s">
        <v>157</v>
      </c>
      <c r="D89" s="24" t="n">
        <v>9</v>
      </c>
      <c r="E89" s="26" t="n">
        <f aca="false">SUMIF('Your Lines'!$B$6:$B$463,$B89,'Your Lines'!$E$6:$E$463)</f>
        <v>2264</v>
      </c>
      <c r="F89" s="15" t="n">
        <f aca="false">ROUND(SUMIF('Your Lines'!$B$6:$B$463,$B89,'Your Lines'!$J$6:$J$463),2)</f>
        <v>210742</v>
      </c>
      <c r="G89" s="15" t="n">
        <f aca="false">ROUND(SUMIF('Your Lines'!$B$6:$B$463,$B89,'Your Lines'!$G$6:$G$463),2)</f>
        <v>194287.9</v>
      </c>
      <c r="H89" s="25" t="n">
        <f aca="false">$G89/$F89</f>
        <v>0.921923014871264</v>
      </c>
      <c r="I89" s="15" t="n">
        <f aca="false">ROUND(SUMIF('Your Lines'!$B$6:$B$463,$B89,'Your Lines'!$K$6:$K$463),2)</f>
        <v>118770</v>
      </c>
      <c r="J89" s="15" t="n">
        <f aca="false">ROUND(SUMIF('Your Lines'!$B$6:$B$463,$B89,'Your Lines'!$L$6:$L$463),2)</f>
        <v>3928.98</v>
      </c>
      <c r="K89" s="15" t="n">
        <f aca="false">ROUND($G89-$I89-$J89,2)</f>
        <v>71588.92</v>
      </c>
      <c r="L89" s="15" t="n">
        <f aca="false">ROUND($D89*'Your Inputs'!$C$40+'Your Inputs'!$C$41,2)</f>
        <v>7805</v>
      </c>
      <c r="M89" s="15" t="n">
        <f aca="false">ROUND($K89-$L89,2)</f>
        <v>63783.92</v>
      </c>
      <c r="N89" s="26" t="n">
        <f aca="false">RANK($M89,'Your Accounts'!$M$6:$M$185)</f>
        <v>56</v>
      </c>
      <c r="O89" s="15" t="n">
        <f aca="false">SUMIF('Your Accounts'!$N$6:$N$185,"&lt;="&amp;$N89,'Your Accounts'!$M$6:$M$185)</f>
        <v>10284696.68</v>
      </c>
      <c r="P89" s="15"/>
      <c r="Q89" s="26" t="n">
        <f aca="false">COUNTIFS('Your Lines'!$B$6:$B$463,$B89,'Your Lines'!$R$6:$R$463,"below the floor")</f>
        <v>0</v>
      </c>
      <c r="R89" s="15" t="n">
        <f aca="false">IF(Q89&gt;0,$K89,0)</f>
        <v>0</v>
      </c>
      <c r="AN89" s="15" t="n">
        <f aca="false">IF(VLOOKUP($C89,'Your Floors'!$B$53:$F$56,5,FALSE())="yes",0,$R89)</f>
        <v>0</v>
      </c>
      <c r="AP89" s="15" t="n">
        <f aca="false">ROUND($K89-$AS89,2)</f>
        <v>67686.42</v>
      </c>
      <c r="AQ89" s="26" t="n">
        <f aca="false">RANK($AP89,'Your Accounts'!$AP$6:$AP$185)</f>
        <v>57</v>
      </c>
      <c r="AR89" s="15" t="n">
        <f aca="false">SUMIF('Your Accounts'!$AQ$6:$AQ$185,"&lt;="&amp;$AQ89,'Your Accounts'!$AP$6:$AP$185)</f>
        <v>10635646.34</v>
      </c>
      <c r="AS89" s="15" t="n">
        <f aca="false">ROUND($D89*Sensitivity!$C$35+Sensitivity!$D$35,2)</f>
        <v>3902.5</v>
      </c>
      <c r="AT89" s="15" t="n">
        <f aca="false">ROUND($K89-$AW89,2)</f>
        <v>63783.92</v>
      </c>
      <c r="AU89" s="26" t="n">
        <f aca="false">RANK($AT89,'Your Accounts'!$AT$6:$AT$185)</f>
        <v>56</v>
      </c>
      <c r="AV89" s="15" t="n">
        <f aca="false">SUMIF('Your Accounts'!$AU$6:$AU$185,"&lt;="&amp;$AU89,'Your Accounts'!$AT$6:$AT$185)</f>
        <v>10284696.68</v>
      </c>
      <c r="AW89" s="15" t="n">
        <f aca="false">ROUND($D89*Sensitivity!$C$36+Sensitivity!$D$36,2)</f>
        <v>7805</v>
      </c>
      <c r="AX89" s="15" t="n">
        <f aca="false">ROUND($K89-$BA89,2)</f>
        <v>61832.67</v>
      </c>
      <c r="AY89" s="26" t="n">
        <f aca="false">RANK($AX89,'Your Accounts'!$AX$6:$AX$185)</f>
        <v>55</v>
      </c>
      <c r="AZ89" s="15" t="n">
        <f aca="false">SUMIF('Your Accounts'!$AY$6:$AY$185,"&lt;="&amp;$AY89,'Your Accounts'!$AX$6:$AX$185)</f>
        <v>10081809.17</v>
      </c>
      <c r="BA89" s="15" t="n">
        <f aca="false">ROUND($D89*Sensitivity!$C$37+Sensitivity!$D$37,2)</f>
        <v>9756.25</v>
      </c>
      <c r="BB89" s="15" t="n">
        <f aca="false">ROUND($K89-$BE89,2)</f>
        <v>59881.42</v>
      </c>
      <c r="BC89" s="26" t="n">
        <f aca="false">RANK($BB89,'Your Accounts'!$BB$6:$BB$185)</f>
        <v>55</v>
      </c>
      <c r="BD89" s="15" t="n">
        <f aca="false">SUMIF('Your Accounts'!$BC$6:$BC$185,"&lt;="&amp;$BC89,'Your Accounts'!$BB$6:$BB$185)</f>
        <v>9943097.92</v>
      </c>
      <c r="BE89" s="15" t="n">
        <f aca="false">ROUND($D89*Sensitivity!$C$38+Sensitivity!$D$38,2)</f>
        <v>11707.5</v>
      </c>
      <c r="BF89" s="15" t="n">
        <f aca="false">ROUND($K89-$BI89,2)</f>
        <v>55978.92</v>
      </c>
      <c r="BG89" s="26" t="n">
        <f aca="false">RANK($BF89,'Your Accounts'!$BF$6:$BF$185)</f>
        <v>55</v>
      </c>
      <c r="BH89" s="15" t="n">
        <f aca="false">SUMIF('Your Accounts'!$BG$6:$BG$185,"&lt;="&amp;$BG89,'Your Accounts'!$BF$6:$BF$185)</f>
        <v>9665675.42</v>
      </c>
      <c r="BI89" s="15" t="n">
        <f aca="false">ROUND($D89*Sensitivity!$C$39+Sensitivity!$D$39,2)</f>
        <v>15610</v>
      </c>
      <c r="BJ89" s="15" t="n">
        <f aca="false">ROUND($K89-$BM89,2)</f>
        <v>52076.42</v>
      </c>
      <c r="BK89" s="26" t="n">
        <f aca="false">RANK($BJ89,'Your Accounts'!$BJ$6:$BJ$185)</f>
        <v>54</v>
      </c>
      <c r="BL89" s="15" t="n">
        <f aca="false">SUMIF('Your Accounts'!$BK$6:$BK$185,"&lt;="&amp;$BK89,'Your Accounts'!$BJ$6:$BJ$185)</f>
        <v>9337633.1</v>
      </c>
      <c r="BM89" s="15" t="n">
        <f aca="false">ROUND($D89*Sensitivity!$C$40+Sensitivity!$D$40,2)</f>
        <v>19512.5</v>
      </c>
      <c r="BN89" s="15" t="n">
        <f aca="false">ROUND($K89-$BQ89,2)</f>
        <v>48173.92</v>
      </c>
      <c r="BO89" s="26" t="n">
        <f aca="false">RANK($BN89,'Your Accounts'!$BN$6:$BN$185)</f>
        <v>54</v>
      </c>
      <c r="BP89" s="15" t="n">
        <f aca="false">SUMIF('Your Accounts'!$BO$6:$BO$185,"&lt;="&amp;$BO89,'Your Accounts'!$BN$6:$BN$185)</f>
        <v>9069115.6</v>
      </c>
      <c r="BQ89" s="15" t="n">
        <f aca="false">ROUND($D89*Sensitivity!$C$41+Sensitivity!$D$41,2)</f>
        <v>23415</v>
      </c>
    </row>
    <row r="90" customFormat="false" ht="15" hidden="false" customHeight="false" outlineLevel="0" collapsed="false">
      <c r="B90" s="18" t="s">
        <v>201</v>
      </c>
      <c r="C90" s="18" t="s">
        <v>157</v>
      </c>
      <c r="D90" s="24" t="n">
        <v>6</v>
      </c>
      <c r="E90" s="26" t="n">
        <f aca="false">SUMIF('Your Lines'!$B$6:$B$463,$B90,'Your Lines'!$E$6:$E$463)</f>
        <v>783</v>
      </c>
      <c r="F90" s="15" t="n">
        <f aca="false">ROUND(SUMIF('Your Lines'!$B$6:$B$463,$B90,'Your Lines'!$J$6:$J$463),2)</f>
        <v>94980</v>
      </c>
      <c r="G90" s="15" t="n">
        <f aca="false">ROUND(SUMIF('Your Lines'!$B$6:$B$463,$B90,'Your Lines'!$G$6:$G$463),2)</f>
        <v>91090.37</v>
      </c>
      <c r="H90" s="25" t="n">
        <f aca="false">$G90/$F90</f>
        <v>0.959047904822068</v>
      </c>
      <c r="I90" s="15" t="n">
        <f aca="false">ROUND(SUMIF('Your Lines'!$B$6:$B$463,$B90,'Your Lines'!$K$6:$K$463),2)</f>
        <v>53034</v>
      </c>
      <c r="J90" s="15" t="n">
        <f aca="false">ROUND(SUMIF('Your Lines'!$B$6:$B$463,$B90,'Your Lines'!$L$6:$L$463),2)</f>
        <v>1832.8</v>
      </c>
      <c r="K90" s="15" t="n">
        <f aca="false">ROUND($G90-$I90-$J90,2)</f>
        <v>36223.57</v>
      </c>
      <c r="L90" s="15" t="n">
        <f aca="false">ROUND($D90*'Your Inputs'!$C$40+'Your Inputs'!$C$41,2)</f>
        <v>7370</v>
      </c>
      <c r="M90" s="15" t="n">
        <f aca="false">ROUND($K90-$L90,2)</f>
        <v>28853.57</v>
      </c>
      <c r="N90" s="26" t="n">
        <f aca="false">RANK($M90,'Your Accounts'!$M$6:$M$185)</f>
        <v>107</v>
      </c>
      <c r="O90" s="15" t="n">
        <f aca="false">SUMIF('Your Accounts'!$N$6:$N$185,"&lt;="&amp;$N90,'Your Accounts'!$M$6:$M$185)</f>
        <v>12577063.81</v>
      </c>
      <c r="P90" s="15"/>
      <c r="Q90" s="26" t="n">
        <f aca="false">COUNTIFS('Your Lines'!$B$6:$B$463,$B90,'Your Lines'!$R$6:$R$463,"below the floor")</f>
        <v>0</v>
      </c>
      <c r="R90" s="15" t="n">
        <f aca="false">IF(Q90&gt;0,$K90,0)</f>
        <v>0</v>
      </c>
      <c r="AN90" s="15" t="n">
        <f aca="false">IF(VLOOKUP($C90,'Your Floors'!$B$53:$F$56,5,FALSE())="yes",0,$R90)</f>
        <v>0</v>
      </c>
      <c r="AP90" s="15" t="n">
        <f aca="false">ROUND($K90-$AS90,2)</f>
        <v>32538.57</v>
      </c>
      <c r="AQ90" s="26" t="n">
        <f aca="false">RANK($AP90,'Your Accounts'!$AP$6:$AP$185)</f>
        <v>108</v>
      </c>
      <c r="AR90" s="15" t="n">
        <f aca="false">SUMIF('Your Accounts'!$AQ$6:$AQ$185,"&lt;="&amp;$AQ90,'Your Accounts'!$AP$6:$AP$185)</f>
        <v>13135463.26</v>
      </c>
      <c r="AS90" s="15" t="n">
        <f aca="false">ROUND($D90*Sensitivity!$C$35+Sensitivity!$D$35,2)</f>
        <v>3685</v>
      </c>
      <c r="AT90" s="15" t="n">
        <f aca="false">ROUND($K90-$AW90,2)</f>
        <v>28853.57</v>
      </c>
      <c r="AU90" s="26" t="n">
        <f aca="false">RANK($AT90,'Your Accounts'!$AT$6:$AT$185)</f>
        <v>107</v>
      </c>
      <c r="AV90" s="15" t="n">
        <f aca="false">SUMIF('Your Accounts'!$AU$6:$AU$185,"&lt;="&amp;$AU90,'Your Accounts'!$AT$6:$AT$185)</f>
        <v>12577063.81</v>
      </c>
      <c r="AW90" s="15" t="n">
        <f aca="false">ROUND($D90*Sensitivity!$C$36+Sensitivity!$D$36,2)</f>
        <v>7370</v>
      </c>
      <c r="AX90" s="15" t="n">
        <f aca="false">ROUND($K90-$BA90,2)</f>
        <v>27011.07</v>
      </c>
      <c r="AY90" s="26" t="n">
        <f aca="false">RANK($AX90,'Your Accounts'!$AX$6:$AX$185)</f>
        <v>105</v>
      </c>
      <c r="AZ90" s="15" t="n">
        <f aca="false">SUMIF('Your Accounts'!$AY$6:$AY$185,"&lt;="&amp;$AY90,'Your Accounts'!$AX$6:$AX$185)</f>
        <v>12261431.02</v>
      </c>
      <c r="BA90" s="15" t="n">
        <f aca="false">ROUND($D90*Sensitivity!$C$37+Sensitivity!$D$37,2)</f>
        <v>9212.5</v>
      </c>
      <c r="BB90" s="15" t="n">
        <f aca="false">ROUND($K90-$BE90,2)</f>
        <v>25168.57</v>
      </c>
      <c r="BC90" s="26" t="n">
        <f aca="false">RANK($BB90,'Your Accounts'!$BB$6:$BB$185)</f>
        <v>102</v>
      </c>
      <c r="BD90" s="15" t="n">
        <f aca="false">SUMIF('Your Accounts'!$BC$6:$BC$185,"&lt;="&amp;$BC90,'Your Accounts'!$BB$6:$BB$185)</f>
        <v>11929418.2</v>
      </c>
      <c r="BE90" s="15" t="n">
        <f aca="false">ROUND($D90*Sensitivity!$C$38+Sensitivity!$D$38,2)</f>
        <v>11055</v>
      </c>
      <c r="BF90" s="15" t="n">
        <f aca="false">ROUND($K90-$BI90,2)</f>
        <v>21483.57</v>
      </c>
      <c r="BG90" s="26" t="n">
        <f aca="false">RANK($BF90,'Your Accounts'!$BF$6:$BF$185)</f>
        <v>101</v>
      </c>
      <c r="BH90" s="15" t="n">
        <f aca="false">SUMIF('Your Accounts'!$BG$6:$BG$185,"&lt;="&amp;$BG90,'Your Accounts'!$BF$6:$BF$185)</f>
        <v>11411899.67</v>
      </c>
      <c r="BI90" s="15" t="n">
        <f aca="false">ROUND($D90*Sensitivity!$C$39+Sensitivity!$D$39,2)</f>
        <v>14740</v>
      </c>
      <c r="BJ90" s="15" t="n">
        <f aca="false">ROUND($K90-$BM90,2)</f>
        <v>17798.57</v>
      </c>
      <c r="BK90" s="26" t="n">
        <f aca="false">RANK($BJ90,'Your Accounts'!$BJ$6:$BJ$185)</f>
        <v>99</v>
      </c>
      <c r="BL90" s="15" t="n">
        <f aca="false">SUMIF('Your Accounts'!$BK$6:$BK$185,"&lt;="&amp;$BK90,'Your Accounts'!$BJ$6:$BJ$185)</f>
        <v>10884552.66</v>
      </c>
      <c r="BM90" s="15" t="n">
        <f aca="false">ROUND($D90*Sensitivity!$C$40+Sensitivity!$D$40,2)</f>
        <v>18425</v>
      </c>
      <c r="BN90" s="15" t="n">
        <f aca="false">ROUND($K90-$BQ90,2)</f>
        <v>14113.57</v>
      </c>
      <c r="BO90" s="26" t="n">
        <f aca="false">RANK($BN90,'Your Accounts'!$BN$6:$BN$185)</f>
        <v>98</v>
      </c>
      <c r="BP90" s="15" t="n">
        <f aca="false">SUMIF('Your Accounts'!$BO$6:$BO$185,"&lt;="&amp;$BO90,'Your Accounts'!$BN$6:$BN$185)</f>
        <v>10388684.64</v>
      </c>
      <c r="BQ90" s="15" t="n">
        <f aca="false">ROUND($D90*Sensitivity!$C$41+Sensitivity!$D$41,2)</f>
        <v>22110</v>
      </c>
    </row>
    <row r="91" customFormat="false" ht="15" hidden="false" customHeight="false" outlineLevel="0" collapsed="false">
      <c r="B91" s="18" t="s">
        <v>202</v>
      </c>
      <c r="C91" s="18" t="s">
        <v>157</v>
      </c>
      <c r="D91" s="24" t="n">
        <v>5</v>
      </c>
      <c r="E91" s="26" t="n">
        <f aca="false">SUMIF('Your Lines'!$B$6:$B$463,$B91,'Your Lines'!$E$6:$E$463)</f>
        <v>1432</v>
      </c>
      <c r="F91" s="15" t="n">
        <f aca="false">ROUND(SUMIF('Your Lines'!$B$6:$B$463,$B91,'Your Lines'!$J$6:$J$463),2)</f>
        <v>107876</v>
      </c>
      <c r="G91" s="15" t="n">
        <f aca="false">ROUND(SUMIF('Your Lines'!$B$6:$B$463,$B91,'Your Lines'!$G$6:$G$463),2)</f>
        <v>87549.82</v>
      </c>
      <c r="H91" s="25" t="n">
        <f aca="false">$G91/$F91</f>
        <v>0.811578293596352</v>
      </c>
      <c r="I91" s="15" t="n">
        <f aca="false">ROUND(SUMIF('Your Lines'!$B$6:$B$463,$B91,'Your Lines'!$K$6:$K$463),2)</f>
        <v>60876</v>
      </c>
      <c r="J91" s="15" t="n">
        <f aca="false">ROUND(SUMIF('Your Lines'!$B$6:$B$463,$B91,'Your Lines'!$L$6:$L$463),2)</f>
        <v>1835.42</v>
      </c>
      <c r="K91" s="15" t="n">
        <f aca="false">ROUND($G91-$I91-$J91,2)</f>
        <v>24838.4</v>
      </c>
      <c r="L91" s="15" t="n">
        <f aca="false">ROUND($D91*'Your Inputs'!$C$40+'Your Inputs'!$C$41,2)</f>
        <v>7225</v>
      </c>
      <c r="M91" s="15" t="n">
        <f aca="false">ROUND($K91-$L91,2)</f>
        <v>17613.4</v>
      </c>
      <c r="N91" s="26" t="n">
        <f aca="false">RANK($M91,'Your Accounts'!$M$6:$M$185)</f>
        <v>131</v>
      </c>
      <c r="O91" s="15" t="n">
        <f aca="false">SUMIF('Your Accounts'!$N$6:$N$185,"&lt;="&amp;$N91,'Your Accounts'!$M$6:$M$185)</f>
        <v>13123226.13</v>
      </c>
      <c r="P91" s="15"/>
      <c r="Q91" s="26" t="n">
        <f aca="false">COUNTIFS('Your Lines'!$B$6:$B$463,$B91,'Your Lines'!$R$6:$R$463,"below the floor")</f>
        <v>2</v>
      </c>
      <c r="R91" s="15" t="n">
        <f aca="false">IF(Q91&gt;0,$K91,0)</f>
        <v>24838.4</v>
      </c>
      <c r="AN91" s="15" t="n">
        <f aca="false">IF(VLOOKUP($C91,'Your Floors'!$B$53:$F$56,5,FALSE())="yes",0,$R91)</f>
        <v>24838.4</v>
      </c>
      <c r="AP91" s="15" t="n">
        <f aca="false">ROUND($K91-$AS91,2)</f>
        <v>21225.9</v>
      </c>
      <c r="AQ91" s="26" t="n">
        <f aca="false">RANK($AP91,'Your Accounts'!$AP$6:$AP$185)</f>
        <v>132</v>
      </c>
      <c r="AR91" s="15" t="n">
        <f aca="false">SUMIF('Your Accounts'!$AQ$6:$AQ$185,"&lt;="&amp;$AQ91,'Your Accounts'!$AP$6:$AP$185)</f>
        <v>13774521.67</v>
      </c>
      <c r="AS91" s="15" t="n">
        <f aca="false">ROUND($D91*Sensitivity!$C$35+Sensitivity!$D$35,2)</f>
        <v>3612.5</v>
      </c>
      <c r="AT91" s="15" t="n">
        <f aca="false">ROUND($K91-$AW91,2)</f>
        <v>17613.4</v>
      </c>
      <c r="AU91" s="26" t="n">
        <f aca="false">RANK($AT91,'Your Accounts'!$AT$6:$AT$185)</f>
        <v>131</v>
      </c>
      <c r="AV91" s="15" t="n">
        <f aca="false">SUMIF('Your Accounts'!$AU$6:$AU$185,"&lt;="&amp;$AU91,'Your Accounts'!$AT$6:$AT$185)</f>
        <v>13123226.13</v>
      </c>
      <c r="AW91" s="15" t="n">
        <f aca="false">ROUND($D91*Sensitivity!$C$36+Sensitivity!$D$36,2)</f>
        <v>7225</v>
      </c>
      <c r="AX91" s="15" t="n">
        <f aca="false">ROUND($K91-$BA91,2)</f>
        <v>15807.15</v>
      </c>
      <c r="AY91" s="26" t="n">
        <f aca="false">RANK($AX91,'Your Accounts'!$AX$6:$AX$185)</f>
        <v>131</v>
      </c>
      <c r="AZ91" s="15" t="n">
        <f aca="false">SUMIF('Your Accounts'!$AY$6:$AY$185,"&lt;="&amp;$AY91,'Your Accounts'!$AX$6:$AX$185)</f>
        <v>12808198.63</v>
      </c>
      <c r="BA91" s="15" t="n">
        <f aca="false">ROUND($D91*Sensitivity!$C$37+Sensitivity!$D$37,2)</f>
        <v>9031.25</v>
      </c>
      <c r="BB91" s="15" t="n">
        <f aca="false">ROUND($K91-$BE91,2)</f>
        <v>14000.9</v>
      </c>
      <c r="BC91" s="26" t="n">
        <f aca="false">RANK($BB91,'Your Accounts'!$BB$6:$BB$185)</f>
        <v>129</v>
      </c>
      <c r="BD91" s="15" t="n">
        <f aca="false">SUMIF('Your Accounts'!$BC$6:$BC$185,"&lt;="&amp;$BC91,'Your Accounts'!$BB$6:$BB$185)</f>
        <v>12466240.53</v>
      </c>
      <c r="BE91" s="15" t="n">
        <f aca="false">ROUND($D91*Sensitivity!$C$38+Sensitivity!$D$38,2)</f>
        <v>10837.5</v>
      </c>
      <c r="BF91" s="15" t="n">
        <f aca="false">ROUND($K91-$BI91,2)</f>
        <v>10388.4</v>
      </c>
      <c r="BG91" s="26" t="n">
        <f aca="false">RANK($BF91,'Your Accounts'!$BF$6:$BF$185)</f>
        <v>128</v>
      </c>
      <c r="BH91" s="15" t="n">
        <f aca="false">SUMIF('Your Accounts'!$BG$6:$BG$185,"&lt;="&amp;$BG91,'Your Accounts'!$BF$6:$BF$185)</f>
        <v>11835756.39</v>
      </c>
      <c r="BI91" s="15" t="n">
        <f aca="false">ROUND($D91*Sensitivity!$C$39+Sensitivity!$D$39,2)</f>
        <v>14450</v>
      </c>
      <c r="BJ91" s="15" t="n">
        <f aca="false">ROUND($K91-$BM91,2)</f>
        <v>6775.9</v>
      </c>
      <c r="BK91" s="26" t="n">
        <f aca="false">RANK($BJ91,'Your Accounts'!$BJ$6:$BJ$185)</f>
        <v>127</v>
      </c>
      <c r="BL91" s="15" t="n">
        <f aca="false">SUMIF('Your Accounts'!$BK$6:$BK$185,"&lt;="&amp;$BK91,'Your Accounts'!$BJ$6:$BJ$185)</f>
        <v>11213670.75</v>
      </c>
      <c r="BM91" s="15" t="n">
        <f aca="false">ROUND($D91*Sensitivity!$C$40+Sensitivity!$D$40,2)</f>
        <v>18062.5</v>
      </c>
      <c r="BN91" s="15" t="n">
        <f aca="false">ROUND($K91-$BQ91,2)</f>
        <v>3163.4</v>
      </c>
      <c r="BO91" s="26" t="n">
        <f aca="false">RANK($BN91,'Your Accounts'!$BN$6:$BN$185)</f>
        <v>122</v>
      </c>
      <c r="BP91" s="15" t="n">
        <f aca="false">SUMIF('Your Accounts'!$BO$6:$BO$185,"&lt;="&amp;$BO91,'Your Accounts'!$BN$6:$BN$185)</f>
        <v>10589595.2</v>
      </c>
      <c r="BQ91" s="15" t="n">
        <f aca="false">ROUND($D91*Sensitivity!$C$41+Sensitivity!$D$41,2)</f>
        <v>21675</v>
      </c>
    </row>
    <row r="92" customFormat="false" ht="15" hidden="false" customHeight="false" outlineLevel="0" collapsed="false">
      <c r="B92" s="18" t="s">
        <v>203</v>
      </c>
      <c r="C92" s="18" t="s">
        <v>157</v>
      </c>
      <c r="D92" s="24" t="n">
        <v>9</v>
      </c>
      <c r="E92" s="26" t="n">
        <f aca="false">SUMIF('Your Lines'!$B$6:$B$463,$B92,'Your Lines'!$E$6:$E$463)</f>
        <v>2106</v>
      </c>
      <c r="F92" s="15" t="n">
        <f aca="false">ROUND(SUMIF('Your Lines'!$B$6:$B$463,$B92,'Your Lines'!$J$6:$J$463),2)</f>
        <v>182410</v>
      </c>
      <c r="G92" s="15" t="n">
        <f aca="false">ROUND(SUMIF('Your Lines'!$B$6:$B$463,$B92,'Your Lines'!$G$6:$G$463),2)</f>
        <v>159975.36</v>
      </c>
      <c r="H92" s="25" t="n">
        <f aca="false">$G92/$F92</f>
        <v>0.877009813058495</v>
      </c>
      <c r="I92" s="15" t="n">
        <f aca="false">ROUND(SUMIF('Your Lines'!$B$6:$B$463,$B92,'Your Lines'!$K$6:$K$463),2)</f>
        <v>104650</v>
      </c>
      <c r="J92" s="15" t="n">
        <f aca="false">ROUND(SUMIF('Your Lines'!$B$6:$B$463,$B92,'Your Lines'!$L$6:$L$463),2)</f>
        <v>3284.91</v>
      </c>
      <c r="K92" s="15" t="n">
        <f aca="false">ROUND($G92-$I92-$J92,2)</f>
        <v>52040.45</v>
      </c>
      <c r="L92" s="15" t="n">
        <f aca="false">ROUND($D92*'Your Inputs'!$C$40+'Your Inputs'!$C$41,2)</f>
        <v>7805</v>
      </c>
      <c r="M92" s="15" t="n">
        <f aca="false">ROUND($K92-$L92,2)</f>
        <v>44235.45</v>
      </c>
      <c r="N92" s="26" t="n">
        <f aca="false">RANK($M92,'Your Accounts'!$M$6:$M$185)</f>
        <v>83</v>
      </c>
      <c r="O92" s="15" t="n">
        <f aca="false">SUMIF('Your Accounts'!$N$6:$N$185,"&lt;="&amp;$N92,'Your Accounts'!$M$6:$M$185)</f>
        <v>11751181.34</v>
      </c>
      <c r="P92" s="15"/>
      <c r="Q92" s="26" t="n">
        <f aca="false">COUNTIFS('Your Lines'!$B$6:$B$463,$B92,'Your Lines'!$R$6:$R$463,"below the floor")</f>
        <v>0</v>
      </c>
      <c r="R92" s="15" t="n">
        <f aca="false">IF(Q92&gt;0,$K92,0)</f>
        <v>0</v>
      </c>
      <c r="AN92" s="15" t="n">
        <f aca="false">IF(VLOOKUP($C92,'Your Floors'!$B$53:$F$56,5,FALSE())="yes",0,$R92)</f>
        <v>0</v>
      </c>
      <c r="AP92" s="15" t="n">
        <f aca="false">ROUND($K92-$AS92,2)</f>
        <v>48137.95</v>
      </c>
      <c r="AQ92" s="26" t="n">
        <f aca="false">RANK($AP92,'Your Accounts'!$AP$6:$AP$185)</f>
        <v>83</v>
      </c>
      <c r="AR92" s="15" t="n">
        <f aca="false">SUMIF('Your Accounts'!$AQ$6:$AQ$185,"&lt;="&amp;$AQ92,'Your Accounts'!$AP$6:$AP$185)</f>
        <v>12163393.84</v>
      </c>
      <c r="AS92" s="15" t="n">
        <f aca="false">ROUND($D92*Sensitivity!$C$35+Sensitivity!$D$35,2)</f>
        <v>3902.5</v>
      </c>
      <c r="AT92" s="15" t="n">
        <f aca="false">ROUND($K92-$AW92,2)</f>
        <v>44235.45</v>
      </c>
      <c r="AU92" s="26" t="n">
        <f aca="false">RANK($AT92,'Your Accounts'!$AT$6:$AT$185)</f>
        <v>83</v>
      </c>
      <c r="AV92" s="15" t="n">
        <f aca="false">SUMIF('Your Accounts'!$AU$6:$AU$185,"&lt;="&amp;$AU92,'Your Accounts'!$AT$6:$AT$185)</f>
        <v>11751181.34</v>
      </c>
      <c r="AW92" s="15" t="n">
        <f aca="false">ROUND($D92*Sensitivity!$C$36+Sensitivity!$D$36,2)</f>
        <v>7805</v>
      </c>
      <c r="AX92" s="15" t="n">
        <f aca="false">ROUND($K92-$BA92,2)</f>
        <v>42284.2</v>
      </c>
      <c r="AY92" s="26" t="n">
        <f aca="false">RANK($AX92,'Your Accounts'!$AX$6:$AX$185)</f>
        <v>83</v>
      </c>
      <c r="AZ92" s="15" t="n">
        <f aca="false">SUMIF('Your Accounts'!$AY$6:$AY$185,"&lt;="&amp;$AY92,'Your Accounts'!$AX$6:$AX$185)</f>
        <v>11545075.09</v>
      </c>
      <c r="BA92" s="15" t="n">
        <f aca="false">ROUND($D92*Sensitivity!$C$37+Sensitivity!$D$37,2)</f>
        <v>9756.25</v>
      </c>
      <c r="BB92" s="15" t="n">
        <f aca="false">ROUND($K92-$BE92,2)</f>
        <v>40332.95</v>
      </c>
      <c r="BC92" s="26" t="n">
        <f aca="false">RANK($BB92,'Your Accounts'!$BB$6:$BB$185)</f>
        <v>81</v>
      </c>
      <c r="BD92" s="15" t="n">
        <f aca="false">SUMIF('Your Accounts'!$BC$6:$BC$185,"&lt;="&amp;$BC92,'Your Accounts'!$BB$6:$BB$185)</f>
        <v>11259108.58</v>
      </c>
      <c r="BE92" s="15" t="n">
        <f aca="false">ROUND($D92*Sensitivity!$C$38+Sensitivity!$D$38,2)</f>
        <v>11707.5</v>
      </c>
      <c r="BF92" s="15" t="n">
        <f aca="false">ROUND($K92-$BI92,2)</f>
        <v>36430.45</v>
      </c>
      <c r="BG92" s="26" t="n">
        <f aca="false">RANK($BF92,'Your Accounts'!$BF$6:$BF$185)</f>
        <v>81</v>
      </c>
      <c r="BH92" s="15" t="n">
        <f aca="false">SUMIF('Your Accounts'!$BG$6:$BG$185,"&lt;="&amp;$BG92,'Your Accounts'!$BF$6:$BF$185)</f>
        <v>10859993.58</v>
      </c>
      <c r="BI92" s="15" t="n">
        <f aca="false">ROUND($D92*Sensitivity!$C$39+Sensitivity!$D$39,2)</f>
        <v>15610</v>
      </c>
      <c r="BJ92" s="15" t="n">
        <f aca="false">ROUND($K92-$BM92,2)</f>
        <v>32527.95</v>
      </c>
      <c r="BK92" s="26" t="n">
        <f aca="false">RANK($BJ92,'Your Accounts'!$BJ$6:$BJ$185)</f>
        <v>80</v>
      </c>
      <c r="BL92" s="15" t="n">
        <f aca="false">SUMIF('Your Accounts'!$BK$6:$BK$185,"&lt;="&amp;$BK92,'Your Accounts'!$BJ$6:$BJ$185)</f>
        <v>10430370.22</v>
      </c>
      <c r="BM92" s="15" t="n">
        <f aca="false">ROUND($D92*Sensitivity!$C$40+Sensitivity!$D$40,2)</f>
        <v>19512.5</v>
      </c>
      <c r="BN92" s="15" t="n">
        <f aca="false">ROUND($K92-$BQ92,2)</f>
        <v>28625.45</v>
      </c>
      <c r="BO92" s="26" t="n">
        <f aca="false">RANK($BN92,'Your Accounts'!$BN$6:$BN$185)</f>
        <v>80</v>
      </c>
      <c r="BP92" s="15" t="n">
        <f aca="false">SUMIF('Your Accounts'!$BO$6:$BO$185,"&lt;="&amp;$BO92,'Your Accounts'!$BN$6:$BN$185)</f>
        <v>10038057.72</v>
      </c>
      <c r="BQ92" s="15" t="n">
        <f aca="false">ROUND($D92*Sensitivity!$C$41+Sensitivity!$D$41,2)</f>
        <v>23415</v>
      </c>
    </row>
    <row r="93" customFormat="false" ht="15" hidden="false" customHeight="false" outlineLevel="0" collapsed="false">
      <c r="B93" s="18" t="s">
        <v>204</v>
      </c>
      <c r="C93" s="18" t="s">
        <v>157</v>
      </c>
      <c r="D93" s="24" t="n">
        <v>9</v>
      </c>
      <c r="E93" s="26" t="n">
        <f aca="false">SUMIF('Your Lines'!$B$6:$B$463,$B93,'Your Lines'!$E$6:$E$463)</f>
        <v>1996</v>
      </c>
      <c r="F93" s="15" t="n">
        <f aca="false">ROUND(SUMIF('Your Lines'!$B$6:$B$463,$B93,'Your Lines'!$J$6:$J$463),2)</f>
        <v>175444</v>
      </c>
      <c r="G93" s="15" t="n">
        <f aca="false">ROUND(SUMIF('Your Lines'!$B$6:$B$463,$B93,'Your Lines'!$G$6:$G$463),2)</f>
        <v>148703.01</v>
      </c>
      <c r="H93" s="25" t="n">
        <f aca="false">$G93/$F93</f>
        <v>0.847581051503614</v>
      </c>
      <c r="I93" s="15" t="n">
        <f aca="false">ROUND(SUMIF('Your Lines'!$B$6:$B$463,$B93,'Your Lines'!$K$6:$K$463),2)</f>
        <v>100500</v>
      </c>
      <c r="J93" s="15" t="n">
        <f aca="false">ROUND(SUMIF('Your Lines'!$B$6:$B$463,$B93,'Your Lines'!$L$6:$L$463),2)</f>
        <v>3007.14</v>
      </c>
      <c r="K93" s="15" t="n">
        <f aca="false">ROUND($G93-$I93-$J93,2)</f>
        <v>45195.87</v>
      </c>
      <c r="L93" s="15" t="n">
        <f aca="false">ROUND($D93*'Your Inputs'!$C$40+'Your Inputs'!$C$41,2)</f>
        <v>7805</v>
      </c>
      <c r="M93" s="15" t="n">
        <f aca="false">ROUND($K93-$L93,2)</f>
        <v>37390.87</v>
      </c>
      <c r="N93" s="26" t="n">
        <f aca="false">RANK($M93,'Your Accounts'!$M$6:$M$185)</f>
        <v>90</v>
      </c>
      <c r="O93" s="15" t="n">
        <f aca="false">SUMIF('Your Accounts'!$N$6:$N$185,"&lt;="&amp;$N93,'Your Accounts'!$M$6:$M$185)</f>
        <v>12026180.54</v>
      </c>
      <c r="P93" s="15"/>
      <c r="Q93" s="26" t="n">
        <f aca="false">COUNTIFS('Your Lines'!$B$6:$B$463,$B93,'Your Lines'!$R$6:$R$463,"below the floor")</f>
        <v>2</v>
      </c>
      <c r="R93" s="15" t="n">
        <f aca="false">IF(Q93&gt;0,$K93,0)</f>
        <v>45195.87</v>
      </c>
      <c r="AN93" s="15" t="n">
        <f aca="false">IF(VLOOKUP($C93,'Your Floors'!$B$53:$F$56,5,FALSE())="yes",0,$R93)</f>
        <v>45195.87</v>
      </c>
      <c r="AP93" s="15" t="n">
        <f aca="false">ROUND($K93-$AS93,2)</f>
        <v>41293.37</v>
      </c>
      <c r="AQ93" s="26" t="n">
        <f aca="false">RANK($AP93,'Your Accounts'!$AP$6:$AP$185)</f>
        <v>92</v>
      </c>
      <c r="AR93" s="15" t="n">
        <f aca="false">SUMIF('Your Accounts'!$AQ$6:$AQ$185,"&lt;="&amp;$AQ93,'Your Accounts'!$AP$6:$AP$185)</f>
        <v>12556372.84</v>
      </c>
      <c r="AS93" s="15" t="n">
        <f aca="false">ROUND($D93*Sensitivity!$C$35+Sensitivity!$D$35,2)</f>
        <v>3902.5</v>
      </c>
      <c r="AT93" s="15" t="n">
        <f aca="false">ROUND($K93-$AW93,2)</f>
        <v>37390.87</v>
      </c>
      <c r="AU93" s="26" t="n">
        <f aca="false">RANK($AT93,'Your Accounts'!$AT$6:$AT$185)</f>
        <v>90</v>
      </c>
      <c r="AV93" s="15" t="n">
        <f aca="false">SUMIF('Your Accounts'!$AU$6:$AU$185,"&lt;="&amp;$AU93,'Your Accounts'!$AT$6:$AT$185)</f>
        <v>12026180.54</v>
      </c>
      <c r="AW93" s="15" t="n">
        <f aca="false">ROUND($D93*Sensitivity!$C$36+Sensitivity!$D$36,2)</f>
        <v>7805</v>
      </c>
      <c r="AX93" s="15" t="n">
        <f aca="false">ROUND($K93-$BA93,2)</f>
        <v>35439.62</v>
      </c>
      <c r="AY93" s="26" t="n">
        <f aca="false">RANK($AX93,'Your Accounts'!$AX$6:$AX$185)</f>
        <v>90</v>
      </c>
      <c r="AZ93" s="15" t="n">
        <f aca="false">SUMIF('Your Accounts'!$AY$6:$AY$185,"&lt;="&amp;$AY93,'Your Accounts'!$AX$6:$AX$185)</f>
        <v>11803588.04</v>
      </c>
      <c r="BA93" s="15" t="n">
        <f aca="false">ROUND($D93*Sensitivity!$C$37+Sensitivity!$D$37,2)</f>
        <v>9756.25</v>
      </c>
      <c r="BB93" s="15" t="n">
        <f aca="false">ROUND($K93-$BE93,2)</f>
        <v>33488.37</v>
      </c>
      <c r="BC93" s="26" t="n">
        <f aca="false">RANK($BB93,'Your Accounts'!$BB$6:$BB$185)</f>
        <v>88</v>
      </c>
      <c r="BD93" s="15" t="n">
        <f aca="false">SUMIF('Your Accounts'!$BC$6:$BC$185,"&lt;="&amp;$BC93,'Your Accounts'!$BB$6:$BB$185)</f>
        <v>11514982.78</v>
      </c>
      <c r="BE93" s="15" t="n">
        <f aca="false">ROUND($D93*Sensitivity!$C$38+Sensitivity!$D$38,2)</f>
        <v>11707.5</v>
      </c>
      <c r="BF93" s="15" t="n">
        <f aca="false">ROUND($K93-$BI93,2)</f>
        <v>29585.87</v>
      </c>
      <c r="BG93" s="26" t="n">
        <f aca="false">RANK($BF93,'Your Accounts'!$BF$6:$BF$185)</f>
        <v>86</v>
      </c>
      <c r="BH93" s="15" t="n">
        <f aca="false">SUMIF('Your Accounts'!$BG$6:$BG$185,"&lt;="&amp;$BG93,'Your Accounts'!$BF$6:$BF$185)</f>
        <v>11022358.4</v>
      </c>
      <c r="BI93" s="15" t="n">
        <f aca="false">ROUND($D93*Sensitivity!$C$39+Sensitivity!$D$39,2)</f>
        <v>15610</v>
      </c>
      <c r="BJ93" s="15" t="n">
        <f aca="false">ROUND($K93-$BM93,2)</f>
        <v>25683.37</v>
      </c>
      <c r="BK93" s="26" t="n">
        <f aca="false">RANK($BJ93,'Your Accounts'!$BJ$6:$BJ$185)</f>
        <v>86</v>
      </c>
      <c r="BL93" s="15" t="n">
        <f aca="false">SUMIF('Your Accounts'!$BK$6:$BK$185,"&lt;="&amp;$BK93,'Your Accounts'!$BJ$6:$BJ$185)</f>
        <v>10597713.4</v>
      </c>
      <c r="BM93" s="15" t="n">
        <f aca="false">ROUND($D93*Sensitivity!$C$40+Sensitivity!$D$40,2)</f>
        <v>19512.5</v>
      </c>
      <c r="BN93" s="15" t="n">
        <f aca="false">ROUND($K93-$BQ93,2)</f>
        <v>21780.87</v>
      </c>
      <c r="BO93" s="26" t="n">
        <f aca="false">RANK($BN93,'Your Accounts'!$BN$6:$BN$185)</f>
        <v>83</v>
      </c>
      <c r="BP93" s="15" t="n">
        <f aca="false">SUMIF('Your Accounts'!$BO$6:$BO$185,"&lt;="&amp;$BO93,'Your Accounts'!$BN$6:$BN$185)</f>
        <v>10111273.84</v>
      </c>
      <c r="BQ93" s="15" t="n">
        <f aca="false">ROUND($D93*Sensitivity!$C$41+Sensitivity!$D$41,2)</f>
        <v>23415</v>
      </c>
    </row>
    <row r="94" customFormat="false" ht="15" hidden="false" customHeight="false" outlineLevel="0" collapsed="false">
      <c r="B94" s="18" t="s">
        <v>205</v>
      </c>
      <c r="C94" s="18" t="s">
        <v>157</v>
      </c>
      <c r="D94" s="24" t="n">
        <v>22</v>
      </c>
      <c r="E94" s="26" t="n">
        <f aca="false">SUMIF('Your Lines'!$B$6:$B$463,$B94,'Your Lines'!$E$6:$E$463)</f>
        <v>1862</v>
      </c>
      <c r="F94" s="15" t="n">
        <f aca="false">ROUND(SUMIF('Your Lines'!$B$6:$B$463,$B94,'Your Lines'!$J$6:$J$463),2)</f>
        <v>157018</v>
      </c>
      <c r="G94" s="15" t="n">
        <f aca="false">ROUND(SUMIF('Your Lines'!$B$6:$B$463,$B94,'Your Lines'!$G$6:$G$463),2)</f>
        <v>152184.99</v>
      </c>
      <c r="H94" s="25" t="n">
        <f aca="false">$G94/$F94</f>
        <v>0.969220025729534</v>
      </c>
      <c r="I94" s="15" t="n">
        <f aca="false">ROUND(SUMIF('Your Lines'!$B$6:$B$463,$B94,'Your Lines'!$K$6:$K$463),2)</f>
        <v>90330</v>
      </c>
      <c r="J94" s="15" t="n">
        <f aca="false">ROUND(SUMIF('Your Lines'!$B$6:$B$463,$B94,'Your Lines'!$L$6:$L$463),2)</f>
        <v>3077.55</v>
      </c>
      <c r="K94" s="15" t="n">
        <f aca="false">ROUND($G94-$I94-$J94,2)</f>
        <v>58777.44</v>
      </c>
      <c r="L94" s="15" t="n">
        <f aca="false">ROUND($D94*'Your Inputs'!$C$40+'Your Inputs'!$C$41,2)</f>
        <v>9690</v>
      </c>
      <c r="M94" s="15" t="n">
        <f aca="false">ROUND($K94-$L94,2)</f>
        <v>49087.44</v>
      </c>
      <c r="N94" s="26" t="n">
        <f aca="false">RANK($M94,'Your Accounts'!$M$6:$M$185)</f>
        <v>78</v>
      </c>
      <c r="O94" s="15" t="n">
        <f aca="false">SUMIF('Your Accounts'!$N$6:$N$185,"&lt;="&amp;$N94,'Your Accounts'!$M$6:$M$185)</f>
        <v>11516880.29</v>
      </c>
      <c r="P94" s="15"/>
      <c r="Q94" s="26" t="n">
        <f aca="false">COUNTIFS('Your Lines'!$B$6:$B$463,$B94,'Your Lines'!$R$6:$R$463,"below the floor")</f>
        <v>0</v>
      </c>
      <c r="R94" s="15" t="n">
        <f aca="false">IF(Q94&gt;0,$K94,0)</f>
        <v>0</v>
      </c>
      <c r="AN94" s="15" t="n">
        <f aca="false">IF(VLOOKUP($C94,'Your Floors'!$B$53:$F$56,5,FALSE())="yes",0,$R94)</f>
        <v>0</v>
      </c>
      <c r="AP94" s="15" t="n">
        <f aca="false">ROUND($K94-$AS94,2)</f>
        <v>53932.44</v>
      </c>
      <c r="AQ94" s="26" t="n">
        <f aca="false">RANK($AP94,'Your Accounts'!$AP$6:$AP$185)</f>
        <v>77</v>
      </c>
      <c r="AR94" s="15" t="n">
        <f aca="false">SUMIF('Your Accounts'!$AQ$6:$AQ$185,"&lt;="&amp;$AQ94,'Your Accounts'!$AP$6:$AP$185)</f>
        <v>11850870.08</v>
      </c>
      <c r="AS94" s="15" t="n">
        <f aca="false">ROUND($D94*Sensitivity!$C$35+Sensitivity!$D$35,2)</f>
        <v>4845</v>
      </c>
      <c r="AT94" s="15" t="n">
        <f aca="false">ROUND($K94-$AW94,2)</f>
        <v>49087.44</v>
      </c>
      <c r="AU94" s="26" t="n">
        <f aca="false">RANK($AT94,'Your Accounts'!$AT$6:$AT$185)</f>
        <v>78</v>
      </c>
      <c r="AV94" s="15" t="n">
        <f aca="false">SUMIF('Your Accounts'!$AU$6:$AU$185,"&lt;="&amp;$AU94,'Your Accounts'!$AT$6:$AT$185)</f>
        <v>11516880.29</v>
      </c>
      <c r="AW94" s="15" t="n">
        <f aca="false">ROUND($D94*Sensitivity!$C$36+Sensitivity!$D$36,2)</f>
        <v>9690</v>
      </c>
      <c r="AX94" s="15" t="n">
        <f aca="false">ROUND($K94-$BA94,2)</f>
        <v>46664.94</v>
      </c>
      <c r="AY94" s="26" t="n">
        <f aca="false">RANK($AX94,'Your Accounts'!$AX$6:$AX$185)</f>
        <v>79</v>
      </c>
      <c r="AZ94" s="15" t="n">
        <f aca="false">SUMIF('Your Accounts'!$AY$6:$AY$185,"&lt;="&amp;$AY94,'Your Accounts'!$AX$6:$AX$185)</f>
        <v>11369854.49</v>
      </c>
      <c r="BA94" s="15" t="n">
        <f aca="false">ROUND($D94*Sensitivity!$C$37+Sensitivity!$D$37,2)</f>
        <v>12112.5</v>
      </c>
      <c r="BB94" s="15" t="n">
        <f aca="false">ROUND($K94-$BE94,2)</f>
        <v>44242.44</v>
      </c>
      <c r="BC94" s="26" t="n">
        <f aca="false">RANK($BB94,'Your Accounts'!$BB$6:$BB$185)</f>
        <v>79</v>
      </c>
      <c r="BD94" s="15" t="n">
        <f aca="false">SUMIF('Your Accounts'!$BC$6:$BC$185,"&lt;="&amp;$BC94,'Your Accounts'!$BB$6:$BB$185)</f>
        <v>11174662.27</v>
      </c>
      <c r="BE94" s="15" t="n">
        <f aca="false">ROUND($D94*Sensitivity!$C$38+Sensitivity!$D$38,2)</f>
        <v>14535</v>
      </c>
      <c r="BF94" s="15" t="n">
        <f aca="false">ROUND($K94-$BI94,2)</f>
        <v>39397.44</v>
      </c>
      <c r="BG94" s="26" t="n">
        <f aca="false">RANK($BF94,'Your Accounts'!$BF$6:$BF$185)</f>
        <v>79</v>
      </c>
      <c r="BH94" s="15" t="n">
        <f aca="false">SUMIF('Your Accounts'!$BG$6:$BG$185,"&lt;="&amp;$BG94,'Your Accounts'!$BF$6:$BF$185)</f>
        <v>10786252.27</v>
      </c>
      <c r="BI94" s="15" t="n">
        <f aca="false">ROUND($D94*Sensitivity!$C$39+Sensitivity!$D$39,2)</f>
        <v>19380</v>
      </c>
      <c r="BJ94" s="15" t="n">
        <f aca="false">ROUND($K94-$BM94,2)</f>
        <v>34552.44</v>
      </c>
      <c r="BK94" s="26" t="n">
        <f aca="false">RANK($BJ94,'Your Accounts'!$BJ$6:$BJ$185)</f>
        <v>79</v>
      </c>
      <c r="BL94" s="15" t="n">
        <f aca="false">SUMIF('Your Accounts'!$BK$6:$BK$185,"&lt;="&amp;$BK94,'Your Accounts'!$BJ$6:$BJ$185)</f>
        <v>10397842.27</v>
      </c>
      <c r="BM94" s="15" t="n">
        <f aca="false">ROUND($D94*Sensitivity!$C$40+Sensitivity!$D$40,2)</f>
        <v>24225</v>
      </c>
      <c r="BN94" s="15" t="n">
        <f aca="false">ROUND($K94-$BQ94,2)</f>
        <v>29707.44</v>
      </c>
      <c r="BO94" s="26" t="n">
        <f aca="false">RANK($BN94,'Your Accounts'!$BN$6:$BN$185)</f>
        <v>79</v>
      </c>
      <c r="BP94" s="15" t="n">
        <f aca="false">SUMIF('Your Accounts'!$BO$6:$BO$185,"&lt;="&amp;$BO94,'Your Accounts'!$BN$6:$BN$185)</f>
        <v>10009432.27</v>
      </c>
      <c r="BQ94" s="15" t="n">
        <f aca="false">ROUND($D94*Sensitivity!$C$41+Sensitivity!$D$41,2)</f>
        <v>29070</v>
      </c>
    </row>
    <row r="95" customFormat="false" ht="15" hidden="false" customHeight="false" outlineLevel="0" collapsed="false">
      <c r="B95" s="18" t="s">
        <v>206</v>
      </c>
      <c r="C95" s="18" t="s">
        <v>157</v>
      </c>
      <c r="D95" s="24" t="n">
        <v>9</v>
      </c>
      <c r="E95" s="26" t="n">
        <f aca="false">SUMIF('Your Lines'!$B$6:$B$463,$B95,'Your Lines'!$E$6:$E$463)</f>
        <v>2764</v>
      </c>
      <c r="F95" s="15" t="n">
        <f aca="false">ROUND(SUMIF('Your Lines'!$B$6:$B$463,$B95,'Your Lines'!$J$6:$J$463),2)</f>
        <v>234414</v>
      </c>
      <c r="G95" s="15" t="n">
        <f aca="false">ROUND(SUMIF('Your Lines'!$B$6:$B$463,$B95,'Your Lines'!$G$6:$G$463),2)</f>
        <v>210732.39</v>
      </c>
      <c r="H95" s="25" t="n">
        <f aca="false">$G95/$F95</f>
        <v>0.898975274514321</v>
      </c>
      <c r="I95" s="15" t="n">
        <f aca="false">ROUND(SUMIF('Your Lines'!$B$6:$B$463,$B95,'Your Lines'!$K$6:$K$463),2)</f>
        <v>134826</v>
      </c>
      <c r="J95" s="15" t="n">
        <f aca="false">ROUND(SUMIF('Your Lines'!$B$6:$B$463,$B95,'Your Lines'!$L$6:$L$463),2)</f>
        <v>4240.09</v>
      </c>
      <c r="K95" s="15" t="n">
        <f aca="false">ROUND($G95-$I95-$J95,2)</f>
        <v>71666.3</v>
      </c>
      <c r="L95" s="15" t="n">
        <f aca="false">ROUND($D95*'Your Inputs'!$C$40+'Your Inputs'!$C$41,2)</f>
        <v>7805</v>
      </c>
      <c r="M95" s="15" t="n">
        <f aca="false">ROUND($K95-$L95,2)</f>
        <v>63861.3</v>
      </c>
      <c r="N95" s="26" t="n">
        <f aca="false">RANK($M95,'Your Accounts'!$M$6:$M$185)</f>
        <v>55</v>
      </c>
      <c r="O95" s="15" t="n">
        <f aca="false">SUMIF('Your Accounts'!$N$6:$N$185,"&lt;="&amp;$N95,'Your Accounts'!$M$6:$M$185)</f>
        <v>10220912.76</v>
      </c>
      <c r="P95" s="15"/>
      <c r="Q95" s="26" t="n">
        <f aca="false">COUNTIFS('Your Lines'!$B$6:$B$463,$B95,'Your Lines'!$R$6:$R$463,"below the floor")</f>
        <v>0</v>
      </c>
      <c r="R95" s="15" t="n">
        <f aca="false">IF(Q95&gt;0,$K95,0)</f>
        <v>0</v>
      </c>
      <c r="AN95" s="15" t="n">
        <f aca="false">IF(VLOOKUP($C95,'Your Floors'!$B$53:$F$56,5,FALSE())="yes",0,$R95)</f>
        <v>0</v>
      </c>
      <c r="AP95" s="15" t="n">
        <f aca="false">ROUND($K95-$AS95,2)</f>
        <v>67763.8</v>
      </c>
      <c r="AQ95" s="26" t="n">
        <f aca="false">RANK($AP95,'Your Accounts'!$AP$6:$AP$185)</f>
        <v>56</v>
      </c>
      <c r="AR95" s="15" t="n">
        <f aca="false">SUMIF('Your Accounts'!$AQ$6:$AQ$185,"&lt;="&amp;$AQ95,'Your Accounts'!$AP$6:$AP$185)</f>
        <v>10567959.92</v>
      </c>
      <c r="AS95" s="15" t="n">
        <f aca="false">ROUND($D95*Sensitivity!$C$35+Sensitivity!$D$35,2)</f>
        <v>3902.5</v>
      </c>
      <c r="AT95" s="15" t="n">
        <f aca="false">ROUND($K95-$AW95,2)</f>
        <v>63861.3</v>
      </c>
      <c r="AU95" s="26" t="n">
        <f aca="false">RANK($AT95,'Your Accounts'!$AT$6:$AT$185)</f>
        <v>55</v>
      </c>
      <c r="AV95" s="15" t="n">
        <f aca="false">SUMIF('Your Accounts'!$AU$6:$AU$185,"&lt;="&amp;$AU95,'Your Accounts'!$AT$6:$AT$185)</f>
        <v>10220912.76</v>
      </c>
      <c r="AW95" s="15" t="n">
        <f aca="false">ROUND($D95*Sensitivity!$C$36+Sensitivity!$D$36,2)</f>
        <v>7805</v>
      </c>
      <c r="AX95" s="15" t="n">
        <f aca="false">ROUND($K95-$BA95,2)</f>
        <v>61910.05</v>
      </c>
      <c r="AY95" s="26" t="n">
        <f aca="false">RANK($AX95,'Your Accounts'!$AX$6:$AX$185)</f>
        <v>54</v>
      </c>
      <c r="AZ95" s="15" t="n">
        <f aca="false">SUMIF('Your Accounts'!$AY$6:$AY$185,"&lt;="&amp;$AY95,'Your Accounts'!$AX$6:$AX$185)</f>
        <v>10019976.5</v>
      </c>
      <c r="BA95" s="15" t="n">
        <f aca="false">ROUND($D95*Sensitivity!$C$37+Sensitivity!$D$37,2)</f>
        <v>9756.25</v>
      </c>
      <c r="BB95" s="15" t="n">
        <f aca="false">ROUND($K95-$BE95,2)</f>
        <v>59958.8</v>
      </c>
      <c r="BC95" s="26" t="n">
        <f aca="false">RANK($BB95,'Your Accounts'!$BB$6:$BB$185)</f>
        <v>54</v>
      </c>
      <c r="BD95" s="15" t="n">
        <f aca="false">SUMIF('Your Accounts'!$BC$6:$BC$185,"&lt;="&amp;$BC95,'Your Accounts'!$BB$6:$BB$185)</f>
        <v>9883216.5</v>
      </c>
      <c r="BE95" s="15" t="n">
        <f aca="false">ROUND($D95*Sensitivity!$C$38+Sensitivity!$D$38,2)</f>
        <v>11707.5</v>
      </c>
      <c r="BF95" s="15" t="n">
        <f aca="false">ROUND($K95-$BI95,2)</f>
        <v>56056.3</v>
      </c>
      <c r="BG95" s="26" t="n">
        <f aca="false">RANK($BF95,'Your Accounts'!$BF$6:$BF$185)</f>
        <v>54</v>
      </c>
      <c r="BH95" s="15" t="n">
        <f aca="false">SUMIF('Your Accounts'!$BG$6:$BG$185,"&lt;="&amp;$BG95,'Your Accounts'!$BF$6:$BF$185)</f>
        <v>9609696.5</v>
      </c>
      <c r="BI95" s="15" t="n">
        <f aca="false">ROUND($D95*Sensitivity!$C$39+Sensitivity!$D$39,2)</f>
        <v>15610</v>
      </c>
      <c r="BJ95" s="15" t="n">
        <f aca="false">ROUND($K95-$BM95,2)</f>
        <v>52153.8</v>
      </c>
      <c r="BK95" s="26" t="n">
        <f aca="false">RANK($BJ95,'Your Accounts'!$BJ$6:$BJ$185)</f>
        <v>53</v>
      </c>
      <c r="BL95" s="15" t="n">
        <f aca="false">SUMIF('Your Accounts'!$BK$6:$BK$185,"&lt;="&amp;$BK95,'Your Accounts'!$BJ$6:$BJ$185)</f>
        <v>9285556.68</v>
      </c>
      <c r="BM95" s="15" t="n">
        <f aca="false">ROUND($D95*Sensitivity!$C$40+Sensitivity!$D$40,2)</f>
        <v>19512.5</v>
      </c>
      <c r="BN95" s="15" t="n">
        <f aca="false">ROUND($K95-$BQ95,2)</f>
        <v>48251.3</v>
      </c>
      <c r="BO95" s="26" t="n">
        <f aca="false">RANK($BN95,'Your Accounts'!$BN$6:$BN$185)</f>
        <v>53</v>
      </c>
      <c r="BP95" s="15" t="n">
        <f aca="false">SUMIF('Your Accounts'!$BO$6:$BO$185,"&lt;="&amp;$BO95,'Your Accounts'!$BN$6:$BN$185)</f>
        <v>9020941.68</v>
      </c>
      <c r="BQ95" s="15" t="n">
        <f aca="false">ROUND($D95*Sensitivity!$C$41+Sensitivity!$D$41,2)</f>
        <v>23415</v>
      </c>
    </row>
    <row r="96" customFormat="false" ht="15" hidden="false" customHeight="false" outlineLevel="0" collapsed="false">
      <c r="B96" s="18" t="s">
        <v>207</v>
      </c>
      <c r="C96" s="18" t="s">
        <v>157</v>
      </c>
      <c r="D96" s="24" t="n">
        <v>19</v>
      </c>
      <c r="E96" s="26" t="n">
        <f aca="false">SUMIF('Your Lines'!$B$6:$B$463,$B96,'Your Lines'!$E$6:$E$463)</f>
        <v>4226</v>
      </c>
      <c r="F96" s="15" t="n">
        <f aca="false">ROUND(SUMIF('Your Lines'!$B$6:$B$463,$B96,'Your Lines'!$J$6:$J$463),2)</f>
        <v>378998</v>
      </c>
      <c r="G96" s="15" t="n">
        <f aca="false">ROUND(SUMIF('Your Lines'!$B$6:$B$463,$B96,'Your Lines'!$G$6:$G$463),2)</f>
        <v>350800.28</v>
      </c>
      <c r="H96" s="25" t="n">
        <f aca="false">$G96/$F96</f>
        <v>0.925599290761429</v>
      </c>
      <c r="I96" s="15" t="n">
        <f aca="false">ROUND(SUMIF('Your Lines'!$B$6:$B$463,$B96,'Your Lines'!$K$6:$K$463),2)</f>
        <v>214718</v>
      </c>
      <c r="J96" s="15" t="n">
        <f aca="false">ROUND(SUMIF('Your Lines'!$B$6:$B$463,$B96,'Your Lines'!$L$6:$L$463),2)</f>
        <v>7240.46</v>
      </c>
      <c r="K96" s="15" t="n">
        <f aca="false">ROUND($G96-$I96-$J96,2)</f>
        <v>128841.82</v>
      </c>
      <c r="L96" s="15" t="n">
        <f aca="false">ROUND($D96*'Your Inputs'!$C$40+'Your Inputs'!$C$41,2)</f>
        <v>9255</v>
      </c>
      <c r="M96" s="15" t="n">
        <f aca="false">ROUND($K96-$L96,2)</f>
        <v>119586.82</v>
      </c>
      <c r="N96" s="26" t="n">
        <f aca="false">RANK($M96,'Your Accounts'!$M$6:$M$185)</f>
        <v>29</v>
      </c>
      <c r="O96" s="15" t="n">
        <f aca="false">SUMIF('Your Accounts'!$N$6:$N$185,"&lt;="&amp;$N96,'Your Accounts'!$M$6:$M$185)</f>
        <v>7924119.07</v>
      </c>
      <c r="P96" s="15"/>
      <c r="Q96" s="26" t="n">
        <f aca="false">COUNTIFS('Your Lines'!$B$6:$B$463,$B96,'Your Lines'!$R$6:$R$463,"below the floor")</f>
        <v>0</v>
      </c>
      <c r="R96" s="15" t="n">
        <f aca="false">IF(Q96&gt;0,$K96,0)</f>
        <v>0</v>
      </c>
      <c r="AN96" s="15" t="n">
        <f aca="false">IF(VLOOKUP($C96,'Your Floors'!$B$53:$F$56,5,FALSE())="yes",0,$R96)</f>
        <v>0</v>
      </c>
      <c r="AP96" s="15" t="n">
        <f aca="false">ROUND($K96-$AS96,2)</f>
        <v>124214.32</v>
      </c>
      <c r="AQ96" s="26" t="n">
        <f aca="false">RANK($AP96,'Your Accounts'!$AP$6:$AP$185)</f>
        <v>29</v>
      </c>
      <c r="AR96" s="15" t="n">
        <f aca="false">SUMIF('Your Accounts'!$AQ$6:$AQ$185,"&lt;="&amp;$AQ96,'Your Accounts'!$AP$6:$AP$185)</f>
        <v>8076514.07</v>
      </c>
      <c r="AS96" s="15" t="n">
        <f aca="false">ROUND($D96*Sensitivity!$C$35+Sensitivity!$D$35,2)</f>
        <v>4627.5</v>
      </c>
      <c r="AT96" s="15" t="n">
        <f aca="false">ROUND($K96-$AW96,2)</f>
        <v>119586.82</v>
      </c>
      <c r="AU96" s="26" t="n">
        <f aca="false">RANK($AT96,'Your Accounts'!$AT$6:$AT$185)</f>
        <v>29</v>
      </c>
      <c r="AV96" s="15" t="n">
        <f aca="false">SUMIF('Your Accounts'!$AU$6:$AU$185,"&lt;="&amp;$AU96,'Your Accounts'!$AT$6:$AT$185)</f>
        <v>7924119.07</v>
      </c>
      <c r="AW96" s="15" t="n">
        <f aca="false">ROUND($D96*Sensitivity!$C$36+Sensitivity!$D$36,2)</f>
        <v>9255</v>
      </c>
      <c r="AX96" s="15" t="n">
        <f aca="false">ROUND($K96-$BA96,2)</f>
        <v>117273.07</v>
      </c>
      <c r="AY96" s="26" t="n">
        <f aca="false">RANK($AX96,'Your Accounts'!$AX$6:$AX$185)</f>
        <v>29</v>
      </c>
      <c r="AZ96" s="15" t="n">
        <f aca="false">SUMIF('Your Accounts'!$AY$6:$AY$185,"&lt;="&amp;$AY96,'Your Accounts'!$AX$6:$AX$185)</f>
        <v>7847921.57</v>
      </c>
      <c r="BA96" s="15" t="n">
        <f aca="false">ROUND($D96*Sensitivity!$C$37+Sensitivity!$D$37,2)</f>
        <v>11568.75</v>
      </c>
      <c r="BB96" s="15" t="n">
        <f aca="false">ROUND($K96-$BE96,2)</f>
        <v>114959.32</v>
      </c>
      <c r="BC96" s="26" t="n">
        <f aca="false">RANK($BB96,'Your Accounts'!$BB$6:$BB$185)</f>
        <v>30</v>
      </c>
      <c r="BD96" s="15" t="n">
        <f aca="false">SUMIF('Your Accounts'!$BC$6:$BC$185,"&lt;="&amp;$BC96,'Your Accounts'!$BB$6:$BB$185)</f>
        <v>7886889.79</v>
      </c>
      <c r="BE96" s="15" t="n">
        <f aca="false">ROUND($D96*Sensitivity!$C$38+Sensitivity!$D$38,2)</f>
        <v>13882.5</v>
      </c>
      <c r="BF96" s="15" t="n">
        <f aca="false">ROUND($K96-$BI96,2)</f>
        <v>110331.82</v>
      </c>
      <c r="BG96" s="26" t="n">
        <f aca="false">RANK($BF96,'Your Accounts'!$BF$6:$BF$185)</f>
        <v>30</v>
      </c>
      <c r="BH96" s="15" t="n">
        <f aca="false">SUMIF('Your Accounts'!$BG$6:$BG$185,"&lt;="&amp;$BG96,'Your Accounts'!$BF$6:$BF$185)</f>
        <v>7730374.79</v>
      </c>
      <c r="BI96" s="15" t="n">
        <f aca="false">ROUND($D96*Sensitivity!$C$39+Sensitivity!$D$39,2)</f>
        <v>18510</v>
      </c>
      <c r="BJ96" s="15" t="n">
        <f aca="false">ROUND($K96-$BM96,2)</f>
        <v>105704.32</v>
      </c>
      <c r="BK96" s="26" t="n">
        <f aca="false">RANK($BJ96,'Your Accounts'!$BJ$6:$BJ$185)</f>
        <v>30</v>
      </c>
      <c r="BL96" s="15" t="n">
        <f aca="false">SUMIF('Your Accounts'!$BK$6:$BK$185,"&lt;="&amp;$BK96,'Your Accounts'!$BJ$6:$BJ$185)</f>
        <v>7573859.79</v>
      </c>
      <c r="BM96" s="15" t="n">
        <f aca="false">ROUND($D96*Sensitivity!$C$40+Sensitivity!$D$40,2)</f>
        <v>23137.5</v>
      </c>
      <c r="BN96" s="15" t="n">
        <f aca="false">ROUND($K96-$BQ96,2)</f>
        <v>101076.82</v>
      </c>
      <c r="BO96" s="26" t="n">
        <f aca="false">RANK($BN96,'Your Accounts'!$BN$6:$BN$185)</f>
        <v>30</v>
      </c>
      <c r="BP96" s="15" t="n">
        <f aca="false">SUMIF('Your Accounts'!$BO$6:$BO$185,"&lt;="&amp;$BO96,'Your Accounts'!$BN$6:$BN$185)</f>
        <v>7417344.79</v>
      </c>
      <c r="BQ96" s="15" t="n">
        <f aca="false">ROUND($D96*Sensitivity!$C$41+Sensitivity!$D$41,2)</f>
        <v>27765</v>
      </c>
    </row>
    <row r="97" customFormat="false" ht="15" hidden="false" customHeight="false" outlineLevel="0" collapsed="false">
      <c r="B97" s="18" t="s">
        <v>208</v>
      </c>
      <c r="C97" s="18" t="s">
        <v>157</v>
      </c>
      <c r="D97" s="24" t="n">
        <v>7</v>
      </c>
      <c r="E97" s="26" t="n">
        <f aca="false">SUMIF('Your Lines'!$B$6:$B$463,$B97,'Your Lines'!$E$6:$E$463)</f>
        <v>1690</v>
      </c>
      <c r="F97" s="15" t="n">
        <f aca="false">ROUND(SUMIF('Your Lines'!$B$6:$B$463,$B97,'Your Lines'!$J$6:$J$463),2)</f>
        <v>202020</v>
      </c>
      <c r="G97" s="15" t="n">
        <f aca="false">ROUND(SUMIF('Your Lines'!$B$6:$B$463,$B97,'Your Lines'!$G$6:$G$463),2)</f>
        <v>175123.91</v>
      </c>
      <c r="H97" s="25" t="n">
        <f aca="false">$G97/$F97</f>
        <v>0.866864221364221</v>
      </c>
      <c r="I97" s="15" t="n">
        <f aca="false">ROUND(SUMIF('Your Lines'!$B$6:$B$463,$B97,'Your Lines'!$K$6:$K$463),2)</f>
        <v>113320</v>
      </c>
      <c r="J97" s="15" t="n">
        <f aca="false">ROUND(SUMIF('Your Lines'!$B$6:$B$463,$B97,'Your Lines'!$L$6:$L$463),2)</f>
        <v>3614.53</v>
      </c>
      <c r="K97" s="15" t="n">
        <f aca="false">ROUND($G97-$I97-$J97,2)</f>
        <v>58189.38</v>
      </c>
      <c r="L97" s="15" t="n">
        <f aca="false">ROUND($D97*'Your Inputs'!$C$40+'Your Inputs'!$C$41,2)</f>
        <v>7515</v>
      </c>
      <c r="M97" s="15" t="n">
        <f aca="false">ROUND($K97-$L97,2)</f>
        <v>50674.38</v>
      </c>
      <c r="N97" s="26" t="n">
        <f aca="false">RANK($M97,'Your Accounts'!$M$6:$M$185)</f>
        <v>76</v>
      </c>
      <c r="O97" s="15" t="n">
        <f aca="false">SUMIF('Your Accounts'!$N$6:$N$185,"&lt;="&amp;$N97,'Your Accounts'!$M$6:$M$185)</f>
        <v>11417697.64</v>
      </c>
      <c r="P97" s="15"/>
      <c r="Q97" s="26" t="n">
        <f aca="false">COUNTIFS('Your Lines'!$B$6:$B$463,$B97,'Your Lines'!$R$6:$R$463,"below the floor")</f>
        <v>1</v>
      </c>
      <c r="R97" s="15" t="n">
        <f aca="false">IF(Q97&gt;0,$K97,0)</f>
        <v>58189.38</v>
      </c>
      <c r="AN97" s="15" t="n">
        <f aca="false">IF(VLOOKUP($C97,'Your Floors'!$B$53:$F$56,5,FALSE())="yes",0,$R97)</f>
        <v>58189.38</v>
      </c>
      <c r="AP97" s="15" t="n">
        <f aca="false">ROUND($K97-$AS97,2)</f>
        <v>54431.88</v>
      </c>
      <c r="AQ97" s="26" t="n">
        <f aca="false">RANK($AP97,'Your Accounts'!$AP$6:$AP$185)</f>
        <v>76</v>
      </c>
      <c r="AR97" s="15" t="n">
        <f aca="false">SUMIF('Your Accounts'!$AQ$6:$AQ$185,"&lt;="&amp;$AQ97,'Your Accounts'!$AP$6:$AP$185)</f>
        <v>11796937.64</v>
      </c>
      <c r="AS97" s="15" t="n">
        <f aca="false">ROUND($D97*Sensitivity!$C$35+Sensitivity!$D$35,2)</f>
        <v>3757.5</v>
      </c>
      <c r="AT97" s="15" t="n">
        <f aca="false">ROUND($K97-$AW97,2)</f>
        <v>50674.38</v>
      </c>
      <c r="AU97" s="26" t="n">
        <f aca="false">RANK($AT97,'Your Accounts'!$AT$6:$AT$185)</f>
        <v>76</v>
      </c>
      <c r="AV97" s="15" t="n">
        <f aca="false">SUMIF('Your Accounts'!$AU$6:$AU$185,"&lt;="&amp;$AU97,'Your Accounts'!$AT$6:$AT$185)</f>
        <v>11417697.64</v>
      </c>
      <c r="AW97" s="15" t="n">
        <f aca="false">ROUND($D97*Sensitivity!$C$36+Sensitivity!$D$36,2)</f>
        <v>7515</v>
      </c>
      <c r="AX97" s="15" t="n">
        <f aca="false">ROUND($K97-$BA97,2)</f>
        <v>48795.63</v>
      </c>
      <c r="AY97" s="26" t="n">
        <f aca="false">RANK($AX97,'Your Accounts'!$AX$6:$AX$185)</f>
        <v>74</v>
      </c>
      <c r="AZ97" s="15" t="n">
        <f aca="false">SUMIF('Your Accounts'!$AY$6:$AY$185,"&lt;="&amp;$AY97,'Your Accounts'!$AX$6:$AX$185)</f>
        <v>11132071.09</v>
      </c>
      <c r="BA97" s="15" t="n">
        <f aca="false">ROUND($D97*Sensitivity!$C$37+Sensitivity!$D$37,2)</f>
        <v>9393.75</v>
      </c>
      <c r="BB97" s="15" t="n">
        <f aca="false">ROUND($K97-$BE97,2)</f>
        <v>46916.88</v>
      </c>
      <c r="BC97" s="26" t="n">
        <f aca="false">RANK($BB97,'Your Accounts'!$BB$6:$BB$185)</f>
        <v>74</v>
      </c>
      <c r="BD97" s="15" t="n">
        <f aca="false">SUMIF('Your Accounts'!$BC$6:$BC$185,"&lt;="&amp;$BC97,'Your Accounts'!$BB$6:$BB$185)</f>
        <v>10948166.09</v>
      </c>
      <c r="BE97" s="15" t="n">
        <f aca="false">ROUND($D97*Sensitivity!$C$38+Sensitivity!$D$38,2)</f>
        <v>11272.5</v>
      </c>
      <c r="BF97" s="15" t="n">
        <f aca="false">ROUND($K97-$BI97,2)</f>
        <v>43159.38</v>
      </c>
      <c r="BG97" s="26" t="n">
        <f aca="false">RANK($BF97,'Your Accounts'!$BF$6:$BF$185)</f>
        <v>73</v>
      </c>
      <c r="BH97" s="15" t="n">
        <f aca="false">SUMIF('Your Accounts'!$BG$6:$BG$185,"&lt;="&amp;$BG97,'Your Accounts'!$BF$6:$BF$185)</f>
        <v>10537643.69</v>
      </c>
      <c r="BI97" s="15" t="n">
        <f aca="false">ROUND($D97*Sensitivity!$C$39+Sensitivity!$D$39,2)</f>
        <v>15030</v>
      </c>
      <c r="BJ97" s="15" t="n">
        <f aca="false">ROUND($K97-$BM97,2)</f>
        <v>39401.88</v>
      </c>
      <c r="BK97" s="26" t="n">
        <f aca="false">RANK($BJ97,'Your Accounts'!$BJ$6:$BJ$185)</f>
        <v>72</v>
      </c>
      <c r="BL97" s="15" t="n">
        <f aca="false">SUMIF('Your Accounts'!$BK$6:$BK$185,"&lt;="&amp;$BK97,'Your Accounts'!$BJ$6:$BJ$185)</f>
        <v>10138150.57</v>
      </c>
      <c r="BM97" s="15" t="n">
        <f aca="false">ROUND($D97*Sensitivity!$C$40+Sensitivity!$D$40,2)</f>
        <v>18787.5</v>
      </c>
      <c r="BN97" s="15" t="n">
        <f aca="false">ROUND($K97-$BQ97,2)</f>
        <v>35644.38</v>
      </c>
      <c r="BO97" s="26" t="n">
        <f aca="false">RANK($BN97,'Your Accounts'!$BN$6:$BN$185)</f>
        <v>70</v>
      </c>
      <c r="BP97" s="15" t="n">
        <f aca="false">SUMIF('Your Accounts'!$BO$6:$BO$185,"&lt;="&amp;$BO97,'Your Accounts'!$BN$6:$BN$185)</f>
        <v>9713456.13</v>
      </c>
      <c r="BQ97" s="15" t="n">
        <f aca="false">ROUND($D97*Sensitivity!$C$41+Sensitivity!$D$41,2)</f>
        <v>22545</v>
      </c>
    </row>
    <row r="98" customFormat="false" ht="15" hidden="false" customHeight="false" outlineLevel="0" collapsed="false">
      <c r="B98" s="18" t="s">
        <v>209</v>
      </c>
      <c r="C98" s="18" t="s">
        <v>157</v>
      </c>
      <c r="D98" s="24" t="n">
        <v>10</v>
      </c>
      <c r="E98" s="26" t="n">
        <f aca="false">SUMIF('Your Lines'!$B$6:$B$463,$B98,'Your Lines'!$E$6:$E$463)</f>
        <v>1722</v>
      </c>
      <c r="F98" s="15" t="n">
        <f aca="false">ROUND(SUMIF('Your Lines'!$B$6:$B$463,$B98,'Your Lines'!$J$6:$J$463),2)</f>
        <v>129782</v>
      </c>
      <c r="G98" s="15" t="n">
        <f aca="false">ROUND(SUMIF('Your Lines'!$B$6:$B$463,$B98,'Your Lines'!$G$6:$G$463),2)</f>
        <v>114467.63</v>
      </c>
      <c r="H98" s="25" t="n">
        <f aca="false">$G98/$F98</f>
        <v>0.881999275708496</v>
      </c>
      <c r="I98" s="15" t="n">
        <f aca="false">ROUND(SUMIF('Your Lines'!$B$6:$B$463,$B98,'Your Lines'!$K$6:$K$463),2)</f>
        <v>76886</v>
      </c>
      <c r="J98" s="15" t="n">
        <f aca="false">ROUND(SUMIF('Your Lines'!$B$6:$B$463,$B98,'Your Lines'!$L$6:$L$463),2)</f>
        <v>2338.46</v>
      </c>
      <c r="K98" s="15" t="n">
        <f aca="false">ROUND($G98-$I98-$J98,2)</f>
        <v>35243.17</v>
      </c>
      <c r="L98" s="15" t="n">
        <f aca="false">ROUND($D98*'Your Inputs'!$C$40+'Your Inputs'!$C$41,2)</f>
        <v>7950</v>
      </c>
      <c r="M98" s="15" t="n">
        <f aca="false">ROUND($K98-$L98,2)</f>
        <v>27293.17</v>
      </c>
      <c r="N98" s="26" t="n">
        <f aca="false">RANK($M98,'Your Accounts'!$M$6:$M$185)</f>
        <v>109</v>
      </c>
      <c r="O98" s="15" t="n">
        <f aca="false">SUMIF('Your Accounts'!$N$6:$N$185,"&lt;="&amp;$N98,'Your Accounts'!$M$6:$M$185)</f>
        <v>12632246.43</v>
      </c>
      <c r="P98" s="15"/>
      <c r="Q98" s="26" t="n">
        <f aca="false">COUNTIFS('Your Lines'!$B$6:$B$463,$B98,'Your Lines'!$R$6:$R$463,"below the floor")</f>
        <v>0</v>
      </c>
      <c r="R98" s="15" t="n">
        <f aca="false">IF(Q98&gt;0,$K98,0)</f>
        <v>0</v>
      </c>
      <c r="AN98" s="15" t="n">
        <f aca="false">IF(VLOOKUP($C98,'Your Floors'!$B$53:$F$56,5,FALSE())="yes",0,$R98)</f>
        <v>0</v>
      </c>
      <c r="AP98" s="15" t="n">
        <f aca="false">ROUND($K98-$AS98,2)</f>
        <v>31268.17</v>
      </c>
      <c r="AQ98" s="26" t="n">
        <f aca="false">RANK($AP98,'Your Accounts'!$AP$6:$AP$185)</f>
        <v>109</v>
      </c>
      <c r="AR98" s="15" t="n">
        <f aca="false">SUMIF('Your Accounts'!$AQ$6:$AQ$185,"&lt;="&amp;$AQ98,'Your Accounts'!$AP$6:$AP$185)</f>
        <v>13166731.43</v>
      </c>
      <c r="AS98" s="15" t="n">
        <f aca="false">ROUND($D98*Sensitivity!$C$35+Sensitivity!$D$35,2)</f>
        <v>3975</v>
      </c>
      <c r="AT98" s="15" t="n">
        <f aca="false">ROUND($K98-$AW98,2)</f>
        <v>27293.17</v>
      </c>
      <c r="AU98" s="26" t="n">
        <f aca="false">RANK($AT98,'Your Accounts'!$AT$6:$AT$185)</f>
        <v>109</v>
      </c>
      <c r="AV98" s="15" t="n">
        <f aca="false">SUMIF('Your Accounts'!$AU$6:$AU$185,"&lt;="&amp;$AU98,'Your Accounts'!$AT$6:$AT$185)</f>
        <v>12632246.43</v>
      </c>
      <c r="AW98" s="15" t="n">
        <f aca="false">ROUND($D98*Sensitivity!$C$36+Sensitivity!$D$36,2)</f>
        <v>7950</v>
      </c>
      <c r="AX98" s="15" t="n">
        <f aca="false">ROUND($K98-$BA98,2)</f>
        <v>25305.67</v>
      </c>
      <c r="AY98" s="26" t="n">
        <f aca="false">RANK($AX98,'Your Accounts'!$AX$6:$AX$185)</f>
        <v>109</v>
      </c>
      <c r="AZ98" s="15" t="n">
        <f aca="false">SUMIF('Your Accounts'!$AY$6:$AY$185,"&lt;="&amp;$AY98,'Your Accounts'!$AX$6:$AX$185)</f>
        <v>12365003.93</v>
      </c>
      <c r="BA98" s="15" t="n">
        <f aca="false">ROUND($D98*Sensitivity!$C$37+Sensitivity!$D$37,2)</f>
        <v>9937.5</v>
      </c>
      <c r="BB98" s="15" t="n">
        <f aca="false">ROUND($K98-$BE98,2)</f>
        <v>23318.17</v>
      </c>
      <c r="BC98" s="26" t="n">
        <f aca="false">RANK($BB98,'Your Accounts'!$BB$6:$BB$185)</f>
        <v>108</v>
      </c>
      <c r="BD98" s="15" t="n">
        <f aca="false">SUMIF('Your Accounts'!$BC$6:$BC$185,"&lt;="&amp;$BC98,'Your Accounts'!$BB$6:$BB$185)</f>
        <v>12075006.98</v>
      </c>
      <c r="BE98" s="15" t="n">
        <f aca="false">ROUND($D98*Sensitivity!$C$38+Sensitivity!$D$38,2)</f>
        <v>11925</v>
      </c>
      <c r="BF98" s="15" t="n">
        <f aca="false">ROUND($K98-$BI98,2)</f>
        <v>19343.17</v>
      </c>
      <c r="BG98" s="26" t="n">
        <f aca="false">RANK($BF98,'Your Accounts'!$BF$6:$BF$185)</f>
        <v>104</v>
      </c>
      <c r="BH98" s="15" t="n">
        <f aca="false">SUMIF('Your Accounts'!$BG$6:$BG$185,"&lt;="&amp;$BG98,'Your Accounts'!$BF$6:$BF$185)</f>
        <v>11471339.53</v>
      </c>
      <c r="BI98" s="15" t="n">
        <f aca="false">ROUND($D98*Sensitivity!$C$39+Sensitivity!$D$39,2)</f>
        <v>15900</v>
      </c>
      <c r="BJ98" s="15" t="n">
        <f aca="false">ROUND($K98-$BM98,2)</f>
        <v>15368.17</v>
      </c>
      <c r="BK98" s="26" t="n">
        <f aca="false">RANK($BJ98,'Your Accounts'!$BJ$6:$BJ$185)</f>
        <v>102</v>
      </c>
      <c r="BL98" s="15" t="n">
        <f aca="false">SUMIF('Your Accounts'!$BK$6:$BK$185,"&lt;="&amp;$BK98,'Your Accounts'!$BJ$6:$BJ$185)</f>
        <v>10934950.34</v>
      </c>
      <c r="BM98" s="15" t="n">
        <f aca="false">ROUND($D98*Sensitivity!$C$40+Sensitivity!$D$40,2)</f>
        <v>19875</v>
      </c>
      <c r="BN98" s="15" t="n">
        <f aca="false">ROUND($K98-$BQ98,2)</f>
        <v>11393.17</v>
      </c>
      <c r="BO98" s="26" t="n">
        <f aca="false">RANK($BN98,'Your Accounts'!$BN$6:$BN$185)</f>
        <v>101</v>
      </c>
      <c r="BP98" s="15" t="n">
        <f aca="false">SUMIF('Your Accounts'!$BO$6:$BO$185,"&lt;="&amp;$BO98,'Your Accounts'!$BN$6:$BN$185)</f>
        <v>10427605.9</v>
      </c>
      <c r="BQ98" s="15" t="n">
        <f aca="false">ROUND($D98*Sensitivity!$C$41+Sensitivity!$D$41,2)</f>
        <v>23850</v>
      </c>
    </row>
    <row r="99" customFormat="false" ht="15" hidden="false" customHeight="false" outlineLevel="0" collapsed="false">
      <c r="B99" s="18" t="s">
        <v>210</v>
      </c>
      <c r="C99" s="18" t="s">
        <v>157</v>
      </c>
      <c r="D99" s="24" t="n">
        <v>7</v>
      </c>
      <c r="E99" s="26" t="n">
        <f aca="false">SUMIF('Your Lines'!$B$6:$B$463,$B99,'Your Lines'!$E$6:$E$463)</f>
        <v>1317</v>
      </c>
      <c r="F99" s="15" t="n">
        <f aca="false">ROUND(SUMIF('Your Lines'!$B$6:$B$463,$B99,'Your Lines'!$J$6:$J$463),2)</f>
        <v>96138</v>
      </c>
      <c r="G99" s="15" t="n">
        <f aca="false">ROUND(SUMIF('Your Lines'!$B$6:$B$463,$B99,'Your Lines'!$G$6:$G$463),2)</f>
        <v>86473.4</v>
      </c>
      <c r="H99" s="25" t="n">
        <f aca="false">$G99/$F99</f>
        <v>0.899471592918513</v>
      </c>
      <c r="I99" s="15" t="n">
        <f aca="false">ROUND(SUMIF('Your Lines'!$B$6:$B$463,$B99,'Your Lines'!$K$6:$K$463),2)</f>
        <v>56784</v>
      </c>
      <c r="J99" s="15" t="n">
        <f aca="false">ROUND(SUMIF('Your Lines'!$B$6:$B$463,$B99,'Your Lines'!$L$6:$L$463),2)</f>
        <v>1739.9</v>
      </c>
      <c r="K99" s="15" t="n">
        <f aca="false">ROUND($G99-$I99-$J99,2)</f>
        <v>27949.5</v>
      </c>
      <c r="L99" s="15" t="n">
        <f aca="false">ROUND($D99*'Your Inputs'!$C$40+'Your Inputs'!$C$41,2)</f>
        <v>7515</v>
      </c>
      <c r="M99" s="15" t="n">
        <f aca="false">ROUND($K99-$L99,2)</f>
        <v>20434.5</v>
      </c>
      <c r="N99" s="26" t="n">
        <f aca="false">RANK($M99,'Your Accounts'!$M$6:$M$185)</f>
        <v>124</v>
      </c>
      <c r="O99" s="15" t="n">
        <f aca="false">SUMIF('Your Accounts'!$N$6:$N$185,"&lt;="&amp;$N99,'Your Accounts'!$M$6:$M$185)</f>
        <v>12990835.1</v>
      </c>
      <c r="P99" s="15"/>
      <c r="Q99" s="26" t="n">
        <f aca="false">COUNTIFS('Your Lines'!$B$6:$B$463,$B99,'Your Lines'!$R$6:$R$463,"below the floor")</f>
        <v>0</v>
      </c>
      <c r="R99" s="15" t="n">
        <f aca="false">IF(Q99&gt;0,$K99,0)</f>
        <v>0</v>
      </c>
      <c r="AN99" s="15" t="n">
        <f aca="false">IF(VLOOKUP($C99,'Your Floors'!$B$53:$F$56,5,FALSE())="yes",0,$R99)</f>
        <v>0</v>
      </c>
      <c r="AP99" s="15" t="n">
        <f aca="false">ROUND($K99-$AS99,2)</f>
        <v>24192</v>
      </c>
      <c r="AQ99" s="26" t="n">
        <f aca="false">RANK($AP99,'Your Accounts'!$AP$6:$AP$185)</f>
        <v>126</v>
      </c>
      <c r="AR99" s="15" t="n">
        <f aca="false">SUMIF('Your Accounts'!$AQ$6:$AQ$185,"&lt;="&amp;$AQ99,'Your Accounts'!$AP$6:$AP$185)</f>
        <v>13639360.73</v>
      </c>
      <c r="AS99" s="15" t="n">
        <f aca="false">ROUND($D99*Sensitivity!$C$35+Sensitivity!$D$35,2)</f>
        <v>3757.5</v>
      </c>
      <c r="AT99" s="15" t="n">
        <f aca="false">ROUND($K99-$AW99,2)</f>
        <v>20434.5</v>
      </c>
      <c r="AU99" s="26" t="n">
        <f aca="false">RANK($AT99,'Your Accounts'!$AT$6:$AT$185)</f>
        <v>124</v>
      </c>
      <c r="AV99" s="15" t="n">
        <f aca="false">SUMIF('Your Accounts'!$AU$6:$AU$185,"&lt;="&amp;$AU99,'Your Accounts'!$AT$6:$AT$185)</f>
        <v>12990835.1</v>
      </c>
      <c r="AW99" s="15" t="n">
        <f aca="false">ROUND($D99*Sensitivity!$C$36+Sensitivity!$D$36,2)</f>
        <v>7515</v>
      </c>
      <c r="AX99" s="15" t="n">
        <f aca="false">ROUND($K99-$BA99,2)</f>
        <v>18555.75</v>
      </c>
      <c r="AY99" s="26" t="n">
        <f aca="false">RANK($AX99,'Your Accounts'!$AX$6:$AX$185)</f>
        <v>124</v>
      </c>
      <c r="AZ99" s="15" t="n">
        <f aca="false">SUMIF('Your Accounts'!$AY$6:$AY$185,"&lt;="&amp;$AY99,'Your Accounts'!$AX$6:$AX$185)</f>
        <v>12691206.35</v>
      </c>
      <c r="BA99" s="15" t="n">
        <f aca="false">ROUND($D99*Sensitivity!$C$37+Sensitivity!$D$37,2)</f>
        <v>9393.75</v>
      </c>
      <c r="BB99" s="15" t="n">
        <f aca="false">ROUND($K99-$BE99,2)</f>
        <v>16677</v>
      </c>
      <c r="BC99" s="26" t="n">
        <f aca="false">RANK($BB99,'Your Accounts'!$BB$6:$BB$185)</f>
        <v>124</v>
      </c>
      <c r="BD99" s="15" t="n">
        <f aca="false">SUMIF('Your Accounts'!$BC$6:$BC$185,"&lt;="&amp;$BC99,'Your Accounts'!$BB$6:$BB$185)</f>
        <v>12391577.6</v>
      </c>
      <c r="BE99" s="15" t="n">
        <f aca="false">ROUND($D99*Sensitivity!$C$38+Sensitivity!$D$38,2)</f>
        <v>11272.5</v>
      </c>
      <c r="BF99" s="15" t="n">
        <f aca="false">ROUND($K99-$BI99,2)</f>
        <v>12919.5</v>
      </c>
      <c r="BG99" s="26" t="n">
        <f aca="false">RANK($BF99,'Your Accounts'!$BF$6:$BF$185)</f>
        <v>122</v>
      </c>
      <c r="BH99" s="15" t="n">
        <f aca="false">SUMIF('Your Accounts'!$BG$6:$BG$185,"&lt;="&amp;$BG99,'Your Accounts'!$BF$6:$BF$185)</f>
        <v>11767483.06</v>
      </c>
      <c r="BI99" s="15" t="n">
        <f aca="false">ROUND($D99*Sensitivity!$C$39+Sensitivity!$D$39,2)</f>
        <v>15030</v>
      </c>
      <c r="BJ99" s="15" t="n">
        <f aca="false">ROUND($K99-$BM99,2)</f>
        <v>9162</v>
      </c>
      <c r="BK99" s="26" t="n">
        <f aca="false">RANK($BJ99,'Your Accounts'!$BJ$6:$BJ$185)</f>
        <v>121</v>
      </c>
      <c r="BL99" s="15" t="n">
        <f aca="false">SUMIF('Your Accounts'!$BK$6:$BK$185,"&lt;="&amp;$BK99,'Your Accounts'!$BJ$6:$BJ$185)</f>
        <v>11170066.8</v>
      </c>
      <c r="BM99" s="15" t="n">
        <f aca="false">ROUND($D99*Sensitivity!$C$40+Sensitivity!$D$40,2)</f>
        <v>18787.5</v>
      </c>
      <c r="BN99" s="15" t="n">
        <f aca="false">ROUND($K99-$BQ99,2)</f>
        <v>5404.5</v>
      </c>
      <c r="BO99" s="26" t="n">
        <f aca="false">RANK($BN99,'Your Accounts'!$BN$6:$BN$185)</f>
        <v>121</v>
      </c>
      <c r="BP99" s="15" t="n">
        <f aca="false">SUMIF('Your Accounts'!$BO$6:$BO$185,"&lt;="&amp;$BO99,'Your Accounts'!$BN$6:$BN$185)</f>
        <v>10586431.8</v>
      </c>
      <c r="BQ99" s="15" t="n">
        <f aca="false">ROUND($D99*Sensitivity!$C$41+Sensitivity!$D$41,2)</f>
        <v>22545</v>
      </c>
    </row>
    <row r="100" customFormat="false" ht="15" hidden="false" customHeight="false" outlineLevel="0" collapsed="false">
      <c r="B100" s="18" t="s">
        <v>211</v>
      </c>
      <c r="C100" s="18" t="s">
        <v>157</v>
      </c>
      <c r="D100" s="24" t="n">
        <v>10</v>
      </c>
      <c r="E100" s="26" t="n">
        <f aca="false">SUMIF('Your Lines'!$B$6:$B$463,$B100,'Your Lines'!$E$6:$E$463)</f>
        <v>3311</v>
      </c>
      <c r="F100" s="15" t="n">
        <f aca="false">ROUND(SUMIF('Your Lines'!$B$6:$B$463,$B100,'Your Lines'!$J$6:$J$463),2)</f>
        <v>290208</v>
      </c>
      <c r="G100" s="15" t="n">
        <f aca="false">ROUND(SUMIF('Your Lines'!$B$6:$B$463,$B100,'Your Lines'!$G$6:$G$463),2)</f>
        <v>248220</v>
      </c>
      <c r="H100" s="25" t="n">
        <f aca="false">$G100/$F100</f>
        <v>0.855317565332451</v>
      </c>
      <c r="I100" s="15" t="n">
        <f aca="false">ROUND(SUMIF('Your Lines'!$B$6:$B$463,$B100,'Your Lines'!$K$6:$K$463),2)</f>
        <v>166110</v>
      </c>
      <c r="J100" s="15" t="n">
        <f aca="false">ROUND(SUMIF('Your Lines'!$B$6:$B$463,$B100,'Your Lines'!$L$6:$L$463),2)</f>
        <v>5286.91</v>
      </c>
      <c r="K100" s="15" t="n">
        <f aca="false">ROUND($G100-$I100-$J100,2)</f>
        <v>76823.09</v>
      </c>
      <c r="L100" s="15" t="n">
        <f aca="false">ROUND($D100*'Your Inputs'!$C$40+'Your Inputs'!$C$41,2)</f>
        <v>7950</v>
      </c>
      <c r="M100" s="15" t="n">
        <f aca="false">ROUND($K100-$L100,2)</f>
        <v>68873.09</v>
      </c>
      <c r="N100" s="26" t="n">
        <f aca="false">RANK($M100,'Your Accounts'!$M$6:$M$185)</f>
        <v>53</v>
      </c>
      <c r="O100" s="15" t="n">
        <f aca="false">SUMIF('Your Accounts'!$N$6:$N$185,"&lt;="&amp;$N100,'Your Accounts'!$M$6:$M$185)</f>
        <v>10092875.2</v>
      </c>
      <c r="P100" s="15"/>
      <c r="Q100" s="26" t="n">
        <f aca="false">COUNTIFS('Your Lines'!$B$6:$B$463,$B100,'Your Lines'!$R$6:$R$463,"below the floor")</f>
        <v>1</v>
      </c>
      <c r="R100" s="15" t="n">
        <f aca="false">IF(Q100&gt;0,$K100,0)</f>
        <v>76823.09</v>
      </c>
      <c r="AN100" s="15" t="n">
        <f aca="false">IF(VLOOKUP($C100,'Your Floors'!$B$53:$F$56,5,FALSE())="yes",0,$R100)</f>
        <v>76823.09</v>
      </c>
      <c r="AP100" s="15" t="n">
        <f aca="false">ROUND($K100-$AS100,2)</f>
        <v>72848.09</v>
      </c>
      <c r="AQ100" s="26" t="n">
        <f aca="false">RANK($AP100,'Your Accounts'!$AP$6:$AP$185)</f>
        <v>53</v>
      </c>
      <c r="AR100" s="15" t="n">
        <f aca="false">SUMIF('Your Accounts'!$AQ$6:$AQ$185,"&lt;="&amp;$AQ100,'Your Accounts'!$AP$6:$AP$185)</f>
        <v>10362492.7</v>
      </c>
      <c r="AS100" s="15" t="n">
        <f aca="false">ROUND($D100*Sensitivity!$C$35+Sensitivity!$D$35,2)</f>
        <v>3975</v>
      </c>
      <c r="AT100" s="15" t="n">
        <f aca="false">ROUND($K100-$AW100,2)</f>
        <v>68873.09</v>
      </c>
      <c r="AU100" s="26" t="n">
        <f aca="false">RANK($AT100,'Your Accounts'!$AT$6:$AT$185)</f>
        <v>53</v>
      </c>
      <c r="AV100" s="15" t="n">
        <f aca="false">SUMIF('Your Accounts'!$AU$6:$AU$185,"&lt;="&amp;$AU100,'Your Accounts'!$AT$6:$AT$185)</f>
        <v>10092875.2</v>
      </c>
      <c r="AW100" s="15" t="n">
        <f aca="false">ROUND($D100*Sensitivity!$C$36+Sensitivity!$D$36,2)</f>
        <v>7950</v>
      </c>
      <c r="AX100" s="15" t="n">
        <f aca="false">ROUND($K100-$BA100,2)</f>
        <v>66885.59</v>
      </c>
      <c r="AY100" s="26" t="n">
        <f aca="false">RANK($AX100,'Your Accounts'!$AX$6:$AX$185)</f>
        <v>53</v>
      </c>
      <c r="AZ100" s="15" t="n">
        <f aca="false">SUMIF('Your Accounts'!$AY$6:$AY$185,"&lt;="&amp;$AY100,'Your Accounts'!$AX$6:$AX$185)</f>
        <v>9958066.45</v>
      </c>
      <c r="BA100" s="15" t="n">
        <f aca="false">ROUND($D100*Sensitivity!$C$37+Sensitivity!$D$37,2)</f>
        <v>9937.5</v>
      </c>
      <c r="BB100" s="15" t="n">
        <f aca="false">ROUND($K100-$BE100,2)</f>
        <v>64898.09</v>
      </c>
      <c r="BC100" s="26" t="n">
        <f aca="false">RANK($BB100,'Your Accounts'!$BB$6:$BB$185)</f>
        <v>53</v>
      </c>
      <c r="BD100" s="15" t="n">
        <f aca="false">SUMIF('Your Accounts'!$BC$6:$BC$185,"&lt;="&amp;$BC100,'Your Accounts'!$BB$6:$BB$185)</f>
        <v>9823257.7</v>
      </c>
      <c r="BE100" s="15" t="n">
        <f aca="false">ROUND($D100*Sensitivity!$C$38+Sensitivity!$D$38,2)</f>
        <v>11925</v>
      </c>
      <c r="BF100" s="15" t="n">
        <f aca="false">ROUND($K100-$BI100,2)</f>
        <v>60923.09</v>
      </c>
      <c r="BG100" s="26" t="n">
        <f aca="false">RANK($BF100,'Your Accounts'!$BF$6:$BF$185)</f>
        <v>52</v>
      </c>
      <c r="BH100" s="15" t="n">
        <f aca="false">SUMIF('Your Accounts'!$BG$6:$BG$185,"&lt;="&amp;$BG100,'Your Accounts'!$BF$6:$BF$185)</f>
        <v>9494115.38</v>
      </c>
      <c r="BI100" s="15" t="n">
        <f aca="false">ROUND($D100*Sensitivity!$C$39+Sensitivity!$D$39,2)</f>
        <v>15900</v>
      </c>
      <c r="BJ100" s="15" t="n">
        <f aca="false">ROUND($K100-$BM100,2)</f>
        <v>56948.09</v>
      </c>
      <c r="BK100" s="26" t="n">
        <f aca="false">RANK($BJ100,'Your Accounts'!$BJ$6:$BJ$185)</f>
        <v>51</v>
      </c>
      <c r="BL100" s="15" t="n">
        <f aca="false">SUMIF('Your Accounts'!$BK$6:$BK$185,"&lt;="&amp;$BK100,'Your Accounts'!$BJ$6:$BJ$185)</f>
        <v>9177311.8</v>
      </c>
      <c r="BM100" s="15" t="n">
        <f aca="false">ROUND($D100*Sensitivity!$C$40+Sensitivity!$D$40,2)</f>
        <v>19875</v>
      </c>
      <c r="BN100" s="15" t="n">
        <f aca="false">ROUND($K100-$BQ100,2)</f>
        <v>52973.09</v>
      </c>
      <c r="BO100" s="26" t="n">
        <f aca="false">RANK($BN100,'Your Accounts'!$BN$6:$BN$185)</f>
        <v>50</v>
      </c>
      <c r="BP100" s="15" t="n">
        <f aca="false">SUMIF('Your Accounts'!$BO$6:$BO$185,"&lt;="&amp;$BO100,'Your Accounts'!$BN$6:$BN$185)</f>
        <v>8871844.67</v>
      </c>
      <c r="BQ100" s="15" t="n">
        <f aca="false">ROUND($D100*Sensitivity!$C$41+Sensitivity!$D$41,2)</f>
        <v>23850</v>
      </c>
    </row>
    <row r="101" customFormat="false" ht="15" hidden="false" customHeight="false" outlineLevel="0" collapsed="false">
      <c r="B101" s="18" t="s">
        <v>212</v>
      </c>
      <c r="C101" s="18" t="s">
        <v>157</v>
      </c>
      <c r="D101" s="24" t="n">
        <v>18</v>
      </c>
      <c r="E101" s="26" t="n">
        <f aca="false">SUMIF('Your Lines'!$B$6:$B$463,$B101,'Your Lines'!$E$6:$E$463)</f>
        <v>4605</v>
      </c>
      <c r="F101" s="15" t="n">
        <f aca="false">ROUND(SUMIF('Your Lines'!$B$6:$B$463,$B101,'Your Lines'!$J$6:$J$463),2)</f>
        <v>401286</v>
      </c>
      <c r="G101" s="15" t="n">
        <f aca="false">ROUND(SUMIF('Your Lines'!$B$6:$B$463,$B101,'Your Lines'!$G$6:$G$463),2)</f>
        <v>352476.21</v>
      </c>
      <c r="H101" s="25" t="n">
        <f aca="false">$G101/$F101</f>
        <v>0.878366576456692</v>
      </c>
      <c r="I101" s="15" t="n">
        <f aca="false">ROUND(SUMIF('Your Lines'!$B$6:$B$463,$B101,'Your Lines'!$K$6:$K$463),2)</f>
        <v>228780</v>
      </c>
      <c r="J101" s="15" t="n">
        <f aca="false">ROUND(SUMIF('Your Lines'!$B$6:$B$463,$B101,'Your Lines'!$L$6:$L$463),2)</f>
        <v>7428.37</v>
      </c>
      <c r="K101" s="15" t="n">
        <f aca="false">ROUND($G101-$I101-$J101,2)</f>
        <v>116267.84</v>
      </c>
      <c r="L101" s="15" t="n">
        <f aca="false">ROUND($D101*'Your Inputs'!$C$40+'Your Inputs'!$C$41,2)</f>
        <v>9110</v>
      </c>
      <c r="M101" s="15" t="n">
        <f aca="false">ROUND($K101-$L101,2)</f>
        <v>107157.84</v>
      </c>
      <c r="N101" s="26" t="n">
        <f aca="false">RANK($M101,'Your Accounts'!$M$6:$M$185)</f>
        <v>33</v>
      </c>
      <c r="O101" s="15" t="n">
        <f aca="false">SUMIF('Your Accounts'!$N$6:$N$185,"&lt;="&amp;$N101,'Your Accounts'!$M$6:$M$185)</f>
        <v>8381417.14</v>
      </c>
      <c r="P101" s="15"/>
      <c r="Q101" s="26" t="n">
        <f aca="false">COUNTIFS('Your Lines'!$B$6:$B$463,$B101,'Your Lines'!$R$6:$R$463,"below the floor")</f>
        <v>0</v>
      </c>
      <c r="R101" s="15" t="n">
        <f aca="false">IF(Q101&gt;0,$K101,0)</f>
        <v>0</v>
      </c>
      <c r="AN101" s="15" t="n">
        <f aca="false">IF(VLOOKUP($C101,'Your Floors'!$B$53:$F$56,5,FALSE())="yes",0,$R101)</f>
        <v>0</v>
      </c>
      <c r="AP101" s="15" t="n">
        <f aca="false">ROUND($K101-$AS101,2)</f>
        <v>111712.84</v>
      </c>
      <c r="AQ101" s="26" t="n">
        <f aca="false">RANK($AP101,'Your Accounts'!$AP$6:$AP$185)</f>
        <v>34</v>
      </c>
      <c r="AR101" s="15" t="n">
        <f aca="false">SUMIF('Your Accounts'!$AQ$6:$AQ$185,"&lt;="&amp;$AQ101,'Your Accounts'!$AP$6:$AP$185)</f>
        <v>8664024.68</v>
      </c>
      <c r="AS101" s="15" t="n">
        <f aca="false">ROUND($D101*Sensitivity!$C$35+Sensitivity!$D$35,2)</f>
        <v>4555</v>
      </c>
      <c r="AT101" s="15" t="n">
        <f aca="false">ROUND($K101-$AW101,2)</f>
        <v>107157.84</v>
      </c>
      <c r="AU101" s="26" t="n">
        <f aca="false">RANK($AT101,'Your Accounts'!$AT$6:$AT$185)</f>
        <v>33</v>
      </c>
      <c r="AV101" s="15" t="n">
        <f aca="false">SUMIF('Your Accounts'!$AU$6:$AU$185,"&lt;="&amp;$AU101,'Your Accounts'!$AT$6:$AT$185)</f>
        <v>8381417.14</v>
      </c>
      <c r="AW101" s="15" t="n">
        <f aca="false">ROUND($D101*Sensitivity!$C$36+Sensitivity!$D$36,2)</f>
        <v>9110</v>
      </c>
      <c r="AX101" s="15" t="n">
        <f aca="false">ROUND($K101-$BA101,2)</f>
        <v>104880.34</v>
      </c>
      <c r="AY101" s="26" t="n">
        <f aca="false">RANK($AX101,'Your Accounts'!$AX$6:$AX$185)</f>
        <v>33</v>
      </c>
      <c r="AZ101" s="15" t="n">
        <f aca="false">SUMIF('Your Accounts'!$AY$6:$AY$185,"&lt;="&amp;$AY101,'Your Accounts'!$AX$6:$AX$185)</f>
        <v>8296145.89</v>
      </c>
      <c r="BA101" s="15" t="n">
        <f aca="false">ROUND($D101*Sensitivity!$C$37+Sensitivity!$D$37,2)</f>
        <v>11387.5</v>
      </c>
      <c r="BB101" s="15" t="n">
        <f aca="false">ROUND($K101-$BE101,2)</f>
        <v>102602.84</v>
      </c>
      <c r="BC101" s="26" t="n">
        <f aca="false">RANK($BB101,'Your Accounts'!$BB$6:$BB$185)</f>
        <v>33</v>
      </c>
      <c r="BD101" s="15" t="n">
        <f aca="false">SUMIF('Your Accounts'!$BC$6:$BC$185,"&lt;="&amp;$BC101,'Your Accounts'!$BB$6:$BB$185)</f>
        <v>8210874.64</v>
      </c>
      <c r="BE101" s="15" t="n">
        <f aca="false">ROUND($D101*Sensitivity!$C$38+Sensitivity!$D$38,2)</f>
        <v>13665</v>
      </c>
      <c r="BF101" s="15" t="n">
        <f aca="false">ROUND($K101-$BI101,2)</f>
        <v>98047.84</v>
      </c>
      <c r="BG101" s="26" t="n">
        <f aca="false">RANK($BF101,'Your Accounts'!$BF$6:$BF$185)</f>
        <v>33</v>
      </c>
      <c r="BH101" s="15" t="n">
        <f aca="false">SUMIF('Your Accounts'!$BG$6:$BG$185,"&lt;="&amp;$BG101,'Your Accounts'!$BF$6:$BF$185)</f>
        <v>8040332.14</v>
      </c>
      <c r="BI101" s="15" t="n">
        <f aca="false">ROUND($D101*Sensitivity!$C$39+Sensitivity!$D$39,2)</f>
        <v>18220</v>
      </c>
      <c r="BJ101" s="15" t="n">
        <f aca="false">ROUND($K101-$BM101,2)</f>
        <v>93492.84</v>
      </c>
      <c r="BK101" s="26" t="n">
        <f aca="false">RANK($BJ101,'Your Accounts'!$BJ$6:$BJ$185)</f>
        <v>33</v>
      </c>
      <c r="BL101" s="15" t="n">
        <f aca="false">SUMIF('Your Accounts'!$BK$6:$BK$185,"&lt;="&amp;$BK101,'Your Accounts'!$BJ$6:$BJ$185)</f>
        <v>7869789.64</v>
      </c>
      <c r="BM101" s="15" t="n">
        <f aca="false">ROUND($D101*Sensitivity!$C$40+Sensitivity!$D$40,2)</f>
        <v>22775</v>
      </c>
      <c r="BN101" s="15" t="n">
        <f aca="false">ROUND($K101-$BQ101,2)</f>
        <v>88937.84</v>
      </c>
      <c r="BO101" s="26" t="n">
        <f aca="false">RANK($BN101,'Your Accounts'!$BN$6:$BN$185)</f>
        <v>33</v>
      </c>
      <c r="BP101" s="15" t="n">
        <f aca="false">SUMIF('Your Accounts'!$BO$6:$BO$185,"&lt;="&amp;$BO101,'Your Accounts'!$BN$6:$BN$185)</f>
        <v>7699247.14</v>
      </c>
      <c r="BQ101" s="15" t="n">
        <f aca="false">ROUND($D101*Sensitivity!$C$41+Sensitivity!$D$41,2)</f>
        <v>27330</v>
      </c>
    </row>
    <row r="102" customFormat="false" ht="15" hidden="false" customHeight="false" outlineLevel="0" collapsed="false">
      <c r="B102" s="18" t="s">
        <v>213</v>
      </c>
      <c r="C102" s="18" t="s">
        <v>157</v>
      </c>
      <c r="D102" s="24" t="n">
        <v>7</v>
      </c>
      <c r="E102" s="26" t="n">
        <f aca="false">SUMIF('Your Lines'!$B$6:$B$463,$B102,'Your Lines'!$E$6:$E$463)</f>
        <v>2483</v>
      </c>
      <c r="F102" s="15" t="n">
        <f aca="false">ROUND(SUMIF('Your Lines'!$B$6:$B$463,$B102,'Your Lines'!$J$6:$J$463),2)</f>
        <v>205890</v>
      </c>
      <c r="G102" s="15" t="n">
        <f aca="false">ROUND(SUMIF('Your Lines'!$B$6:$B$463,$B102,'Your Lines'!$G$6:$G$463),2)</f>
        <v>175905.56</v>
      </c>
      <c r="H102" s="25" t="n">
        <f aca="false">$G102/$F102</f>
        <v>0.854366700665404</v>
      </c>
      <c r="I102" s="15" t="n">
        <f aca="false">ROUND(SUMIF('Your Lines'!$B$6:$B$463,$B102,'Your Lines'!$K$6:$K$463),2)</f>
        <v>114756</v>
      </c>
      <c r="J102" s="15" t="n">
        <f aca="false">ROUND(SUMIF('Your Lines'!$B$6:$B$463,$B102,'Your Lines'!$L$6:$L$463),2)</f>
        <v>3539.35</v>
      </c>
      <c r="K102" s="15" t="n">
        <f aca="false">ROUND($G102-$I102-$J102,2)</f>
        <v>57610.21</v>
      </c>
      <c r="L102" s="15" t="n">
        <f aca="false">ROUND($D102*'Your Inputs'!$C$40+'Your Inputs'!$C$41,2)</f>
        <v>7515</v>
      </c>
      <c r="M102" s="15" t="n">
        <f aca="false">ROUND($K102-$L102,2)</f>
        <v>50095.21</v>
      </c>
      <c r="N102" s="26" t="n">
        <f aca="false">RANK($M102,'Your Accounts'!$M$6:$M$185)</f>
        <v>77</v>
      </c>
      <c r="O102" s="15" t="n">
        <f aca="false">SUMIF('Your Accounts'!$N$6:$N$185,"&lt;="&amp;$N102,'Your Accounts'!$M$6:$M$185)</f>
        <v>11467792.85</v>
      </c>
      <c r="P102" s="15"/>
      <c r="Q102" s="26" t="n">
        <f aca="false">COUNTIFS('Your Lines'!$B$6:$B$463,$B102,'Your Lines'!$R$6:$R$463,"below the floor")</f>
        <v>1</v>
      </c>
      <c r="R102" s="15" t="n">
        <f aca="false">IF(Q102&gt;0,$K102,0)</f>
        <v>57610.21</v>
      </c>
      <c r="AN102" s="15" t="n">
        <f aca="false">IF(VLOOKUP($C102,'Your Floors'!$B$53:$F$56,5,FALSE())="yes",0,$R102)</f>
        <v>57610.21</v>
      </c>
      <c r="AP102" s="15" t="n">
        <f aca="false">ROUND($K102-$AS102,2)</f>
        <v>53852.71</v>
      </c>
      <c r="AQ102" s="26" t="n">
        <f aca="false">RANK($AP102,'Your Accounts'!$AP$6:$AP$185)</f>
        <v>78</v>
      </c>
      <c r="AR102" s="15" t="n">
        <f aca="false">SUMIF('Your Accounts'!$AQ$6:$AQ$185,"&lt;="&amp;$AQ102,'Your Accounts'!$AP$6:$AP$185)</f>
        <v>11904722.79</v>
      </c>
      <c r="AS102" s="15" t="n">
        <f aca="false">ROUND($D102*Sensitivity!$C$35+Sensitivity!$D$35,2)</f>
        <v>3757.5</v>
      </c>
      <c r="AT102" s="15" t="n">
        <f aca="false">ROUND($K102-$AW102,2)</f>
        <v>50095.21</v>
      </c>
      <c r="AU102" s="26" t="n">
        <f aca="false">RANK($AT102,'Your Accounts'!$AT$6:$AT$185)</f>
        <v>77</v>
      </c>
      <c r="AV102" s="15" t="n">
        <f aca="false">SUMIF('Your Accounts'!$AU$6:$AU$185,"&lt;="&amp;$AU102,'Your Accounts'!$AT$6:$AT$185)</f>
        <v>11467792.85</v>
      </c>
      <c r="AW102" s="15" t="n">
        <f aca="false">ROUND($D102*Sensitivity!$C$36+Sensitivity!$D$36,2)</f>
        <v>7515</v>
      </c>
      <c r="AX102" s="15" t="n">
        <f aca="false">ROUND($K102-$BA102,2)</f>
        <v>48216.46</v>
      </c>
      <c r="AY102" s="26" t="n">
        <f aca="false">RANK($AX102,'Your Accounts'!$AX$6:$AX$185)</f>
        <v>76</v>
      </c>
      <c r="AZ102" s="15" t="n">
        <f aca="false">SUMIF('Your Accounts'!$AY$6:$AY$185,"&lt;="&amp;$AY102,'Your Accounts'!$AX$6:$AX$185)</f>
        <v>11228779.49</v>
      </c>
      <c r="BA102" s="15" t="n">
        <f aca="false">ROUND($D102*Sensitivity!$C$37+Sensitivity!$D$37,2)</f>
        <v>9393.75</v>
      </c>
      <c r="BB102" s="15" t="n">
        <f aca="false">ROUND($K102-$BE102,2)</f>
        <v>46337.71</v>
      </c>
      <c r="BC102" s="26" t="n">
        <f aca="false">RANK($BB102,'Your Accounts'!$BB$6:$BB$185)</f>
        <v>75</v>
      </c>
      <c r="BD102" s="15" t="n">
        <f aca="false">SUMIF('Your Accounts'!$BC$6:$BC$185,"&lt;="&amp;$BC102,'Your Accounts'!$BB$6:$BB$185)</f>
        <v>10994503.8</v>
      </c>
      <c r="BE102" s="15" t="n">
        <f aca="false">ROUND($D102*Sensitivity!$C$38+Sensitivity!$D$38,2)</f>
        <v>11272.5</v>
      </c>
      <c r="BF102" s="15" t="n">
        <f aca="false">ROUND($K102-$BI102,2)</f>
        <v>42580.21</v>
      </c>
      <c r="BG102" s="26" t="n">
        <f aca="false">RANK($BF102,'Your Accounts'!$BF$6:$BF$185)</f>
        <v>75</v>
      </c>
      <c r="BH102" s="15" t="n">
        <f aca="false">SUMIF('Your Accounts'!$BG$6:$BG$185,"&lt;="&amp;$BG102,'Your Accounts'!$BF$6:$BF$185)</f>
        <v>10622936.3</v>
      </c>
      <c r="BI102" s="15" t="n">
        <f aca="false">ROUND($D102*Sensitivity!$C$39+Sensitivity!$D$39,2)</f>
        <v>15030</v>
      </c>
      <c r="BJ102" s="15" t="n">
        <f aca="false">ROUND($K102-$BM102,2)</f>
        <v>38822.71</v>
      </c>
      <c r="BK102" s="26" t="n">
        <f aca="false">RANK($BJ102,'Your Accounts'!$BJ$6:$BJ$185)</f>
        <v>73</v>
      </c>
      <c r="BL102" s="15" t="n">
        <f aca="false">SUMIF('Your Accounts'!$BK$6:$BK$185,"&lt;="&amp;$BK102,'Your Accounts'!$BJ$6:$BJ$185)</f>
        <v>10176973.28</v>
      </c>
      <c r="BM102" s="15" t="n">
        <f aca="false">ROUND($D102*Sensitivity!$C$40+Sensitivity!$D$40,2)</f>
        <v>18787.5</v>
      </c>
      <c r="BN102" s="15" t="n">
        <f aca="false">ROUND($K102-$BQ102,2)</f>
        <v>35065.21</v>
      </c>
      <c r="BO102" s="26" t="n">
        <f aca="false">RANK($BN102,'Your Accounts'!$BN$6:$BN$185)</f>
        <v>72</v>
      </c>
      <c r="BP102" s="15" t="n">
        <f aca="false">SUMIF('Your Accounts'!$BO$6:$BO$185,"&lt;="&amp;$BO102,'Your Accounts'!$BN$6:$BN$185)</f>
        <v>9784160.3</v>
      </c>
      <c r="BQ102" s="15" t="n">
        <f aca="false">ROUND($D102*Sensitivity!$C$41+Sensitivity!$D$41,2)</f>
        <v>22545</v>
      </c>
    </row>
    <row r="103" customFormat="false" ht="15" hidden="false" customHeight="false" outlineLevel="0" collapsed="false">
      <c r="B103" s="18" t="s">
        <v>214</v>
      </c>
      <c r="C103" s="18" t="s">
        <v>157</v>
      </c>
      <c r="D103" s="24" t="n">
        <v>4</v>
      </c>
      <c r="E103" s="26" t="n">
        <f aca="false">SUMIF('Your Lines'!$B$6:$B$463,$B103,'Your Lines'!$E$6:$E$463)</f>
        <v>923</v>
      </c>
      <c r="F103" s="15" t="n">
        <f aca="false">ROUND(SUMIF('Your Lines'!$B$6:$B$463,$B103,'Your Lines'!$J$6:$J$463),2)</f>
        <v>57226</v>
      </c>
      <c r="G103" s="15" t="n">
        <f aca="false">ROUND(SUMIF('Your Lines'!$B$6:$B$463,$B103,'Your Lines'!$G$6:$G$463),2)</f>
        <v>50900.95</v>
      </c>
      <c r="H103" s="25" t="n">
        <f aca="false">$G103/$F103</f>
        <v>0.889472442596023</v>
      </c>
      <c r="I103" s="15" t="n">
        <f aca="false">ROUND(SUMIF('Your Lines'!$B$6:$B$463,$B103,'Your Lines'!$K$6:$K$463),2)</f>
        <v>33228</v>
      </c>
      <c r="J103" s="15" t="n">
        <f aca="false">ROUND(SUMIF('Your Lines'!$B$6:$B$463,$B103,'Your Lines'!$L$6:$L$463),2)</f>
        <v>1061.54</v>
      </c>
      <c r="K103" s="15" t="n">
        <f aca="false">ROUND($G103-$I103-$J103,2)</f>
        <v>16611.41</v>
      </c>
      <c r="L103" s="15" t="n">
        <f aca="false">ROUND($D103*'Your Inputs'!$C$40+'Your Inputs'!$C$41,2)</f>
        <v>7080</v>
      </c>
      <c r="M103" s="15" t="n">
        <f aca="false">ROUND($K103-$L103,2)</f>
        <v>9531.41</v>
      </c>
      <c r="N103" s="26" t="n">
        <f aca="false">RANK($M103,'Your Accounts'!$M$6:$M$185)</f>
        <v>155</v>
      </c>
      <c r="O103" s="15" t="n">
        <f aca="false">SUMIF('Your Accounts'!$N$6:$N$185,"&lt;="&amp;$N103,'Your Accounts'!$M$6:$M$185)</f>
        <v>13434988.39</v>
      </c>
      <c r="P103" s="15"/>
      <c r="Q103" s="26" t="n">
        <f aca="false">COUNTIFS('Your Lines'!$B$6:$B$463,$B103,'Your Lines'!$R$6:$R$463,"below the floor")</f>
        <v>0</v>
      </c>
      <c r="R103" s="15" t="n">
        <f aca="false">IF(Q103&gt;0,$K103,0)</f>
        <v>0</v>
      </c>
      <c r="AN103" s="15" t="n">
        <f aca="false">IF(VLOOKUP($C103,'Your Floors'!$B$53:$F$56,5,FALSE())="yes",0,$R103)</f>
        <v>0</v>
      </c>
      <c r="AP103" s="15" t="n">
        <f aca="false">ROUND($K103-$AS103,2)</f>
        <v>13071.41</v>
      </c>
      <c r="AQ103" s="26" t="n">
        <f aca="false">RANK($AP103,'Your Accounts'!$AP$6:$AP$185)</f>
        <v>157</v>
      </c>
      <c r="AR103" s="15" t="n">
        <f aca="false">SUMIF('Your Accounts'!$AQ$6:$AQ$185,"&lt;="&amp;$AQ103,'Your Accounts'!$AP$6:$AP$185)</f>
        <v>14192261.35</v>
      </c>
      <c r="AS103" s="15" t="n">
        <f aca="false">ROUND($D103*Sensitivity!$C$35+Sensitivity!$D$35,2)</f>
        <v>3540</v>
      </c>
      <c r="AT103" s="15" t="n">
        <f aca="false">ROUND($K103-$AW103,2)</f>
        <v>9531.41</v>
      </c>
      <c r="AU103" s="26" t="n">
        <f aca="false">RANK($AT103,'Your Accounts'!$AT$6:$AT$185)</f>
        <v>155</v>
      </c>
      <c r="AV103" s="15" t="n">
        <f aca="false">SUMIF('Your Accounts'!$AU$6:$AU$185,"&lt;="&amp;$AU103,'Your Accounts'!$AT$6:$AT$185)</f>
        <v>13434988.39</v>
      </c>
      <c r="AW103" s="15" t="n">
        <f aca="false">ROUND($D103*Sensitivity!$C$36+Sensitivity!$D$36,2)</f>
        <v>7080</v>
      </c>
      <c r="AX103" s="15" t="n">
        <f aca="false">ROUND($K103-$BA103,2)</f>
        <v>7761.41</v>
      </c>
      <c r="AY103" s="26" t="n">
        <f aca="false">RANK($AX103,'Your Accounts'!$AX$6:$AX$185)</f>
        <v>154</v>
      </c>
      <c r="AZ103" s="15" t="n">
        <f aca="false">SUMIF('Your Accounts'!$AY$6:$AY$185,"&lt;="&amp;$AY103,'Your Accounts'!$AX$6:$AX$185)</f>
        <v>13061718.77</v>
      </c>
      <c r="BA103" s="15" t="n">
        <f aca="false">ROUND($D103*Sensitivity!$C$37+Sensitivity!$D$37,2)</f>
        <v>8850</v>
      </c>
      <c r="BB103" s="15" t="n">
        <f aca="false">ROUND($K103-$BE103,2)</f>
        <v>5991.41</v>
      </c>
      <c r="BC103" s="26" t="n">
        <f aca="false">RANK($BB103,'Your Accounts'!$BB$6:$BB$185)</f>
        <v>154</v>
      </c>
      <c r="BD103" s="15" t="n">
        <f aca="false">SUMIF('Your Accounts'!$BC$6:$BC$185,"&lt;="&amp;$BC103,'Your Accounts'!$BB$6:$BB$185)</f>
        <v>12698296.27</v>
      </c>
      <c r="BE103" s="15" t="n">
        <f aca="false">ROUND($D103*Sensitivity!$C$38+Sensitivity!$D$38,2)</f>
        <v>10620</v>
      </c>
      <c r="BF103" s="15" t="n">
        <f aca="false">ROUND($K103-$BI103,2)</f>
        <v>2451.41</v>
      </c>
      <c r="BG103" s="26" t="n">
        <f aca="false">RANK($BF103,'Your Accounts'!$BF$6:$BF$185)</f>
        <v>152</v>
      </c>
      <c r="BH103" s="15" t="n">
        <f aca="false">SUMIF('Your Accounts'!$BG$6:$BG$185,"&lt;="&amp;$BG103,'Your Accounts'!$BF$6:$BF$185)</f>
        <v>11968635.76</v>
      </c>
      <c r="BI103" s="15" t="n">
        <f aca="false">ROUND($D103*Sensitivity!$C$39+Sensitivity!$D$39,2)</f>
        <v>14160</v>
      </c>
      <c r="BJ103" s="15" t="n">
        <f aca="false">ROUND($K103-$BM103,2)</f>
        <v>-1088.59</v>
      </c>
      <c r="BK103" s="26" t="n">
        <f aca="false">RANK($BJ103,'Your Accounts'!$BJ$6:$BJ$185)</f>
        <v>151</v>
      </c>
      <c r="BL103" s="15" t="n">
        <f aca="false">SUMIF('Your Accounts'!$BK$6:$BK$185,"&lt;="&amp;$BK103,'Your Accounts'!$BJ$6:$BJ$185)</f>
        <v>11253326.03</v>
      </c>
      <c r="BM103" s="15" t="n">
        <f aca="false">ROUND($D103*Sensitivity!$C$40+Sensitivity!$D$40,2)</f>
        <v>17700</v>
      </c>
      <c r="BN103" s="15" t="n">
        <f aca="false">ROUND($K103-$BQ103,2)</f>
        <v>-4628.59</v>
      </c>
      <c r="BO103" s="26" t="n">
        <f aca="false">RANK($BN103,'Your Accounts'!$BN$6:$BN$185)</f>
        <v>150</v>
      </c>
      <c r="BP103" s="15" t="n">
        <f aca="false">SUMIF('Your Accounts'!$BO$6:$BO$185,"&lt;="&amp;$BO103,'Your Accounts'!$BN$6:$BN$185)</f>
        <v>10546383.61</v>
      </c>
      <c r="BQ103" s="15" t="n">
        <f aca="false">ROUND($D103*Sensitivity!$C$41+Sensitivity!$D$41,2)</f>
        <v>21240</v>
      </c>
    </row>
    <row r="104" customFormat="false" ht="15" hidden="false" customHeight="false" outlineLevel="0" collapsed="false">
      <c r="B104" s="18" t="s">
        <v>215</v>
      </c>
      <c r="C104" s="18" t="s">
        <v>157</v>
      </c>
      <c r="D104" s="24" t="n">
        <v>7</v>
      </c>
      <c r="E104" s="26" t="n">
        <f aca="false">SUMIF('Your Lines'!$B$6:$B$463,$B104,'Your Lines'!$E$6:$E$463)</f>
        <v>2100</v>
      </c>
      <c r="F104" s="15" t="n">
        <f aca="false">ROUND(SUMIF('Your Lines'!$B$6:$B$463,$B104,'Your Lines'!$J$6:$J$463),2)</f>
        <v>241952</v>
      </c>
      <c r="G104" s="15" t="n">
        <f aca="false">ROUND(SUMIF('Your Lines'!$B$6:$B$463,$B104,'Your Lines'!$G$6:$G$463),2)</f>
        <v>205413.69</v>
      </c>
      <c r="H104" s="25" t="n">
        <f aca="false">$G104/$F104</f>
        <v>0.848985294603888</v>
      </c>
      <c r="I104" s="15" t="n">
        <f aca="false">ROUND(SUMIF('Your Lines'!$B$6:$B$463,$B104,'Your Lines'!$K$6:$K$463),2)</f>
        <v>137320</v>
      </c>
      <c r="J104" s="15" t="n">
        <f aca="false">ROUND(SUMIF('Your Lines'!$B$6:$B$463,$B104,'Your Lines'!$L$6:$L$463),2)</f>
        <v>4239.71</v>
      </c>
      <c r="K104" s="15" t="n">
        <f aca="false">ROUND($G104-$I104-$J104,2)</f>
        <v>63853.98</v>
      </c>
      <c r="L104" s="15" t="n">
        <f aca="false">ROUND($D104*'Your Inputs'!$C$40+'Your Inputs'!$C$41,2)</f>
        <v>7515</v>
      </c>
      <c r="M104" s="15" t="n">
        <f aca="false">ROUND($K104-$L104,2)</f>
        <v>56338.98</v>
      </c>
      <c r="N104" s="26" t="n">
        <f aca="false">RANK($M104,'Your Accounts'!$M$6:$M$185)</f>
        <v>68</v>
      </c>
      <c r="O104" s="15" t="n">
        <f aca="false">SUMIF('Your Accounts'!$N$6:$N$185,"&lt;="&amp;$N104,'Your Accounts'!$M$6:$M$185)</f>
        <v>10994787.21</v>
      </c>
      <c r="P104" s="15"/>
      <c r="Q104" s="26" t="n">
        <f aca="false">COUNTIFS('Your Lines'!$B$6:$B$463,$B104,'Your Lines'!$R$6:$R$463,"below the floor")</f>
        <v>2</v>
      </c>
      <c r="R104" s="15" t="n">
        <f aca="false">IF(Q104&gt;0,$K104,0)</f>
        <v>63853.98</v>
      </c>
      <c r="AN104" s="15" t="n">
        <f aca="false">IF(VLOOKUP($C104,'Your Floors'!$B$53:$F$56,5,FALSE())="yes",0,$R104)</f>
        <v>63853.98</v>
      </c>
      <c r="AP104" s="15" t="n">
        <f aca="false">ROUND($K104-$AS104,2)</f>
        <v>60096.48</v>
      </c>
      <c r="AQ104" s="26" t="n">
        <f aca="false">RANK($AP104,'Your Accounts'!$AP$6:$AP$185)</f>
        <v>69</v>
      </c>
      <c r="AR104" s="15" t="n">
        <f aca="false">SUMIF('Your Accounts'!$AQ$6:$AQ$185,"&lt;="&amp;$AQ104,'Your Accounts'!$AP$6:$AP$185)</f>
        <v>11397372.11</v>
      </c>
      <c r="AS104" s="15" t="n">
        <f aca="false">ROUND($D104*Sensitivity!$C$35+Sensitivity!$D$35,2)</f>
        <v>3757.5</v>
      </c>
      <c r="AT104" s="15" t="n">
        <f aca="false">ROUND($K104-$AW104,2)</f>
        <v>56338.98</v>
      </c>
      <c r="AU104" s="26" t="n">
        <f aca="false">RANK($AT104,'Your Accounts'!$AT$6:$AT$185)</f>
        <v>68</v>
      </c>
      <c r="AV104" s="15" t="n">
        <f aca="false">SUMIF('Your Accounts'!$AU$6:$AU$185,"&lt;="&amp;$AU104,'Your Accounts'!$AT$6:$AT$185)</f>
        <v>10994787.21</v>
      </c>
      <c r="AW104" s="15" t="n">
        <f aca="false">ROUND($D104*Sensitivity!$C$36+Sensitivity!$D$36,2)</f>
        <v>7515</v>
      </c>
      <c r="AX104" s="15" t="n">
        <f aca="false">ROUND($K104-$BA104,2)</f>
        <v>54460.23</v>
      </c>
      <c r="AY104" s="26" t="n">
        <f aca="false">RANK($AX104,'Your Accounts'!$AX$6:$AX$185)</f>
        <v>68</v>
      </c>
      <c r="AZ104" s="15" t="n">
        <f aca="false">SUMIF('Your Accounts'!$AY$6:$AY$185,"&lt;="&amp;$AY104,'Your Accounts'!$AX$6:$AX$185)</f>
        <v>10824510.96</v>
      </c>
      <c r="BA104" s="15" t="n">
        <f aca="false">ROUND($D104*Sensitivity!$C$37+Sensitivity!$D$37,2)</f>
        <v>9393.75</v>
      </c>
      <c r="BB104" s="15" t="n">
        <f aca="false">ROUND($K104-$BE104,2)</f>
        <v>52581.48</v>
      </c>
      <c r="BC104" s="26" t="n">
        <f aca="false">RANK($BB104,'Your Accounts'!$BB$6:$BB$185)</f>
        <v>65</v>
      </c>
      <c r="BD104" s="15" t="n">
        <f aca="false">SUMIF('Your Accounts'!$BC$6:$BC$185,"&lt;="&amp;$BC104,'Your Accounts'!$BB$6:$BB$185)</f>
        <v>10497595.31</v>
      </c>
      <c r="BE104" s="15" t="n">
        <f aca="false">ROUND($D104*Sensitivity!$C$38+Sensitivity!$D$38,2)</f>
        <v>11272.5</v>
      </c>
      <c r="BF104" s="15" t="n">
        <f aca="false">ROUND($K104-$BI104,2)</f>
        <v>48823.98</v>
      </c>
      <c r="BG104" s="26" t="n">
        <f aca="false">RANK($BF104,'Your Accounts'!$BF$6:$BF$185)</f>
        <v>62</v>
      </c>
      <c r="BH104" s="15" t="n">
        <f aca="false">SUMIF('Your Accounts'!$BG$6:$BG$185,"&lt;="&amp;$BG104,'Your Accounts'!$BF$6:$BF$185)</f>
        <v>10028377.52</v>
      </c>
      <c r="BI104" s="15" t="n">
        <f aca="false">ROUND($D104*Sensitivity!$C$39+Sensitivity!$D$39,2)</f>
        <v>15030</v>
      </c>
      <c r="BJ104" s="15" t="n">
        <f aca="false">ROUND($K104-$BM104,2)</f>
        <v>45066.48</v>
      </c>
      <c r="BK104" s="26" t="n">
        <f aca="false">RANK($BJ104,'Your Accounts'!$BJ$6:$BJ$185)</f>
        <v>62</v>
      </c>
      <c r="BL104" s="15" t="n">
        <f aca="false">SUMIF('Your Accounts'!$BK$6:$BK$185,"&lt;="&amp;$BK104,'Your Accounts'!$BJ$6:$BJ$185)</f>
        <v>9718635.02</v>
      </c>
      <c r="BM104" s="15" t="n">
        <f aca="false">ROUND($D104*Sensitivity!$C$40+Sensitivity!$D$40,2)</f>
        <v>18787.5</v>
      </c>
      <c r="BN104" s="15" t="n">
        <f aca="false">ROUND($K104-$BQ104,2)</f>
        <v>41308.98</v>
      </c>
      <c r="BO104" s="26" t="n">
        <f aca="false">RANK($BN104,'Your Accounts'!$BN$6:$BN$185)</f>
        <v>61</v>
      </c>
      <c r="BP104" s="15" t="n">
        <f aca="false">SUMIF('Your Accounts'!$BO$6:$BO$185,"&lt;="&amp;$BO104,'Your Accounts'!$BN$6:$BN$185)</f>
        <v>9368859.88</v>
      </c>
      <c r="BQ104" s="15" t="n">
        <f aca="false">ROUND($D104*Sensitivity!$C$41+Sensitivity!$D$41,2)</f>
        <v>22545</v>
      </c>
    </row>
    <row r="105" customFormat="false" ht="15" hidden="false" customHeight="false" outlineLevel="0" collapsed="false">
      <c r="B105" s="18" t="s">
        <v>216</v>
      </c>
      <c r="C105" s="18" t="s">
        <v>157</v>
      </c>
      <c r="D105" s="24" t="n">
        <v>7</v>
      </c>
      <c r="E105" s="26" t="n">
        <f aca="false">SUMIF('Your Lines'!$B$6:$B$463,$B105,'Your Lines'!$E$6:$E$463)</f>
        <v>1921</v>
      </c>
      <c r="F105" s="15" t="n">
        <f aca="false">ROUND(SUMIF('Your Lines'!$B$6:$B$463,$B105,'Your Lines'!$J$6:$J$463),2)</f>
        <v>140590</v>
      </c>
      <c r="G105" s="15" t="n">
        <f aca="false">ROUND(SUMIF('Your Lines'!$B$6:$B$463,$B105,'Your Lines'!$G$6:$G$463),2)</f>
        <v>126719.58</v>
      </c>
      <c r="H105" s="25" t="n">
        <f aca="false">$G105/$F105</f>
        <v>0.901341347179743</v>
      </c>
      <c r="I105" s="15" t="n">
        <f aca="false">ROUND(SUMIF('Your Lines'!$B$6:$B$463,$B105,'Your Lines'!$K$6:$K$463),2)</f>
        <v>83060</v>
      </c>
      <c r="J105" s="15" t="n">
        <f aca="false">ROUND(SUMIF('Your Lines'!$B$6:$B$463,$B105,'Your Lines'!$L$6:$L$463),2)</f>
        <v>2602.05</v>
      </c>
      <c r="K105" s="15" t="n">
        <f aca="false">ROUND($G105-$I105-$J105,2)</f>
        <v>41057.53</v>
      </c>
      <c r="L105" s="15" t="n">
        <f aca="false">ROUND($D105*'Your Inputs'!$C$40+'Your Inputs'!$C$41,2)</f>
        <v>7515</v>
      </c>
      <c r="M105" s="15" t="n">
        <f aca="false">ROUND($K105-$L105,2)</f>
        <v>33542.53</v>
      </c>
      <c r="N105" s="26" t="n">
        <f aca="false">RANK($M105,'Your Accounts'!$M$6:$M$185)</f>
        <v>97</v>
      </c>
      <c r="O105" s="15" t="n">
        <f aca="false">SUMIF('Your Accounts'!$N$6:$N$185,"&lt;="&amp;$N105,'Your Accounts'!$M$6:$M$185)</f>
        <v>12274080.25</v>
      </c>
      <c r="P105" s="15"/>
      <c r="Q105" s="26" t="n">
        <f aca="false">COUNTIFS('Your Lines'!$B$6:$B$463,$B105,'Your Lines'!$R$6:$R$463,"below the floor")</f>
        <v>0</v>
      </c>
      <c r="R105" s="15" t="n">
        <f aca="false">IF(Q105&gt;0,$K105,0)</f>
        <v>0</v>
      </c>
      <c r="AN105" s="15" t="n">
        <f aca="false">IF(VLOOKUP($C105,'Your Floors'!$B$53:$F$56,5,FALSE())="yes",0,$R105)</f>
        <v>0</v>
      </c>
      <c r="AP105" s="15" t="n">
        <f aca="false">ROUND($K105-$AS105,2)</f>
        <v>37300.03</v>
      </c>
      <c r="AQ105" s="26" t="n">
        <f aca="false">RANK($AP105,'Your Accounts'!$AP$6:$AP$185)</f>
        <v>98</v>
      </c>
      <c r="AR105" s="15" t="n">
        <f aca="false">SUMIF('Your Accounts'!$AQ$6:$AQ$185,"&lt;="&amp;$AQ105,'Your Accounts'!$AP$6:$AP$185)</f>
        <v>12787972.18</v>
      </c>
      <c r="AS105" s="15" t="n">
        <f aca="false">ROUND($D105*Sensitivity!$C$35+Sensitivity!$D$35,2)</f>
        <v>3757.5</v>
      </c>
      <c r="AT105" s="15" t="n">
        <f aca="false">ROUND($K105-$AW105,2)</f>
        <v>33542.53</v>
      </c>
      <c r="AU105" s="26" t="n">
        <f aca="false">RANK($AT105,'Your Accounts'!$AT$6:$AT$185)</f>
        <v>97</v>
      </c>
      <c r="AV105" s="15" t="n">
        <f aca="false">SUMIF('Your Accounts'!$AU$6:$AU$185,"&lt;="&amp;$AU105,'Your Accounts'!$AT$6:$AT$185)</f>
        <v>12274080.25</v>
      </c>
      <c r="AW105" s="15" t="n">
        <f aca="false">ROUND($D105*Sensitivity!$C$36+Sensitivity!$D$36,2)</f>
        <v>7515</v>
      </c>
      <c r="AX105" s="15" t="n">
        <f aca="false">ROUND($K105-$BA105,2)</f>
        <v>31663.78</v>
      </c>
      <c r="AY105" s="26" t="n">
        <f aca="false">RANK($AX105,'Your Accounts'!$AX$6:$AX$185)</f>
        <v>97</v>
      </c>
      <c r="AZ105" s="15" t="n">
        <f aca="false">SUMIF('Your Accounts'!$AY$6:$AY$185,"&lt;="&amp;$AY105,'Your Accounts'!$AX$6:$AX$185)</f>
        <v>12035799</v>
      </c>
      <c r="BA105" s="15" t="n">
        <f aca="false">ROUND($D105*Sensitivity!$C$37+Sensitivity!$D$37,2)</f>
        <v>9393.75</v>
      </c>
      <c r="BB105" s="15" t="n">
        <f aca="false">ROUND($K105-$BE105,2)</f>
        <v>29785.03</v>
      </c>
      <c r="BC105" s="26" t="n">
        <f aca="false">RANK($BB105,'Your Accounts'!$BB$6:$BB$185)</f>
        <v>96</v>
      </c>
      <c r="BD105" s="15" t="n">
        <f aca="false">SUMIF('Your Accounts'!$BC$6:$BC$185,"&lt;="&amp;$BC105,'Your Accounts'!$BB$6:$BB$185)</f>
        <v>11767822.22</v>
      </c>
      <c r="BE105" s="15" t="n">
        <f aca="false">ROUND($D105*Sensitivity!$C$38+Sensitivity!$D$38,2)</f>
        <v>11272.5</v>
      </c>
      <c r="BF105" s="15" t="n">
        <f aca="false">ROUND($K105-$BI105,2)</f>
        <v>26027.53</v>
      </c>
      <c r="BG105" s="26" t="n">
        <f aca="false">RANK($BF105,'Your Accounts'!$BF$6:$BF$185)</f>
        <v>95</v>
      </c>
      <c r="BH105" s="15" t="n">
        <f aca="false">SUMIF('Your Accounts'!$BG$6:$BG$185,"&lt;="&amp;$BG105,'Your Accounts'!$BF$6:$BF$185)</f>
        <v>11271592.78</v>
      </c>
      <c r="BI105" s="15" t="n">
        <f aca="false">ROUND($D105*Sensitivity!$C$39+Sensitivity!$D$39,2)</f>
        <v>15030</v>
      </c>
      <c r="BJ105" s="15" t="n">
        <f aca="false">ROUND($K105-$BM105,2)</f>
        <v>22270.03</v>
      </c>
      <c r="BK105" s="26" t="n">
        <f aca="false">RANK($BJ105,'Your Accounts'!$BJ$6:$BJ$185)</f>
        <v>93</v>
      </c>
      <c r="BL105" s="15" t="n">
        <f aca="false">SUMIF('Your Accounts'!$BK$6:$BK$185,"&lt;="&amp;$BK105,'Your Accounts'!$BJ$6:$BJ$185)</f>
        <v>10763679.4</v>
      </c>
      <c r="BM105" s="15" t="n">
        <f aca="false">ROUND($D105*Sensitivity!$C$40+Sensitivity!$D$40,2)</f>
        <v>18787.5</v>
      </c>
      <c r="BN105" s="15" t="n">
        <f aca="false">ROUND($K105-$BQ105,2)</f>
        <v>18512.53</v>
      </c>
      <c r="BO105" s="26" t="n">
        <f aca="false">RANK($BN105,'Your Accounts'!$BN$6:$BN$185)</f>
        <v>92</v>
      </c>
      <c r="BP105" s="15" t="n">
        <f aca="false">SUMIF('Your Accounts'!$BO$6:$BO$185,"&lt;="&amp;$BO105,'Your Accounts'!$BN$6:$BN$185)</f>
        <v>10290733.94</v>
      </c>
      <c r="BQ105" s="15" t="n">
        <f aca="false">ROUND($D105*Sensitivity!$C$41+Sensitivity!$D$41,2)</f>
        <v>22545</v>
      </c>
    </row>
    <row r="106" customFormat="false" ht="15" hidden="false" customHeight="false" outlineLevel="0" collapsed="false">
      <c r="B106" s="18" t="s">
        <v>217</v>
      </c>
      <c r="C106" s="18" t="s">
        <v>218</v>
      </c>
      <c r="D106" s="24" t="n">
        <v>7</v>
      </c>
      <c r="E106" s="26" t="n">
        <f aca="false">SUMIF('Your Lines'!$B$6:$B$463,$B106,'Your Lines'!$E$6:$E$463)</f>
        <v>285</v>
      </c>
      <c r="F106" s="15" t="n">
        <f aca="false">ROUND(SUMIF('Your Lines'!$B$6:$B$463,$B106,'Your Lines'!$J$6:$J$463),2)</f>
        <v>42180</v>
      </c>
      <c r="G106" s="15" t="n">
        <f aca="false">ROUND(SUMIF('Your Lines'!$B$6:$B$463,$B106,'Your Lines'!$G$6:$G$463),2)</f>
        <v>41499.3</v>
      </c>
      <c r="H106" s="25" t="n">
        <f aca="false">$G106/$F106</f>
        <v>0.983862019914652</v>
      </c>
      <c r="I106" s="15" t="n">
        <f aca="false">ROUND(SUMIF('Your Lines'!$B$6:$B$463,$B106,'Your Lines'!$K$6:$K$463),2)</f>
        <v>22230</v>
      </c>
      <c r="J106" s="15" t="n">
        <f aca="false">ROUND(SUMIF('Your Lines'!$B$6:$B$463,$B106,'Your Lines'!$L$6:$L$463),2)</f>
        <v>838.37</v>
      </c>
      <c r="K106" s="15" t="n">
        <f aca="false">ROUND($G106-$I106-$J106,2)</f>
        <v>18430.93</v>
      </c>
      <c r="L106" s="15" t="n">
        <f aca="false">ROUND($D106*'Your Inputs'!$C$40+'Your Inputs'!$C$41,2)</f>
        <v>7515</v>
      </c>
      <c r="M106" s="15" t="n">
        <f aca="false">ROUND($K106-$L106,2)</f>
        <v>10915.93</v>
      </c>
      <c r="N106" s="26" t="n">
        <f aca="false">RANK($M106,'Your Accounts'!$M$6:$M$185)</f>
        <v>151</v>
      </c>
      <c r="O106" s="15" t="n">
        <f aca="false">SUMIF('Your Accounts'!$N$6:$N$185,"&lt;="&amp;$N106,'Your Accounts'!$M$6:$M$185)</f>
        <v>13394367.98</v>
      </c>
      <c r="P106" s="15"/>
      <c r="Q106" s="26" t="n">
        <f aca="false">COUNTIFS('Your Lines'!$B$6:$B$463,$B106,'Your Lines'!$R$6:$R$463,"below the floor")</f>
        <v>0</v>
      </c>
      <c r="R106" s="15" t="n">
        <f aca="false">IF(Q106&gt;0,$K106,0)</f>
        <v>0</v>
      </c>
      <c r="AN106" s="15" t="n">
        <f aca="false">IF(VLOOKUP($C106,'Your Floors'!$B$53:$F$56,5,FALSE())="yes",0,$R106)</f>
        <v>0</v>
      </c>
      <c r="AP106" s="15" t="n">
        <f aca="false">ROUND($K106-$AS106,2)</f>
        <v>14673.43</v>
      </c>
      <c r="AQ106" s="26" t="n">
        <f aca="false">RANK($AP106,'Your Accounts'!$AP$6:$AP$185)</f>
        <v>152</v>
      </c>
      <c r="AR106" s="15" t="n">
        <f aca="false">SUMIF('Your Accounts'!$AQ$6:$AQ$185,"&lt;="&amp;$AQ106,'Your Accounts'!$AP$6:$AP$185)</f>
        <v>14124391.19</v>
      </c>
      <c r="AS106" s="15" t="n">
        <f aca="false">ROUND($D106*Sensitivity!$C$35+Sensitivity!$D$35,2)</f>
        <v>3757.5</v>
      </c>
      <c r="AT106" s="15" t="n">
        <f aca="false">ROUND($K106-$AW106,2)</f>
        <v>10915.93</v>
      </c>
      <c r="AU106" s="26" t="n">
        <f aca="false">RANK($AT106,'Your Accounts'!$AT$6:$AT$185)</f>
        <v>151</v>
      </c>
      <c r="AV106" s="15" t="n">
        <f aca="false">SUMIF('Your Accounts'!$AU$6:$AU$185,"&lt;="&amp;$AU106,'Your Accounts'!$AT$6:$AT$185)</f>
        <v>13394367.98</v>
      </c>
      <c r="AW106" s="15" t="n">
        <f aca="false">ROUND($D106*Sensitivity!$C$36+Sensitivity!$D$36,2)</f>
        <v>7515</v>
      </c>
      <c r="AX106" s="15" t="n">
        <f aca="false">ROUND($K106-$BA106,2)</f>
        <v>9037.18</v>
      </c>
      <c r="AY106" s="26" t="n">
        <f aca="false">RANK($AX106,'Your Accounts'!$AX$6:$AX$185)</f>
        <v>151</v>
      </c>
      <c r="AZ106" s="15" t="n">
        <f aca="false">SUMIF('Your Accounts'!$AY$6:$AY$185,"&lt;="&amp;$AY106,'Your Accounts'!$AX$6:$AX$185)</f>
        <v>13036762.98</v>
      </c>
      <c r="BA106" s="15" t="n">
        <f aca="false">ROUND($D106*Sensitivity!$C$37+Sensitivity!$D$37,2)</f>
        <v>9393.75</v>
      </c>
      <c r="BB106" s="15" t="n">
        <f aca="false">ROUND($K106-$BE106,2)</f>
        <v>7158.43</v>
      </c>
      <c r="BC106" s="26" t="n">
        <f aca="false">RANK($BB106,'Your Accounts'!$BB$6:$BB$185)</f>
        <v>150</v>
      </c>
      <c r="BD106" s="15" t="n">
        <f aca="false">SUMIF('Your Accounts'!$BC$6:$BC$185,"&lt;="&amp;$BC106,'Your Accounts'!$BB$6:$BB$185)</f>
        <v>12672500.68</v>
      </c>
      <c r="BE106" s="15" t="n">
        <f aca="false">ROUND($D106*Sensitivity!$C$38+Sensitivity!$D$38,2)</f>
        <v>11272.5</v>
      </c>
      <c r="BF106" s="15" t="n">
        <f aca="false">ROUND($K106-$BI106,2)</f>
        <v>3400.93</v>
      </c>
      <c r="BG106" s="26" t="n">
        <f aca="false">RANK($BF106,'Your Accounts'!$BF$6:$BF$185)</f>
        <v>149</v>
      </c>
      <c r="BH106" s="15" t="n">
        <f aca="false">SUMIF('Your Accounts'!$BG$6:$BG$185,"&lt;="&amp;$BG106,'Your Accounts'!$BF$6:$BF$185)</f>
        <v>11959788.45</v>
      </c>
      <c r="BI106" s="15" t="n">
        <f aca="false">ROUND($D106*Sensitivity!$C$39+Sensitivity!$D$39,2)</f>
        <v>15030</v>
      </c>
      <c r="BJ106" s="15" t="n">
        <f aca="false">ROUND($K106-$BM106,2)</f>
        <v>-356.57</v>
      </c>
      <c r="BK106" s="26" t="n">
        <f aca="false">RANK($BJ106,'Your Accounts'!$BJ$6:$BJ$185)</f>
        <v>149</v>
      </c>
      <c r="BL106" s="15" t="n">
        <f aca="false">SUMIF('Your Accounts'!$BK$6:$BK$185,"&lt;="&amp;$BK106,'Your Accounts'!$BJ$6:$BJ$185)</f>
        <v>11254920.95</v>
      </c>
      <c r="BM106" s="15" t="n">
        <f aca="false">ROUND($D106*Sensitivity!$C$40+Sensitivity!$D$40,2)</f>
        <v>18787.5</v>
      </c>
      <c r="BN106" s="15" t="n">
        <f aca="false">ROUND($K106-$BQ106,2)</f>
        <v>-4114.07</v>
      </c>
      <c r="BO106" s="26" t="n">
        <f aca="false">RANK($BN106,'Your Accounts'!$BN$6:$BN$185)</f>
        <v>146</v>
      </c>
      <c r="BP106" s="15" t="n">
        <f aca="false">SUMIF('Your Accounts'!$BO$6:$BO$185,"&lt;="&amp;$BO106,'Your Accounts'!$BN$6:$BN$185)</f>
        <v>10563822.66</v>
      </c>
      <c r="BQ106" s="15" t="n">
        <f aca="false">ROUND($D106*Sensitivity!$C$41+Sensitivity!$D$41,2)</f>
        <v>22545</v>
      </c>
    </row>
    <row r="107" customFormat="false" ht="15" hidden="false" customHeight="false" outlineLevel="0" collapsed="false">
      <c r="B107" s="18" t="s">
        <v>219</v>
      </c>
      <c r="C107" s="18" t="s">
        <v>218</v>
      </c>
      <c r="D107" s="24" t="n">
        <v>54</v>
      </c>
      <c r="E107" s="26" t="n">
        <f aca="false">SUMIF('Your Lines'!$B$6:$B$463,$B107,'Your Lines'!$E$6:$E$463)</f>
        <v>3032</v>
      </c>
      <c r="F107" s="15" t="n">
        <f aca="false">ROUND(SUMIF('Your Lines'!$B$6:$B$463,$B107,'Your Lines'!$J$6:$J$463),2)</f>
        <v>268518</v>
      </c>
      <c r="G107" s="15" t="n">
        <f aca="false">ROUND(SUMIF('Your Lines'!$B$6:$B$463,$B107,'Your Lines'!$G$6:$G$463),2)</f>
        <v>248963.34</v>
      </c>
      <c r="H107" s="25" t="n">
        <f aca="false">$G107/$F107</f>
        <v>0.927175608339106</v>
      </c>
      <c r="I107" s="15" t="n">
        <f aca="false">ROUND(SUMIF('Your Lines'!$B$6:$B$463,$B107,'Your Lines'!$K$6:$K$463),2)</f>
        <v>151914</v>
      </c>
      <c r="J107" s="15" t="n">
        <f aca="false">ROUND(SUMIF('Your Lines'!$B$6:$B$463,$B107,'Your Lines'!$L$6:$L$463),2)</f>
        <v>5133.26</v>
      </c>
      <c r="K107" s="15" t="n">
        <f aca="false">ROUND($G107-$I107-$J107,2)</f>
        <v>91916.08</v>
      </c>
      <c r="L107" s="15" t="n">
        <f aca="false">ROUND($D107*'Your Inputs'!$C$40+'Your Inputs'!$C$41,2)</f>
        <v>14330</v>
      </c>
      <c r="M107" s="15" t="n">
        <f aca="false">ROUND($K107-$L107,2)</f>
        <v>77586.08</v>
      </c>
      <c r="N107" s="26" t="n">
        <f aca="false">RANK($M107,'Your Accounts'!$M$6:$M$185)</f>
        <v>48</v>
      </c>
      <c r="O107" s="15" t="n">
        <f aca="false">SUMIF('Your Accounts'!$N$6:$N$185,"&lt;="&amp;$N107,'Your Accounts'!$M$6:$M$185)</f>
        <v>9724829.43</v>
      </c>
      <c r="P107" s="15"/>
      <c r="Q107" s="26" t="n">
        <f aca="false">COUNTIFS('Your Lines'!$B$6:$B$463,$B107,'Your Lines'!$R$6:$R$463,"below the floor")</f>
        <v>1</v>
      </c>
      <c r="R107" s="15" t="n">
        <f aca="false">IF(Q107&gt;0,$K107,0)</f>
        <v>91916.08</v>
      </c>
      <c r="AN107" s="15" t="n">
        <f aca="false">IF(VLOOKUP($C107,'Your Floors'!$B$53:$F$56,5,FALSE())="yes",0,$R107)</f>
        <v>91916.08</v>
      </c>
      <c r="AP107" s="15" t="n">
        <f aca="false">ROUND($K107-$AS107,2)</f>
        <v>84751.08</v>
      </c>
      <c r="AQ107" s="26" t="n">
        <f aca="false">RANK($AP107,'Your Accounts'!$AP$6:$AP$185)</f>
        <v>47</v>
      </c>
      <c r="AR107" s="15" t="n">
        <f aca="false">SUMIF('Your Accounts'!$AQ$6:$AQ$185,"&lt;="&amp;$AQ107,'Your Accounts'!$AP$6:$AP$185)</f>
        <v>9889804.54</v>
      </c>
      <c r="AS107" s="15" t="n">
        <f aca="false">ROUND($D107*Sensitivity!$C$35+Sensitivity!$D$35,2)</f>
        <v>7165</v>
      </c>
      <c r="AT107" s="15" t="n">
        <f aca="false">ROUND($K107-$AW107,2)</f>
        <v>77586.08</v>
      </c>
      <c r="AU107" s="26" t="n">
        <f aca="false">RANK($AT107,'Your Accounts'!$AT$6:$AT$185)</f>
        <v>48</v>
      </c>
      <c r="AV107" s="15" t="n">
        <f aca="false">SUMIF('Your Accounts'!$AU$6:$AU$185,"&lt;="&amp;$AU107,'Your Accounts'!$AT$6:$AT$185)</f>
        <v>9724829.43</v>
      </c>
      <c r="AW107" s="15" t="n">
        <f aca="false">ROUND($D107*Sensitivity!$C$36+Sensitivity!$D$36,2)</f>
        <v>14330</v>
      </c>
      <c r="AX107" s="15" t="n">
        <f aca="false">ROUND($K107-$BA107,2)</f>
        <v>74003.58</v>
      </c>
      <c r="AY107" s="26" t="n">
        <f aca="false">RANK($AX107,'Your Accounts'!$AX$6:$AX$185)</f>
        <v>48</v>
      </c>
      <c r="AZ107" s="15" t="n">
        <f aca="false">SUMIF('Your Accounts'!$AY$6:$AY$185,"&lt;="&amp;$AY107,'Your Accounts'!$AX$6:$AX$185)</f>
        <v>9602459.43</v>
      </c>
      <c r="BA107" s="15" t="n">
        <f aca="false">ROUND($D107*Sensitivity!$C$37+Sensitivity!$D$37,2)</f>
        <v>17912.5</v>
      </c>
      <c r="BB107" s="15" t="n">
        <f aca="false">ROUND($K107-$BE107,2)</f>
        <v>70421.08</v>
      </c>
      <c r="BC107" s="26" t="n">
        <f aca="false">RANK($BB107,'Your Accounts'!$BB$6:$BB$185)</f>
        <v>50</v>
      </c>
      <c r="BD107" s="15" t="n">
        <f aca="false">SUMIF('Your Accounts'!$BC$6:$BC$185,"&lt;="&amp;$BC107,'Your Accounts'!$BB$6:$BB$185)</f>
        <v>9622117.52</v>
      </c>
      <c r="BE107" s="15" t="n">
        <f aca="false">ROUND($D107*Sensitivity!$C$38+Sensitivity!$D$38,2)</f>
        <v>21495</v>
      </c>
      <c r="BF107" s="15" t="n">
        <f aca="false">ROUND($K107-$BI107,2)</f>
        <v>63256.08</v>
      </c>
      <c r="BG107" s="26" t="n">
        <f aca="false">RANK($BF107,'Your Accounts'!$BF$6:$BF$185)</f>
        <v>51</v>
      </c>
      <c r="BH107" s="15" t="n">
        <f aca="false">SUMIF('Your Accounts'!$BG$6:$BG$185,"&lt;="&amp;$BG107,'Your Accounts'!$BF$6:$BF$185)</f>
        <v>9433192.29</v>
      </c>
      <c r="BI107" s="15" t="n">
        <f aca="false">ROUND($D107*Sensitivity!$C$39+Sensitivity!$D$39,2)</f>
        <v>28660</v>
      </c>
      <c r="BJ107" s="15" t="n">
        <f aca="false">ROUND($K107-$BM107,2)</f>
        <v>56091.08</v>
      </c>
      <c r="BK107" s="26" t="n">
        <f aca="false">RANK($BJ107,'Your Accounts'!$BJ$6:$BJ$185)</f>
        <v>52</v>
      </c>
      <c r="BL107" s="15" t="n">
        <f aca="false">SUMIF('Your Accounts'!$BK$6:$BK$185,"&lt;="&amp;$BK107,'Your Accounts'!$BJ$6:$BJ$185)</f>
        <v>9233402.88</v>
      </c>
      <c r="BM107" s="15" t="n">
        <f aca="false">ROUND($D107*Sensitivity!$C$40+Sensitivity!$D$40,2)</f>
        <v>35825</v>
      </c>
      <c r="BN107" s="15" t="n">
        <f aca="false">ROUND($K107-$BQ107,2)</f>
        <v>48926.08</v>
      </c>
      <c r="BO107" s="26" t="n">
        <f aca="false">RANK($BN107,'Your Accounts'!$BN$6:$BN$185)</f>
        <v>52</v>
      </c>
      <c r="BP107" s="15" t="n">
        <f aca="false">SUMIF('Your Accounts'!$BO$6:$BO$185,"&lt;="&amp;$BO107,'Your Accounts'!$BN$6:$BN$185)</f>
        <v>8972690.38</v>
      </c>
      <c r="BQ107" s="15" t="n">
        <f aca="false">ROUND($D107*Sensitivity!$C$41+Sensitivity!$D$41,2)</f>
        <v>42990</v>
      </c>
    </row>
    <row r="108" customFormat="false" ht="15" hidden="false" customHeight="false" outlineLevel="0" collapsed="false">
      <c r="B108" s="18" t="s">
        <v>220</v>
      </c>
      <c r="C108" s="18" t="s">
        <v>218</v>
      </c>
      <c r="D108" s="24" t="n">
        <v>1</v>
      </c>
      <c r="E108" s="26" t="n">
        <f aca="false">SUMIF('Your Lines'!$B$6:$B$463,$B108,'Your Lines'!$E$6:$E$463)</f>
        <v>64</v>
      </c>
      <c r="F108" s="15" t="n">
        <f aca="false">ROUND(SUMIF('Your Lines'!$B$6:$B$463,$B108,'Your Lines'!$J$6:$J$463),2)</f>
        <v>6352</v>
      </c>
      <c r="G108" s="15" t="n">
        <f aca="false">ROUND(SUMIF('Your Lines'!$B$6:$B$463,$B108,'Your Lines'!$G$6:$G$463),2)</f>
        <v>6259.29</v>
      </c>
      <c r="H108" s="25" t="n">
        <f aca="false">$G108/$F108</f>
        <v>0.98540459697733</v>
      </c>
      <c r="I108" s="15" t="n">
        <f aca="false">ROUND(SUMIF('Your Lines'!$B$6:$B$463,$B108,'Your Lines'!$K$6:$K$463),2)</f>
        <v>3792</v>
      </c>
      <c r="J108" s="15" t="n">
        <f aca="false">ROUND(SUMIF('Your Lines'!$B$6:$B$463,$B108,'Your Lines'!$L$6:$L$463),2)</f>
        <v>126.45</v>
      </c>
      <c r="K108" s="15" t="n">
        <f aca="false">ROUND($G108-$I108-$J108,2)</f>
        <v>2340.84</v>
      </c>
      <c r="L108" s="15" t="n">
        <f aca="false">ROUND($D108*'Your Inputs'!$C$40+'Your Inputs'!$C$41,2)</f>
        <v>6645</v>
      </c>
      <c r="M108" s="15" t="n">
        <f aca="false">ROUND($K108-$L108,2)</f>
        <v>-4304.16</v>
      </c>
      <c r="N108" s="26" t="n">
        <f aca="false">RANK($M108,'Your Accounts'!$M$6:$M$185)</f>
        <v>179</v>
      </c>
      <c r="O108" s="15" t="n">
        <f aca="false">SUMIF('Your Accounts'!$N$6:$N$185,"&lt;="&amp;$N108,'Your Accounts'!$M$6:$M$185)</f>
        <v>13487605.51</v>
      </c>
      <c r="P108" s="15"/>
      <c r="Q108" s="26" t="n">
        <f aca="false">COUNTIFS('Your Lines'!$B$6:$B$463,$B108,'Your Lines'!$R$6:$R$463,"below the floor")</f>
        <v>0</v>
      </c>
      <c r="R108" s="15" t="n">
        <f aca="false">IF(Q108&gt;0,$K108,0)</f>
        <v>0</v>
      </c>
      <c r="AN108" s="15" t="n">
        <f aca="false">IF(VLOOKUP($C108,'Your Floors'!$B$53:$F$56,5,FALSE())="yes",0,$R108)</f>
        <v>0</v>
      </c>
      <c r="AP108" s="15" t="n">
        <f aca="false">ROUND($K108-$AS108,2)</f>
        <v>-981.66</v>
      </c>
      <c r="AQ108" s="26" t="n">
        <f aca="false">RANK($AP108,'Your Accounts'!$AP$6:$AP$185)</f>
        <v>179</v>
      </c>
      <c r="AR108" s="15" t="n">
        <f aca="false">SUMIF('Your Accounts'!$AQ$6:$AQ$185,"&lt;="&amp;$AQ108,'Your Accounts'!$AP$6:$AP$185)</f>
        <v>14312448.01</v>
      </c>
      <c r="AS108" s="15" t="n">
        <f aca="false">ROUND($D108*Sensitivity!$C$35+Sensitivity!$D$35,2)</f>
        <v>3322.5</v>
      </c>
      <c r="AT108" s="15" t="n">
        <f aca="false">ROUND($K108-$AW108,2)</f>
        <v>-4304.16</v>
      </c>
      <c r="AU108" s="26" t="n">
        <f aca="false">RANK($AT108,'Your Accounts'!$AT$6:$AT$185)</f>
        <v>179</v>
      </c>
      <c r="AV108" s="15" t="n">
        <f aca="false">SUMIF('Your Accounts'!$AU$6:$AU$185,"&lt;="&amp;$AU108,'Your Accounts'!$AT$6:$AT$185)</f>
        <v>13487605.51</v>
      </c>
      <c r="AW108" s="15" t="n">
        <f aca="false">ROUND($D108*Sensitivity!$C$36+Sensitivity!$D$36,2)</f>
        <v>6645</v>
      </c>
      <c r="AX108" s="15" t="n">
        <f aca="false">ROUND($K108-$BA108,2)</f>
        <v>-5965.41</v>
      </c>
      <c r="AY108" s="26" t="n">
        <f aca="false">RANK($AX108,'Your Accounts'!$AX$6:$AX$185)</f>
        <v>179</v>
      </c>
      <c r="AZ108" s="15" t="n">
        <f aca="false">SUMIF('Your Accounts'!$AY$6:$AY$185,"&lt;="&amp;$AY108,'Your Accounts'!$AX$6:$AX$185)</f>
        <v>13075184.26</v>
      </c>
      <c r="BA108" s="15" t="n">
        <f aca="false">ROUND($D108*Sensitivity!$C$37+Sensitivity!$D$37,2)</f>
        <v>8306.25</v>
      </c>
      <c r="BB108" s="15" t="n">
        <f aca="false">ROUND($K108-$BE108,2)</f>
        <v>-7626.66</v>
      </c>
      <c r="BC108" s="26" t="n">
        <f aca="false">RANK($BB108,'Your Accounts'!$BB$6:$BB$185)</f>
        <v>177</v>
      </c>
      <c r="BD108" s="15" t="n">
        <f aca="false">SUMIF('Your Accounts'!$BC$6:$BC$185,"&lt;="&amp;$BC108,'Your Accounts'!$BB$6:$BB$185)</f>
        <v>12678913.26</v>
      </c>
      <c r="BE108" s="15" t="n">
        <f aca="false">ROUND($D108*Sensitivity!$C$38+Sensitivity!$D$38,2)</f>
        <v>9967.5</v>
      </c>
      <c r="BF108" s="15" t="n">
        <f aca="false">ROUND($K108-$BI108,2)</f>
        <v>-10949.16</v>
      </c>
      <c r="BG108" s="26" t="n">
        <f aca="false">RANK($BF108,'Your Accounts'!$BF$6:$BF$185)</f>
        <v>176</v>
      </c>
      <c r="BH108" s="15" t="n">
        <f aca="false">SUMIF('Your Accounts'!$BG$6:$BG$185,"&lt;="&amp;$BG108,'Your Accounts'!$BF$6:$BF$185)</f>
        <v>11873747.68</v>
      </c>
      <c r="BI108" s="15" t="n">
        <f aca="false">ROUND($D108*Sensitivity!$C$39+Sensitivity!$D$39,2)</f>
        <v>13290</v>
      </c>
      <c r="BJ108" s="15" t="n">
        <f aca="false">ROUND($K108-$BM108,2)</f>
        <v>-14271.66</v>
      </c>
      <c r="BK108" s="26" t="n">
        <f aca="false">RANK($BJ108,'Your Accounts'!$BJ$6:$BJ$185)</f>
        <v>176</v>
      </c>
      <c r="BL108" s="15" t="n">
        <f aca="false">SUMIF('Your Accounts'!$BK$6:$BK$185,"&lt;="&amp;$BK108,'Your Accounts'!$BJ$6:$BJ$185)</f>
        <v>11061192.68</v>
      </c>
      <c r="BM108" s="15" t="n">
        <f aca="false">ROUND($D108*Sensitivity!$C$40+Sensitivity!$D$40,2)</f>
        <v>16612.5</v>
      </c>
      <c r="BN108" s="15" t="n">
        <f aca="false">ROUND($K108-$BQ108,2)</f>
        <v>-17594.16</v>
      </c>
      <c r="BO108" s="26" t="n">
        <f aca="false">RANK($BN108,'Your Accounts'!$BN$6:$BN$185)</f>
        <v>176</v>
      </c>
      <c r="BP108" s="15" t="n">
        <f aca="false">SUMIF('Your Accounts'!$BO$6:$BO$185,"&lt;="&amp;$BO108,'Your Accounts'!$BN$6:$BN$185)</f>
        <v>10248637.68</v>
      </c>
      <c r="BQ108" s="15" t="n">
        <f aca="false">ROUND($D108*Sensitivity!$C$41+Sensitivity!$D$41,2)</f>
        <v>19935</v>
      </c>
    </row>
    <row r="109" customFormat="false" ht="15" hidden="false" customHeight="false" outlineLevel="0" collapsed="false">
      <c r="B109" s="18" t="s">
        <v>221</v>
      </c>
      <c r="C109" s="18" t="s">
        <v>218</v>
      </c>
      <c r="D109" s="24" t="n">
        <v>22</v>
      </c>
      <c r="E109" s="26" t="n">
        <f aca="false">SUMIF('Your Lines'!$B$6:$B$463,$B109,'Your Lines'!$E$6:$E$463)</f>
        <v>1159</v>
      </c>
      <c r="F109" s="15" t="n">
        <f aca="false">ROUND(SUMIF('Your Lines'!$B$6:$B$463,$B109,'Your Lines'!$J$6:$J$463),2)</f>
        <v>94332</v>
      </c>
      <c r="G109" s="15" t="n">
        <f aca="false">ROUND(SUMIF('Your Lines'!$B$6:$B$463,$B109,'Your Lines'!$G$6:$G$463),2)</f>
        <v>91520.91</v>
      </c>
      <c r="H109" s="25" t="n">
        <f aca="false">$G109/$F109</f>
        <v>0.970200038163084</v>
      </c>
      <c r="I109" s="15" t="n">
        <f aca="false">ROUND(SUMIF('Your Lines'!$B$6:$B$463,$B109,'Your Lines'!$K$6:$K$463),2)</f>
        <v>54410</v>
      </c>
      <c r="J109" s="15" t="n">
        <f aca="false">ROUND(SUMIF('Your Lines'!$B$6:$B$463,$B109,'Your Lines'!$L$6:$L$463),2)</f>
        <v>1848.91</v>
      </c>
      <c r="K109" s="15" t="n">
        <f aca="false">ROUND($G109-$I109-$J109,2)</f>
        <v>35262</v>
      </c>
      <c r="L109" s="15" t="n">
        <f aca="false">ROUND($D109*'Your Inputs'!$C$40+'Your Inputs'!$C$41,2)</f>
        <v>9690</v>
      </c>
      <c r="M109" s="15" t="n">
        <f aca="false">ROUND($K109-$L109,2)</f>
        <v>25572</v>
      </c>
      <c r="N109" s="26" t="n">
        <f aca="false">RANK($M109,'Your Accounts'!$M$6:$M$185)</f>
        <v>111</v>
      </c>
      <c r="O109" s="15" t="n">
        <f aca="false">SUMIF('Your Accounts'!$N$6:$N$185,"&lt;="&amp;$N109,'Your Accounts'!$M$6:$M$185)</f>
        <v>12683690.69</v>
      </c>
      <c r="P109" s="15"/>
      <c r="Q109" s="26" t="n">
        <f aca="false">COUNTIFS('Your Lines'!$B$6:$B$463,$B109,'Your Lines'!$R$6:$R$463,"below the floor")</f>
        <v>0</v>
      </c>
      <c r="R109" s="15" t="n">
        <f aca="false">IF(Q109&gt;0,$K109,0)</f>
        <v>0</v>
      </c>
      <c r="AN109" s="15" t="n">
        <f aca="false">IF(VLOOKUP($C109,'Your Floors'!$B$53:$F$56,5,FALSE())="yes",0,$R109)</f>
        <v>0</v>
      </c>
      <c r="AP109" s="15" t="n">
        <f aca="false">ROUND($K109-$AS109,2)</f>
        <v>30417</v>
      </c>
      <c r="AQ109" s="26" t="n">
        <f aca="false">RANK($AP109,'Your Accounts'!$AP$6:$AP$185)</f>
        <v>112</v>
      </c>
      <c r="AR109" s="15" t="n">
        <f aca="false">SUMIF('Your Accounts'!$AQ$6:$AQ$185,"&lt;="&amp;$AQ109,'Your Accounts'!$AP$6:$AP$185)</f>
        <v>13259226.95</v>
      </c>
      <c r="AS109" s="15" t="n">
        <f aca="false">ROUND($D109*Sensitivity!$C$35+Sensitivity!$D$35,2)</f>
        <v>4845</v>
      </c>
      <c r="AT109" s="15" t="n">
        <f aca="false">ROUND($K109-$AW109,2)</f>
        <v>25572</v>
      </c>
      <c r="AU109" s="26" t="n">
        <f aca="false">RANK($AT109,'Your Accounts'!$AT$6:$AT$185)</f>
        <v>111</v>
      </c>
      <c r="AV109" s="15" t="n">
        <f aca="false">SUMIF('Your Accounts'!$AU$6:$AU$185,"&lt;="&amp;$AU109,'Your Accounts'!$AT$6:$AT$185)</f>
        <v>12683690.69</v>
      </c>
      <c r="AW109" s="15" t="n">
        <f aca="false">ROUND($D109*Sensitivity!$C$36+Sensitivity!$D$36,2)</f>
        <v>9690</v>
      </c>
      <c r="AX109" s="15" t="n">
        <f aca="false">ROUND($K109-$BA109,2)</f>
        <v>23149.5</v>
      </c>
      <c r="AY109" s="26" t="n">
        <f aca="false">RANK($AX109,'Your Accounts'!$AX$6:$AX$185)</f>
        <v>114</v>
      </c>
      <c r="AZ109" s="15" t="n">
        <f aca="false">SUMIF('Your Accounts'!$AY$6:$AY$185,"&lt;="&amp;$AY109,'Your Accounts'!$AX$6:$AX$185)</f>
        <v>12481990.12</v>
      </c>
      <c r="BA109" s="15" t="n">
        <f aca="false">ROUND($D109*Sensitivity!$C$37+Sensitivity!$D$37,2)</f>
        <v>12112.5</v>
      </c>
      <c r="BB109" s="15" t="n">
        <f aca="false">ROUND($K109-$BE109,2)</f>
        <v>20727</v>
      </c>
      <c r="BC109" s="26" t="n">
        <f aca="false">RANK($BB109,'Your Accounts'!$BB$6:$BB$185)</f>
        <v>114</v>
      </c>
      <c r="BD109" s="15" t="n">
        <f aca="false">SUMIF('Your Accounts'!$BC$6:$BC$185,"&lt;="&amp;$BC109,'Your Accounts'!$BB$6:$BB$185)</f>
        <v>12204121.37</v>
      </c>
      <c r="BE109" s="15" t="n">
        <f aca="false">ROUND($D109*Sensitivity!$C$38+Sensitivity!$D$38,2)</f>
        <v>14535</v>
      </c>
      <c r="BF109" s="15" t="n">
        <f aca="false">ROUND($K109-$BI109,2)</f>
        <v>15882</v>
      </c>
      <c r="BG109" s="26" t="n">
        <f aca="false">RANK($BF109,'Your Accounts'!$BF$6:$BF$185)</f>
        <v>114</v>
      </c>
      <c r="BH109" s="15" t="n">
        <f aca="false">SUMIF('Your Accounts'!$BG$6:$BG$185,"&lt;="&amp;$BG109,'Your Accounts'!$BF$6:$BF$185)</f>
        <v>11648529.62</v>
      </c>
      <c r="BI109" s="15" t="n">
        <f aca="false">ROUND($D109*Sensitivity!$C$39+Sensitivity!$D$39,2)</f>
        <v>19380</v>
      </c>
      <c r="BJ109" s="15" t="n">
        <f aca="false">ROUND($K109-$BM109,2)</f>
        <v>11037</v>
      </c>
      <c r="BK109" s="26" t="n">
        <f aca="false">RANK($BJ109,'Your Accounts'!$BJ$6:$BJ$185)</f>
        <v>118</v>
      </c>
      <c r="BL109" s="15" t="n">
        <f aca="false">SUMIF('Your Accounts'!$BK$6:$BK$185,"&lt;="&amp;$BK109,'Your Accounts'!$BJ$6:$BJ$185)</f>
        <v>11140397.72</v>
      </c>
      <c r="BM109" s="15" t="n">
        <f aca="false">ROUND($D109*Sensitivity!$C$40+Sensitivity!$D$40,2)</f>
        <v>24225</v>
      </c>
      <c r="BN109" s="15" t="n">
        <f aca="false">ROUND($K109-$BQ109,2)</f>
        <v>6192</v>
      </c>
      <c r="BO109" s="26" t="n">
        <f aca="false">RANK($BN109,'Your Accounts'!$BN$6:$BN$185)</f>
        <v>118</v>
      </c>
      <c r="BP109" s="15" t="n">
        <f aca="false">SUMIF('Your Accounts'!$BO$6:$BO$185,"&lt;="&amp;$BO109,'Your Accounts'!$BN$6:$BN$185)</f>
        <v>10569557.72</v>
      </c>
      <c r="BQ109" s="15" t="n">
        <f aca="false">ROUND($D109*Sensitivity!$C$41+Sensitivity!$D$41,2)</f>
        <v>29070</v>
      </c>
    </row>
    <row r="110" customFormat="false" ht="15" hidden="false" customHeight="false" outlineLevel="0" collapsed="false">
      <c r="B110" s="18" t="s">
        <v>222</v>
      </c>
      <c r="C110" s="18" t="s">
        <v>218</v>
      </c>
      <c r="D110" s="24" t="n">
        <v>48</v>
      </c>
      <c r="E110" s="26" t="n">
        <f aca="false">SUMIF('Your Lines'!$B$6:$B$463,$B110,'Your Lines'!$E$6:$E$463)</f>
        <v>3616</v>
      </c>
      <c r="F110" s="15" t="n">
        <f aca="false">ROUND(SUMIF('Your Lines'!$B$6:$B$463,$B110,'Your Lines'!$J$6:$J$463),2)</f>
        <v>306310</v>
      </c>
      <c r="G110" s="15" t="n">
        <f aca="false">ROUND(SUMIF('Your Lines'!$B$6:$B$463,$B110,'Your Lines'!$G$6:$G$463),2)</f>
        <v>271826.3</v>
      </c>
      <c r="H110" s="25" t="n">
        <f aca="false">$G110/$F110</f>
        <v>0.887422219320296</v>
      </c>
      <c r="I110" s="15" t="n">
        <f aca="false">ROUND(SUMIF('Your Lines'!$B$6:$B$463,$B110,'Your Lines'!$K$6:$K$463),2)</f>
        <v>173922</v>
      </c>
      <c r="J110" s="15" t="n">
        <f aca="false">ROUND(SUMIF('Your Lines'!$B$6:$B$463,$B110,'Your Lines'!$L$6:$L$463),2)</f>
        <v>5604.67</v>
      </c>
      <c r="K110" s="15" t="n">
        <f aca="false">ROUND($G110-$I110-$J110,2)</f>
        <v>92299.63</v>
      </c>
      <c r="L110" s="15" t="n">
        <f aca="false">ROUND($D110*'Your Inputs'!$C$40+'Your Inputs'!$C$41,2)</f>
        <v>13460</v>
      </c>
      <c r="M110" s="15" t="n">
        <f aca="false">ROUND($K110-$L110,2)</f>
        <v>78839.63</v>
      </c>
      <c r="N110" s="26" t="n">
        <f aca="false">RANK($M110,'Your Accounts'!$M$6:$M$185)</f>
        <v>46</v>
      </c>
      <c r="O110" s="15" t="n">
        <f aca="false">SUMIF('Your Accounts'!$N$6:$N$185,"&lt;="&amp;$N110,'Your Accounts'!$M$6:$M$185)</f>
        <v>9569368.6</v>
      </c>
      <c r="P110" s="15"/>
      <c r="Q110" s="26" t="n">
        <f aca="false">COUNTIFS('Your Lines'!$B$6:$B$463,$B110,'Your Lines'!$R$6:$R$463,"below the floor")</f>
        <v>3</v>
      </c>
      <c r="R110" s="15" t="n">
        <f aca="false">IF(Q110&gt;0,$K110,0)</f>
        <v>92299.63</v>
      </c>
      <c r="AN110" s="15" t="n">
        <f aca="false">IF(VLOOKUP($C110,'Your Floors'!$B$53:$F$56,5,FALSE())="yes",0,$R110)</f>
        <v>92299.63</v>
      </c>
      <c r="AP110" s="15" t="n">
        <f aca="false">ROUND($K110-$AS110,2)</f>
        <v>85569.63</v>
      </c>
      <c r="AQ110" s="26" t="n">
        <f aca="false">RANK($AP110,'Your Accounts'!$AP$6:$AP$185)</f>
        <v>46</v>
      </c>
      <c r="AR110" s="15" t="n">
        <f aca="false">SUMIF('Your Accounts'!$AQ$6:$AQ$185,"&lt;="&amp;$AQ110,'Your Accounts'!$AP$6:$AP$185)</f>
        <v>9805053.46</v>
      </c>
      <c r="AS110" s="15" t="n">
        <f aca="false">ROUND($D110*Sensitivity!$C$35+Sensitivity!$D$35,2)</f>
        <v>6730</v>
      </c>
      <c r="AT110" s="15" t="n">
        <f aca="false">ROUND($K110-$AW110,2)</f>
        <v>78839.63</v>
      </c>
      <c r="AU110" s="26" t="n">
        <f aca="false">RANK($AT110,'Your Accounts'!$AT$6:$AT$185)</f>
        <v>46</v>
      </c>
      <c r="AV110" s="15" t="n">
        <f aca="false">SUMIF('Your Accounts'!$AU$6:$AU$185,"&lt;="&amp;$AU110,'Your Accounts'!$AT$6:$AT$185)</f>
        <v>9569368.6</v>
      </c>
      <c r="AW110" s="15" t="n">
        <f aca="false">ROUND($D110*Sensitivity!$C$36+Sensitivity!$D$36,2)</f>
        <v>13460</v>
      </c>
      <c r="AX110" s="15" t="n">
        <f aca="false">ROUND($K110-$BA110,2)</f>
        <v>75474.63</v>
      </c>
      <c r="AY110" s="26" t="n">
        <f aca="false">RANK($AX110,'Your Accounts'!$AX$6:$AX$185)</f>
        <v>47</v>
      </c>
      <c r="AZ110" s="15" t="n">
        <f aca="false">SUMIF('Your Accounts'!$AY$6:$AY$185,"&lt;="&amp;$AY110,'Your Accounts'!$AX$6:$AX$185)</f>
        <v>9528455.85</v>
      </c>
      <c r="BA110" s="15" t="n">
        <f aca="false">ROUND($D110*Sensitivity!$C$37+Sensitivity!$D$37,2)</f>
        <v>16825</v>
      </c>
      <c r="BB110" s="15" t="n">
        <f aca="false">ROUND($K110-$BE110,2)</f>
        <v>72109.63</v>
      </c>
      <c r="BC110" s="26" t="n">
        <f aca="false">RANK($BB110,'Your Accounts'!$BB$6:$BB$185)</f>
        <v>47</v>
      </c>
      <c r="BD110" s="15" t="n">
        <f aca="false">SUMIF('Your Accounts'!$BC$6:$BC$185,"&lt;="&amp;$BC110,'Your Accounts'!$BB$6:$BB$185)</f>
        <v>9409668.35</v>
      </c>
      <c r="BE110" s="15" t="n">
        <f aca="false">ROUND($D110*Sensitivity!$C$38+Sensitivity!$D$38,2)</f>
        <v>20190</v>
      </c>
      <c r="BF110" s="15" t="n">
        <f aca="false">ROUND($K110-$BI110,2)</f>
        <v>65379.63</v>
      </c>
      <c r="BG110" s="26" t="n">
        <f aca="false">RANK($BF110,'Your Accounts'!$BF$6:$BF$185)</f>
        <v>49</v>
      </c>
      <c r="BH110" s="15" t="n">
        <f aca="false">SUMIF('Your Accounts'!$BG$6:$BG$185,"&lt;="&amp;$BG110,'Your Accounts'!$BF$6:$BF$185)</f>
        <v>9306243.94</v>
      </c>
      <c r="BI110" s="15" t="n">
        <f aca="false">ROUND($D110*Sensitivity!$C$39+Sensitivity!$D$39,2)</f>
        <v>26920</v>
      </c>
      <c r="BJ110" s="15" t="n">
        <f aca="false">ROUND($K110-$BM110,2)</f>
        <v>58649.63</v>
      </c>
      <c r="BK110" s="26" t="n">
        <f aca="false">RANK($BJ110,'Your Accounts'!$BJ$6:$BJ$185)</f>
        <v>50</v>
      </c>
      <c r="BL110" s="15" t="n">
        <f aca="false">SUMIF('Your Accounts'!$BK$6:$BK$185,"&lt;="&amp;$BK110,'Your Accounts'!$BJ$6:$BJ$185)</f>
        <v>9120363.71</v>
      </c>
      <c r="BM110" s="15" t="n">
        <f aca="false">ROUND($D110*Sensitivity!$C$40+Sensitivity!$D$40,2)</f>
        <v>33650</v>
      </c>
      <c r="BN110" s="15" t="n">
        <f aca="false">ROUND($K110-$BQ110,2)</f>
        <v>51919.63</v>
      </c>
      <c r="BO110" s="26" t="n">
        <f aca="false">RANK($BN110,'Your Accounts'!$BN$6:$BN$185)</f>
        <v>51</v>
      </c>
      <c r="BP110" s="15" t="n">
        <f aca="false">SUMIF('Your Accounts'!$BO$6:$BO$185,"&lt;="&amp;$BO110,'Your Accounts'!$BN$6:$BN$185)</f>
        <v>8923764.3</v>
      </c>
      <c r="BQ110" s="15" t="n">
        <f aca="false">ROUND($D110*Sensitivity!$C$41+Sensitivity!$D$41,2)</f>
        <v>40380</v>
      </c>
    </row>
    <row r="111" customFormat="false" ht="15" hidden="false" customHeight="false" outlineLevel="0" collapsed="false">
      <c r="B111" s="18" t="s">
        <v>223</v>
      </c>
      <c r="C111" s="18" t="s">
        <v>218</v>
      </c>
      <c r="D111" s="24" t="n">
        <v>11</v>
      </c>
      <c r="E111" s="26" t="n">
        <f aca="false">SUMIF('Your Lines'!$B$6:$B$463,$B111,'Your Lines'!$E$6:$E$463)</f>
        <v>506</v>
      </c>
      <c r="F111" s="15" t="n">
        <f aca="false">ROUND(SUMIF('Your Lines'!$B$6:$B$463,$B111,'Your Lines'!$J$6:$J$463),2)</f>
        <v>39628</v>
      </c>
      <c r="G111" s="15" t="n">
        <f aca="false">ROUND(SUMIF('Your Lines'!$B$6:$B$463,$B111,'Your Lines'!$G$6:$G$463),2)</f>
        <v>38402.99</v>
      </c>
      <c r="H111" s="25" t="n">
        <f aca="false">$G111/$F111</f>
        <v>0.96908726153225</v>
      </c>
      <c r="I111" s="15" t="n">
        <f aca="false">ROUND(SUMIF('Your Lines'!$B$6:$B$463,$B111,'Your Lines'!$K$6:$K$463),2)</f>
        <v>22248</v>
      </c>
      <c r="J111" s="15" t="n">
        <f aca="false">ROUND(SUMIF('Your Lines'!$B$6:$B$463,$B111,'Your Lines'!$L$6:$L$463),2)</f>
        <v>775.82</v>
      </c>
      <c r="K111" s="15" t="n">
        <f aca="false">ROUND($G111-$I111-$J111,2)</f>
        <v>15379.17</v>
      </c>
      <c r="L111" s="15" t="n">
        <f aca="false">ROUND($D111*'Your Inputs'!$C$40+'Your Inputs'!$C$41,2)</f>
        <v>8095</v>
      </c>
      <c r="M111" s="15" t="n">
        <f aca="false">ROUND($K111-$L111,2)</f>
        <v>7284.17</v>
      </c>
      <c r="N111" s="26" t="n">
        <f aca="false">RANK($M111,'Your Accounts'!$M$6:$M$185)</f>
        <v>161</v>
      </c>
      <c r="O111" s="15" t="n">
        <f aca="false">SUMIF('Your Accounts'!$N$6:$N$185,"&lt;="&amp;$N111,'Your Accounts'!$M$6:$M$185)</f>
        <v>13483190.88</v>
      </c>
      <c r="P111" s="15"/>
      <c r="Q111" s="26" t="n">
        <f aca="false">COUNTIFS('Your Lines'!$B$6:$B$463,$B111,'Your Lines'!$R$6:$R$463,"below the floor")</f>
        <v>0</v>
      </c>
      <c r="R111" s="15" t="n">
        <f aca="false">IF(Q111&gt;0,$K111,0)</f>
        <v>0</v>
      </c>
      <c r="AN111" s="15" t="n">
        <f aca="false">IF(VLOOKUP($C111,'Your Floors'!$B$53:$F$56,5,FALSE())="yes",0,$R111)</f>
        <v>0</v>
      </c>
      <c r="AP111" s="15" t="n">
        <f aca="false">ROUND($K111-$AS111,2)</f>
        <v>11331.67</v>
      </c>
      <c r="AQ111" s="26" t="n">
        <f aca="false">RANK($AP111,'Your Accounts'!$AP$6:$AP$185)</f>
        <v>160</v>
      </c>
      <c r="AR111" s="15" t="n">
        <f aca="false">SUMIF('Your Accounts'!$AQ$6:$AQ$185,"&lt;="&amp;$AQ111,'Your Accounts'!$AP$6:$AP$185)</f>
        <v>14228914.12</v>
      </c>
      <c r="AS111" s="15" t="n">
        <f aca="false">ROUND($D111*Sensitivity!$C$35+Sensitivity!$D$35,2)</f>
        <v>4047.5</v>
      </c>
      <c r="AT111" s="15" t="n">
        <f aca="false">ROUND($K111-$AW111,2)</f>
        <v>7284.17</v>
      </c>
      <c r="AU111" s="26" t="n">
        <f aca="false">RANK($AT111,'Your Accounts'!$AT$6:$AT$185)</f>
        <v>161</v>
      </c>
      <c r="AV111" s="15" t="n">
        <f aca="false">SUMIF('Your Accounts'!$AU$6:$AU$185,"&lt;="&amp;$AU111,'Your Accounts'!$AT$6:$AT$185)</f>
        <v>13483190.88</v>
      </c>
      <c r="AW111" s="15" t="n">
        <f aca="false">ROUND($D111*Sensitivity!$C$36+Sensitivity!$D$36,2)</f>
        <v>8095</v>
      </c>
      <c r="AX111" s="15" t="n">
        <f aca="false">ROUND($K111-$BA111,2)</f>
        <v>5260.42</v>
      </c>
      <c r="AY111" s="26" t="n">
        <f aca="false">RANK($AX111,'Your Accounts'!$AX$6:$AX$185)</f>
        <v>161</v>
      </c>
      <c r="AZ111" s="15" t="n">
        <f aca="false">SUMIF('Your Accounts'!$AY$6:$AY$185,"&lt;="&amp;$AY111,'Your Accounts'!$AX$6:$AX$185)</f>
        <v>13104804.63</v>
      </c>
      <c r="BA111" s="15" t="n">
        <f aca="false">ROUND($D111*Sensitivity!$C$37+Sensitivity!$D$37,2)</f>
        <v>10118.75</v>
      </c>
      <c r="BB111" s="15" t="n">
        <f aca="false">ROUND($K111-$BE111,2)</f>
        <v>3236.67</v>
      </c>
      <c r="BC111" s="26" t="n">
        <f aca="false">RANK($BB111,'Your Accounts'!$BB$6:$BB$185)</f>
        <v>161</v>
      </c>
      <c r="BD111" s="15" t="n">
        <f aca="false">SUMIF('Your Accounts'!$BC$6:$BC$185,"&lt;="&amp;$BC111,'Your Accounts'!$BB$6:$BB$185)</f>
        <v>12726418.38</v>
      </c>
      <c r="BE111" s="15" t="n">
        <f aca="false">ROUND($D111*Sensitivity!$C$38+Sensitivity!$D$38,2)</f>
        <v>12142.5</v>
      </c>
      <c r="BF111" s="15" t="n">
        <f aca="false">ROUND($K111-$BI111,2)</f>
        <v>-810.83</v>
      </c>
      <c r="BG111" s="26" t="n">
        <f aca="false">RANK($BF111,'Your Accounts'!$BF$6:$BF$185)</f>
        <v>159</v>
      </c>
      <c r="BH111" s="15" t="n">
        <f aca="false">SUMIF('Your Accounts'!$BG$6:$BG$185,"&lt;="&amp;$BG111,'Your Accounts'!$BF$6:$BF$185)</f>
        <v>11971654.78</v>
      </c>
      <c r="BI111" s="15" t="n">
        <f aca="false">ROUND($D111*Sensitivity!$C$39+Sensitivity!$D$39,2)</f>
        <v>16190</v>
      </c>
      <c r="BJ111" s="15" t="n">
        <f aca="false">ROUND($K111-$BM111,2)</f>
        <v>-4858.33</v>
      </c>
      <c r="BK111" s="26" t="n">
        <f aca="false">RANK($BJ111,'Your Accounts'!$BJ$6:$BJ$185)</f>
        <v>158</v>
      </c>
      <c r="BL111" s="15" t="n">
        <f aca="false">SUMIF('Your Accounts'!$BK$6:$BK$185,"&lt;="&amp;$BK111,'Your Accounts'!$BJ$6:$BJ$185)</f>
        <v>11229095.13</v>
      </c>
      <c r="BM111" s="15" t="n">
        <f aca="false">ROUND($D111*Sensitivity!$C$40+Sensitivity!$D$40,2)</f>
        <v>20237.5</v>
      </c>
      <c r="BN111" s="15" t="n">
        <f aca="false">ROUND($K111-$BQ111,2)</f>
        <v>-8905.83</v>
      </c>
      <c r="BO111" s="26" t="n">
        <f aca="false">RANK($BN111,'Your Accounts'!$BN$6:$BN$185)</f>
        <v>157</v>
      </c>
      <c r="BP111" s="15" t="n">
        <f aca="false">SUMIF('Your Accounts'!$BO$6:$BO$185,"&lt;="&amp;$BO111,'Your Accounts'!$BN$6:$BN$185)</f>
        <v>10496257.83</v>
      </c>
      <c r="BQ111" s="15" t="n">
        <f aca="false">ROUND($D111*Sensitivity!$C$41+Sensitivity!$D$41,2)</f>
        <v>24285</v>
      </c>
    </row>
    <row r="112" customFormat="false" ht="15" hidden="false" customHeight="false" outlineLevel="0" collapsed="false">
      <c r="B112" s="18" t="s">
        <v>224</v>
      </c>
      <c r="C112" s="18" t="s">
        <v>218</v>
      </c>
      <c r="D112" s="24" t="n">
        <v>30</v>
      </c>
      <c r="E112" s="26" t="n">
        <f aca="false">SUMIF('Your Lines'!$B$6:$B$463,$B112,'Your Lines'!$E$6:$E$463)</f>
        <v>2345</v>
      </c>
      <c r="F112" s="15" t="n">
        <f aca="false">ROUND(SUMIF('Your Lines'!$B$6:$B$463,$B112,'Your Lines'!$J$6:$J$463),2)</f>
        <v>211076</v>
      </c>
      <c r="G112" s="15" t="n">
        <f aca="false">ROUND(SUMIF('Your Lines'!$B$6:$B$463,$B112,'Your Lines'!$G$6:$G$463),2)</f>
        <v>194885.73</v>
      </c>
      <c r="H112" s="25" t="n">
        <f aca="false">$G112/$F112</f>
        <v>0.923296490363661</v>
      </c>
      <c r="I112" s="15" t="n">
        <f aca="false">ROUND(SUMIF('Your Lines'!$B$6:$B$463,$B112,'Your Lines'!$K$6:$K$463),2)</f>
        <v>118366</v>
      </c>
      <c r="J112" s="15" t="n">
        <f aca="false">ROUND(SUMIF('Your Lines'!$B$6:$B$463,$B112,'Your Lines'!$L$6:$L$463),2)</f>
        <v>3937.09</v>
      </c>
      <c r="K112" s="15" t="n">
        <f aca="false">ROUND($G112-$I112-$J112,2)</f>
        <v>72582.64</v>
      </c>
      <c r="L112" s="15" t="n">
        <f aca="false">ROUND($D112*'Your Inputs'!$C$40+'Your Inputs'!$C$41,2)</f>
        <v>10850</v>
      </c>
      <c r="M112" s="15" t="n">
        <f aca="false">ROUND($K112-$L112,2)</f>
        <v>61732.64</v>
      </c>
      <c r="N112" s="26" t="n">
        <f aca="false">RANK($M112,'Your Accounts'!$M$6:$M$185)</f>
        <v>58</v>
      </c>
      <c r="O112" s="15" t="n">
        <f aca="false">SUMIF('Your Accounts'!$N$6:$N$185,"&lt;="&amp;$N112,'Your Accounts'!$M$6:$M$185)</f>
        <v>10409976.48</v>
      </c>
      <c r="P112" s="15"/>
      <c r="Q112" s="26" t="n">
        <f aca="false">COUNTIFS('Your Lines'!$B$6:$B$463,$B112,'Your Lines'!$R$6:$R$463,"below the floor")</f>
        <v>1</v>
      </c>
      <c r="R112" s="15" t="n">
        <f aca="false">IF(Q112&gt;0,$K112,0)</f>
        <v>72582.64</v>
      </c>
      <c r="AN112" s="15" t="n">
        <f aca="false">IF(VLOOKUP($C112,'Your Floors'!$B$53:$F$56,5,FALSE())="yes",0,$R112)</f>
        <v>72582.64</v>
      </c>
      <c r="AP112" s="15" t="n">
        <f aca="false">ROUND($K112-$AS112,2)</f>
        <v>67157.64</v>
      </c>
      <c r="AQ112" s="26" t="n">
        <f aca="false">RANK($AP112,'Your Accounts'!$AP$6:$AP$185)</f>
        <v>58</v>
      </c>
      <c r="AR112" s="15" t="n">
        <f aca="false">SUMIF('Your Accounts'!$AQ$6:$AQ$185,"&lt;="&amp;$AQ112,'Your Accounts'!$AP$6:$AP$185)</f>
        <v>10702803.98</v>
      </c>
      <c r="AS112" s="15" t="n">
        <f aca="false">ROUND($D112*Sensitivity!$C$35+Sensitivity!$D$35,2)</f>
        <v>5425</v>
      </c>
      <c r="AT112" s="15" t="n">
        <f aca="false">ROUND($K112-$AW112,2)</f>
        <v>61732.64</v>
      </c>
      <c r="AU112" s="26" t="n">
        <f aca="false">RANK($AT112,'Your Accounts'!$AT$6:$AT$185)</f>
        <v>58</v>
      </c>
      <c r="AV112" s="15" t="n">
        <f aca="false">SUMIF('Your Accounts'!$AU$6:$AU$185,"&lt;="&amp;$AU112,'Your Accounts'!$AT$6:$AT$185)</f>
        <v>10409976.48</v>
      </c>
      <c r="AW112" s="15" t="n">
        <f aca="false">ROUND($D112*Sensitivity!$C$36+Sensitivity!$D$36,2)</f>
        <v>10850</v>
      </c>
      <c r="AX112" s="15" t="n">
        <f aca="false">ROUND($K112-$BA112,2)</f>
        <v>59020.14</v>
      </c>
      <c r="AY112" s="26" t="n">
        <f aca="false">RANK($AX112,'Your Accounts'!$AX$6:$AX$185)</f>
        <v>58</v>
      </c>
      <c r="AZ112" s="15" t="n">
        <f aca="false">SUMIF('Your Accounts'!$AY$6:$AY$185,"&lt;="&amp;$AY112,'Your Accounts'!$AX$6:$AX$185)</f>
        <v>10263562.73</v>
      </c>
      <c r="BA112" s="15" t="n">
        <f aca="false">ROUND($D112*Sensitivity!$C$37+Sensitivity!$D$37,2)</f>
        <v>13562.5</v>
      </c>
      <c r="BB112" s="15" t="n">
        <f aca="false">ROUND($K112-$BE112,2)</f>
        <v>56307.64</v>
      </c>
      <c r="BC112" s="26" t="n">
        <f aca="false">RANK($BB112,'Your Accounts'!$BB$6:$BB$185)</f>
        <v>58</v>
      </c>
      <c r="BD112" s="15" t="n">
        <f aca="false">SUMIF('Your Accounts'!$BC$6:$BC$185,"&lt;="&amp;$BC112,'Your Accounts'!$BB$6:$BB$185)</f>
        <v>10117148.98</v>
      </c>
      <c r="BE112" s="15" t="n">
        <f aca="false">ROUND($D112*Sensitivity!$C$38+Sensitivity!$D$38,2)</f>
        <v>16275</v>
      </c>
      <c r="BF112" s="15" t="n">
        <f aca="false">ROUND($K112-$BI112,2)</f>
        <v>50882.64</v>
      </c>
      <c r="BG112" s="26" t="n">
        <f aca="false">RANK($BF112,'Your Accounts'!$BF$6:$BF$185)</f>
        <v>61</v>
      </c>
      <c r="BH112" s="15" t="n">
        <f aca="false">SUMIF('Your Accounts'!$BG$6:$BG$185,"&lt;="&amp;$BG112,'Your Accounts'!$BF$6:$BF$185)</f>
        <v>9979553.54</v>
      </c>
      <c r="BI112" s="15" t="n">
        <f aca="false">ROUND($D112*Sensitivity!$C$39+Sensitivity!$D$39,2)</f>
        <v>21700</v>
      </c>
      <c r="BJ112" s="15" t="n">
        <f aca="false">ROUND($K112-$BM112,2)</f>
        <v>45457.64</v>
      </c>
      <c r="BK112" s="26" t="n">
        <f aca="false">RANK($BJ112,'Your Accounts'!$BJ$6:$BJ$185)</f>
        <v>61</v>
      </c>
      <c r="BL112" s="15" t="n">
        <f aca="false">SUMIF('Your Accounts'!$BK$6:$BK$185,"&lt;="&amp;$BK112,'Your Accounts'!$BJ$6:$BJ$185)</f>
        <v>9673568.54</v>
      </c>
      <c r="BM112" s="15" t="n">
        <f aca="false">ROUND($D112*Sensitivity!$C$40+Sensitivity!$D$40,2)</f>
        <v>27125</v>
      </c>
      <c r="BN112" s="15" t="n">
        <f aca="false">ROUND($K112-$BQ112,2)</f>
        <v>40032.64</v>
      </c>
      <c r="BO112" s="26" t="n">
        <f aca="false">RANK($BN112,'Your Accounts'!$BN$6:$BN$185)</f>
        <v>64</v>
      </c>
      <c r="BP112" s="15" t="n">
        <f aca="false">SUMIF('Your Accounts'!$BO$6:$BO$185,"&lt;="&amp;$BO112,'Your Accounts'!$BN$6:$BN$185)</f>
        <v>9490641.1</v>
      </c>
      <c r="BQ112" s="15" t="n">
        <f aca="false">ROUND($D112*Sensitivity!$C$41+Sensitivity!$D$41,2)</f>
        <v>32550</v>
      </c>
    </row>
    <row r="113" customFormat="false" ht="15" hidden="false" customHeight="false" outlineLevel="0" collapsed="false">
      <c r="B113" s="18" t="s">
        <v>225</v>
      </c>
      <c r="C113" s="18" t="s">
        <v>218</v>
      </c>
      <c r="D113" s="24" t="n">
        <v>29</v>
      </c>
      <c r="E113" s="26" t="n">
        <f aca="false">SUMIF('Your Lines'!$B$6:$B$463,$B113,'Your Lines'!$E$6:$E$463)</f>
        <v>2219</v>
      </c>
      <c r="F113" s="15" t="n">
        <f aca="false">ROUND(SUMIF('Your Lines'!$B$6:$B$463,$B113,'Your Lines'!$J$6:$J$463),2)</f>
        <v>184558</v>
      </c>
      <c r="G113" s="15" t="n">
        <f aca="false">ROUND(SUMIF('Your Lines'!$B$6:$B$463,$B113,'Your Lines'!$G$6:$G$463),2)</f>
        <v>179058.18</v>
      </c>
      <c r="H113" s="25" t="n">
        <f aca="false">$G113/$F113</f>
        <v>0.970200045514147</v>
      </c>
      <c r="I113" s="15" t="n">
        <f aca="false">ROUND(SUMIF('Your Lines'!$B$6:$B$463,$B113,'Your Lines'!$K$6:$K$463),2)</f>
        <v>105752</v>
      </c>
      <c r="J113" s="15" t="n">
        <f aca="false">ROUND(SUMIF('Your Lines'!$B$6:$B$463,$B113,'Your Lines'!$L$6:$L$463),2)</f>
        <v>3617.34</v>
      </c>
      <c r="K113" s="15" t="n">
        <f aca="false">ROUND($G113-$I113-$J113,2)</f>
        <v>69688.84</v>
      </c>
      <c r="L113" s="15" t="n">
        <f aca="false">ROUND($D113*'Your Inputs'!$C$40+'Your Inputs'!$C$41,2)</f>
        <v>10705</v>
      </c>
      <c r="M113" s="15" t="n">
        <f aca="false">ROUND($K113-$L113,2)</f>
        <v>58983.84</v>
      </c>
      <c r="N113" s="26" t="n">
        <f aca="false">RANK($M113,'Your Accounts'!$M$6:$M$185)</f>
        <v>63</v>
      </c>
      <c r="O113" s="15" t="n">
        <f aca="false">SUMIF('Your Accounts'!$N$6:$N$185,"&lt;="&amp;$N113,'Your Accounts'!$M$6:$M$185)</f>
        <v>10709957.86</v>
      </c>
      <c r="P113" s="15"/>
      <c r="Q113" s="26" t="n">
        <f aca="false">COUNTIFS('Your Lines'!$B$6:$B$463,$B113,'Your Lines'!$R$6:$R$463,"below the floor")</f>
        <v>0</v>
      </c>
      <c r="R113" s="15" t="n">
        <f aca="false">IF(Q113&gt;0,$K113,0)</f>
        <v>0</v>
      </c>
      <c r="AN113" s="15" t="n">
        <f aca="false">IF(VLOOKUP($C113,'Your Floors'!$B$53:$F$56,5,FALSE())="yes",0,$R113)</f>
        <v>0</v>
      </c>
      <c r="AP113" s="15" t="n">
        <f aca="false">ROUND($K113-$AS113,2)</f>
        <v>64336.34</v>
      </c>
      <c r="AQ113" s="26" t="n">
        <f aca="false">RANK($AP113,'Your Accounts'!$AP$6:$AP$185)</f>
        <v>63</v>
      </c>
      <c r="AR113" s="15" t="n">
        <f aca="false">SUMIF('Your Accounts'!$AQ$6:$AQ$185,"&lt;="&amp;$AQ113,'Your Accounts'!$AP$6:$AP$185)</f>
        <v>11029485.46</v>
      </c>
      <c r="AS113" s="15" t="n">
        <f aca="false">ROUND($D113*Sensitivity!$C$35+Sensitivity!$D$35,2)</f>
        <v>5352.5</v>
      </c>
      <c r="AT113" s="15" t="n">
        <f aca="false">ROUND($K113-$AW113,2)</f>
        <v>58983.84</v>
      </c>
      <c r="AU113" s="26" t="n">
        <f aca="false">RANK($AT113,'Your Accounts'!$AT$6:$AT$185)</f>
        <v>63</v>
      </c>
      <c r="AV113" s="15" t="n">
        <f aca="false">SUMIF('Your Accounts'!$AU$6:$AU$185,"&lt;="&amp;$AU113,'Your Accounts'!$AT$6:$AT$185)</f>
        <v>10709957.86</v>
      </c>
      <c r="AW113" s="15" t="n">
        <f aca="false">ROUND($D113*Sensitivity!$C$36+Sensitivity!$D$36,2)</f>
        <v>10705</v>
      </c>
      <c r="AX113" s="15" t="n">
        <f aca="false">ROUND($K113-$BA113,2)</f>
        <v>56307.59</v>
      </c>
      <c r="AY113" s="26" t="n">
        <f aca="false">RANK($AX113,'Your Accounts'!$AX$6:$AX$185)</f>
        <v>63</v>
      </c>
      <c r="AZ113" s="15" t="n">
        <f aca="false">SUMIF('Your Accounts'!$AY$6:$AY$185,"&lt;="&amp;$AY113,'Your Accounts'!$AX$6:$AX$185)</f>
        <v>10551177.86</v>
      </c>
      <c r="BA113" s="15" t="n">
        <f aca="false">ROUND($D113*Sensitivity!$C$37+Sensitivity!$D$37,2)</f>
        <v>13381.25</v>
      </c>
      <c r="BB113" s="15" t="n">
        <f aca="false">ROUND($K113-$BE113,2)</f>
        <v>53631.34</v>
      </c>
      <c r="BC113" s="26" t="n">
        <f aca="false">RANK($BB113,'Your Accounts'!$BB$6:$BB$185)</f>
        <v>62</v>
      </c>
      <c r="BD113" s="15" t="n">
        <f aca="false">SUMIF('Your Accounts'!$BC$6:$BC$185,"&lt;="&amp;$BC113,'Your Accounts'!$BB$6:$BB$185)</f>
        <v>10339169.88</v>
      </c>
      <c r="BE113" s="15" t="n">
        <f aca="false">ROUND($D113*Sensitivity!$C$38+Sensitivity!$D$38,2)</f>
        <v>16057.5</v>
      </c>
      <c r="BF113" s="15" t="n">
        <f aca="false">ROUND($K113-$BI113,2)</f>
        <v>48278.84</v>
      </c>
      <c r="BG113" s="26" t="n">
        <f aca="false">RANK($BF113,'Your Accounts'!$BF$6:$BF$185)</f>
        <v>65</v>
      </c>
      <c r="BH113" s="15" t="n">
        <f aca="false">SUMIF('Your Accounts'!$BG$6:$BG$185,"&lt;="&amp;$BG113,'Your Accounts'!$BF$6:$BF$185)</f>
        <v>10174014.94</v>
      </c>
      <c r="BI113" s="15" t="n">
        <f aca="false">ROUND($D113*Sensitivity!$C$39+Sensitivity!$D$39,2)</f>
        <v>21410</v>
      </c>
      <c r="BJ113" s="15" t="n">
        <f aca="false">ROUND($K113-$BM113,2)</f>
        <v>42926.34</v>
      </c>
      <c r="BK113" s="26" t="n">
        <f aca="false">RANK($BJ113,'Your Accounts'!$BJ$6:$BJ$185)</f>
        <v>67</v>
      </c>
      <c r="BL113" s="15" t="n">
        <f aca="false">SUMIF('Your Accounts'!$BK$6:$BK$185,"&lt;="&amp;$BK113,'Your Accounts'!$BJ$6:$BJ$185)</f>
        <v>9937279.24</v>
      </c>
      <c r="BM113" s="15" t="n">
        <f aca="false">ROUND($D113*Sensitivity!$C$40+Sensitivity!$D$40,2)</f>
        <v>26762.5</v>
      </c>
      <c r="BN113" s="15" t="n">
        <f aca="false">ROUND($K113-$BQ113,2)</f>
        <v>37573.84</v>
      </c>
      <c r="BO113" s="26" t="n">
        <f aca="false">RANK($BN113,'Your Accounts'!$BN$6:$BN$185)</f>
        <v>67</v>
      </c>
      <c r="BP113" s="15" t="n">
        <f aca="false">SUMIF('Your Accounts'!$BO$6:$BO$185,"&lt;="&amp;$BO113,'Your Accounts'!$BN$6:$BN$185)</f>
        <v>9605921.74</v>
      </c>
      <c r="BQ113" s="15" t="n">
        <f aca="false">ROUND($D113*Sensitivity!$C$41+Sensitivity!$D$41,2)</f>
        <v>32115</v>
      </c>
    </row>
    <row r="114" customFormat="false" ht="15" hidden="false" customHeight="false" outlineLevel="0" collapsed="false">
      <c r="B114" s="18" t="s">
        <v>226</v>
      </c>
      <c r="C114" s="18" t="s">
        <v>218</v>
      </c>
      <c r="D114" s="24" t="n">
        <v>35</v>
      </c>
      <c r="E114" s="26" t="n">
        <f aca="false">SUMIF('Your Lines'!$B$6:$B$463,$B114,'Your Lines'!$E$6:$E$463)</f>
        <v>1483</v>
      </c>
      <c r="F114" s="15" t="n">
        <f aca="false">ROUND(SUMIF('Your Lines'!$B$6:$B$463,$B114,'Your Lines'!$J$6:$J$463),2)</f>
        <v>118354</v>
      </c>
      <c r="G114" s="15" t="n">
        <f aca="false">ROUND(SUMIF('Your Lines'!$B$6:$B$463,$B114,'Your Lines'!$G$6:$G$463),2)</f>
        <v>112817.88</v>
      </c>
      <c r="H114" s="25" t="n">
        <f aca="false">$G114/$F114</f>
        <v>0.953224056643629</v>
      </c>
      <c r="I114" s="15" t="n">
        <f aca="false">ROUND(SUMIF('Your Lines'!$B$6:$B$463,$B114,'Your Lines'!$K$6:$K$463),2)</f>
        <v>68292</v>
      </c>
      <c r="J114" s="15" t="n">
        <f aca="false">ROUND(SUMIF('Your Lines'!$B$6:$B$463,$B114,'Your Lines'!$L$6:$L$463),2)</f>
        <v>2279.14</v>
      </c>
      <c r="K114" s="15" t="n">
        <f aca="false">ROUND($G114-$I114-$J114,2)</f>
        <v>42246.74</v>
      </c>
      <c r="L114" s="15" t="n">
        <f aca="false">ROUND($D114*'Your Inputs'!$C$40+'Your Inputs'!$C$41,2)</f>
        <v>11575</v>
      </c>
      <c r="M114" s="15" t="n">
        <f aca="false">ROUND($K114-$L114,2)</f>
        <v>30671.74</v>
      </c>
      <c r="N114" s="26" t="n">
        <f aca="false">RANK($M114,'Your Accounts'!$M$6:$M$185)</f>
        <v>100</v>
      </c>
      <c r="O114" s="15" t="n">
        <f aca="false">SUMIF('Your Accounts'!$N$6:$N$185,"&lt;="&amp;$N114,'Your Accounts'!$M$6:$M$185)</f>
        <v>12368884.34</v>
      </c>
      <c r="P114" s="15"/>
      <c r="Q114" s="26" t="n">
        <f aca="false">COUNTIFS('Your Lines'!$B$6:$B$463,$B114,'Your Lines'!$R$6:$R$463,"below the floor")</f>
        <v>0</v>
      </c>
      <c r="R114" s="15" t="n">
        <f aca="false">IF(Q114&gt;0,$K114,0)</f>
        <v>0</v>
      </c>
      <c r="AN114" s="15" t="n">
        <f aca="false">IF(VLOOKUP($C114,'Your Floors'!$B$53:$F$56,5,FALSE())="yes",0,$R114)</f>
        <v>0</v>
      </c>
      <c r="AP114" s="15" t="n">
        <f aca="false">ROUND($K114-$AS114,2)</f>
        <v>36459.24</v>
      </c>
      <c r="AQ114" s="26" t="n">
        <f aca="false">RANK($AP114,'Your Accounts'!$AP$6:$AP$185)</f>
        <v>100</v>
      </c>
      <c r="AR114" s="15" t="n">
        <f aca="false">SUMIF('Your Accounts'!$AQ$6:$AQ$185,"&lt;="&amp;$AQ114,'Your Accounts'!$AP$6:$AP$185)</f>
        <v>12861431.84</v>
      </c>
      <c r="AS114" s="15" t="n">
        <f aca="false">ROUND($D114*Sensitivity!$C$35+Sensitivity!$D$35,2)</f>
        <v>5787.5</v>
      </c>
      <c r="AT114" s="15" t="n">
        <f aca="false">ROUND($K114-$AW114,2)</f>
        <v>30671.74</v>
      </c>
      <c r="AU114" s="26" t="n">
        <f aca="false">RANK($AT114,'Your Accounts'!$AT$6:$AT$185)</f>
        <v>100</v>
      </c>
      <c r="AV114" s="15" t="n">
        <f aca="false">SUMIF('Your Accounts'!$AU$6:$AU$185,"&lt;="&amp;$AU114,'Your Accounts'!$AT$6:$AT$185)</f>
        <v>12368884.34</v>
      </c>
      <c r="AW114" s="15" t="n">
        <f aca="false">ROUND($D114*Sensitivity!$C$36+Sensitivity!$D$36,2)</f>
        <v>11575</v>
      </c>
      <c r="AX114" s="15" t="n">
        <f aca="false">ROUND($K114-$BA114,2)</f>
        <v>27777.99</v>
      </c>
      <c r="AY114" s="26" t="n">
        <f aca="false">RANK($AX114,'Your Accounts'!$AX$6:$AX$185)</f>
        <v>102</v>
      </c>
      <c r="AZ114" s="15" t="n">
        <f aca="false">SUMIF('Your Accounts'!$AY$6:$AY$185,"&lt;="&amp;$AY114,'Your Accounts'!$AX$6:$AX$185)</f>
        <v>12179027.01</v>
      </c>
      <c r="BA114" s="15" t="n">
        <f aca="false">ROUND($D114*Sensitivity!$C$37+Sensitivity!$D$37,2)</f>
        <v>14468.75</v>
      </c>
      <c r="BB114" s="15" t="n">
        <f aca="false">ROUND($K114-$BE114,2)</f>
        <v>24884.24</v>
      </c>
      <c r="BC114" s="26" t="n">
        <f aca="false">RANK($BB114,'Your Accounts'!$BB$6:$BB$185)</f>
        <v>104</v>
      </c>
      <c r="BD114" s="15" t="n">
        <f aca="false">SUMIF('Your Accounts'!$BC$6:$BC$185,"&lt;="&amp;$BC114,'Your Accounts'!$BB$6:$BB$185)</f>
        <v>11979395.6</v>
      </c>
      <c r="BE114" s="15" t="n">
        <f aca="false">ROUND($D114*Sensitivity!$C$38+Sensitivity!$D$38,2)</f>
        <v>17362.5</v>
      </c>
      <c r="BF114" s="15" t="n">
        <f aca="false">ROUND($K114-$BI114,2)</f>
        <v>19096.74</v>
      </c>
      <c r="BG114" s="26" t="n">
        <f aca="false">RANK($BF114,'Your Accounts'!$BF$6:$BF$185)</f>
        <v>105</v>
      </c>
      <c r="BH114" s="15" t="n">
        <f aca="false">SUMIF('Your Accounts'!$BG$6:$BG$185,"&lt;="&amp;$BG114,'Your Accounts'!$BF$6:$BF$185)</f>
        <v>11490436.27</v>
      </c>
      <c r="BI114" s="15" t="n">
        <f aca="false">ROUND($D114*Sensitivity!$C$39+Sensitivity!$D$39,2)</f>
        <v>23150</v>
      </c>
      <c r="BJ114" s="15" t="n">
        <f aca="false">ROUND($K114-$BM114,2)</f>
        <v>13309.24</v>
      </c>
      <c r="BK114" s="26" t="n">
        <f aca="false">RANK($BJ114,'Your Accounts'!$BJ$6:$BJ$185)</f>
        <v>108</v>
      </c>
      <c r="BL114" s="15" t="n">
        <f aca="false">SUMIF('Your Accounts'!$BK$6:$BK$185,"&lt;="&amp;$BK114,'Your Accounts'!$BJ$6:$BJ$185)</f>
        <v>11020291.95</v>
      </c>
      <c r="BM114" s="15" t="n">
        <f aca="false">ROUND($D114*Sensitivity!$C$40+Sensitivity!$D$40,2)</f>
        <v>28937.5</v>
      </c>
      <c r="BN114" s="15" t="n">
        <f aca="false">ROUND($K114-$BQ114,2)</f>
        <v>7521.74</v>
      </c>
      <c r="BO114" s="26" t="n">
        <f aca="false">RANK($BN114,'Your Accounts'!$BN$6:$BN$185)</f>
        <v>112</v>
      </c>
      <c r="BP114" s="15" t="n">
        <f aca="false">SUMIF('Your Accounts'!$BO$6:$BO$185,"&lt;="&amp;$BO114,'Your Accounts'!$BN$6:$BN$185)</f>
        <v>10528354.58</v>
      </c>
      <c r="BQ114" s="15" t="n">
        <f aca="false">ROUND($D114*Sensitivity!$C$41+Sensitivity!$D$41,2)</f>
        <v>34725</v>
      </c>
    </row>
    <row r="115" customFormat="false" ht="15" hidden="false" customHeight="false" outlineLevel="0" collapsed="false">
      <c r="B115" s="18" t="s">
        <v>227</v>
      </c>
      <c r="C115" s="18" t="s">
        <v>218</v>
      </c>
      <c r="D115" s="24" t="n">
        <v>20</v>
      </c>
      <c r="E115" s="26" t="n">
        <f aca="false">SUMIF('Your Lines'!$B$6:$B$463,$B115,'Your Lines'!$E$6:$E$463)</f>
        <v>780</v>
      </c>
      <c r="F115" s="15" t="n">
        <f aca="false">ROUND(SUMIF('Your Lines'!$B$6:$B$463,$B115,'Your Lines'!$J$6:$J$463),2)</f>
        <v>65694</v>
      </c>
      <c r="G115" s="15" t="n">
        <f aca="false">ROUND(SUMIF('Your Lines'!$B$6:$B$463,$B115,'Your Lines'!$G$6:$G$463),2)</f>
        <v>60456.06</v>
      </c>
      <c r="H115" s="25" t="n">
        <f aca="false">$G115/$F115</f>
        <v>0.920267604347429</v>
      </c>
      <c r="I115" s="15" t="n">
        <f aca="false">ROUND(SUMIF('Your Lines'!$B$6:$B$463,$B115,'Your Lines'!$K$6:$K$463),2)</f>
        <v>37290</v>
      </c>
      <c r="J115" s="15" t="n">
        <f aca="false">ROUND(SUMIF('Your Lines'!$B$6:$B$463,$B115,'Your Lines'!$L$6:$L$463),2)</f>
        <v>1221.33</v>
      </c>
      <c r="K115" s="15" t="n">
        <f aca="false">ROUND($G115-$I115-$J115,2)</f>
        <v>21944.73</v>
      </c>
      <c r="L115" s="15" t="n">
        <f aca="false">ROUND($D115*'Your Inputs'!$C$40+'Your Inputs'!$C$41,2)</f>
        <v>9400</v>
      </c>
      <c r="M115" s="15" t="n">
        <f aca="false">ROUND($K115-$L115,2)</f>
        <v>12544.73</v>
      </c>
      <c r="N115" s="26" t="n">
        <f aca="false">RANK($M115,'Your Accounts'!$M$6:$M$185)</f>
        <v>146</v>
      </c>
      <c r="O115" s="15" t="n">
        <f aca="false">SUMIF('Your Accounts'!$N$6:$N$185,"&lt;="&amp;$N115,'Your Accounts'!$M$6:$M$185)</f>
        <v>13335661.98</v>
      </c>
      <c r="P115" s="15"/>
      <c r="Q115" s="26" t="n">
        <f aca="false">COUNTIFS('Your Lines'!$B$6:$B$463,$B115,'Your Lines'!$R$6:$R$463,"below the floor")</f>
        <v>1</v>
      </c>
      <c r="R115" s="15" t="n">
        <f aca="false">IF(Q115&gt;0,$K115,0)</f>
        <v>21944.73</v>
      </c>
      <c r="AN115" s="15" t="n">
        <f aca="false">IF(VLOOKUP($C115,'Your Floors'!$B$53:$F$56,5,FALSE())="yes",0,$R115)</f>
        <v>21944.73</v>
      </c>
      <c r="AP115" s="15" t="n">
        <f aca="false">ROUND($K115-$AS115,2)</f>
        <v>17244.73</v>
      </c>
      <c r="AQ115" s="26" t="n">
        <f aca="false">RANK($AP115,'Your Accounts'!$AP$6:$AP$185)</f>
        <v>144</v>
      </c>
      <c r="AR115" s="15" t="n">
        <f aca="false">SUMIF('Your Accounts'!$AQ$6:$AQ$185,"&lt;="&amp;$AQ115,'Your Accounts'!$AP$6:$AP$185)</f>
        <v>13997465.13</v>
      </c>
      <c r="AS115" s="15" t="n">
        <f aca="false">ROUND($D115*Sensitivity!$C$35+Sensitivity!$D$35,2)</f>
        <v>4700</v>
      </c>
      <c r="AT115" s="15" t="n">
        <f aca="false">ROUND($K115-$AW115,2)</f>
        <v>12544.73</v>
      </c>
      <c r="AU115" s="26" t="n">
        <f aca="false">RANK($AT115,'Your Accounts'!$AT$6:$AT$185)</f>
        <v>146</v>
      </c>
      <c r="AV115" s="15" t="n">
        <f aca="false">SUMIF('Your Accounts'!$AU$6:$AU$185,"&lt;="&amp;$AU115,'Your Accounts'!$AT$6:$AT$185)</f>
        <v>13335661.98</v>
      </c>
      <c r="AW115" s="15" t="n">
        <f aca="false">ROUND($D115*Sensitivity!$C$36+Sensitivity!$D$36,2)</f>
        <v>9400</v>
      </c>
      <c r="AX115" s="15" t="n">
        <f aca="false">ROUND($K115-$BA115,2)</f>
        <v>10194.73</v>
      </c>
      <c r="AY115" s="26" t="n">
        <f aca="false">RANK($AX115,'Your Accounts'!$AX$6:$AX$185)</f>
        <v>147</v>
      </c>
      <c r="AZ115" s="15" t="n">
        <f aca="false">SUMIF('Your Accounts'!$AY$6:$AY$185,"&lt;="&amp;$AY115,'Your Accounts'!$AX$6:$AX$185)</f>
        <v>12999002</v>
      </c>
      <c r="BA115" s="15" t="n">
        <f aca="false">ROUND($D115*Sensitivity!$C$37+Sensitivity!$D$37,2)</f>
        <v>11750</v>
      </c>
      <c r="BB115" s="15" t="n">
        <f aca="false">ROUND($K115-$BE115,2)</f>
        <v>7844.73</v>
      </c>
      <c r="BC115" s="26" t="n">
        <f aca="false">RANK($BB115,'Your Accounts'!$BB$6:$BB$185)</f>
        <v>148</v>
      </c>
      <c r="BD115" s="15" t="n">
        <f aca="false">SUMIF('Your Accounts'!$BC$6:$BC$185,"&lt;="&amp;$BC115,'Your Accounts'!$BB$6:$BB$185)</f>
        <v>12657857.21</v>
      </c>
      <c r="BE115" s="15" t="n">
        <f aca="false">ROUND($D115*Sensitivity!$C$38+Sensitivity!$D$38,2)</f>
        <v>14100</v>
      </c>
      <c r="BF115" s="15" t="n">
        <f aca="false">ROUND($K115-$BI115,2)</f>
        <v>3144.73</v>
      </c>
      <c r="BG115" s="26" t="n">
        <f aca="false">RANK($BF115,'Your Accounts'!$BF$6:$BF$185)</f>
        <v>151</v>
      </c>
      <c r="BH115" s="15" t="n">
        <f aca="false">SUMIF('Your Accounts'!$BG$6:$BG$185,"&lt;="&amp;$BG115,'Your Accounts'!$BF$6:$BF$185)</f>
        <v>11966184.35</v>
      </c>
      <c r="BI115" s="15" t="n">
        <f aca="false">ROUND($D115*Sensitivity!$C$39+Sensitivity!$D$39,2)</f>
        <v>18800</v>
      </c>
      <c r="BJ115" s="15" t="n">
        <f aca="false">ROUND($K115-$BM115,2)</f>
        <v>-1555.27</v>
      </c>
      <c r="BK115" s="26" t="n">
        <f aca="false">RANK($BJ115,'Your Accounts'!$BJ$6:$BJ$185)</f>
        <v>152</v>
      </c>
      <c r="BL115" s="15" t="n">
        <f aca="false">SUMIF('Your Accounts'!$BK$6:$BK$185,"&lt;="&amp;$BK115,'Your Accounts'!$BJ$6:$BJ$185)</f>
        <v>11251770.76</v>
      </c>
      <c r="BM115" s="15" t="n">
        <f aca="false">ROUND($D115*Sensitivity!$C$40+Sensitivity!$D$40,2)</f>
        <v>23500</v>
      </c>
      <c r="BN115" s="15" t="n">
        <f aca="false">ROUND($K115-$BQ115,2)</f>
        <v>-6255.27</v>
      </c>
      <c r="BO115" s="26" t="n">
        <f aca="false">RANK($BN115,'Your Accounts'!$BN$6:$BN$185)</f>
        <v>152</v>
      </c>
      <c r="BP115" s="15" t="n">
        <f aca="false">SUMIF('Your Accounts'!$BO$6:$BO$185,"&lt;="&amp;$BO115,'Your Accounts'!$BN$6:$BN$185)</f>
        <v>10534905.76</v>
      </c>
      <c r="BQ115" s="15" t="n">
        <f aca="false">ROUND($D115*Sensitivity!$C$41+Sensitivity!$D$41,2)</f>
        <v>28200</v>
      </c>
    </row>
    <row r="116" customFormat="false" ht="15" hidden="false" customHeight="false" outlineLevel="0" collapsed="false">
      <c r="B116" s="18" t="s">
        <v>228</v>
      </c>
      <c r="C116" s="18" t="s">
        <v>218</v>
      </c>
      <c r="D116" s="24" t="n">
        <v>10</v>
      </c>
      <c r="E116" s="26" t="n">
        <f aca="false">SUMIF('Your Lines'!$B$6:$B$463,$B116,'Your Lines'!$E$6:$E$463)</f>
        <v>419</v>
      </c>
      <c r="F116" s="15" t="n">
        <f aca="false">ROUND(SUMIF('Your Lines'!$B$6:$B$463,$B116,'Your Lines'!$J$6:$J$463),2)</f>
        <v>50104</v>
      </c>
      <c r="G116" s="15" t="n">
        <f aca="false">ROUND(SUMIF('Your Lines'!$B$6:$B$463,$B116,'Your Lines'!$G$6:$G$463),2)</f>
        <v>49602.96</v>
      </c>
      <c r="H116" s="25" t="n">
        <f aca="false">$G116/$F116</f>
        <v>0.99</v>
      </c>
      <c r="I116" s="15" t="n">
        <f aca="false">ROUND(SUMIF('Your Lines'!$B$6:$B$463,$B116,'Your Lines'!$K$6:$K$463),2)</f>
        <v>28102</v>
      </c>
      <c r="J116" s="15" t="n">
        <f aca="false">ROUND(SUMIF('Your Lines'!$B$6:$B$463,$B116,'Your Lines'!$L$6:$L$463),2)</f>
        <v>1002.08</v>
      </c>
      <c r="K116" s="15" t="n">
        <f aca="false">ROUND($G116-$I116-$J116,2)</f>
        <v>20498.88</v>
      </c>
      <c r="L116" s="15" t="n">
        <f aca="false">ROUND($D116*'Your Inputs'!$C$40+'Your Inputs'!$C$41,2)</f>
        <v>7950</v>
      </c>
      <c r="M116" s="15" t="n">
        <f aca="false">ROUND($K116-$L116,2)</f>
        <v>12548.88</v>
      </c>
      <c r="N116" s="26" t="n">
        <f aca="false">RANK($M116,'Your Accounts'!$M$6:$M$185)</f>
        <v>145</v>
      </c>
      <c r="O116" s="15" t="n">
        <f aca="false">SUMIF('Your Accounts'!$N$6:$N$185,"&lt;="&amp;$N116,'Your Accounts'!$M$6:$M$185)</f>
        <v>13323117.25</v>
      </c>
      <c r="P116" s="15"/>
      <c r="Q116" s="26" t="n">
        <f aca="false">COUNTIFS('Your Lines'!$B$6:$B$463,$B116,'Your Lines'!$R$6:$R$463,"below the floor")</f>
        <v>0</v>
      </c>
      <c r="R116" s="15" t="n">
        <f aca="false">IF(Q116&gt;0,$K116,0)</f>
        <v>0</v>
      </c>
      <c r="AN116" s="15" t="n">
        <f aca="false">IF(VLOOKUP($C116,'Your Floors'!$B$53:$F$56,5,FALSE())="yes",0,$R116)</f>
        <v>0</v>
      </c>
      <c r="AP116" s="15" t="n">
        <f aca="false">ROUND($K116-$AS116,2)</f>
        <v>16523.88</v>
      </c>
      <c r="AQ116" s="26" t="n">
        <f aca="false">RANK($AP116,'Your Accounts'!$AP$6:$AP$185)</f>
        <v>148</v>
      </c>
      <c r="AR116" s="15" t="n">
        <f aca="false">SUMIF('Your Accounts'!$AQ$6:$AQ$185,"&lt;="&amp;$AQ116,'Your Accounts'!$AP$6:$AP$185)</f>
        <v>14064386.8</v>
      </c>
      <c r="AS116" s="15" t="n">
        <f aca="false">ROUND($D116*Sensitivity!$C$35+Sensitivity!$D$35,2)</f>
        <v>3975</v>
      </c>
      <c r="AT116" s="15" t="n">
        <f aca="false">ROUND($K116-$AW116,2)</f>
        <v>12548.88</v>
      </c>
      <c r="AU116" s="26" t="n">
        <f aca="false">RANK($AT116,'Your Accounts'!$AT$6:$AT$185)</f>
        <v>145</v>
      </c>
      <c r="AV116" s="15" t="n">
        <f aca="false">SUMIF('Your Accounts'!$AU$6:$AU$185,"&lt;="&amp;$AU116,'Your Accounts'!$AT$6:$AT$185)</f>
        <v>13323117.25</v>
      </c>
      <c r="AW116" s="15" t="n">
        <f aca="false">ROUND($D116*Sensitivity!$C$36+Sensitivity!$D$36,2)</f>
        <v>7950</v>
      </c>
      <c r="AX116" s="15" t="n">
        <f aca="false">ROUND($K116-$BA116,2)</f>
        <v>10561.38</v>
      </c>
      <c r="AY116" s="26" t="n">
        <f aca="false">RANK($AX116,'Your Accounts'!$AX$6:$AX$185)</f>
        <v>145</v>
      </c>
      <c r="AZ116" s="15" t="n">
        <f aca="false">SUMIF('Your Accounts'!$AY$6:$AY$185,"&lt;="&amp;$AY116,'Your Accounts'!$AX$6:$AX$185)</f>
        <v>12978343.5</v>
      </c>
      <c r="BA116" s="15" t="n">
        <f aca="false">ROUND($D116*Sensitivity!$C$37+Sensitivity!$D$37,2)</f>
        <v>9937.5</v>
      </c>
      <c r="BB116" s="15" t="n">
        <f aca="false">ROUND($K116-$BE116,2)</f>
        <v>8573.88</v>
      </c>
      <c r="BC116" s="26" t="n">
        <f aca="false">RANK($BB116,'Your Accounts'!$BB$6:$BB$185)</f>
        <v>144</v>
      </c>
      <c r="BD116" s="15" t="n">
        <f aca="false">SUMIF('Your Accounts'!$BC$6:$BC$185,"&lt;="&amp;$BC116,'Your Accounts'!$BB$6:$BB$185)</f>
        <v>12625054.04</v>
      </c>
      <c r="BE116" s="15" t="n">
        <f aca="false">ROUND($D116*Sensitivity!$C$38+Sensitivity!$D$38,2)</f>
        <v>11925</v>
      </c>
      <c r="BF116" s="15" t="n">
        <f aca="false">ROUND($K116-$BI116,2)</f>
        <v>4598.88</v>
      </c>
      <c r="BG116" s="26" t="n">
        <f aca="false">RANK($BF116,'Your Accounts'!$BF$6:$BF$185)</f>
        <v>143</v>
      </c>
      <c r="BH116" s="15" t="n">
        <f aca="false">SUMIF('Your Accounts'!$BG$6:$BG$185,"&lt;="&amp;$BG116,'Your Accounts'!$BF$6:$BF$185)</f>
        <v>11935363.88</v>
      </c>
      <c r="BI116" s="15" t="n">
        <f aca="false">ROUND($D116*Sensitivity!$C$39+Sensitivity!$D$39,2)</f>
        <v>15900</v>
      </c>
      <c r="BJ116" s="15" t="n">
        <f aca="false">ROUND($K116-$BM116,2)</f>
        <v>623.88</v>
      </c>
      <c r="BK116" s="26" t="n">
        <f aca="false">RANK($BJ116,'Your Accounts'!$BJ$6:$BJ$185)</f>
        <v>142</v>
      </c>
      <c r="BL116" s="15" t="n">
        <f aca="false">SUMIF('Your Accounts'!$BK$6:$BK$185,"&lt;="&amp;$BK116,'Your Accounts'!$BJ$6:$BJ$185)</f>
        <v>11254723.96</v>
      </c>
      <c r="BM116" s="15" t="n">
        <f aca="false">ROUND($D116*Sensitivity!$C$40+Sensitivity!$D$40,2)</f>
        <v>19875</v>
      </c>
      <c r="BN116" s="15" t="n">
        <f aca="false">ROUND($K116-$BQ116,2)</f>
        <v>-3351.12</v>
      </c>
      <c r="BO116" s="26" t="n">
        <f aca="false">RANK($BN116,'Your Accounts'!$BN$6:$BN$185)</f>
        <v>140</v>
      </c>
      <c r="BP116" s="15" t="n">
        <f aca="false">SUMIF('Your Accounts'!$BO$6:$BO$185,"&lt;="&amp;$BO116,'Your Accounts'!$BN$6:$BN$185)</f>
        <v>10586189.36</v>
      </c>
      <c r="BQ116" s="15" t="n">
        <f aca="false">ROUND($D116*Sensitivity!$C$41+Sensitivity!$D$41,2)</f>
        <v>23850</v>
      </c>
    </row>
    <row r="117" customFormat="false" ht="15" hidden="false" customHeight="false" outlineLevel="0" collapsed="false">
      <c r="B117" s="18" t="s">
        <v>229</v>
      </c>
      <c r="C117" s="18" t="s">
        <v>218</v>
      </c>
      <c r="D117" s="24" t="n">
        <v>16</v>
      </c>
      <c r="E117" s="26" t="n">
        <f aca="false">SUMIF('Your Lines'!$B$6:$B$463,$B117,'Your Lines'!$E$6:$E$463)</f>
        <v>718</v>
      </c>
      <c r="F117" s="15" t="n">
        <f aca="false">ROUND(SUMIF('Your Lines'!$B$6:$B$463,$B117,'Your Lines'!$J$6:$J$463),2)</f>
        <v>56986</v>
      </c>
      <c r="G117" s="15" t="n">
        <f aca="false">ROUND(SUMIF('Your Lines'!$B$6:$B$463,$B117,'Your Lines'!$G$6:$G$463),2)</f>
        <v>56416.14</v>
      </c>
      <c r="H117" s="25" t="n">
        <f aca="false">$G117/$F117</f>
        <v>0.99</v>
      </c>
      <c r="I117" s="15" t="n">
        <f aca="false">ROUND(SUMIF('Your Lines'!$B$6:$B$463,$B117,'Your Lines'!$K$6:$K$463),2)</f>
        <v>31938</v>
      </c>
      <c r="J117" s="15" t="n">
        <f aca="false">ROUND(SUMIF('Your Lines'!$B$6:$B$463,$B117,'Your Lines'!$L$6:$L$463),2)</f>
        <v>1139.72</v>
      </c>
      <c r="K117" s="15" t="n">
        <f aca="false">ROUND($G117-$I117-$J117,2)</f>
        <v>23338.42</v>
      </c>
      <c r="L117" s="15" t="n">
        <f aca="false">ROUND($D117*'Your Inputs'!$C$40+'Your Inputs'!$C$41,2)</f>
        <v>8820</v>
      </c>
      <c r="M117" s="15" t="n">
        <f aca="false">ROUND($K117-$L117,2)</f>
        <v>14518.42</v>
      </c>
      <c r="N117" s="26" t="n">
        <f aca="false">RANK($M117,'Your Accounts'!$M$6:$M$185)</f>
        <v>137</v>
      </c>
      <c r="O117" s="15" t="n">
        <f aca="false">SUMIF('Your Accounts'!$N$6:$N$185,"&lt;="&amp;$N117,'Your Accounts'!$M$6:$M$185)</f>
        <v>13215694.89</v>
      </c>
      <c r="P117" s="15"/>
      <c r="Q117" s="26" t="n">
        <f aca="false">COUNTIFS('Your Lines'!$B$6:$B$463,$B117,'Your Lines'!$R$6:$R$463,"below the floor")</f>
        <v>0</v>
      </c>
      <c r="R117" s="15" t="n">
        <f aca="false">IF(Q117&gt;0,$K117,0)</f>
        <v>0</v>
      </c>
      <c r="AN117" s="15" t="n">
        <f aca="false">IF(VLOOKUP($C117,'Your Floors'!$B$53:$F$56,5,FALSE())="yes",0,$R117)</f>
        <v>0</v>
      </c>
      <c r="AP117" s="15" t="n">
        <f aca="false">ROUND($K117-$AS117,2)</f>
        <v>18928.42</v>
      </c>
      <c r="AQ117" s="26" t="n">
        <f aca="false">RANK($AP117,'Your Accounts'!$AP$6:$AP$185)</f>
        <v>137</v>
      </c>
      <c r="AR117" s="15" t="n">
        <f aca="false">SUMIF('Your Accounts'!$AQ$6:$AQ$185,"&lt;="&amp;$AQ117,'Your Accounts'!$AP$6:$AP$185)</f>
        <v>13872559.63</v>
      </c>
      <c r="AS117" s="15" t="n">
        <f aca="false">ROUND($D117*Sensitivity!$C$35+Sensitivity!$D$35,2)</f>
        <v>4410</v>
      </c>
      <c r="AT117" s="15" t="n">
        <f aca="false">ROUND($K117-$AW117,2)</f>
        <v>14518.42</v>
      </c>
      <c r="AU117" s="26" t="n">
        <f aca="false">RANK($AT117,'Your Accounts'!$AT$6:$AT$185)</f>
        <v>137</v>
      </c>
      <c r="AV117" s="15" t="n">
        <f aca="false">SUMIF('Your Accounts'!$AU$6:$AU$185,"&lt;="&amp;$AU117,'Your Accounts'!$AT$6:$AT$185)</f>
        <v>13215694.89</v>
      </c>
      <c r="AW117" s="15" t="n">
        <f aca="false">ROUND($D117*Sensitivity!$C$36+Sensitivity!$D$36,2)</f>
        <v>8820</v>
      </c>
      <c r="AX117" s="15" t="n">
        <f aca="false">ROUND($K117-$BA117,2)</f>
        <v>12313.42</v>
      </c>
      <c r="AY117" s="26" t="n">
        <f aca="false">RANK($AX117,'Your Accounts'!$AX$6:$AX$185)</f>
        <v>138</v>
      </c>
      <c r="AZ117" s="15" t="n">
        <f aca="false">SUMIF('Your Accounts'!$AY$6:$AY$185,"&lt;="&amp;$AY117,'Your Accounts'!$AX$6:$AX$185)</f>
        <v>12900309.22</v>
      </c>
      <c r="BA117" s="15" t="n">
        <f aca="false">ROUND($D117*Sensitivity!$C$37+Sensitivity!$D$37,2)</f>
        <v>11025</v>
      </c>
      <c r="BB117" s="15" t="n">
        <f aca="false">ROUND($K117-$BE117,2)</f>
        <v>10108.42</v>
      </c>
      <c r="BC117" s="26" t="n">
        <f aca="false">RANK($BB117,'Your Accounts'!$BB$6:$BB$185)</f>
        <v>138</v>
      </c>
      <c r="BD117" s="15" t="n">
        <f aca="false">SUMIF('Your Accounts'!$BC$6:$BC$185,"&lt;="&amp;$BC117,'Your Accounts'!$BB$6:$BB$185)</f>
        <v>12570535.47</v>
      </c>
      <c r="BE117" s="15" t="n">
        <f aca="false">ROUND($D117*Sensitivity!$C$38+Sensitivity!$D$38,2)</f>
        <v>13230</v>
      </c>
      <c r="BF117" s="15" t="n">
        <f aca="false">ROUND($K117-$BI117,2)</f>
        <v>5698.42</v>
      </c>
      <c r="BG117" s="26" t="n">
        <f aca="false">RANK($BF117,'Your Accounts'!$BF$6:$BF$185)</f>
        <v>138</v>
      </c>
      <c r="BH117" s="15" t="n">
        <f aca="false">SUMIF('Your Accounts'!$BG$6:$BG$185,"&lt;="&amp;$BG117,'Your Accounts'!$BF$6:$BF$185)</f>
        <v>11910987.97</v>
      </c>
      <c r="BI117" s="15" t="n">
        <f aca="false">ROUND($D117*Sensitivity!$C$39+Sensitivity!$D$39,2)</f>
        <v>17640</v>
      </c>
      <c r="BJ117" s="15" t="n">
        <f aca="false">ROUND($K117-$BM117,2)</f>
        <v>1288.42</v>
      </c>
      <c r="BK117" s="26" t="n">
        <f aca="false">RANK($BJ117,'Your Accounts'!$BJ$6:$BJ$185)</f>
        <v>136</v>
      </c>
      <c r="BL117" s="15" t="n">
        <f aca="false">SUMIF('Your Accounts'!$BK$6:$BK$185,"&lt;="&amp;$BK117,'Your Accounts'!$BJ$6:$BJ$185)</f>
        <v>11248947.72</v>
      </c>
      <c r="BM117" s="15" t="n">
        <f aca="false">ROUND($D117*Sensitivity!$C$40+Sensitivity!$D$40,2)</f>
        <v>22050</v>
      </c>
      <c r="BN117" s="15" t="n">
        <f aca="false">ROUND($K117-$BQ117,2)</f>
        <v>-3121.58</v>
      </c>
      <c r="BO117" s="26" t="n">
        <f aca="false">RANK($BN117,'Your Accounts'!$BN$6:$BN$185)</f>
        <v>137</v>
      </c>
      <c r="BP117" s="15" t="n">
        <f aca="false">SUMIF('Your Accounts'!$BO$6:$BO$185,"&lt;="&amp;$BO117,'Your Accounts'!$BN$6:$BN$185)</f>
        <v>10596126.85</v>
      </c>
      <c r="BQ117" s="15" t="n">
        <f aca="false">ROUND($D117*Sensitivity!$C$41+Sensitivity!$D$41,2)</f>
        <v>26460</v>
      </c>
    </row>
    <row r="118" customFormat="false" ht="15" hidden="false" customHeight="false" outlineLevel="0" collapsed="false">
      <c r="B118" s="18" t="s">
        <v>230</v>
      </c>
      <c r="C118" s="18" t="s">
        <v>218</v>
      </c>
      <c r="D118" s="24" t="n">
        <v>16</v>
      </c>
      <c r="E118" s="26" t="n">
        <f aca="false">SUMIF('Your Lines'!$B$6:$B$463,$B118,'Your Lines'!$E$6:$E$463)</f>
        <v>1087</v>
      </c>
      <c r="F118" s="15" t="n">
        <f aca="false">ROUND(SUMIF('Your Lines'!$B$6:$B$463,$B118,'Your Lines'!$J$6:$J$463),2)</f>
        <v>93296</v>
      </c>
      <c r="G118" s="15" t="n">
        <f aca="false">ROUND(SUMIF('Your Lines'!$B$6:$B$463,$B118,'Your Lines'!$G$6:$G$463),2)</f>
        <v>87785.84</v>
      </c>
      <c r="H118" s="25" t="n">
        <f aca="false">$G118/$F118</f>
        <v>0.940938947007374</v>
      </c>
      <c r="I118" s="15" t="n">
        <f aca="false">ROUND(SUMIF('Your Lines'!$B$6:$B$463,$B118,'Your Lines'!$K$6:$K$463),2)</f>
        <v>52494</v>
      </c>
      <c r="J118" s="15" t="n">
        <f aca="false">ROUND(SUMIF('Your Lines'!$B$6:$B$463,$B118,'Your Lines'!$L$6:$L$463),2)</f>
        <v>1773.45</v>
      </c>
      <c r="K118" s="15" t="n">
        <f aca="false">ROUND($G118-$I118-$J118,2)</f>
        <v>33518.39</v>
      </c>
      <c r="L118" s="15" t="n">
        <f aca="false">ROUND($D118*'Your Inputs'!$C$40+'Your Inputs'!$C$41,2)</f>
        <v>8820</v>
      </c>
      <c r="M118" s="15" t="n">
        <f aca="false">ROUND($K118-$L118,2)</f>
        <v>24698.39</v>
      </c>
      <c r="N118" s="26" t="n">
        <f aca="false">RANK($M118,'Your Accounts'!$M$6:$M$185)</f>
        <v>116</v>
      </c>
      <c r="O118" s="15" t="n">
        <f aca="false">SUMIF('Your Accounts'!$N$6:$N$185,"&lt;="&amp;$N118,'Your Accounts'!$M$6:$M$185)</f>
        <v>12809913.52</v>
      </c>
      <c r="P118" s="15"/>
      <c r="Q118" s="26" t="n">
        <f aca="false">COUNTIFS('Your Lines'!$B$6:$B$463,$B118,'Your Lines'!$R$6:$R$463,"below the floor")</f>
        <v>0</v>
      </c>
      <c r="R118" s="15" t="n">
        <f aca="false">IF(Q118&gt;0,$K118,0)</f>
        <v>0</v>
      </c>
      <c r="AN118" s="15" t="n">
        <f aca="false">IF(VLOOKUP($C118,'Your Floors'!$B$53:$F$56,5,FALSE())="yes",0,$R118)</f>
        <v>0</v>
      </c>
      <c r="AP118" s="15" t="n">
        <f aca="false">ROUND($K118-$AS118,2)</f>
        <v>29108.39</v>
      </c>
      <c r="AQ118" s="26" t="n">
        <f aca="false">RANK($AP118,'Your Accounts'!$AP$6:$AP$185)</f>
        <v>115</v>
      </c>
      <c r="AR118" s="15" t="n">
        <f aca="false">SUMIF('Your Accounts'!$AQ$6:$AQ$185,"&lt;="&amp;$AQ118,'Your Accounts'!$AP$6:$AP$185)</f>
        <v>13346787.37</v>
      </c>
      <c r="AS118" s="15" t="n">
        <f aca="false">ROUND($D118*Sensitivity!$C$35+Sensitivity!$D$35,2)</f>
        <v>4410</v>
      </c>
      <c r="AT118" s="15" t="n">
        <f aca="false">ROUND($K118-$AW118,2)</f>
        <v>24698.39</v>
      </c>
      <c r="AU118" s="26" t="n">
        <f aca="false">RANK($AT118,'Your Accounts'!$AT$6:$AT$185)</f>
        <v>116</v>
      </c>
      <c r="AV118" s="15" t="n">
        <f aca="false">SUMIF('Your Accounts'!$AU$6:$AU$185,"&lt;="&amp;$AU118,'Your Accounts'!$AT$6:$AT$185)</f>
        <v>12809913.52</v>
      </c>
      <c r="AW118" s="15" t="n">
        <f aca="false">ROUND($D118*Sensitivity!$C$36+Sensitivity!$D$36,2)</f>
        <v>8820</v>
      </c>
      <c r="AX118" s="15" t="n">
        <f aca="false">ROUND($K118-$BA118,2)</f>
        <v>22493.39</v>
      </c>
      <c r="AY118" s="26" t="n">
        <f aca="false">RANK($AX118,'Your Accounts'!$AX$6:$AX$185)</f>
        <v>115</v>
      </c>
      <c r="AZ118" s="15" t="n">
        <f aca="false">SUMIF('Your Accounts'!$AY$6:$AY$185,"&lt;="&amp;$AY118,'Your Accounts'!$AX$6:$AX$185)</f>
        <v>12504483.51</v>
      </c>
      <c r="BA118" s="15" t="n">
        <f aca="false">ROUND($D118*Sensitivity!$C$37+Sensitivity!$D$37,2)</f>
        <v>11025</v>
      </c>
      <c r="BB118" s="15" t="n">
        <f aca="false">ROUND($K118-$BE118,2)</f>
        <v>20288.39</v>
      </c>
      <c r="BC118" s="26" t="n">
        <f aca="false">RANK($BB118,'Your Accounts'!$BB$6:$BB$185)</f>
        <v>115</v>
      </c>
      <c r="BD118" s="15" t="n">
        <f aca="false">SUMIF('Your Accounts'!$BC$6:$BC$185,"&lt;="&amp;$BC118,'Your Accounts'!$BB$6:$BB$185)</f>
        <v>12224409.76</v>
      </c>
      <c r="BE118" s="15" t="n">
        <f aca="false">ROUND($D118*Sensitivity!$C$38+Sensitivity!$D$38,2)</f>
        <v>13230</v>
      </c>
      <c r="BF118" s="15" t="n">
        <f aca="false">ROUND($K118-$BI118,2)</f>
        <v>15878.39</v>
      </c>
      <c r="BG118" s="26" t="n">
        <f aca="false">RANK($BF118,'Your Accounts'!$BF$6:$BF$185)</f>
        <v>115</v>
      </c>
      <c r="BH118" s="15" t="n">
        <f aca="false">SUMIF('Your Accounts'!$BG$6:$BG$185,"&lt;="&amp;$BG118,'Your Accounts'!$BF$6:$BF$185)</f>
        <v>11664408.01</v>
      </c>
      <c r="BI118" s="15" t="n">
        <f aca="false">ROUND($D118*Sensitivity!$C$39+Sensitivity!$D$39,2)</f>
        <v>17640</v>
      </c>
      <c r="BJ118" s="15" t="n">
        <f aca="false">ROUND($K118-$BM118,2)</f>
        <v>11468.39</v>
      </c>
      <c r="BK118" s="26" t="n">
        <f aca="false">RANK($BJ118,'Your Accounts'!$BJ$6:$BJ$185)</f>
        <v>116</v>
      </c>
      <c r="BL118" s="15" t="n">
        <f aca="false">SUMIF('Your Accounts'!$BK$6:$BK$185,"&lt;="&amp;$BK118,'Your Accounts'!$BJ$6:$BJ$185)</f>
        <v>11117936.11</v>
      </c>
      <c r="BM118" s="15" t="n">
        <f aca="false">ROUND($D118*Sensitivity!$C$40+Sensitivity!$D$40,2)</f>
        <v>22050</v>
      </c>
      <c r="BN118" s="15" t="n">
        <f aca="false">ROUND($K118-$BQ118,2)</f>
        <v>7058.39</v>
      </c>
      <c r="BO118" s="26" t="n">
        <f aca="false">RANK($BN118,'Your Accounts'!$BN$6:$BN$185)</f>
        <v>115</v>
      </c>
      <c r="BP118" s="15" t="n">
        <f aca="false">SUMIF('Your Accounts'!$BO$6:$BO$185,"&lt;="&amp;$BO118,'Your Accounts'!$BN$6:$BN$185)</f>
        <v>10550212.03</v>
      </c>
      <c r="BQ118" s="15" t="n">
        <f aca="false">ROUND($D118*Sensitivity!$C$41+Sensitivity!$D$41,2)</f>
        <v>26460</v>
      </c>
    </row>
    <row r="119" customFormat="false" ht="15" hidden="false" customHeight="false" outlineLevel="0" collapsed="false">
      <c r="B119" s="18" t="s">
        <v>231</v>
      </c>
      <c r="C119" s="18" t="s">
        <v>218</v>
      </c>
      <c r="D119" s="24" t="n">
        <v>5</v>
      </c>
      <c r="E119" s="26" t="n">
        <f aca="false">SUMIF('Your Lines'!$B$6:$B$463,$B119,'Your Lines'!$E$6:$E$463)</f>
        <v>208</v>
      </c>
      <c r="F119" s="15" t="n">
        <f aca="false">ROUND(SUMIF('Your Lines'!$B$6:$B$463,$B119,'Your Lines'!$J$6:$J$463),2)</f>
        <v>17576</v>
      </c>
      <c r="G119" s="15" t="n">
        <f aca="false">ROUND(SUMIF('Your Lines'!$B$6:$B$463,$B119,'Your Lines'!$G$6:$G$463),2)</f>
        <v>16701.26</v>
      </c>
      <c r="H119" s="25" t="n">
        <f aca="false">$G119/$F119</f>
        <v>0.950230996813837</v>
      </c>
      <c r="I119" s="15" t="n">
        <f aca="false">ROUND(SUMIF('Your Lines'!$B$6:$B$463,$B119,'Your Lines'!$K$6:$K$463),2)</f>
        <v>9984</v>
      </c>
      <c r="J119" s="15" t="n">
        <f aca="false">ROUND(SUMIF('Your Lines'!$B$6:$B$463,$B119,'Your Lines'!$L$6:$L$463),2)</f>
        <v>337.4</v>
      </c>
      <c r="K119" s="15" t="n">
        <f aca="false">ROUND($G119-$I119-$J119,2)</f>
        <v>6379.86</v>
      </c>
      <c r="L119" s="15" t="n">
        <f aca="false">ROUND($D119*'Your Inputs'!$C$40+'Your Inputs'!$C$41,2)</f>
        <v>7225</v>
      </c>
      <c r="M119" s="15" t="n">
        <f aca="false">ROUND($K119-$L119,2)</f>
        <v>-845.14</v>
      </c>
      <c r="N119" s="26" t="n">
        <f aca="false">RANK($M119,'Your Accounts'!$M$6:$M$185)</f>
        <v>173</v>
      </c>
      <c r="O119" s="15" t="n">
        <f aca="false">SUMIF('Your Accounts'!$N$6:$N$185,"&lt;="&amp;$N119,'Your Accounts'!$M$6:$M$185)</f>
        <v>13506202.93</v>
      </c>
      <c r="P119" s="15"/>
      <c r="Q119" s="26" t="n">
        <f aca="false">COUNTIFS('Your Lines'!$B$6:$B$463,$B119,'Your Lines'!$R$6:$R$463,"below the floor")</f>
        <v>0</v>
      </c>
      <c r="R119" s="15" t="n">
        <f aca="false">IF(Q119&gt;0,$K119,0)</f>
        <v>0</v>
      </c>
      <c r="AN119" s="15" t="n">
        <f aca="false">IF(VLOOKUP($C119,'Your Floors'!$B$53:$F$56,5,FALSE())="yes",0,$R119)</f>
        <v>0</v>
      </c>
      <c r="AP119" s="15" t="n">
        <f aca="false">ROUND($K119-$AS119,2)</f>
        <v>2767.36</v>
      </c>
      <c r="AQ119" s="26" t="n">
        <f aca="false">RANK($AP119,'Your Accounts'!$AP$6:$AP$185)</f>
        <v>173</v>
      </c>
      <c r="AR119" s="15" t="n">
        <f aca="false">SUMIF('Your Accounts'!$AQ$6:$AQ$185,"&lt;="&amp;$AQ119,'Your Accounts'!$AP$6:$AP$185)</f>
        <v>14308282.93</v>
      </c>
      <c r="AS119" s="15" t="n">
        <f aca="false">ROUND($D119*Sensitivity!$C$35+Sensitivity!$D$35,2)</f>
        <v>3612.5</v>
      </c>
      <c r="AT119" s="15" t="n">
        <f aca="false">ROUND($K119-$AW119,2)</f>
        <v>-845.14</v>
      </c>
      <c r="AU119" s="26" t="n">
        <f aca="false">RANK($AT119,'Your Accounts'!$AT$6:$AT$185)</f>
        <v>173</v>
      </c>
      <c r="AV119" s="15" t="n">
        <f aca="false">SUMIF('Your Accounts'!$AU$6:$AU$185,"&lt;="&amp;$AU119,'Your Accounts'!$AT$6:$AT$185)</f>
        <v>13506202.93</v>
      </c>
      <c r="AW119" s="15" t="n">
        <f aca="false">ROUND($D119*Sensitivity!$C$36+Sensitivity!$D$36,2)</f>
        <v>7225</v>
      </c>
      <c r="AX119" s="15" t="n">
        <f aca="false">ROUND($K119-$BA119,2)</f>
        <v>-2651.39</v>
      </c>
      <c r="AY119" s="26" t="n">
        <f aca="false">RANK($AX119,'Your Accounts'!$AX$6:$AX$185)</f>
        <v>173</v>
      </c>
      <c r="AZ119" s="15" t="n">
        <f aca="false">SUMIF('Your Accounts'!$AY$6:$AY$185,"&lt;="&amp;$AY119,'Your Accounts'!$AX$6:$AX$185)</f>
        <v>13105162.93</v>
      </c>
      <c r="BA119" s="15" t="n">
        <f aca="false">ROUND($D119*Sensitivity!$C$37+Sensitivity!$D$37,2)</f>
        <v>9031.25</v>
      </c>
      <c r="BB119" s="15" t="n">
        <f aca="false">ROUND($K119-$BE119,2)</f>
        <v>-4457.64</v>
      </c>
      <c r="BC119" s="26" t="n">
        <f aca="false">RANK($BB119,'Your Accounts'!$BB$6:$BB$185)</f>
        <v>173</v>
      </c>
      <c r="BD119" s="15" t="n">
        <f aca="false">SUMIF('Your Accounts'!$BC$6:$BC$185,"&lt;="&amp;$BC119,'Your Accounts'!$BB$6:$BB$185)</f>
        <v>12704122.93</v>
      </c>
      <c r="BE119" s="15" t="n">
        <f aca="false">ROUND($D119*Sensitivity!$C$38+Sensitivity!$D$38,2)</f>
        <v>10837.5</v>
      </c>
      <c r="BF119" s="15" t="n">
        <f aca="false">ROUND($K119-$BI119,2)</f>
        <v>-8070.14</v>
      </c>
      <c r="BG119" s="26" t="n">
        <f aca="false">RANK($BF119,'Your Accounts'!$BF$6:$BF$185)</f>
        <v>173</v>
      </c>
      <c r="BH119" s="15" t="n">
        <f aca="false">SUMIF('Your Accounts'!$BG$6:$BG$185,"&lt;="&amp;$BG119,'Your Accounts'!$BF$6:$BF$185)</f>
        <v>11902042.93</v>
      </c>
      <c r="BI119" s="15" t="n">
        <f aca="false">ROUND($D119*Sensitivity!$C$39+Sensitivity!$D$39,2)</f>
        <v>14450</v>
      </c>
      <c r="BJ119" s="15" t="n">
        <f aca="false">ROUND($K119-$BM119,2)</f>
        <v>-11682.64</v>
      </c>
      <c r="BK119" s="26" t="n">
        <f aca="false">RANK($BJ119,'Your Accounts'!$BJ$6:$BJ$185)</f>
        <v>174</v>
      </c>
      <c r="BL119" s="15" t="n">
        <f aca="false">SUMIF('Your Accounts'!$BK$6:$BK$185,"&lt;="&amp;$BK119,'Your Accounts'!$BJ$6:$BJ$185)</f>
        <v>11088328.36</v>
      </c>
      <c r="BM119" s="15" t="n">
        <f aca="false">ROUND($D119*Sensitivity!$C$40+Sensitivity!$D$40,2)</f>
        <v>18062.5</v>
      </c>
      <c r="BN119" s="15" t="n">
        <f aca="false">ROUND($K119-$BQ119,2)</f>
        <v>-15295.14</v>
      </c>
      <c r="BO119" s="26" t="n">
        <f aca="false">RANK($BN119,'Your Accounts'!$BN$6:$BN$185)</f>
        <v>174</v>
      </c>
      <c r="BP119" s="15" t="n">
        <f aca="false">SUMIF('Your Accounts'!$BO$6:$BO$185,"&lt;="&amp;$BO119,'Your Accounts'!$BN$6:$BN$185)</f>
        <v>10282780.86</v>
      </c>
      <c r="BQ119" s="15" t="n">
        <f aca="false">ROUND($D119*Sensitivity!$C$41+Sensitivity!$D$41,2)</f>
        <v>21675</v>
      </c>
    </row>
    <row r="120" customFormat="false" ht="15" hidden="false" customHeight="false" outlineLevel="0" collapsed="false">
      <c r="B120" s="18" t="s">
        <v>232</v>
      </c>
      <c r="C120" s="18" t="s">
        <v>218</v>
      </c>
      <c r="D120" s="24" t="n">
        <v>15</v>
      </c>
      <c r="E120" s="26" t="n">
        <f aca="false">SUMIF('Your Lines'!$B$6:$B$463,$B120,'Your Lines'!$E$6:$E$463)</f>
        <v>896</v>
      </c>
      <c r="F120" s="15" t="n">
        <f aca="false">ROUND(SUMIF('Your Lines'!$B$6:$B$463,$B120,'Your Lines'!$J$6:$J$463),2)</f>
        <v>55552</v>
      </c>
      <c r="G120" s="15" t="n">
        <f aca="false">ROUND(SUMIF('Your Lines'!$B$6:$B$463,$B120,'Your Lines'!$G$6:$G$463),2)</f>
        <v>52466.64</v>
      </c>
      <c r="H120" s="25" t="n">
        <f aca="false">$G120/$F120</f>
        <v>0.944459965437788</v>
      </c>
      <c r="I120" s="15" t="n">
        <f aca="false">ROUND(SUMIF('Your Lines'!$B$6:$B$463,$B120,'Your Lines'!$K$6:$K$463),2)</f>
        <v>32256</v>
      </c>
      <c r="J120" s="15" t="n">
        <f aca="false">ROUND(SUMIF('Your Lines'!$B$6:$B$463,$B120,'Your Lines'!$L$6:$L$463),2)</f>
        <v>1059.93</v>
      </c>
      <c r="K120" s="15" t="n">
        <f aca="false">ROUND($G120-$I120-$J120,2)</f>
        <v>19150.71</v>
      </c>
      <c r="L120" s="15" t="n">
        <f aca="false">ROUND($D120*'Your Inputs'!$C$40+'Your Inputs'!$C$41,2)</f>
        <v>8675</v>
      </c>
      <c r="M120" s="15" t="n">
        <f aca="false">ROUND($K120-$L120,2)</f>
        <v>10475.71</v>
      </c>
      <c r="N120" s="26" t="n">
        <f aca="false">RANK($M120,'Your Accounts'!$M$6:$M$185)</f>
        <v>153</v>
      </c>
      <c r="O120" s="15" t="n">
        <f aca="false">SUMIF('Your Accounts'!$N$6:$N$185,"&lt;="&amp;$N120,'Your Accounts'!$M$6:$M$185)</f>
        <v>13415609.86</v>
      </c>
      <c r="P120" s="15"/>
      <c r="Q120" s="26" t="n">
        <f aca="false">COUNTIFS('Your Lines'!$B$6:$B$463,$B120,'Your Lines'!$R$6:$R$463,"below the floor")</f>
        <v>0</v>
      </c>
      <c r="R120" s="15" t="n">
        <f aca="false">IF(Q120&gt;0,$K120,0)</f>
        <v>0</v>
      </c>
      <c r="AN120" s="15" t="n">
        <f aca="false">IF(VLOOKUP($C120,'Your Floors'!$B$53:$F$56,5,FALSE())="yes",0,$R120)</f>
        <v>0</v>
      </c>
      <c r="AP120" s="15" t="n">
        <f aca="false">ROUND($K120-$AS120,2)</f>
        <v>14813.21</v>
      </c>
      <c r="AQ120" s="26" t="n">
        <f aca="false">RANK($AP120,'Your Accounts'!$AP$6:$AP$185)</f>
        <v>151</v>
      </c>
      <c r="AR120" s="15" t="n">
        <f aca="false">SUMIF('Your Accounts'!$AQ$6:$AQ$185,"&lt;="&amp;$AQ120,'Your Accounts'!$AP$6:$AP$185)</f>
        <v>14109717.76</v>
      </c>
      <c r="AS120" s="15" t="n">
        <f aca="false">ROUND($D120*Sensitivity!$C$35+Sensitivity!$D$35,2)</f>
        <v>4337.5</v>
      </c>
      <c r="AT120" s="15" t="n">
        <f aca="false">ROUND($K120-$AW120,2)</f>
        <v>10475.71</v>
      </c>
      <c r="AU120" s="26" t="n">
        <f aca="false">RANK($AT120,'Your Accounts'!$AT$6:$AT$185)</f>
        <v>153</v>
      </c>
      <c r="AV120" s="15" t="n">
        <f aca="false">SUMIF('Your Accounts'!$AU$6:$AU$185,"&lt;="&amp;$AU120,'Your Accounts'!$AT$6:$AT$185)</f>
        <v>13415609.86</v>
      </c>
      <c r="AW120" s="15" t="n">
        <f aca="false">ROUND($D120*Sensitivity!$C$36+Sensitivity!$D$36,2)</f>
        <v>8675</v>
      </c>
      <c r="AX120" s="15" t="n">
        <f aca="false">ROUND($K120-$BA120,2)</f>
        <v>8306.96</v>
      </c>
      <c r="AY120" s="26" t="n">
        <f aca="false">RANK($AX120,'Your Accounts'!$AX$6:$AX$185)</f>
        <v>153</v>
      </c>
      <c r="AZ120" s="15" t="n">
        <f aca="false">SUMIF('Your Accounts'!$AY$6:$AY$185,"&lt;="&amp;$AY120,'Your Accounts'!$AX$6:$AX$185)</f>
        <v>13053957.36</v>
      </c>
      <c r="BA120" s="15" t="n">
        <f aca="false">ROUND($D120*Sensitivity!$C$37+Sensitivity!$D$37,2)</f>
        <v>10843.75</v>
      </c>
      <c r="BB120" s="15" t="n">
        <f aca="false">ROUND($K120-$BE120,2)</f>
        <v>6138.21</v>
      </c>
      <c r="BC120" s="26" t="n">
        <f aca="false">RANK($BB120,'Your Accounts'!$BB$6:$BB$185)</f>
        <v>153</v>
      </c>
      <c r="BD120" s="15" t="n">
        <f aca="false">SUMIF('Your Accounts'!$BC$6:$BC$185,"&lt;="&amp;$BC120,'Your Accounts'!$BB$6:$BB$185)</f>
        <v>12692304.86</v>
      </c>
      <c r="BE120" s="15" t="n">
        <f aca="false">ROUND($D120*Sensitivity!$C$38+Sensitivity!$D$38,2)</f>
        <v>13012.5</v>
      </c>
      <c r="BF120" s="15" t="n">
        <f aca="false">ROUND($K120-$BI120,2)</f>
        <v>1800.71</v>
      </c>
      <c r="BG120" s="26" t="n">
        <f aca="false">RANK($BF120,'Your Accounts'!$BF$6:$BF$185)</f>
        <v>153</v>
      </c>
      <c r="BH120" s="15" t="n">
        <f aca="false">SUMIF('Your Accounts'!$BG$6:$BG$185,"&lt;="&amp;$BG120,'Your Accounts'!$BF$6:$BF$185)</f>
        <v>11970436.47</v>
      </c>
      <c r="BI120" s="15" t="n">
        <f aca="false">ROUND($D120*Sensitivity!$C$39+Sensitivity!$D$39,2)</f>
        <v>17350</v>
      </c>
      <c r="BJ120" s="15" t="n">
        <f aca="false">ROUND($K120-$BM120,2)</f>
        <v>-2536.79</v>
      </c>
      <c r="BK120" s="26" t="n">
        <f aca="false">RANK($BJ120,'Your Accounts'!$BJ$6:$BJ$185)</f>
        <v>153</v>
      </c>
      <c r="BL120" s="15" t="n">
        <f aca="false">SUMIF('Your Accounts'!$BK$6:$BK$185,"&lt;="&amp;$BK120,'Your Accounts'!$BJ$6:$BJ$185)</f>
        <v>11249233.97</v>
      </c>
      <c r="BM120" s="15" t="n">
        <f aca="false">ROUND($D120*Sensitivity!$C$40+Sensitivity!$D$40,2)</f>
        <v>21687.5</v>
      </c>
      <c r="BN120" s="15" t="n">
        <f aca="false">ROUND($K120-$BQ120,2)</f>
        <v>-6874.29</v>
      </c>
      <c r="BO120" s="26" t="n">
        <f aca="false">RANK($BN120,'Your Accounts'!$BN$6:$BN$185)</f>
        <v>153</v>
      </c>
      <c r="BP120" s="15" t="n">
        <f aca="false">SUMIF('Your Accounts'!$BO$6:$BO$185,"&lt;="&amp;$BO120,'Your Accounts'!$BN$6:$BN$185)</f>
        <v>10528031.47</v>
      </c>
      <c r="BQ120" s="15" t="n">
        <f aca="false">ROUND($D120*Sensitivity!$C$41+Sensitivity!$D$41,2)</f>
        <v>26025</v>
      </c>
    </row>
    <row r="121" customFormat="false" ht="15" hidden="false" customHeight="false" outlineLevel="0" collapsed="false">
      <c r="B121" s="18" t="s">
        <v>233</v>
      </c>
      <c r="C121" s="18" t="s">
        <v>218</v>
      </c>
      <c r="D121" s="24" t="n">
        <v>2</v>
      </c>
      <c r="E121" s="26" t="n">
        <f aca="false">SUMIF('Your Lines'!$B$6:$B$463,$B121,'Your Lines'!$E$6:$E$463)</f>
        <v>99</v>
      </c>
      <c r="F121" s="15" t="n">
        <f aca="false">ROUND(SUMIF('Your Lines'!$B$6:$B$463,$B121,'Your Lines'!$J$6:$J$463),2)</f>
        <v>14652</v>
      </c>
      <c r="G121" s="15" t="n">
        <f aca="false">ROUND(SUMIF('Your Lines'!$B$6:$B$463,$B121,'Your Lines'!$G$6:$G$463),2)</f>
        <v>14215.37</v>
      </c>
      <c r="H121" s="25" t="n">
        <f aca="false">$G121/$F121</f>
        <v>0.970199972699973</v>
      </c>
      <c r="I121" s="15" t="n">
        <f aca="false">ROUND(SUMIF('Your Lines'!$B$6:$B$463,$B121,'Your Lines'!$K$6:$K$463),2)</f>
        <v>7722</v>
      </c>
      <c r="J121" s="15" t="n">
        <f aca="false">ROUND(SUMIF('Your Lines'!$B$6:$B$463,$B121,'Your Lines'!$L$6:$L$463),2)</f>
        <v>287.18</v>
      </c>
      <c r="K121" s="15" t="n">
        <f aca="false">ROUND($G121-$I121-$J121,2)</f>
        <v>6206.19</v>
      </c>
      <c r="L121" s="15" t="n">
        <f aca="false">ROUND($D121*'Your Inputs'!$C$40+'Your Inputs'!$C$41,2)</f>
        <v>6790</v>
      </c>
      <c r="M121" s="15" t="n">
        <f aca="false">ROUND($K121-$L121,2)</f>
        <v>-583.81</v>
      </c>
      <c r="N121" s="26" t="n">
        <f aca="false">RANK($M121,'Your Accounts'!$M$6:$M$185)</f>
        <v>172</v>
      </c>
      <c r="O121" s="15" t="n">
        <f aca="false">SUMIF('Your Accounts'!$N$6:$N$185,"&lt;="&amp;$N121,'Your Accounts'!$M$6:$M$185)</f>
        <v>13507048.07</v>
      </c>
      <c r="P121" s="15"/>
      <c r="Q121" s="26" t="n">
        <f aca="false">COUNTIFS('Your Lines'!$B$6:$B$463,$B121,'Your Lines'!$R$6:$R$463,"below the floor")</f>
        <v>0</v>
      </c>
      <c r="R121" s="15" t="n">
        <f aca="false">IF(Q121&gt;0,$K121,0)</f>
        <v>0</v>
      </c>
      <c r="AN121" s="15" t="n">
        <f aca="false">IF(VLOOKUP($C121,'Your Floors'!$B$53:$F$56,5,FALSE())="yes",0,$R121)</f>
        <v>0</v>
      </c>
      <c r="AP121" s="15" t="n">
        <f aca="false">ROUND($K121-$AS121,2)</f>
        <v>2811.19</v>
      </c>
      <c r="AQ121" s="26" t="n">
        <f aca="false">RANK($AP121,'Your Accounts'!$AP$6:$AP$185)</f>
        <v>172</v>
      </c>
      <c r="AR121" s="15" t="n">
        <f aca="false">SUMIF('Your Accounts'!$AQ$6:$AQ$185,"&lt;="&amp;$AQ121,'Your Accounts'!$AP$6:$AP$185)</f>
        <v>14305515.57</v>
      </c>
      <c r="AS121" s="15" t="n">
        <f aca="false">ROUND($D121*Sensitivity!$C$35+Sensitivity!$D$35,2)</f>
        <v>3395</v>
      </c>
      <c r="AT121" s="15" t="n">
        <f aca="false">ROUND($K121-$AW121,2)</f>
        <v>-583.81</v>
      </c>
      <c r="AU121" s="26" t="n">
        <f aca="false">RANK($AT121,'Your Accounts'!$AT$6:$AT$185)</f>
        <v>172</v>
      </c>
      <c r="AV121" s="15" t="n">
        <f aca="false">SUMIF('Your Accounts'!$AU$6:$AU$185,"&lt;="&amp;$AU121,'Your Accounts'!$AT$6:$AT$185)</f>
        <v>13507048.07</v>
      </c>
      <c r="AW121" s="15" t="n">
        <f aca="false">ROUND($D121*Sensitivity!$C$36+Sensitivity!$D$36,2)</f>
        <v>6790</v>
      </c>
      <c r="AX121" s="15" t="n">
        <f aca="false">ROUND($K121-$BA121,2)</f>
        <v>-2281.31</v>
      </c>
      <c r="AY121" s="26" t="n">
        <f aca="false">RANK($AX121,'Your Accounts'!$AX$6:$AX$185)</f>
        <v>172</v>
      </c>
      <c r="AZ121" s="15" t="n">
        <f aca="false">SUMIF('Your Accounts'!$AY$6:$AY$185,"&lt;="&amp;$AY121,'Your Accounts'!$AX$6:$AX$185)</f>
        <v>13107814.32</v>
      </c>
      <c r="BA121" s="15" t="n">
        <f aca="false">ROUND($D121*Sensitivity!$C$37+Sensitivity!$D$37,2)</f>
        <v>8487.5</v>
      </c>
      <c r="BB121" s="15" t="n">
        <f aca="false">ROUND($K121-$BE121,2)</f>
        <v>-3978.81</v>
      </c>
      <c r="BC121" s="26" t="n">
        <f aca="false">RANK($BB121,'Your Accounts'!$BB$6:$BB$185)</f>
        <v>171</v>
      </c>
      <c r="BD121" s="15" t="n">
        <f aca="false">SUMIF('Your Accounts'!$BC$6:$BC$185,"&lt;="&amp;$BC121,'Your Accounts'!$BB$6:$BB$185)</f>
        <v>12712657.52</v>
      </c>
      <c r="BE121" s="15" t="n">
        <f aca="false">ROUND($D121*Sensitivity!$C$38+Sensitivity!$D$38,2)</f>
        <v>10185</v>
      </c>
      <c r="BF121" s="15" t="n">
        <f aca="false">ROUND($K121-$BI121,2)</f>
        <v>-7373.81</v>
      </c>
      <c r="BG121" s="26" t="n">
        <f aca="false">RANK($BF121,'Your Accounts'!$BF$6:$BF$185)</f>
        <v>171</v>
      </c>
      <c r="BH121" s="15" t="n">
        <f aca="false">SUMIF('Your Accounts'!$BG$6:$BG$185,"&lt;="&amp;$BG121,'Your Accounts'!$BF$6:$BF$185)</f>
        <v>11917875.02</v>
      </c>
      <c r="BI121" s="15" t="n">
        <f aca="false">ROUND($D121*Sensitivity!$C$39+Sensitivity!$D$39,2)</f>
        <v>13580</v>
      </c>
      <c r="BJ121" s="15" t="n">
        <f aca="false">ROUND($K121-$BM121,2)</f>
        <v>-10768.81</v>
      </c>
      <c r="BK121" s="26" t="n">
        <f aca="false">RANK($BJ121,'Your Accounts'!$BJ$6:$BJ$185)</f>
        <v>171</v>
      </c>
      <c r="BL121" s="15" t="n">
        <f aca="false">SUMIF('Your Accounts'!$BK$6:$BK$185,"&lt;="&amp;$BK121,'Your Accounts'!$BJ$6:$BJ$185)</f>
        <v>11123092.52</v>
      </c>
      <c r="BM121" s="15" t="n">
        <f aca="false">ROUND($D121*Sensitivity!$C$40+Sensitivity!$D$40,2)</f>
        <v>16975</v>
      </c>
      <c r="BN121" s="15" t="n">
        <f aca="false">ROUND($K121-$BQ121,2)</f>
        <v>-14163.81</v>
      </c>
      <c r="BO121" s="26" t="n">
        <f aca="false">RANK($BN121,'Your Accounts'!$BN$6:$BN$185)</f>
        <v>170</v>
      </c>
      <c r="BP121" s="15" t="n">
        <f aca="false">SUMIF('Your Accounts'!$BO$6:$BO$185,"&lt;="&amp;$BO121,'Your Accounts'!$BN$6:$BN$185)</f>
        <v>10342562.8</v>
      </c>
      <c r="BQ121" s="15" t="n">
        <f aca="false">ROUND($D121*Sensitivity!$C$41+Sensitivity!$D$41,2)</f>
        <v>20370</v>
      </c>
    </row>
    <row r="122" customFormat="false" ht="15" hidden="false" customHeight="false" outlineLevel="0" collapsed="false">
      <c r="B122" s="18" t="s">
        <v>234</v>
      </c>
      <c r="C122" s="18" t="s">
        <v>218</v>
      </c>
      <c r="D122" s="24" t="n">
        <v>78</v>
      </c>
      <c r="E122" s="26" t="n">
        <f aca="false">SUMIF('Your Lines'!$B$6:$B$463,$B122,'Your Lines'!$E$6:$E$463)</f>
        <v>3596</v>
      </c>
      <c r="F122" s="15" t="n">
        <f aca="false">ROUND(SUMIF('Your Lines'!$B$6:$B$463,$B122,'Your Lines'!$J$6:$J$463),2)</f>
        <v>294628</v>
      </c>
      <c r="G122" s="15" t="n">
        <f aca="false">ROUND(SUMIF('Your Lines'!$B$6:$B$463,$B122,'Your Lines'!$G$6:$G$463),2)</f>
        <v>269521.98</v>
      </c>
      <c r="H122" s="25" t="n">
        <f aca="false">$G122/$F122</f>
        <v>0.914787392915813</v>
      </c>
      <c r="I122" s="15" t="n">
        <f aca="false">ROUND(SUMIF('Your Lines'!$B$6:$B$463,$B122,'Your Lines'!$K$6:$K$463),2)</f>
        <v>168820</v>
      </c>
      <c r="J122" s="15" t="n">
        <f aca="false">ROUND(SUMIF('Your Lines'!$B$6:$B$463,$B122,'Your Lines'!$L$6:$L$463),2)</f>
        <v>5557.16</v>
      </c>
      <c r="K122" s="15" t="n">
        <f aca="false">ROUND($G122-$I122-$J122,2)</f>
        <v>95144.82</v>
      </c>
      <c r="L122" s="15" t="n">
        <f aca="false">ROUND($D122*'Your Inputs'!$C$40+'Your Inputs'!$C$41,2)</f>
        <v>17810</v>
      </c>
      <c r="M122" s="15" t="n">
        <f aca="false">ROUND($K122-$L122,2)</f>
        <v>77334.82</v>
      </c>
      <c r="N122" s="26" t="n">
        <f aca="false">RANK($M122,'Your Accounts'!$M$6:$M$185)</f>
        <v>49</v>
      </c>
      <c r="O122" s="15" t="n">
        <f aca="false">SUMIF('Your Accounts'!$N$6:$N$185,"&lt;="&amp;$N122,'Your Accounts'!$M$6:$M$185)</f>
        <v>9802164.25</v>
      </c>
      <c r="P122" s="15"/>
      <c r="Q122" s="26" t="n">
        <f aca="false">COUNTIFS('Your Lines'!$B$6:$B$463,$B122,'Your Lines'!$R$6:$R$463,"below the floor")</f>
        <v>3</v>
      </c>
      <c r="R122" s="15" t="n">
        <f aca="false">IF(Q122&gt;0,$K122,0)</f>
        <v>95144.82</v>
      </c>
      <c r="AN122" s="15" t="n">
        <f aca="false">IF(VLOOKUP($C122,'Your Floors'!$B$53:$F$56,5,FALSE())="yes",0,$R122)</f>
        <v>95144.82</v>
      </c>
      <c r="AP122" s="15" t="n">
        <f aca="false">ROUND($K122-$AS122,2)</f>
        <v>86239.82</v>
      </c>
      <c r="AQ122" s="26" t="n">
        <f aca="false">RANK($AP122,'Your Accounts'!$AP$6:$AP$185)</f>
        <v>45</v>
      </c>
      <c r="AR122" s="15" t="n">
        <f aca="false">SUMIF('Your Accounts'!$AQ$6:$AQ$185,"&lt;="&amp;$AQ122,'Your Accounts'!$AP$6:$AP$185)</f>
        <v>9719483.83</v>
      </c>
      <c r="AS122" s="15" t="n">
        <f aca="false">ROUND($D122*Sensitivity!$C$35+Sensitivity!$D$35,2)</f>
        <v>8905</v>
      </c>
      <c r="AT122" s="15" t="n">
        <f aca="false">ROUND($K122-$AW122,2)</f>
        <v>77334.82</v>
      </c>
      <c r="AU122" s="26" t="n">
        <f aca="false">RANK($AT122,'Your Accounts'!$AT$6:$AT$185)</f>
        <v>49</v>
      </c>
      <c r="AV122" s="15" t="n">
        <f aca="false">SUMIF('Your Accounts'!$AU$6:$AU$185,"&lt;="&amp;$AU122,'Your Accounts'!$AT$6:$AT$185)</f>
        <v>9802164.25</v>
      </c>
      <c r="AW122" s="15" t="n">
        <f aca="false">ROUND($D122*Sensitivity!$C$36+Sensitivity!$D$36,2)</f>
        <v>17810</v>
      </c>
      <c r="AX122" s="15" t="n">
        <f aca="false">ROUND($K122-$BA122,2)</f>
        <v>72882.32</v>
      </c>
      <c r="AY122" s="26" t="n">
        <f aca="false">RANK($AX122,'Your Accounts'!$AX$6:$AX$185)</f>
        <v>50</v>
      </c>
      <c r="AZ122" s="15" t="n">
        <f aca="false">SUMIF('Your Accounts'!$AY$6:$AY$185,"&lt;="&amp;$AY122,'Your Accounts'!$AX$6:$AX$185)</f>
        <v>9748812.23</v>
      </c>
      <c r="BA122" s="15" t="n">
        <f aca="false">ROUND($D122*Sensitivity!$C$37+Sensitivity!$D$37,2)</f>
        <v>22262.5</v>
      </c>
      <c r="BB122" s="15" t="n">
        <f aca="false">ROUND($K122-$BE122,2)</f>
        <v>68429.82</v>
      </c>
      <c r="BC122" s="26" t="n">
        <f aca="false">RANK($BB122,'Your Accounts'!$BB$6:$BB$185)</f>
        <v>51</v>
      </c>
      <c r="BD122" s="15" t="n">
        <f aca="false">SUMIF('Your Accounts'!$BC$6:$BC$185,"&lt;="&amp;$BC122,'Your Accounts'!$BB$6:$BB$185)</f>
        <v>9690547.34</v>
      </c>
      <c r="BE122" s="15" t="n">
        <f aca="false">ROUND($D122*Sensitivity!$C$38+Sensitivity!$D$38,2)</f>
        <v>26715</v>
      </c>
      <c r="BF122" s="15" t="n">
        <f aca="false">ROUND($K122-$BI122,2)</f>
        <v>59524.82</v>
      </c>
      <c r="BG122" s="26" t="n">
        <f aca="false">RANK($BF122,'Your Accounts'!$BF$6:$BF$185)</f>
        <v>53</v>
      </c>
      <c r="BH122" s="15" t="n">
        <f aca="false">SUMIF('Your Accounts'!$BG$6:$BG$185,"&lt;="&amp;$BG122,'Your Accounts'!$BF$6:$BF$185)</f>
        <v>9553640.2</v>
      </c>
      <c r="BI122" s="15" t="n">
        <f aca="false">ROUND($D122*Sensitivity!$C$39+Sensitivity!$D$39,2)</f>
        <v>35620</v>
      </c>
      <c r="BJ122" s="15" t="n">
        <f aca="false">ROUND($K122-$BM122,2)</f>
        <v>50619.82</v>
      </c>
      <c r="BK122" s="26" t="n">
        <f aca="false">RANK($BJ122,'Your Accounts'!$BJ$6:$BJ$185)</f>
        <v>55</v>
      </c>
      <c r="BL122" s="15" t="n">
        <f aca="false">SUMIF('Your Accounts'!$BK$6:$BK$185,"&lt;="&amp;$BK122,'Your Accounts'!$BJ$6:$BJ$185)</f>
        <v>9388252.92</v>
      </c>
      <c r="BM122" s="15" t="n">
        <f aca="false">ROUND($D122*Sensitivity!$C$40+Sensitivity!$D$40,2)</f>
        <v>44525</v>
      </c>
      <c r="BN122" s="15" t="n">
        <f aca="false">ROUND($K122-$BQ122,2)</f>
        <v>41714.82</v>
      </c>
      <c r="BO122" s="26" t="n">
        <f aca="false">RANK($BN122,'Your Accounts'!$BN$6:$BN$185)</f>
        <v>60</v>
      </c>
      <c r="BP122" s="15" t="n">
        <f aca="false">SUMIF('Your Accounts'!$BO$6:$BO$185,"&lt;="&amp;$BO122,'Your Accounts'!$BN$6:$BN$185)</f>
        <v>9327550.9</v>
      </c>
      <c r="BQ122" s="15" t="n">
        <f aca="false">ROUND($D122*Sensitivity!$C$41+Sensitivity!$D$41,2)</f>
        <v>53430</v>
      </c>
    </row>
    <row r="123" customFormat="false" ht="15" hidden="false" customHeight="false" outlineLevel="0" collapsed="false">
      <c r="B123" s="18" t="s">
        <v>235</v>
      </c>
      <c r="C123" s="18" t="s">
        <v>218</v>
      </c>
      <c r="D123" s="24" t="n">
        <v>22</v>
      </c>
      <c r="E123" s="26" t="n">
        <f aca="false">SUMIF('Your Lines'!$B$6:$B$463,$B123,'Your Lines'!$E$6:$E$463)</f>
        <v>220</v>
      </c>
      <c r="F123" s="15" t="n">
        <f aca="false">ROUND(SUMIF('Your Lines'!$B$6:$B$463,$B123,'Your Lines'!$J$6:$J$463),2)</f>
        <v>16048</v>
      </c>
      <c r="G123" s="15" t="n">
        <f aca="false">ROUND(SUMIF('Your Lines'!$B$6:$B$463,$B123,'Your Lines'!$G$6:$G$463),2)</f>
        <v>15619.56</v>
      </c>
      <c r="H123" s="25" t="n">
        <f aca="false">$G123/$F123</f>
        <v>0.97330259222333</v>
      </c>
      <c r="I123" s="15" t="n">
        <f aca="false">ROUND(SUMIF('Your Lines'!$B$6:$B$463,$B123,'Your Lines'!$K$6:$K$463),2)</f>
        <v>9096</v>
      </c>
      <c r="J123" s="15" t="n">
        <f aca="false">ROUND(SUMIF('Your Lines'!$B$6:$B$463,$B123,'Your Lines'!$L$6:$L$463),2)</f>
        <v>315.55</v>
      </c>
      <c r="K123" s="15" t="n">
        <f aca="false">ROUND($G123-$I123-$J123,2)</f>
        <v>6208.01</v>
      </c>
      <c r="L123" s="15" t="n">
        <f aca="false">ROUND($D123*'Your Inputs'!$C$40+'Your Inputs'!$C$41,2)</f>
        <v>9690</v>
      </c>
      <c r="M123" s="15" t="n">
        <f aca="false">ROUND($K123-$L123,2)</f>
        <v>-3481.99</v>
      </c>
      <c r="N123" s="26" t="n">
        <f aca="false">RANK($M123,'Your Accounts'!$M$6:$M$185)</f>
        <v>176</v>
      </c>
      <c r="O123" s="15" t="n">
        <f aca="false">SUMIF('Your Accounts'!$N$6:$N$185,"&lt;="&amp;$N123,'Your Accounts'!$M$6:$M$185)</f>
        <v>13499679.85</v>
      </c>
      <c r="P123" s="15"/>
      <c r="Q123" s="26" t="n">
        <f aca="false">COUNTIFS('Your Lines'!$B$6:$B$463,$B123,'Your Lines'!$R$6:$R$463,"below the floor")</f>
        <v>0</v>
      </c>
      <c r="R123" s="15" t="n">
        <f aca="false">IF(Q123&gt;0,$K123,0)</f>
        <v>0</v>
      </c>
      <c r="AN123" s="15" t="n">
        <f aca="false">IF(VLOOKUP($C123,'Your Floors'!$B$53:$F$56,5,FALSE())="yes",0,$R123)</f>
        <v>0</v>
      </c>
      <c r="AP123" s="15" t="n">
        <f aca="false">ROUND($K123-$AS123,2)</f>
        <v>1363.01</v>
      </c>
      <c r="AQ123" s="26" t="n">
        <f aca="false">RANK($AP123,'Your Accounts'!$AP$6:$AP$185)</f>
        <v>176</v>
      </c>
      <c r="AR123" s="15" t="n">
        <f aca="false">SUMIF('Your Accounts'!$AQ$6:$AQ$185,"&lt;="&amp;$AQ123,'Your Accounts'!$AP$6:$AP$185)</f>
        <v>14313757.35</v>
      </c>
      <c r="AS123" s="15" t="n">
        <f aca="false">ROUND($D123*Sensitivity!$C$35+Sensitivity!$D$35,2)</f>
        <v>4845</v>
      </c>
      <c r="AT123" s="15" t="n">
        <f aca="false">ROUND($K123-$AW123,2)</f>
        <v>-3481.99</v>
      </c>
      <c r="AU123" s="26" t="n">
        <f aca="false">RANK($AT123,'Your Accounts'!$AT$6:$AT$185)</f>
        <v>176</v>
      </c>
      <c r="AV123" s="15" t="n">
        <f aca="false">SUMIF('Your Accounts'!$AU$6:$AU$185,"&lt;="&amp;$AU123,'Your Accounts'!$AT$6:$AT$185)</f>
        <v>13499679.85</v>
      </c>
      <c r="AW123" s="15" t="n">
        <f aca="false">ROUND($D123*Sensitivity!$C$36+Sensitivity!$D$36,2)</f>
        <v>9690</v>
      </c>
      <c r="AX123" s="15" t="n">
        <f aca="false">ROUND($K123-$BA123,2)</f>
        <v>-5904.49</v>
      </c>
      <c r="AY123" s="26" t="n">
        <f aca="false">RANK($AX123,'Your Accounts'!$AX$6:$AX$185)</f>
        <v>177</v>
      </c>
      <c r="AZ123" s="15" t="n">
        <f aca="false">SUMIF('Your Accounts'!$AY$6:$AY$185,"&lt;="&amp;$AY123,'Your Accounts'!$AX$6:$AX$185)</f>
        <v>13087094.18</v>
      </c>
      <c r="BA123" s="15" t="n">
        <f aca="false">ROUND($D123*Sensitivity!$C$37+Sensitivity!$D$37,2)</f>
        <v>12112.5</v>
      </c>
      <c r="BB123" s="15" t="n">
        <f aca="false">ROUND($K123-$BE123,2)</f>
        <v>-8326.99</v>
      </c>
      <c r="BC123" s="26" t="n">
        <f aca="false">RANK($BB123,'Your Accounts'!$BB$6:$BB$185)</f>
        <v>180</v>
      </c>
      <c r="BD123" s="15" t="n">
        <f aca="false">SUMIF('Your Accounts'!$BC$6:$BC$185,"&lt;="&amp;$BC123,'Your Accounts'!$BB$6:$BB$185)</f>
        <v>12654650.09</v>
      </c>
      <c r="BE123" s="15" t="n">
        <f aca="false">ROUND($D123*Sensitivity!$C$38+Sensitivity!$D$38,2)</f>
        <v>14535</v>
      </c>
      <c r="BF123" s="15" t="n">
        <f aca="false">ROUND($K123-$BI123,2)</f>
        <v>-13171.99</v>
      </c>
      <c r="BG123" s="26" t="n">
        <f aca="false">RANK($BF123,'Your Accounts'!$BF$6:$BF$185)</f>
        <v>180</v>
      </c>
      <c r="BH123" s="15" t="n">
        <f aca="false">SUMIF('Your Accounts'!$BG$6:$BG$185,"&lt;="&amp;$BG123,'Your Accounts'!$BF$6:$BF$185)</f>
        <v>11826412.59</v>
      </c>
      <c r="BI123" s="15" t="n">
        <f aca="false">ROUND($D123*Sensitivity!$C$39+Sensitivity!$D$39,2)</f>
        <v>19380</v>
      </c>
      <c r="BJ123" s="15" t="n">
        <f aca="false">ROUND($K123-$BM123,2)</f>
        <v>-18016.99</v>
      </c>
      <c r="BK123" s="26" t="n">
        <f aca="false">RANK($BJ123,'Your Accounts'!$BJ$6:$BJ$185)</f>
        <v>180</v>
      </c>
      <c r="BL123" s="15" t="n">
        <f aca="false">SUMIF('Your Accounts'!$BK$6:$BK$185,"&lt;="&amp;$BK123,'Your Accounts'!$BJ$6:$BJ$185)</f>
        <v>10998175.09</v>
      </c>
      <c r="BM123" s="15" t="n">
        <f aca="false">ROUND($D123*Sensitivity!$C$40+Sensitivity!$D$40,2)</f>
        <v>24225</v>
      </c>
      <c r="BN123" s="15" t="n">
        <f aca="false">ROUND($K123-$BQ123,2)</f>
        <v>-22861.99</v>
      </c>
      <c r="BO123" s="26" t="n">
        <f aca="false">RANK($BN123,'Your Accounts'!$BN$6:$BN$185)</f>
        <v>180</v>
      </c>
      <c r="BP123" s="15" t="n">
        <f aca="false">SUMIF('Your Accounts'!$BO$6:$BO$185,"&lt;="&amp;$BO123,'Your Accounts'!$BN$6:$BN$185)</f>
        <v>10169937.59</v>
      </c>
      <c r="BQ123" s="15" t="n">
        <f aca="false">ROUND($D123*Sensitivity!$C$41+Sensitivity!$D$41,2)</f>
        <v>29070</v>
      </c>
    </row>
    <row r="124" customFormat="false" ht="15" hidden="false" customHeight="false" outlineLevel="0" collapsed="false">
      <c r="B124" s="18" t="s">
        <v>236</v>
      </c>
      <c r="C124" s="18" t="s">
        <v>218</v>
      </c>
      <c r="D124" s="24" t="n">
        <v>6</v>
      </c>
      <c r="E124" s="26" t="n">
        <f aca="false">SUMIF('Your Lines'!$B$6:$B$463,$B124,'Your Lines'!$E$6:$E$463)</f>
        <v>257</v>
      </c>
      <c r="F124" s="15" t="n">
        <f aca="false">ROUND(SUMIF('Your Lines'!$B$6:$B$463,$B124,'Your Lines'!$J$6:$J$463),2)</f>
        <v>19460</v>
      </c>
      <c r="G124" s="15" t="n">
        <f aca="false">ROUND(SUMIF('Your Lines'!$B$6:$B$463,$B124,'Your Lines'!$G$6:$G$463),2)</f>
        <v>18322.19</v>
      </c>
      <c r="H124" s="25" t="n">
        <f aca="false">$G124/$F124</f>
        <v>0.941530832476876</v>
      </c>
      <c r="I124" s="15" t="n">
        <f aca="false">ROUND(SUMIF('Your Lines'!$B$6:$B$463,$B124,'Your Lines'!$K$6:$K$463),2)</f>
        <v>10974</v>
      </c>
      <c r="J124" s="15" t="n">
        <f aca="false">ROUND(SUMIF('Your Lines'!$B$6:$B$463,$B124,'Your Lines'!$L$6:$L$463),2)</f>
        <v>370.14</v>
      </c>
      <c r="K124" s="15" t="n">
        <f aca="false">ROUND($G124-$I124-$J124,2)</f>
        <v>6978.05</v>
      </c>
      <c r="L124" s="15" t="n">
        <f aca="false">ROUND($D124*'Your Inputs'!$C$40+'Your Inputs'!$C$41,2)</f>
        <v>7370</v>
      </c>
      <c r="M124" s="15" t="n">
        <f aca="false">ROUND($K124-$L124,2)</f>
        <v>-391.95</v>
      </c>
      <c r="N124" s="26" t="n">
        <f aca="false">RANK($M124,'Your Accounts'!$M$6:$M$185)</f>
        <v>171</v>
      </c>
      <c r="O124" s="15" t="n">
        <f aca="false">SUMIF('Your Accounts'!$N$6:$N$185,"&lt;="&amp;$N124,'Your Accounts'!$M$6:$M$185)</f>
        <v>13507631.88</v>
      </c>
      <c r="P124" s="15"/>
      <c r="Q124" s="26" t="n">
        <f aca="false">COUNTIFS('Your Lines'!$B$6:$B$463,$B124,'Your Lines'!$R$6:$R$463,"below the floor")</f>
        <v>0</v>
      </c>
      <c r="R124" s="15" t="n">
        <f aca="false">IF(Q124&gt;0,$K124,0)</f>
        <v>0</v>
      </c>
      <c r="AN124" s="15" t="n">
        <f aca="false">IF(VLOOKUP($C124,'Your Floors'!$B$53:$F$56,5,FALSE())="yes",0,$R124)</f>
        <v>0</v>
      </c>
      <c r="AP124" s="15" t="n">
        <f aca="false">ROUND($K124-$AS124,2)</f>
        <v>3293.05</v>
      </c>
      <c r="AQ124" s="26" t="n">
        <f aca="false">RANK($AP124,'Your Accounts'!$AP$6:$AP$185)</f>
        <v>170</v>
      </c>
      <c r="AR124" s="15" t="n">
        <f aca="false">SUMIF('Your Accounts'!$AQ$6:$AQ$185,"&lt;="&amp;$AQ124,'Your Accounts'!$AP$6:$AP$185)</f>
        <v>14299490.29</v>
      </c>
      <c r="AS124" s="15" t="n">
        <f aca="false">ROUND($D124*Sensitivity!$C$35+Sensitivity!$D$35,2)</f>
        <v>3685</v>
      </c>
      <c r="AT124" s="15" t="n">
        <f aca="false">ROUND($K124-$AW124,2)</f>
        <v>-391.95</v>
      </c>
      <c r="AU124" s="26" t="n">
        <f aca="false">RANK($AT124,'Your Accounts'!$AT$6:$AT$185)</f>
        <v>171</v>
      </c>
      <c r="AV124" s="15" t="n">
        <f aca="false">SUMIF('Your Accounts'!$AU$6:$AU$185,"&lt;="&amp;$AU124,'Your Accounts'!$AT$6:$AT$185)</f>
        <v>13507631.88</v>
      </c>
      <c r="AW124" s="15" t="n">
        <f aca="false">ROUND($D124*Sensitivity!$C$36+Sensitivity!$D$36,2)</f>
        <v>7370</v>
      </c>
      <c r="AX124" s="15" t="n">
        <f aca="false">ROUND($K124-$BA124,2)</f>
        <v>-2234.45</v>
      </c>
      <c r="AY124" s="26" t="n">
        <f aca="false">RANK($AX124,'Your Accounts'!$AX$6:$AX$185)</f>
        <v>171</v>
      </c>
      <c r="AZ124" s="15" t="n">
        <f aca="false">SUMIF('Your Accounts'!$AY$6:$AY$185,"&lt;="&amp;$AY124,'Your Accounts'!$AX$6:$AX$185)</f>
        <v>13110095.63</v>
      </c>
      <c r="BA124" s="15" t="n">
        <f aca="false">ROUND($D124*Sensitivity!$C$37+Sensitivity!$D$37,2)</f>
        <v>9212.5</v>
      </c>
      <c r="BB124" s="15" t="n">
        <f aca="false">ROUND($K124-$BE124,2)</f>
        <v>-4076.95</v>
      </c>
      <c r="BC124" s="26" t="n">
        <f aca="false">RANK($BB124,'Your Accounts'!$BB$6:$BB$185)</f>
        <v>172</v>
      </c>
      <c r="BD124" s="15" t="n">
        <f aca="false">SUMIF('Your Accounts'!$BC$6:$BC$185,"&lt;="&amp;$BC124,'Your Accounts'!$BB$6:$BB$185)</f>
        <v>12708580.57</v>
      </c>
      <c r="BE124" s="15" t="n">
        <f aca="false">ROUND($D124*Sensitivity!$C$38+Sensitivity!$D$38,2)</f>
        <v>11055</v>
      </c>
      <c r="BF124" s="15" t="n">
        <f aca="false">ROUND($K124-$BI124,2)</f>
        <v>-7761.95</v>
      </c>
      <c r="BG124" s="26" t="n">
        <f aca="false">RANK($BF124,'Your Accounts'!$BF$6:$BF$185)</f>
        <v>172</v>
      </c>
      <c r="BH124" s="15" t="n">
        <f aca="false">SUMIF('Your Accounts'!$BG$6:$BG$185,"&lt;="&amp;$BG124,'Your Accounts'!$BF$6:$BF$185)</f>
        <v>11910113.07</v>
      </c>
      <c r="BI124" s="15" t="n">
        <f aca="false">ROUND($D124*Sensitivity!$C$39+Sensitivity!$D$39,2)</f>
        <v>14740</v>
      </c>
      <c r="BJ124" s="15" t="n">
        <f aca="false">ROUND($K124-$BM124,2)</f>
        <v>-11446.95</v>
      </c>
      <c r="BK124" s="26" t="n">
        <f aca="false">RANK($BJ124,'Your Accounts'!$BJ$6:$BJ$185)</f>
        <v>172</v>
      </c>
      <c r="BL124" s="15" t="n">
        <f aca="false">SUMIF('Your Accounts'!$BK$6:$BK$185,"&lt;="&amp;$BK124,'Your Accounts'!$BJ$6:$BJ$185)</f>
        <v>11111645.57</v>
      </c>
      <c r="BM124" s="15" t="n">
        <f aca="false">ROUND($D124*Sensitivity!$C$40+Sensitivity!$D$40,2)</f>
        <v>18425</v>
      </c>
      <c r="BN124" s="15" t="n">
        <f aca="false">ROUND($K124-$BQ124,2)</f>
        <v>-15131.95</v>
      </c>
      <c r="BO124" s="26" t="n">
        <f aca="false">RANK($BN124,'Your Accounts'!$BN$6:$BN$185)</f>
        <v>173</v>
      </c>
      <c r="BP124" s="15" t="n">
        <f aca="false">SUMIF('Your Accounts'!$BO$6:$BO$185,"&lt;="&amp;$BO124,'Your Accounts'!$BN$6:$BN$185)</f>
        <v>10298076</v>
      </c>
      <c r="BQ124" s="15" t="n">
        <f aca="false">ROUND($D124*Sensitivity!$C$41+Sensitivity!$D$41,2)</f>
        <v>22110</v>
      </c>
    </row>
    <row r="125" customFormat="false" ht="15" hidden="false" customHeight="false" outlineLevel="0" collapsed="false">
      <c r="B125" s="18" t="s">
        <v>237</v>
      </c>
      <c r="C125" s="18" t="s">
        <v>218</v>
      </c>
      <c r="D125" s="24" t="n">
        <v>27</v>
      </c>
      <c r="E125" s="26" t="n">
        <f aca="false">SUMIF('Your Lines'!$B$6:$B$463,$B125,'Your Lines'!$E$6:$E$463)</f>
        <v>1785</v>
      </c>
      <c r="F125" s="15" t="n">
        <f aca="false">ROUND(SUMIF('Your Lines'!$B$6:$B$463,$B125,'Your Lines'!$J$6:$J$463),2)</f>
        <v>153560</v>
      </c>
      <c r="G125" s="15" t="n">
        <f aca="false">ROUND(SUMIF('Your Lines'!$B$6:$B$463,$B125,'Your Lines'!$G$6:$G$463),2)</f>
        <v>139917.58</v>
      </c>
      <c r="H125" s="25" t="n">
        <f aca="false">$G125/$F125</f>
        <v>0.911159025787966</v>
      </c>
      <c r="I125" s="15" t="n">
        <f aca="false">ROUND(SUMIF('Your Lines'!$B$6:$B$463,$B125,'Your Lines'!$K$6:$K$463),2)</f>
        <v>87618</v>
      </c>
      <c r="J125" s="15" t="n">
        <f aca="false">ROUND(SUMIF('Your Lines'!$B$6:$B$463,$B125,'Your Lines'!$L$6:$L$463),2)</f>
        <v>2826.62</v>
      </c>
      <c r="K125" s="15" t="n">
        <f aca="false">ROUND($G125-$I125-$J125,2)</f>
        <v>49472.96</v>
      </c>
      <c r="L125" s="15" t="n">
        <f aca="false">ROUND($D125*'Your Inputs'!$C$40+'Your Inputs'!$C$41,2)</f>
        <v>10415</v>
      </c>
      <c r="M125" s="15" t="n">
        <f aca="false">ROUND($K125-$L125,2)</f>
        <v>39057.96</v>
      </c>
      <c r="N125" s="26" t="n">
        <f aca="false">RANK($M125,'Your Accounts'!$M$6:$M$185)</f>
        <v>86</v>
      </c>
      <c r="O125" s="15" t="n">
        <f aca="false">SUMIF('Your Accounts'!$N$6:$N$185,"&lt;="&amp;$N125,'Your Accounts'!$M$6:$M$185)</f>
        <v>11873315.49</v>
      </c>
      <c r="P125" s="15"/>
      <c r="Q125" s="26" t="n">
        <f aca="false">COUNTIFS('Your Lines'!$B$6:$B$463,$B125,'Your Lines'!$R$6:$R$463,"below the floor")</f>
        <v>3</v>
      </c>
      <c r="R125" s="15" t="n">
        <f aca="false">IF(Q125&gt;0,$K125,0)</f>
        <v>49472.96</v>
      </c>
      <c r="AN125" s="15" t="n">
        <f aca="false">IF(VLOOKUP($C125,'Your Floors'!$B$53:$F$56,5,FALSE())="yes",0,$R125)</f>
        <v>49472.96</v>
      </c>
      <c r="AP125" s="15" t="n">
        <f aca="false">ROUND($K125-$AS125,2)</f>
        <v>44265.46</v>
      </c>
      <c r="AQ125" s="26" t="n">
        <f aca="false">RANK($AP125,'Your Accounts'!$AP$6:$AP$185)</f>
        <v>86</v>
      </c>
      <c r="AR125" s="15" t="n">
        <f aca="false">SUMIF('Your Accounts'!$AQ$6:$AQ$185,"&lt;="&amp;$AQ125,'Your Accounts'!$AP$6:$AP$185)</f>
        <v>12300414.21</v>
      </c>
      <c r="AS125" s="15" t="n">
        <f aca="false">ROUND($D125*Sensitivity!$C$35+Sensitivity!$D$35,2)</f>
        <v>5207.5</v>
      </c>
      <c r="AT125" s="15" t="n">
        <f aca="false">ROUND($K125-$AW125,2)</f>
        <v>39057.96</v>
      </c>
      <c r="AU125" s="26" t="n">
        <f aca="false">RANK($AT125,'Your Accounts'!$AT$6:$AT$185)</f>
        <v>86</v>
      </c>
      <c r="AV125" s="15" t="n">
        <f aca="false">SUMIF('Your Accounts'!$AU$6:$AU$185,"&lt;="&amp;$AU125,'Your Accounts'!$AT$6:$AT$185)</f>
        <v>11873315.49</v>
      </c>
      <c r="AW125" s="15" t="n">
        <f aca="false">ROUND($D125*Sensitivity!$C$36+Sensitivity!$D$36,2)</f>
        <v>10415</v>
      </c>
      <c r="AX125" s="15" t="n">
        <f aca="false">ROUND($K125-$BA125,2)</f>
        <v>36454.21</v>
      </c>
      <c r="AY125" s="26" t="n">
        <f aca="false">RANK($AX125,'Your Accounts'!$AX$6:$AX$185)</f>
        <v>86</v>
      </c>
      <c r="AZ125" s="15" t="n">
        <f aca="false">SUMIF('Your Accounts'!$AY$6:$AY$185,"&lt;="&amp;$AY125,'Your Accounts'!$AX$6:$AX$185)</f>
        <v>11660340.49</v>
      </c>
      <c r="BA125" s="15" t="n">
        <f aca="false">ROUND($D125*Sensitivity!$C$37+Sensitivity!$D$37,2)</f>
        <v>13018.75</v>
      </c>
      <c r="BB125" s="15" t="n">
        <f aca="false">ROUND($K125-$BE125,2)</f>
        <v>33850.46</v>
      </c>
      <c r="BC125" s="26" t="n">
        <f aca="false">RANK($BB125,'Your Accounts'!$BB$6:$BB$185)</f>
        <v>87</v>
      </c>
      <c r="BD125" s="15" t="n">
        <f aca="false">SUMIF('Your Accounts'!$BC$6:$BC$185,"&lt;="&amp;$BC125,'Your Accounts'!$BB$6:$BB$185)</f>
        <v>11481494.41</v>
      </c>
      <c r="BE125" s="15" t="n">
        <f aca="false">ROUND($D125*Sensitivity!$C$38+Sensitivity!$D$38,2)</f>
        <v>15622.5</v>
      </c>
      <c r="BF125" s="15" t="n">
        <f aca="false">ROUND($K125-$BI125,2)</f>
        <v>28642.96</v>
      </c>
      <c r="BG125" s="26" t="n">
        <f aca="false">RANK($BF125,'Your Accounts'!$BF$6:$BF$185)</f>
        <v>89</v>
      </c>
      <c r="BH125" s="15" t="n">
        <f aca="false">SUMIF('Your Accounts'!$BG$6:$BG$185,"&lt;="&amp;$BG125,'Your Accounts'!$BF$6:$BF$185)</f>
        <v>11109327.52</v>
      </c>
      <c r="BI125" s="15" t="n">
        <f aca="false">ROUND($D125*Sensitivity!$C$39+Sensitivity!$D$39,2)</f>
        <v>20830</v>
      </c>
      <c r="BJ125" s="15" t="n">
        <f aca="false">ROUND($K125-$BM125,2)</f>
        <v>23435.46</v>
      </c>
      <c r="BK125" s="26" t="n">
        <f aca="false">RANK($BJ125,'Your Accounts'!$BJ$6:$BJ$185)</f>
        <v>90</v>
      </c>
      <c r="BL125" s="15" t="n">
        <f aca="false">SUMIF('Your Accounts'!$BK$6:$BK$185,"&lt;="&amp;$BK125,'Your Accounts'!$BJ$6:$BJ$185)</f>
        <v>10694904.91</v>
      </c>
      <c r="BM125" s="15" t="n">
        <f aca="false">ROUND($D125*Sensitivity!$C$40+Sensitivity!$D$40,2)</f>
        <v>26037.5</v>
      </c>
      <c r="BN125" s="15" t="n">
        <f aca="false">ROUND($K125-$BQ125,2)</f>
        <v>18227.96</v>
      </c>
      <c r="BO125" s="26" t="n">
        <f aca="false">RANK($BN125,'Your Accounts'!$BN$6:$BN$185)</f>
        <v>93</v>
      </c>
      <c r="BP125" s="15" t="n">
        <f aca="false">SUMIF('Your Accounts'!$BO$6:$BO$185,"&lt;="&amp;$BO125,'Your Accounts'!$BN$6:$BN$185)</f>
        <v>10308961.9</v>
      </c>
      <c r="BQ125" s="15" t="n">
        <f aca="false">ROUND($D125*Sensitivity!$C$41+Sensitivity!$D$41,2)</f>
        <v>31245</v>
      </c>
    </row>
    <row r="126" customFormat="false" ht="15" hidden="false" customHeight="false" outlineLevel="0" collapsed="false">
      <c r="B126" s="18" t="s">
        <v>238</v>
      </c>
      <c r="C126" s="18" t="s">
        <v>218</v>
      </c>
      <c r="D126" s="24" t="n">
        <v>7</v>
      </c>
      <c r="E126" s="26" t="n">
        <f aca="false">SUMIF('Your Lines'!$B$6:$B$463,$B126,'Your Lines'!$E$6:$E$463)</f>
        <v>386</v>
      </c>
      <c r="F126" s="15" t="n">
        <f aca="false">ROUND(SUMIF('Your Lines'!$B$6:$B$463,$B126,'Your Lines'!$J$6:$J$463),2)</f>
        <v>44492</v>
      </c>
      <c r="G126" s="15" t="n">
        <f aca="false">ROUND(SUMIF('Your Lines'!$B$6:$B$463,$B126,'Your Lines'!$G$6:$G$463),2)</f>
        <v>40880.64</v>
      </c>
      <c r="H126" s="25" t="n">
        <f aca="false">$G126/$F126</f>
        <v>0.918831250561899</v>
      </c>
      <c r="I126" s="15" t="n">
        <f aca="false">ROUND(SUMIF('Your Lines'!$B$6:$B$463,$B126,'Your Lines'!$K$6:$K$463),2)</f>
        <v>25248</v>
      </c>
      <c r="J126" s="15" t="n">
        <f aca="false">ROUND(SUMIF('Your Lines'!$B$6:$B$463,$B126,'Your Lines'!$L$6:$L$463),2)</f>
        <v>825.88</v>
      </c>
      <c r="K126" s="15" t="n">
        <f aca="false">ROUND($G126-$I126-$J126,2)</f>
        <v>14806.76</v>
      </c>
      <c r="L126" s="15" t="n">
        <f aca="false">ROUND($D126*'Your Inputs'!$C$40+'Your Inputs'!$C$41,2)</f>
        <v>7515</v>
      </c>
      <c r="M126" s="15" t="n">
        <f aca="false">ROUND($K126-$L126,2)</f>
        <v>7291.76</v>
      </c>
      <c r="N126" s="26" t="n">
        <f aca="false">RANK($M126,'Your Accounts'!$M$6:$M$185)</f>
        <v>160</v>
      </c>
      <c r="O126" s="15" t="n">
        <f aca="false">SUMIF('Your Accounts'!$N$6:$N$185,"&lt;="&amp;$N126,'Your Accounts'!$M$6:$M$185)</f>
        <v>13475906.71</v>
      </c>
      <c r="P126" s="15"/>
      <c r="Q126" s="26" t="n">
        <f aca="false">COUNTIFS('Your Lines'!$B$6:$B$463,$B126,'Your Lines'!$R$6:$R$463,"below the floor")</f>
        <v>2</v>
      </c>
      <c r="R126" s="15" t="n">
        <f aca="false">IF(Q126&gt;0,$K126,0)</f>
        <v>14806.76</v>
      </c>
      <c r="AN126" s="15" t="n">
        <f aca="false">IF(VLOOKUP($C126,'Your Floors'!$B$53:$F$56,5,FALSE())="yes",0,$R126)</f>
        <v>14806.76</v>
      </c>
      <c r="AP126" s="15" t="n">
        <f aca="false">ROUND($K126-$AS126,2)</f>
        <v>11049.26</v>
      </c>
      <c r="AQ126" s="26" t="n">
        <f aca="false">RANK($AP126,'Your Accounts'!$AP$6:$AP$185)</f>
        <v>161</v>
      </c>
      <c r="AR126" s="15" t="n">
        <f aca="false">SUMIF('Your Accounts'!$AQ$6:$AQ$185,"&lt;="&amp;$AQ126,'Your Accounts'!$AP$6:$AP$185)</f>
        <v>14239963.38</v>
      </c>
      <c r="AS126" s="15" t="n">
        <f aca="false">ROUND($D126*Sensitivity!$C$35+Sensitivity!$D$35,2)</f>
        <v>3757.5</v>
      </c>
      <c r="AT126" s="15" t="n">
        <f aca="false">ROUND($K126-$AW126,2)</f>
        <v>7291.76</v>
      </c>
      <c r="AU126" s="26" t="n">
        <f aca="false">RANK($AT126,'Your Accounts'!$AT$6:$AT$185)</f>
        <v>160</v>
      </c>
      <c r="AV126" s="15" t="n">
        <f aca="false">SUMIF('Your Accounts'!$AU$6:$AU$185,"&lt;="&amp;$AU126,'Your Accounts'!$AT$6:$AT$185)</f>
        <v>13475906.71</v>
      </c>
      <c r="AW126" s="15" t="n">
        <f aca="false">ROUND($D126*Sensitivity!$C$36+Sensitivity!$D$36,2)</f>
        <v>7515</v>
      </c>
      <c r="AX126" s="15" t="n">
        <f aca="false">ROUND($K126-$BA126,2)</f>
        <v>5413.01</v>
      </c>
      <c r="AY126" s="26" t="n">
        <f aca="false">RANK($AX126,'Your Accounts'!$AX$6:$AX$185)</f>
        <v>160</v>
      </c>
      <c r="AZ126" s="15" t="n">
        <f aca="false">SUMIF('Your Accounts'!$AY$6:$AY$185,"&lt;="&amp;$AY126,'Your Accounts'!$AX$6:$AX$185)</f>
        <v>13099544.21</v>
      </c>
      <c r="BA126" s="15" t="n">
        <f aca="false">ROUND($D126*Sensitivity!$C$37+Sensitivity!$D$37,2)</f>
        <v>9393.75</v>
      </c>
      <c r="BB126" s="15" t="n">
        <f aca="false">ROUND($K126-$BE126,2)</f>
        <v>3534.26</v>
      </c>
      <c r="BC126" s="26" t="n">
        <f aca="false">RANK($BB126,'Your Accounts'!$BB$6:$BB$185)</f>
        <v>160</v>
      </c>
      <c r="BD126" s="15" t="n">
        <f aca="false">SUMIF('Your Accounts'!$BC$6:$BC$185,"&lt;="&amp;$BC126,'Your Accounts'!$BB$6:$BB$185)</f>
        <v>12723181.71</v>
      </c>
      <c r="BE126" s="15" t="n">
        <f aca="false">ROUND($D126*Sensitivity!$C$38+Sensitivity!$D$38,2)</f>
        <v>11272.5</v>
      </c>
      <c r="BF126" s="15" t="n">
        <f aca="false">ROUND($K126-$BI126,2)</f>
        <v>-223.24</v>
      </c>
      <c r="BG126" s="26" t="n">
        <f aca="false">RANK($BF126,'Your Accounts'!$BF$6:$BF$185)</f>
        <v>157</v>
      </c>
      <c r="BH126" s="15" t="n">
        <f aca="false">SUMIF('Your Accounts'!$BG$6:$BG$185,"&lt;="&amp;$BG126,'Your Accounts'!$BF$6:$BF$185)</f>
        <v>11973013.46</v>
      </c>
      <c r="BI126" s="15" t="n">
        <f aca="false">ROUND($D126*Sensitivity!$C$39+Sensitivity!$D$39,2)</f>
        <v>15030</v>
      </c>
      <c r="BJ126" s="15" t="n">
        <f aca="false">ROUND($K126-$BM126,2)</f>
        <v>-3980.74</v>
      </c>
      <c r="BK126" s="26" t="n">
        <f aca="false">RANK($BJ126,'Your Accounts'!$BJ$6:$BJ$185)</f>
        <v>156</v>
      </c>
      <c r="BL126" s="15" t="n">
        <f aca="false">SUMIF('Your Accounts'!$BK$6:$BK$185,"&lt;="&amp;$BK126,'Your Accounts'!$BJ$6:$BJ$185)</f>
        <v>11238581.16</v>
      </c>
      <c r="BM126" s="15" t="n">
        <f aca="false">ROUND($D126*Sensitivity!$C$40+Sensitivity!$D$40,2)</f>
        <v>18787.5</v>
      </c>
      <c r="BN126" s="15" t="n">
        <f aca="false">ROUND($K126-$BQ126,2)</f>
        <v>-7738.24</v>
      </c>
      <c r="BO126" s="26" t="n">
        <f aca="false">RANK($BN126,'Your Accounts'!$BN$6:$BN$185)</f>
        <v>155</v>
      </c>
      <c r="BP126" s="15" t="n">
        <f aca="false">SUMIF('Your Accounts'!$BO$6:$BO$185,"&lt;="&amp;$BO126,'Your Accounts'!$BN$6:$BN$185)</f>
        <v>10513370.35</v>
      </c>
      <c r="BQ126" s="15" t="n">
        <f aca="false">ROUND($D126*Sensitivity!$C$41+Sensitivity!$D$41,2)</f>
        <v>22545</v>
      </c>
    </row>
    <row r="127" customFormat="false" ht="15" hidden="false" customHeight="false" outlineLevel="0" collapsed="false">
      <c r="B127" s="18" t="s">
        <v>239</v>
      </c>
      <c r="C127" s="18" t="s">
        <v>218</v>
      </c>
      <c r="D127" s="24" t="n">
        <v>22</v>
      </c>
      <c r="E127" s="26" t="n">
        <f aca="false">SUMIF('Your Lines'!$B$6:$B$463,$B127,'Your Lines'!$E$6:$E$463)</f>
        <v>1221</v>
      </c>
      <c r="F127" s="15" t="n">
        <f aca="false">ROUND(SUMIF('Your Lines'!$B$6:$B$463,$B127,'Your Lines'!$J$6:$J$463),2)</f>
        <v>98836</v>
      </c>
      <c r="G127" s="15" t="n">
        <f aca="false">ROUND(SUMIF('Your Lines'!$B$6:$B$463,$B127,'Your Lines'!$G$6:$G$463),2)</f>
        <v>86352.64</v>
      </c>
      <c r="H127" s="25" t="n">
        <f aca="false">$G127/$F127</f>
        <v>0.873696224047918</v>
      </c>
      <c r="I127" s="15" t="n">
        <f aca="false">ROUND(SUMIF('Your Lines'!$B$6:$B$463,$B127,'Your Lines'!$K$6:$K$463),2)</f>
        <v>55254</v>
      </c>
      <c r="J127" s="15" t="n">
        <f aca="false">ROUND(SUMIF('Your Lines'!$B$6:$B$463,$B127,'Your Lines'!$L$6:$L$463),2)</f>
        <v>1744.5</v>
      </c>
      <c r="K127" s="15" t="n">
        <f aca="false">ROUND($G127-$I127-$J127,2)</f>
        <v>29354.14</v>
      </c>
      <c r="L127" s="15" t="n">
        <f aca="false">ROUND($D127*'Your Inputs'!$C$40+'Your Inputs'!$C$41,2)</f>
        <v>9690</v>
      </c>
      <c r="M127" s="15" t="n">
        <f aca="false">ROUND($K127-$L127,2)</f>
        <v>19664.14</v>
      </c>
      <c r="N127" s="26" t="n">
        <f aca="false">RANK($M127,'Your Accounts'!$M$6:$M$185)</f>
        <v>126</v>
      </c>
      <c r="O127" s="15" t="n">
        <f aca="false">SUMIF('Your Accounts'!$N$6:$N$185,"&lt;="&amp;$N127,'Your Accounts'!$M$6:$M$185)</f>
        <v>13030775.73</v>
      </c>
      <c r="P127" s="15"/>
      <c r="Q127" s="26" t="n">
        <f aca="false">COUNTIFS('Your Lines'!$B$6:$B$463,$B127,'Your Lines'!$R$6:$R$463,"below the floor")</f>
        <v>2</v>
      </c>
      <c r="R127" s="15" t="n">
        <f aca="false">IF(Q127&gt;0,$K127,0)</f>
        <v>29354.14</v>
      </c>
      <c r="AN127" s="15" t="n">
        <f aca="false">IF(VLOOKUP($C127,'Your Floors'!$B$53:$F$56,5,FALSE())="yes",0,$R127)</f>
        <v>29354.14</v>
      </c>
      <c r="AP127" s="15" t="n">
        <f aca="false">ROUND($K127-$AS127,2)</f>
        <v>24509.14</v>
      </c>
      <c r="AQ127" s="26" t="n">
        <f aca="false">RANK($AP127,'Your Accounts'!$AP$6:$AP$185)</f>
        <v>125</v>
      </c>
      <c r="AR127" s="15" t="n">
        <f aca="false">SUMIF('Your Accounts'!$AQ$6:$AQ$185,"&lt;="&amp;$AQ127,'Your Accounts'!$AP$6:$AP$185)</f>
        <v>13615168.73</v>
      </c>
      <c r="AS127" s="15" t="n">
        <f aca="false">ROUND($D127*Sensitivity!$C$35+Sensitivity!$D$35,2)</f>
        <v>4845</v>
      </c>
      <c r="AT127" s="15" t="n">
        <f aca="false">ROUND($K127-$AW127,2)</f>
        <v>19664.14</v>
      </c>
      <c r="AU127" s="26" t="n">
        <f aca="false">RANK($AT127,'Your Accounts'!$AT$6:$AT$185)</f>
        <v>126</v>
      </c>
      <c r="AV127" s="15" t="n">
        <f aca="false">SUMIF('Your Accounts'!$AU$6:$AU$185,"&lt;="&amp;$AU127,'Your Accounts'!$AT$6:$AT$185)</f>
        <v>13030775.73</v>
      </c>
      <c r="AW127" s="15" t="n">
        <f aca="false">ROUND($D127*Sensitivity!$C$36+Sensitivity!$D$36,2)</f>
        <v>9690</v>
      </c>
      <c r="AX127" s="15" t="n">
        <f aca="false">ROUND($K127-$BA127,2)</f>
        <v>17241.64</v>
      </c>
      <c r="AY127" s="26" t="n">
        <f aca="false">RANK($AX127,'Your Accounts'!$AX$6:$AX$185)</f>
        <v>127</v>
      </c>
      <c r="AZ127" s="15" t="n">
        <f aca="false">SUMIF('Your Accounts'!$AY$6:$AY$185,"&lt;="&amp;$AY127,'Your Accounts'!$AX$6:$AX$185)</f>
        <v>12743967.74</v>
      </c>
      <c r="BA127" s="15" t="n">
        <f aca="false">ROUND($D127*Sensitivity!$C$37+Sensitivity!$D$37,2)</f>
        <v>12112.5</v>
      </c>
      <c r="BB127" s="15" t="n">
        <f aca="false">ROUND($K127-$BE127,2)</f>
        <v>14819.14</v>
      </c>
      <c r="BC127" s="26" t="n">
        <f aca="false">RANK($BB127,'Your Accounts'!$BB$6:$BB$185)</f>
        <v>127</v>
      </c>
      <c r="BD127" s="15" t="n">
        <f aca="false">SUMIF('Your Accounts'!$BC$6:$BC$185,"&lt;="&amp;$BC127,'Your Accounts'!$BB$6:$BB$185)</f>
        <v>12437578.99</v>
      </c>
      <c r="BE127" s="15" t="n">
        <f aca="false">ROUND($D127*Sensitivity!$C$38+Sensitivity!$D$38,2)</f>
        <v>14535</v>
      </c>
      <c r="BF127" s="15" t="n">
        <f aca="false">ROUND($K127-$BI127,2)</f>
        <v>9974.14</v>
      </c>
      <c r="BG127" s="26" t="n">
        <f aca="false">RANK($BF127,'Your Accounts'!$BF$6:$BF$185)</f>
        <v>129</v>
      </c>
      <c r="BH127" s="15" t="n">
        <f aca="false">SUMIF('Your Accounts'!$BG$6:$BG$185,"&lt;="&amp;$BG127,'Your Accounts'!$BF$6:$BF$185)</f>
        <v>11845730.53</v>
      </c>
      <c r="BI127" s="15" t="n">
        <f aca="false">ROUND($D127*Sensitivity!$C$39+Sensitivity!$D$39,2)</f>
        <v>19380</v>
      </c>
      <c r="BJ127" s="15" t="n">
        <f aca="false">ROUND($K127-$BM127,2)</f>
        <v>5129.14</v>
      </c>
      <c r="BK127" s="26" t="n">
        <f aca="false">RANK($BJ127,'Your Accounts'!$BJ$6:$BJ$185)</f>
        <v>129</v>
      </c>
      <c r="BL127" s="15" t="n">
        <f aca="false">SUMIF('Your Accounts'!$BK$6:$BK$185,"&lt;="&amp;$BK127,'Your Accounts'!$BJ$6:$BJ$185)</f>
        <v>11225220.53</v>
      </c>
      <c r="BM127" s="15" t="n">
        <f aca="false">ROUND($D127*Sensitivity!$C$40+Sensitivity!$D$40,2)</f>
        <v>24225</v>
      </c>
      <c r="BN127" s="15" t="n">
        <f aca="false">ROUND($K127-$BQ127,2)</f>
        <v>284.14</v>
      </c>
      <c r="BO127" s="26" t="n">
        <f aca="false">RANK($BN127,'Your Accounts'!$BN$6:$BN$185)</f>
        <v>129</v>
      </c>
      <c r="BP127" s="15" t="n">
        <f aca="false">SUMIF('Your Accounts'!$BO$6:$BO$185,"&lt;="&amp;$BO127,'Your Accounts'!$BN$6:$BN$185)</f>
        <v>10604710.53</v>
      </c>
      <c r="BQ127" s="15" t="n">
        <f aca="false">ROUND($D127*Sensitivity!$C$41+Sensitivity!$D$41,2)</f>
        <v>29070</v>
      </c>
    </row>
    <row r="128" customFormat="false" ht="15" hidden="false" customHeight="false" outlineLevel="0" collapsed="false">
      <c r="B128" s="18" t="s">
        <v>240</v>
      </c>
      <c r="C128" s="18" t="s">
        <v>218</v>
      </c>
      <c r="D128" s="24" t="n">
        <v>22</v>
      </c>
      <c r="E128" s="26" t="n">
        <f aca="false">SUMIF('Your Lines'!$B$6:$B$463,$B128,'Your Lines'!$E$6:$E$463)</f>
        <v>984</v>
      </c>
      <c r="F128" s="15" t="n">
        <f aca="false">ROUND(SUMIF('Your Lines'!$B$6:$B$463,$B128,'Your Lines'!$J$6:$J$463),2)</f>
        <v>72422</v>
      </c>
      <c r="G128" s="15" t="n">
        <f aca="false">ROUND(SUMIF('Your Lines'!$B$6:$B$463,$B128,'Your Lines'!$G$6:$G$463),2)</f>
        <v>71697.78</v>
      </c>
      <c r="H128" s="25" t="n">
        <f aca="false">$G128/$F128</f>
        <v>0.99</v>
      </c>
      <c r="I128" s="15" t="n">
        <f aca="false">ROUND(SUMIF('Your Lines'!$B$6:$B$463,$B128,'Your Lines'!$K$6:$K$463),2)</f>
        <v>42250</v>
      </c>
      <c r="J128" s="15" t="n">
        <f aca="false">ROUND(SUMIF('Your Lines'!$B$6:$B$463,$B128,'Your Lines'!$L$6:$L$463),2)</f>
        <v>1448.44</v>
      </c>
      <c r="K128" s="15" t="n">
        <f aca="false">ROUND($G128-$I128-$J128,2)</f>
        <v>27999.34</v>
      </c>
      <c r="L128" s="15" t="n">
        <f aca="false">ROUND($D128*'Your Inputs'!$C$40+'Your Inputs'!$C$41,2)</f>
        <v>9690</v>
      </c>
      <c r="M128" s="15" t="n">
        <f aca="false">ROUND($K128-$L128,2)</f>
        <v>18309.34</v>
      </c>
      <c r="N128" s="26" t="n">
        <f aca="false">RANK($M128,'Your Accounts'!$M$6:$M$185)</f>
        <v>129</v>
      </c>
      <c r="O128" s="15" t="n">
        <f aca="false">SUMIF('Your Accounts'!$N$6:$N$185,"&lt;="&amp;$N128,'Your Accounts'!$M$6:$M$185)</f>
        <v>13087446.47</v>
      </c>
      <c r="P128" s="15"/>
      <c r="Q128" s="26" t="n">
        <f aca="false">COUNTIFS('Your Lines'!$B$6:$B$463,$B128,'Your Lines'!$R$6:$R$463,"below the floor")</f>
        <v>0</v>
      </c>
      <c r="R128" s="15" t="n">
        <f aca="false">IF(Q128&gt;0,$K128,0)</f>
        <v>0</v>
      </c>
      <c r="AN128" s="15" t="n">
        <f aca="false">IF(VLOOKUP($C128,'Your Floors'!$B$53:$F$56,5,FALSE())="yes",0,$R128)</f>
        <v>0</v>
      </c>
      <c r="AP128" s="15" t="n">
        <f aca="false">ROUND($K128-$AS128,2)</f>
        <v>23154.34</v>
      </c>
      <c r="AQ128" s="26" t="n">
        <f aca="false">RANK($AP128,'Your Accounts'!$AP$6:$AP$185)</f>
        <v>128</v>
      </c>
      <c r="AR128" s="15" t="n">
        <f aca="false">SUMIF('Your Accounts'!$AQ$6:$AQ$185,"&lt;="&amp;$AQ128,'Your Accounts'!$AP$6:$AP$185)</f>
        <v>13686288.33</v>
      </c>
      <c r="AS128" s="15" t="n">
        <f aca="false">ROUND($D128*Sensitivity!$C$35+Sensitivity!$D$35,2)</f>
        <v>4845</v>
      </c>
      <c r="AT128" s="15" t="n">
        <f aca="false">ROUND($K128-$AW128,2)</f>
        <v>18309.34</v>
      </c>
      <c r="AU128" s="26" t="n">
        <f aca="false">RANK($AT128,'Your Accounts'!$AT$6:$AT$185)</f>
        <v>129</v>
      </c>
      <c r="AV128" s="15" t="n">
        <f aca="false">SUMIF('Your Accounts'!$AU$6:$AU$185,"&lt;="&amp;$AU128,'Your Accounts'!$AT$6:$AT$185)</f>
        <v>13087446.47</v>
      </c>
      <c r="AW128" s="15" t="n">
        <f aca="false">ROUND($D128*Sensitivity!$C$36+Sensitivity!$D$36,2)</f>
        <v>9690</v>
      </c>
      <c r="AX128" s="15" t="n">
        <f aca="false">ROUND($K128-$BA128,2)</f>
        <v>15886.84</v>
      </c>
      <c r="AY128" s="26" t="n">
        <f aca="false">RANK($AX128,'Your Accounts'!$AX$6:$AX$185)</f>
        <v>129</v>
      </c>
      <c r="AZ128" s="15" t="n">
        <f aca="false">SUMIF('Your Accounts'!$AY$6:$AY$185,"&lt;="&amp;$AY128,'Your Accounts'!$AX$6:$AX$185)</f>
        <v>12776575.22</v>
      </c>
      <c r="BA128" s="15" t="n">
        <f aca="false">ROUND($D128*Sensitivity!$C$37+Sensitivity!$D$37,2)</f>
        <v>12112.5</v>
      </c>
      <c r="BB128" s="15" t="n">
        <f aca="false">ROUND($K128-$BE128,2)</f>
        <v>13464.34</v>
      </c>
      <c r="BC128" s="26" t="n">
        <f aca="false">RANK($BB128,'Your Accounts'!$BB$6:$BB$185)</f>
        <v>131</v>
      </c>
      <c r="BD128" s="15" t="n">
        <f aca="false">SUMIF('Your Accounts'!$BC$6:$BC$185,"&lt;="&amp;$BC128,'Your Accounts'!$BB$6:$BB$185)</f>
        <v>12493171.13</v>
      </c>
      <c r="BE128" s="15" t="n">
        <f aca="false">ROUND($D128*Sensitivity!$C$38+Sensitivity!$D$38,2)</f>
        <v>14535</v>
      </c>
      <c r="BF128" s="15" t="n">
        <f aca="false">ROUND($K128-$BI128,2)</f>
        <v>8619.34</v>
      </c>
      <c r="BG128" s="26" t="n">
        <f aca="false">RANK($BF128,'Your Accounts'!$BF$6:$BF$185)</f>
        <v>131</v>
      </c>
      <c r="BH128" s="15" t="n">
        <f aca="false">SUMIF('Your Accounts'!$BG$6:$BG$185,"&lt;="&amp;$BG128,'Your Accounts'!$BF$6:$BF$185)</f>
        <v>11863116.13</v>
      </c>
      <c r="BI128" s="15" t="n">
        <f aca="false">ROUND($D128*Sensitivity!$C$39+Sensitivity!$D$39,2)</f>
        <v>19380</v>
      </c>
      <c r="BJ128" s="15" t="n">
        <f aca="false">ROUND($K128-$BM128,2)</f>
        <v>3774.34</v>
      </c>
      <c r="BK128" s="26" t="n">
        <f aca="false">RANK($BJ128,'Your Accounts'!$BJ$6:$BJ$185)</f>
        <v>133</v>
      </c>
      <c r="BL128" s="15" t="n">
        <f aca="false">SUMIF('Your Accounts'!$BK$6:$BK$185,"&lt;="&amp;$BK128,'Your Accounts'!$BJ$6:$BJ$185)</f>
        <v>11241283.54</v>
      </c>
      <c r="BM128" s="15" t="n">
        <f aca="false">ROUND($D128*Sensitivity!$C$40+Sensitivity!$D$40,2)</f>
        <v>24225</v>
      </c>
      <c r="BN128" s="15" t="n">
        <f aca="false">ROUND($K128-$BQ128,2)</f>
        <v>-1070.66</v>
      </c>
      <c r="BO128" s="26" t="n">
        <f aca="false">RANK($BN128,'Your Accounts'!$BN$6:$BN$185)</f>
        <v>135</v>
      </c>
      <c r="BP128" s="15" t="n">
        <f aca="false">SUMIF('Your Accounts'!$BO$6:$BO$185,"&lt;="&amp;$BO128,'Your Accounts'!$BN$6:$BN$185)</f>
        <v>10602356.8</v>
      </c>
      <c r="BQ128" s="15" t="n">
        <f aca="false">ROUND($D128*Sensitivity!$C$41+Sensitivity!$D$41,2)</f>
        <v>29070</v>
      </c>
    </row>
    <row r="129" customFormat="false" ht="15" hidden="false" customHeight="false" outlineLevel="0" collapsed="false">
      <c r="B129" s="18" t="s">
        <v>241</v>
      </c>
      <c r="C129" s="18" t="s">
        <v>218</v>
      </c>
      <c r="D129" s="24" t="n">
        <v>18</v>
      </c>
      <c r="E129" s="26" t="n">
        <f aca="false">SUMIF('Your Lines'!$B$6:$B$463,$B129,'Your Lines'!$E$6:$E$463)</f>
        <v>513</v>
      </c>
      <c r="F129" s="15" t="n">
        <f aca="false">ROUND(SUMIF('Your Lines'!$B$6:$B$463,$B129,'Your Lines'!$J$6:$J$463),2)</f>
        <v>43128</v>
      </c>
      <c r="G129" s="15" t="n">
        <f aca="false">ROUND(SUMIF('Your Lines'!$B$6:$B$463,$B129,'Your Lines'!$G$6:$G$463),2)</f>
        <v>42696.72</v>
      </c>
      <c r="H129" s="25" t="n">
        <f aca="false">$G129/$F129</f>
        <v>0.99</v>
      </c>
      <c r="I129" s="15" t="n">
        <f aca="false">ROUND(SUMIF('Your Lines'!$B$6:$B$463,$B129,'Your Lines'!$K$6:$K$463),2)</f>
        <v>24634</v>
      </c>
      <c r="J129" s="15" t="n">
        <f aca="false">ROUND(SUMIF('Your Lines'!$B$6:$B$463,$B129,'Your Lines'!$L$6:$L$463),2)</f>
        <v>862.56</v>
      </c>
      <c r="K129" s="15" t="n">
        <f aca="false">ROUND($G129-$I129-$J129,2)</f>
        <v>17200.16</v>
      </c>
      <c r="L129" s="15" t="n">
        <f aca="false">ROUND($D129*'Your Inputs'!$C$40+'Your Inputs'!$C$41,2)</f>
        <v>9110</v>
      </c>
      <c r="M129" s="15" t="n">
        <f aca="false">ROUND($K129-$L129,2)</f>
        <v>8090.16</v>
      </c>
      <c r="N129" s="26" t="n">
        <f aca="false">RANK($M129,'Your Accounts'!$M$6:$M$185)</f>
        <v>159</v>
      </c>
      <c r="O129" s="15" t="n">
        <f aca="false">SUMIF('Your Accounts'!$N$6:$N$185,"&lt;="&amp;$N129,'Your Accounts'!$M$6:$M$185)</f>
        <v>13468614.95</v>
      </c>
      <c r="P129" s="15"/>
      <c r="Q129" s="26" t="n">
        <f aca="false">COUNTIFS('Your Lines'!$B$6:$B$463,$B129,'Your Lines'!$R$6:$R$463,"below the floor")</f>
        <v>0</v>
      </c>
      <c r="R129" s="15" t="n">
        <f aca="false">IF(Q129&gt;0,$K129,0)</f>
        <v>0</v>
      </c>
      <c r="AN129" s="15" t="n">
        <f aca="false">IF(VLOOKUP($C129,'Your Floors'!$B$53:$F$56,5,FALSE())="yes",0,$R129)</f>
        <v>0</v>
      </c>
      <c r="AP129" s="15" t="n">
        <f aca="false">ROUND($K129-$AS129,2)</f>
        <v>12645.16</v>
      </c>
      <c r="AQ129" s="26" t="n">
        <f aca="false">RANK($AP129,'Your Accounts'!$AP$6:$AP$185)</f>
        <v>159</v>
      </c>
      <c r="AR129" s="15" t="n">
        <f aca="false">SUMIF('Your Accounts'!$AQ$6:$AQ$185,"&lt;="&amp;$AQ129,'Your Accounts'!$AP$6:$AP$185)</f>
        <v>14217582.45</v>
      </c>
      <c r="AS129" s="15" t="n">
        <f aca="false">ROUND($D129*Sensitivity!$C$35+Sensitivity!$D$35,2)</f>
        <v>4555</v>
      </c>
      <c r="AT129" s="15" t="n">
        <f aca="false">ROUND($K129-$AW129,2)</f>
        <v>8090.16</v>
      </c>
      <c r="AU129" s="26" t="n">
        <f aca="false">RANK($AT129,'Your Accounts'!$AT$6:$AT$185)</f>
        <v>159</v>
      </c>
      <c r="AV129" s="15" t="n">
        <f aca="false">SUMIF('Your Accounts'!$AU$6:$AU$185,"&lt;="&amp;$AU129,'Your Accounts'!$AT$6:$AT$185)</f>
        <v>13468614.95</v>
      </c>
      <c r="AW129" s="15" t="n">
        <f aca="false">ROUND($D129*Sensitivity!$C$36+Sensitivity!$D$36,2)</f>
        <v>9110</v>
      </c>
      <c r="AX129" s="15" t="n">
        <f aca="false">ROUND($K129-$BA129,2)</f>
        <v>5812.66</v>
      </c>
      <c r="AY129" s="26" t="n">
        <f aca="false">RANK($AX129,'Your Accounts'!$AX$6:$AX$185)</f>
        <v>159</v>
      </c>
      <c r="AZ129" s="15" t="n">
        <f aca="false">SUMIF('Your Accounts'!$AY$6:$AY$185,"&lt;="&amp;$AY129,'Your Accounts'!$AX$6:$AX$185)</f>
        <v>13094131.2</v>
      </c>
      <c r="BA129" s="15" t="n">
        <f aca="false">ROUND($D129*Sensitivity!$C$37+Sensitivity!$D$37,2)</f>
        <v>11387.5</v>
      </c>
      <c r="BB129" s="15" t="n">
        <f aca="false">ROUND($K129-$BE129,2)</f>
        <v>3535.16</v>
      </c>
      <c r="BC129" s="26" t="n">
        <f aca="false">RANK($BB129,'Your Accounts'!$BB$6:$BB$185)</f>
        <v>159</v>
      </c>
      <c r="BD129" s="15" t="n">
        <f aca="false">SUMIF('Your Accounts'!$BC$6:$BC$185,"&lt;="&amp;$BC129,'Your Accounts'!$BB$6:$BB$185)</f>
        <v>12719647.45</v>
      </c>
      <c r="BE129" s="15" t="n">
        <f aca="false">ROUND($D129*Sensitivity!$C$38+Sensitivity!$D$38,2)</f>
        <v>13665</v>
      </c>
      <c r="BF129" s="15" t="n">
        <f aca="false">ROUND($K129-$BI129,2)</f>
        <v>-1019.84</v>
      </c>
      <c r="BG129" s="26" t="n">
        <f aca="false">RANK($BF129,'Your Accounts'!$BF$6:$BF$185)</f>
        <v>161</v>
      </c>
      <c r="BH129" s="15" t="n">
        <f aca="false">SUMIF('Your Accounts'!$BG$6:$BG$185,"&lt;="&amp;$BG129,'Your Accounts'!$BF$6:$BF$185)</f>
        <v>11969645.88</v>
      </c>
      <c r="BI129" s="15" t="n">
        <f aca="false">ROUND($D129*Sensitivity!$C$39+Sensitivity!$D$39,2)</f>
        <v>18220</v>
      </c>
      <c r="BJ129" s="15" t="n">
        <f aca="false">ROUND($K129-$BM129,2)</f>
        <v>-5574.84</v>
      </c>
      <c r="BK129" s="26" t="n">
        <f aca="false">RANK($BJ129,'Your Accounts'!$BJ$6:$BJ$185)</f>
        <v>161</v>
      </c>
      <c r="BL129" s="15" t="n">
        <f aca="false">SUMIF('Your Accounts'!$BK$6:$BK$185,"&lt;="&amp;$BK129,'Your Accounts'!$BJ$6:$BJ$185)</f>
        <v>11212873.38</v>
      </c>
      <c r="BM129" s="15" t="n">
        <f aca="false">ROUND($D129*Sensitivity!$C$40+Sensitivity!$D$40,2)</f>
        <v>22775</v>
      </c>
      <c r="BN129" s="15" t="n">
        <f aca="false">ROUND($K129-$BQ129,2)</f>
        <v>-10129.84</v>
      </c>
      <c r="BO129" s="26" t="n">
        <f aca="false">RANK($BN129,'Your Accounts'!$BN$6:$BN$185)</f>
        <v>161</v>
      </c>
      <c r="BP129" s="15" t="n">
        <f aca="false">SUMIF('Your Accounts'!$BO$6:$BO$185,"&lt;="&amp;$BO129,'Your Accounts'!$BN$6:$BN$185)</f>
        <v>10456509.12</v>
      </c>
      <c r="BQ129" s="15" t="n">
        <f aca="false">ROUND($D129*Sensitivity!$C$41+Sensitivity!$D$41,2)</f>
        <v>27330</v>
      </c>
    </row>
    <row r="130" customFormat="false" ht="15" hidden="false" customHeight="false" outlineLevel="0" collapsed="false">
      <c r="B130" s="18" t="s">
        <v>242</v>
      </c>
      <c r="C130" s="18" t="s">
        <v>218</v>
      </c>
      <c r="D130" s="24" t="n">
        <v>14</v>
      </c>
      <c r="E130" s="26" t="n">
        <f aca="false">SUMIF('Your Lines'!$B$6:$B$463,$B130,'Your Lines'!$E$6:$E$463)</f>
        <v>792</v>
      </c>
      <c r="F130" s="15" t="n">
        <f aca="false">ROUND(SUMIF('Your Lines'!$B$6:$B$463,$B130,'Your Lines'!$J$6:$J$463),2)</f>
        <v>57162</v>
      </c>
      <c r="G130" s="15" t="n">
        <f aca="false">ROUND(SUMIF('Your Lines'!$B$6:$B$463,$B130,'Your Lines'!$G$6:$G$463),2)</f>
        <v>52163.11</v>
      </c>
      <c r="H130" s="25" t="n">
        <f aca="false">$G130/$F130</f>
        <v>0.912548721178405</v>
      </c>
      <c r="I130" s="15" t="n">
        <f aca="false">ROUND(SUMIF('Your Lines'!$B$6:$B$463,$B130,'Your Lines'!$K$6:$K$463),2)</f>
        <v>33726</v>
      </c>
      <c r="J130" s="15" t="n">
        <f aca="false">ROUND(SUMIF('Your Lines'!$B$6:$B$463,$B130,'Your Lines'!$L$6:$L$463),2)</f>
        <v>1053.8</v>
      </c>
      <c r="K130" s="15" t="n">
        <f aca="false">ROUND($G130-$I130-$J130,2)</f>
        <v>17383.31</v>
      </c>
      <c r="L130" s="15" t="n">
        <f aca="false">ROUND($D130*'Your Inputs'!$C$40+'Your Inputs'!$C$41,2)</f>
        <v>8530</v>
      </c>
      <c r="M130" s="15" t="n">
        <f aca="false">ROUND($K130-$L130,2)</f>
        <v>8853.31</v>
      </c>
      <c r="N130" s="26" t="n">
        <f aca="false">RANK($M130,'Your Accounts'!$M$6:$M$185)</f>
        <v>156</v>
      </c>
      <c r="O130" s="15" t="n">
        <f aca="false">SUMIF('Your Accounts'!$N$6:$N$185,"&lt;="&amp;$N130,'Your Accounts'!$M$6:$M$185)</f>
        <v>13443841.7</v>
      </c>
      <c r="P130" s="15"/>
      <c r="Q130" s="26" t="n">
        <f aca="false">COUNTIFS('Your Lines'!$B$6:$B$463,$B130,'Your Lines'!$R$6:$R$463,"below the floor")</f>
        <v>1</v>
      </c>
      <c r="R130" s="15" t="n">
        <f aca="false">IF(Q130&gt;0,$K130,0)</f>
        <v>17383.31</v>
      </c>
      <c r="AN130" s="15" t="n">
        <f aca="false">IF(VLOOKUP($C130,'Your Floors'!$B$53:$F$56,5,FALSE())="yes",0,$R130)</f>
        <v>17383.31</v>
      </c>
      <c r="AP130" s="15" t="n">
        <f aca="false">ROUND($K130-$AS130,2)</f>
        <v>13118.31</v>
      </c>
      <c r="AQ130" s="26" t="n">
        <f aca="false">RANK($AP130,'Your Accounts'!$AP$6:$AP$185)</f>
        <v>155</v>
      </c>
      <c r="AR130" s="15" t="n">
        <f aca="false">SUMIF('Your Accounts'!$AQ$6:$AQ$185,"&lt;="&amp;$AQ130,'Your Accounts'!$AP$6:$AP$185)</f>
        <v>14166072.79</v>
      </c>
      <c r="AS130" s="15" t="n">
        <f aca="false">ROUND($D130*Sensitivity!$C$35+Sensitivity!$D$35,2)</f>
        <v>4265</v>
      </c>
      <c r="AT130" s="15" t="n">
        <f aca="false">ROUND($K130-$AW130,2)</f>
        <v>8853.31</v>
      </c>
      <c r="AU130" s="26" t="n">
        <f aca="false">RANK($AT130,'Your Accounts'!$AT$6:$AT$185)</f>
        <v>156</v>
      </c>
      <c r="AV130" s="15" t="n">
        <f aca="false">SUMIF('Your Accounts'!$AU$6:$AU$185,"&lt;="&amp;$AU130,'Your Accounts'!$AT$6:$AT$185)</f>
        <v>13443841.7</v>
      </c>
      <c r="AW130" s="15" t="n">
        <f aca="false">ROUND($D130*Sensitivity!$C$36+Sensitivity!$D$36,2)</f>
        <v>8530</v>
      </c>
      <c r="AX130" s="15" t="n">
        <f aca="false">ROUND($K130-$BA130,2)</f>
        <v>6720.81</v>
      </c>
      <c r="AY130" s="26" t="n">
        <f aca="false">RANK($AX130,'Your Accounts'!$AX$6:$AX$185)</f>
        <v>156</v>
      </c>
      <c r="AZ130" s="15" t="n">
        <f aca="false">SUMIF('Your Accounts'!$AY$6:$AY$185,"&lt;="&amp;$AY130,'Your Accounts'!$AX$6:$AX$185)</f>
        <v>13076190.45</v>
      </c>
      <c r="BA130" s="15" t="n">
        <f aca="false">ROUND($D130*Sensitivity!$C$37+Sensitivity!$D$37,2)</f>
        <v>10662.5</v>
      </c>
      <c r="BB130" s="15" t="n">
        <f aca="false">ROUND($K130-$BE130,2)</f>
        <v>4588.31</v>
      </c>
      <c r="BC130" s="26" t="n">
        <f aca="false">RANK($BB130,'Your Accounts'!$BB$6:$BB$185)</f>
        <v>156</v>
      </c>
      <c r="BD130" s="15" t="n">
        <f aca="false">SUMIF('Your Accounts'!$BC$6:$BC$185,"&lt;="&amp;$BC130,'Your Accounts'!$BB$6:$BB$185)</f>
        <v>12708539.2</v>
      </c>
      <c r="BE130" s="15" t="n">
        <f aca="false">ROUND($D130*Sensitivity!$C$38+Sensitivity!$D$38,2)</f>
        <v>12795</v>
      </c>
      <c r="BF130" s="15" t="n">
        <f aca="false">ROUND($K130-$BI130,2)</f>
        <v>323.31</v>
      </c>
      <c r="BG130" s="26" t="n">
        <f aca="false">RANK($BF130,'Your Accounts'!$BF$6:$BF$185)</f>
        <v>156</v>
      </c>
      <c r="BH130" s="15" t="n">
        <f aca="false">SUMIF('Your Accounts'!$BG$6:$BG$185,"&lt;="&amp;$BG130,'Your Accounts'!$BF$6:$BF$185)</f>
        <v>11973236.7</v>
      </c>
      <c r="BI130" s="15" t="n">
        <f aca="false">ROUND($D130*Sensitivity!$C$39+Sensitivity!$D$39,2)</f>
        <v>17060</v>
      </c>
      <c r="BJ130" s="15" t="n">
        <f aca="false">ROUND($K130-$BM130,2)</f>
        <v>-3941.69</v>
      </c>
      <c r="BK130" s="26" t="n">
        <f aca="false">RANK($BJ130,'Your Accounts'!$BJ$6:$BJ$185)</f>
        <v>155</v>
      </c>
      <c r="BL130" s="15" t="n">
        <f aca="false">SUMIF('Your Accounts'!$BK$6:$BK$185,"&lt;="&amp;$BK130,'Your Accounts'!$BJ$6:$BJ$185)</f>
        <v>11242561.9</v>
      </c>
      <c r="BM130" s="15" t="n">
        <f aca="false">ROUND($D130*Sensitivity!$C$40+Sensitivity!$D$40,2)</f>
        <v>21325</v>
      </c>
      <c r="BN130" s="15" t="n">
        <f aca="false">ROUND($K130-$BQ130,2)</f>
        <v>-8206.69</v>
      </c>
      <c r="BO130" s="26" t="n">
        <f aca="false">RANK($BN130,'Your Accounts'!$BN$6:$BN$185)</f>
        <v>156</v>
      </c>
      <c r="BP130" s="15" t="n">
        <f aca="false">SUMIF('Your Accounts'!$BO$6:$BO$185,"&lt;="&amp;$BO130,'Your Accounts'!$BN$6:$BN$185)</f>
        <v>10505163.66</v>
      </c>
      <c r="BQ130" s="15" t="n">
        <f aca="false">ROUND($D130*Sensitivity!$C$41+Sensitivity!$D$41,2)</f>
        <v>25590</v>
      </c>
    </row>
    <row r="131" customFormat="false" ht="15" hidden="false" customHeight="false" outlineLevel="0" collapsed="false">
      <c r="B131" s="18" t="s">
        <v>243</v>
      </c>
      <c r="C131" s="18" t="s">
        <v>218</v>
      </c>
      <c r="D131" s="24" t="n">
        <v>7</v>
      </c>
      <c r="E131" s="26" t="n">
        <f aca="false">SUMIF('Your Lines'!$B$6:$B$463,$B131,'Your Lines'!$E$6:$E$463)</f>
        <v>504</v>
      </c>
      <c r="F131" s="15" t="n">
        <f aca="false">ROUND(SUMIF('Your Lines'!$B$6:$B$463,$B131,'Your Lines'!$J$6:$J$463),2)</f>
        <v>56236</v>
      </c>
      <c r="G131" s="15" t="n">
        <f aca="false">ROUND(SUMIF('Your Lines'!$B$6:$B$463,$B131,'Your Lines'!$G$6:$G$463),2)</f>
        <v>51575.09</v>
      </c>
      <c r="H131" s="25" t="n">
        <f aca="false">$G131/$F131</f>
        <v>0.917118749555445</v>
      </c>
      <c r="I131" s="15" t="n">
        <f aca="false">ROUND(SUMIF('Your Lines'!$B$6:$B$463,$B131,'Your Lines'!$K$6:$K$463),2)</f>
        <v>32252</v>
      </c>
      <c r="J131" s="15" t="n">
        <f aca="false">ROUND(SUMIF('Your Lines'!$B$6:$B$463,$B131,'Your Lines'!$L$6:$L$463),2)</f>
        <v>1041.92</v>
      </c>
      <c r="K131" s="15" t="n">
        <f aca="false">ROUND($G131-$I131-$J131,2)</f>
        <v>18281.17</v>
      </c>
      <c r="L131" s="15" t="n">
        <f aca="false">ROUND($D131*'Your Inputs'!$C$40+'Your Inputs'!$C$41,2)</f>
        <v>7515</v>
      </c>
      <c r="M131" s="15" t="n">
        <f aca="false">ROUND($K131-$L131,2)</f>
        <v>10766.17</v>
      </c>
      <c r="N131" s="26" t="n">
        <f aca="false">RANK($M131,'Your Accounts'!$M$6:$M$185)</f>
        <v>152</v>
      </c>
      <c r="O131" s="15" t="n">
        <f aca="false">SUMIF('Your Accounts'!$N$6:$N$185,"&lt;="&amp;$N131,'Your Accounts'!$M$6:$M$185)</f>
        <v>13405134.15</v>
      </c>
      <c r="P131" s="15"/>
      <c r="Q131" s="26" t="n">
        <f aca="false">COUNTIFS('Your Lines'!$B$6:$B$463,$B131,'Your Lines'!$R$6:$R$463,"below the floor")</f>
        <v>2</v>
      </c>
      <c r="R131" s="15" t="n">
        <f aca="false">IF(Q131&gt;0,$K131,0)</f>
        <v>18281.17</v>
      </c>
      <c r="AN131" s="15" t="n">
        <f aca="false">IF(VLOOKUP($C131,'Your Floors'!$B$53:$F$56,5,FALSE())="yes",0,$R131)</f>
        <v>18281.17</v>
      </c>
      <c r="AP131" s="15" t="n">
        <f aca="false">ROUND($K131-$AS131,2)</f>
        <v>14523.67</v>
      </c>
      <c r="AQ131" s="26" t="n">
        <f aca="false">RANK($AP131,'Your Accounts'!$AP$6:$AP$185)</f>
        <v>153</v>
      </c>
      <c r="AR131" s="15" t="n">
        <f aca="false">SUMIF('Your Accounts'!$AQ$6:$AQ$185,"&lt;="&amp;$AQ131,'Your Accounts'!$AP$6:$AP$185)</f>
        <v>14138914.86</v>
      </c>
      <c r="AS131" s="15" t="n">
        <f aca="false">ROUND($D131*Sensitivity!$C$35+Sensitivity!$D$35,2)</f>
        <v>3757.5</v>
      </c>
      <c r="AT131" s="15" t="n">
        <f aca="false">ROUND($K131-$AW131,2)</f>
        <v>10766.17</v>
      </c>
      <c r="AU131" s="26" t="n">
        <f aca="false">RANK($AT131,'Your Accounts'!$AT$6:$AT$185)</f>
        <v>152</v>
      </c>
      <c r="AV131" s="15" t="n">
        <f aca="false">SUMIF('Your Accounts'!$AU$6:$AU$185,"&lt;="&amp;$AU131,'Your Accounts'!$AT$6:$AT$185)</f>
        <v>13405134.15</v>
      </c>
      <c r="AW131" s="15" t="n">
        <f aca="false">ROUND($D131*Sensitivity!$C$36+Sensitivity!$D$36,2)</f>
        <v>7515</v>
      </c>
      <c r="AX131" s="15" t="n">
        <f aca="false">ROUND($K131-$BA131,2)</f>
        <v>8887.42</v>
      </c>
      <c r="AY131" s="26" t="n">
        <f aca="false">RANK($AX131,'Your Accounts'!$AX$6:$AX$185)</f>
        <v>152</v>
      </c>
      <c r="AZ131" s="15" t="n">
        <f aca="false">SUMIF('Your Accounts'!$AY$6:$AY$185,"&lt;="&amp;$AY131,'Your Accounts'!$AX$6:$AX$185)</f>
        <v>13045650.4</v>
      </c>
      <c r="BA131" s="15" t="n">
        <f aca="false">ROUND($D131*Sensitivity!$C$37+Sensitivity!$D$37,2)</f>
        <v>9393.75</v>
      </c>
      <c r="BB131" s="15" t="n">
        <f aca="false">ROUND($K131-$BE131,2)</f>
        <v>7008.67</v>
      </c>
      <c r="BC131" s="26" t="n">
        <f aca="false">RANK($BB131,'Your Accounts'!$BB$6:$BB$185)</f>
        <v>151</v>
      </c>
      <c r="BD131" s="15" t="n">
        <f aca="false">SUMIF('Your Accounts'!$BC$6:$BC$185,"&lt;="&amp;$BC131,'Your Accounts'!$BB$6:$BB$185)</f>
        <v>12679509.35</v>
      </c>
      <c r="BE131" s="15" t="n">
        <f aca="false">ROUND($D131*Sensitivity!$C$38+Sensitivity!$D$38,2)</f>
        <v>11272.5</v>
      </c>
      <c r="BF131" s="15" t="n">
        <f aca="false">ROUND($K131-$BI131,2)</f>
        <v>3251.17</v>
      </c>
      <c r="BG131" s="26" t="n">
        <f aca="false">RANK($BF131,'Your Accounts'!$BF$6:$BF$185)</f>
        <v>150</v>
      </c>
      <c r="BH131" s="15" t="n">
        <f aca="false">SUMIF('Your Accounts'!$BG$6:$BG$185,"&lt;="&amp;$BG131,'Your Accounts'!$BF$6:$BF$185)</f>
        <v>11963039.62</v>
      </c>
      <c r="BI131" s="15" t="n">
        <f aca="false">ROUND($D131*Sensitivity!$C$39+Sensitivity!$D$39,2)</f>
        <v>15030</v>
      </c>
      <c r="BJ131" s="15" t="n">
        <f aca="false">ROUND($K131-$BM131,2)</f>
        <v>-506.33</v>
      </c>
      <c r="BK131" s="26" t="n">
        <f aca="false">RANK($BJ131,'Your Accounts'!$BJ$6:$BJ$185)</f>
        <v>150</v>
      </c>
      <c r="BL131" s="15" t="n">
        <f aca="false">SUMIF('Your Accounts'!$BK$6:$BK$185,"&lt;="&amp;$BK131,'Your Accounts'!$BJ$6:$BJ$185)</f>
        <v>11254414.62</v>
      </c>
      <c r="BM131" s="15" t="n">
        <f aca="false">ROUND($D131*Sensitivity!$C$40+Sensitivity!$D$40,2)</f>
        <v>18787.5</v>
      </c>
      <c r="BN131" s="15" t="n">
        <f aca="false">ROUND($K131-$BQ131,2)</f>
        <v>-4263.83</v>
      </c>
      <c r="BO131" s="26" t="n">
        <f aca="false">RANK($BN131,'Your Accounts'!$BN$6:$BN$185)</f>
        <v>147</v>
      </c>
      <c r="BP131" s="15" t="n">
        <f aca="false">SUMIF('Your Accounts'!$BO$6:$BO$185,"&lt;="&amp;$BO131,'Your Accounts'!$BN$6:$BN$185)</f>
        <v>10559558.83</v>
      </c>
      <c r="BQ131" s="15" t="n">
        <f aca="false">ROUND($D131*Sensitivity!$C$41+Sensitivity!$D$41,2)</f>
        <v>22545</v>
      </c>
    </row>
    <row r="132" customFormat="false" ht="15" hidden="false" customHeight="false" outlineLevel="0" collapsed="false">
      <c r="B132" s="18" t="s">
        <v>244</v>
      </c>
      <c r="C132" s="18" t="s">
        <v>218</v>
      </c>
      <c r="D132" s="24" t="n">
        <v>14</v>
      </c>
      <c r="E132" s="26" t="n">
        <f aca="false">SUMIF('Your Lines'!$B$6:$B$463,$B132,'Your Lines'!$E$6:$E$463)</f>
        <v>909</v>
      </c>
      <c r="F132" s="15" t="n">
        <f aca="false">ROUND(SUMIF('Your Lines'!$B$6:$B$463,$B132,'Your Lines'!$J$6:$J$463),2)</f>
        <v>65420</v>
      </c>
      <c r="G132" s="15" t="n">
        <f aca="false">ROUND(SUMIF('Your Lines'!$B$6:$B$463,$B132,'Your Lines'!$G$6:$G$463),2)</f>
        <v>61604.17</v>
      </c>
      <c r="H132" s="25" t="n">
        <f aca="false">$G132/$F132</f>
        <v>0.941671812901254</v>
      </c>
      <c r="I132" s="15" t="n">
        <f aca="false">ROUND(SUMIF('Your Lines'!$B$6:$B$463,$B132,'Your Lines'!$K$6:$K$463),2)</f>
        <v>37878</v>
      </c>
      <c r="J132" s="15" t="n">
        <f aca="false">ROUND(SUMIF('Your Lines'!$B$6:$B$463,$B132,'Your Lines'!$L$6:$L$463),2)</f>
        <v>1244.54</v>
      </c>
      <c r="K132" s="15" t="n">
        <f aca="false">ROUND($G132-$I132-$J132,2)</f>
        <v>22481.63</v>
      </c>
      <c r="L132" s="15" t="n">
        <f aca="false">ROUND($D132*'Your Inputs'!$C$40+'Your Inputs'!$C$41,2)</f>
        <v>8530</v>
      </c>
      <c r="M132" s="15" t="n">
        <f aca="false">ROUND($K132-$L132,2)</f>
        <v>13951.63</v>
      </c>
      <c r="N132" s="26" t="n">
        <f aca="false">RANK($M132,'Your Accounts'!$M$6:$M$185)</f>
        <v>140</v>
      </c>
      <c r="O132" s="15" t="n">
        <f aca="false">SUMIF('Your Accounts'!$N$6:$N$185,"&lt;="&amp;$N132,'Your Accounts'!$M$6:$M$185)</f>
        <v>13258482.02</v>
      </c>
      <c r="P132" s="15"/>
      <c r="Q132" s="26" t="n">
        <f aca="false">COUNTIFS('Your Lines'!$B$6:$B$463,$B132,'Your Lines'!$R$6:$R$463,"below the floor")</f>
        <v>0</v>
      </c>
      <c r="R132" s="15" t="n">
        <f aca="false">IF(Q132&gt;0,$K132,0)</f>
        <v>0</v>
      </c>
      <c r="AN132" s="15" t="n">
        <f aca="false">IF(VLOOKUP($C132,'Your Floors'!$B$53:$F$56,5,FALSE())="yes",0,$R132)</f>
        <v>0</v>
      </c>
      <c r="AP132" s="15" t="n">
        <f aca="false">ROUND($K132-$AS132,2)</f>
        <v>18216.63</v>
      </c>
      <c r="AQ132" s="26" t="n">
        <f aca="false">RANK($AP132,'Your Accounts'!$AP$6:$AP$185)</f>
        <v>139</v>
      </c>
      <c r="AR132" s="15" t="n">
        <f aca="false">SUMIF('Your Accounts'!$AQ$6:$AQ$185,"&lt;="&amp;$AQ132,'Your Accounts'!$AP$6:$AP$185)</f>
        <v>13909066.44</v>
      </c>
      <c r="AS132" s="15" t="n">
        <f aca="false">ROUND($D132*Sensitivity!$C$35+Sensitivity!$D$35,2)</f>
        <v>4265</v>
      </c>
      <c r="AT132" s="15" t="n">
        <f aca="false">ROUND($K132-$AW132,2)</f>
        <v>13951.63</v>
      </c>
      <c r="AU132" s="26" t="n">
        <f aca="false">RANK($AT132,'Your Accounts'!$AT$6:$AT$185)</f>
        <v>140</v>
      </c>
      <c r="AV132" s="15" t="n">
        <f aca="false">SUMIF('Your Accounts'!$AU$6:$AU$185,"&lt;="&amp;$AU132,'Your Accounts'!$AT$6:$AT$185)</f>
        <v>13258482.02</v>
      </c>
      <c r="AW132" s="15" t="n">
        <f aca="false">ROUND($D132*Sensitivity!$C$36+Sensitivity!$D$36,2)</f>
        <v>8530</v>
      </c>
      <c r="AX132" s="15" t="n">
        <f aca="false">ROUND($K132-$BA132,2)</f>
        <v>11819.13</v>
      </c>
      <c r="AY132" s="26" t="n">
        <f aca="false">RANK($AX132,'Your Accounts'!$AX$6:$AX$185)</f>
        <v>140</v>
      </c>
      <c r="AZ132" s="15" t="n">
        <f aca="false">SUMIF('Your Accounts'!$AY$6:$AY$185,"&lt;="&amp;$AY132,'Your Accounts'!$AX$6:$AX$185)</f>
        <v>12924117.02</v>
      </c>
      <c r="BA132" s="15" t="n">
        <f aca="false">ROUND($D132*Sensitivity!$C$37+Sensitivity!$D$37,2)</f>
        <v>10662.5</v>
      </c>
      <c r="BB132" s="15" t="n">
        <f aca="false">ROUND($K132-$BE132,2)</f>
        <v>9686.63</v>
      </c>
      <c r="BC132" s="26" t="n">
        <f aca="false">RANK($BB132,'Your Accounts'!$BB$6:$BB$185)</f>
        <v>139</v>
      </c>
      <c r="BD132" s="15" t="n">
        <f aca="false">SUMIF('Your Accounts'!$BC$6:$BC$185,"&lt;="&amp;$BC132,'Your Accounts'!$BB$6:$BB$185)</f>
        <v>12580222.1</v>
      </c>
      <c r="BE132" s="15" t="n">
        <f aca="false">ROUND($D132*Sensitivity!$C$38+Sensitivity!$D$38,2)</f>
        <v>12795</v>
      </c>
      <c r="BF132" s="15" t="n">
        <f aca="false">ROUND($K132-$BI132,2)</f>
        <v>5421.63</v>
      </c>
      <c r="BG132" s="26" t="n">
        <f aca="false">RANK($BF132,'Your Accounts'!$BF$6:$BF$185)</f>
        <v>139</v>
      </c>
      <c r="BH132" s="15" t="n">
        <f aca="false">SUMIF('Your Accounts'!$BG$6:$BG$185,"&lt;="&amp;$BG132,'Your Accounts'!$BF$6:$BF$185)</f>
        <v>11916409.6</v>
      </c>
      <c r="BI132" s="15" t="n">
        <f aca="false">ROUND($D132*Sensitivity!$C$39+Sensitivity!$D$39,2)</f>
        <v>17060</v>
      </c>
      <c r="BJ132" s="15" t="n">
        <f aca="false">ROUND($K132-$BM132,2)</f>
        <v>1156.63</v>
      </c>
      <c r="BK132" s="26" t="n">
        <f aca="false">RANK($BJ132,'Your Accounts'!$BJ$6:$BJ$185)</f>
        <v>139</v>
      </c>
      <c r="BL132" s="15" t="n">
        <f aca="false">SUMIF('Your Accounts'!$BK$6:$BK$185,"&lt;="&amp;$BK132,'Your Accounts'!$BJ$6:$BJ$185)</f>
        <v>11252597.1</v>
      </c>
      <c r="BM132" s="15" t="n">
        <f aca="false">ROUND($D132*Sensitivity!$C$40+Sensitivity!$D$40,2)</f>
        <v>21325</v>
      </c>
      <c r="BN132" s="15" t="n">
        <f aca="false">ROUND($K132-$BQ132,2)</f>
        <v>-3108.37</v>
      </c>
      <c r="BO132" s="26" t="n">
        <f aca="false">RANK($BN132,'Your Accounts'!$BN$6:$BN$185)</f>
        <v>136</v>
      </c>
      <c r="BP132" s="15" t="n">
        <f aca="false">SUMIF('Your Accounts'!$BO$6:$BO$185,"&lt;="&amp;$BO132,'Your Accounts'!$BN$6:$BN$185)</f>
        <v>10599248.43</v>
      </c>
      <c r="BQ132" s="15" t="n">
        <f aca="false">ROUND($D132*Sensitivity!$C$41+Sensitivity!$D$41,2)</f>
        <v>25590</v>
      </c>
    </row>
    <row r="133" customFormat="false" ht="15" hidden="false" customHeight="false" outlineLevel="0" collapsed="false">
      <c r="B133" s="18" t="s">
        <v>245</v>
      </c>
      <c r="C133" s="18" t="s">
        <v>218</v>
      </c>
      <c r="D133" s="24" t="n">
        <v>6</v>
      </c>
      <c r="E133" s="26" t="n">
        <f aca="false">SUMIF('Your Lines'!$B$6:$B$463,$B133,'Your Lines'!$E$6:$E$463)</f>
        <v>149</v>
      </c>
      <c r="F133" s="15" t="n">
        <f aca="false">ROUND(SUMIF('Your Lines'!$B$6:$B$463,$B133,'Your Lines'!$J$6:$J$463),2)</f>
        <v>10768</v>
      </c>
      <c r="G133" s="15" t="n">
        <f aca="false">ROUND(SUMIF('Your Lines'!$B$6:$B$463,$B133,'Your Lines'!$G$6:$G$463),2)</f>
        <v>10226.17</v>
      </c>
      <c r="H133" s="25" t="n">
        <f aca="false">$G133/$F133</f>
        <v>0.94968146359584</v>
      </c>
      <c r="I133" s="15" t="n">
        <f aca="false">ROUND(SUMIF('Your Lines'!$B$6:$B$463,$B133,'Your Lines'!$K$6:$K$463),2)</f>
        <v>6354</v>
      </c>
      <c r="J133" s="15" t="n">
        <f aca="false">ROUND(SUMIF('Your Lines'!$B$6:$B$463,$B133,'Your Lines'!$L$6:$L$463),2)</f>
        <v>206.59</v>
      </c>
      <c r="K133" s="15" t="n">
        <f aca="false">ROUND($G133-$I133-$J133,2)</f>
        <v>3665.58</v>
      </c>
      <c r="L133" s="15" t="n">
        <f aca="false">ROUND($D133*'Your Inputs'!$C$40+'Your Inputs'!$C$41,2)</f>
        <v>7370</v>
      </c>
      <c r="M133" s="15" t="n">
        <f aca="false">ROUND($K133-$L133,2)</f>
        <v>-3704.42</v>
      </c>
      <c r="N133" s="26" t="n">
        <f aca="false">RANK($M133,'Your Accounts'!$M$6:$M$185)</f>
        <v>177</v>
      </c>
      <c r="O133" s="15" t="n">
        <f aca="false">SUMIF('Your Accounts'!$N$6:$N$185,"&lt;="&amp;$N133,'Your Accounts'!$M$6:$M$185)</f>
        <v>13495975.43</v>
      </c>
      <c r="P133" s="15"/>
      <c r="Q133" s="26" t="n">
        <f aca="false">COUNTIFS('Your Lines'!$B$6:$B$463,$B133,'Your Lines'!$R$6:$R$463,"below the floor")</f>
        <v>0</v>
      </c>
      <c r="R133" s="15" t="n">
        <f aca="false">IF(Q133&gt;0,$K133,0)</f>
        <v>0</v>
      </c>
      <c r="AN133" s="15" t="n">
        <f aca="false">IF(VLOOKUP($C133,'Your Floors'!$B$53:$F$56,5,FALSE())="yes",0,$R133)</f>
        <v>0</v>
      </c>
      <c r="AP133" s="15" t="n">
        <f aca="false">ROUND($K133-$AS133,2)</f>
        <v>-19.42</v>
      </c>
      <c r="AQ133" s="26" t="n">
        <f aca="false">RANK($AP133,'Your Accounts'!$AP$6:$AP$185)</f>
        <v>177</v>
      </c>
      <c r="AR133" s="15" t="n">
        <f aca="false">SUMIF('Your Accounts'!$AQ$6:$AQ$185,"&lt;="&amp;$AQ133,'Your Accounts'!$AP$6:$AP$185)</f>
        <v>14313737.93</v>
      </c>
      <c r="AS133" s="15" t="n">
        <f aca="false">ROUND($D133*Sensitivity!$C$35+Sensitivity!$D$35,2)</f>
        <v>3685</v>
      </c>
      <c r="AT133" s="15" t="n">
        <f aca="false">ROUND($K133-$AW133,2)</f>
        <v>-3704.42</v>
      </c>
      <c r="AU133" s="26" t="n">
        <f aca="false">RANK($AT133,'Your Accounts'!$AT$6:$AT$185)</f>
        <v>177</v>
      </c>
      <c r="AV133" s="15" t="n">
        <f aca="false">SUMIF('Your Accounts'!$AU$6:$AU$185,"&lt;="&amp;$AU133,'Your Accounts'!$AT$6:$AT$185)</f>
        <v>13495975.43</v>
      </c>
      <c r="AW133" s="15" t="n">
        <f aca="false">ROUND($D133*Sensitivity!$C$36+Sensitivity!$D$36,2)</f>
        <v>7370</v>
      </c>
      <c r="AX133" s="15" t="n">
        <f aca="false">ROUND($K133-$BA133,2)</f>
        <v>-5546.92</v>
      </c>
      <c r="AY133" s="26" t="n">
        <f aca="false">RANK($AX133,'Your Accounts'!$AX$6:$AX$185)</f>
        <v>176</v>
      </c>
      <c r="AZ133" s="15" t="n">
        <f aca="false">SUMIF('Your Accounts'!$AY$6:$AY$185,"&lt;="&amp;$AY133,'Your Accounts'!$AX$6:$AX$185)</f>
        <v>13092998.67</v>
      </c>
      <c r="BA133" s="15" t="n">
        <f aca="false">ROUND($D133*Sensitivity!$C$37+Sensitivity!$D$37,2)</f>
        <v>9212.5</v>
      </c>
      <c r="BB133" s="15" t="n">
        <f aca="false">ROUND($K133-$BE133,2)</f>
        <v>-7389.42</v>
      </c>
      <c r="BC133" s="26" t="n">
        <f aca="false">RANK($BB133,'Your Accounts'!$BB$6:$BB$185)</f>
        <v>176</v>
      </c>
      <c r="BD133" s="15" t="n">
        <f aca="false">SUMIF('Your Accounts'!$BC$6:$BC$185,"&lt;="&amp;$BC133,'Your Accounts'!$BB$6:$BB$185)</f>
        <v>12686539.92</v>
      </c>
      <c r="BE133" s="15" t="n">
        <f aca="false">ROUND($D133*Sensitivity!$C$38+Sensitivity!$D$38,2)</f>
        <v>11055</v>
      </c>
      <c r="BF133" s="15" t="n">
        <f aca="false">ROUND($K133-$BI133,2)</f>
        <v>-11074.42</v>
      </c>
      <c r="BG133" s="26" t="n">
        <f aca="false">RANK($BF133,'Your Accounts'!$BF$6:$BF$185)</f>
        <v>177</v>
      </c>
      <c r="BH133" s="15" t="n">
        <f aca="false">SUMIF('Your Accounts'!$BG$6:$BG$185,"&lt;="&amp;$BG133,'Your Accounts'!$BF$6:$BF$185)</f>
        <v>11862673.26</v>
      </c>
      <c r="BI133" s="15" t="n">
        <f aca="false">ROUND($D133*Sensitivity!$C$39+Sensitivity!$D$39,2)</f>
        <v>14740</v>
      </c>
      <c r="BJ133" s="15" t="n">
        <f aca="false">ROUND($K133-$BM133,2)</f>
        <v>-14759.42</v>
      </c>
      <c r="BK133" s="26" t="n">
        <f aca="false">RANK($BJ133,'Your Accounts'!$BJ$6:$BJ$185)</f>
        <v>177</v>
      </c>
      <c r="BL133" s="15" t="n">
        <f aca="false">SUMIF('Your Accounts'!$BK$6:$BK$185,"&lt;="&amp;$BK133,'Your Accounts'!$BJ$6:$BJ$185)</f>
        <v>11046433.26</v>
      </c>
      <c r="BM133" s="15" t="n">
        <f aca="false">ROUND($D133*Sensitivity!$C$40+Sensitivity!$D$40,2)</f>
        <v>18425</v>
      </c>
      <c r="BN133" s="15" t="n">
        <f aca="false">ROUND($K133-$BQ133,2)</f>
        <v>-18444.42</v>
      </c>
      <c r="BO133" s="26" t="n">
        <f aca="false">RANK($BN133,'Your Accounts'!$BN$6:$BN$185)</f>
        <v>178</v>
      </c>
      <c r="BP133" s="15" t="n">
        <f aca="false">SUMIF('Your Accounts'!$BO$6:$BO$185,"&lt;="&amp;$BO133,'Your Accounts'!$BN$6:$BN$185)</f>
        <v>10211895.34</v>
      </c>
      <c r="BQ133" s="15" t="n">
        <f aca="false">ROUND($D133*Sensitivity!$C$41+Sensitivity!$D$41,2)</f>
        <v>22110</v>
      </c>
    </row>
    <row r="134" customFormat="false" ht="15" hidden="false" customHeight="false" outlineLevel="0" collapsed="false">
      <c r="B134" s="18" t="s">
        <v>246</v>
      </c>
      <c r="C134" s="18" t="s">
        <v>218</v>
      </c>
      <c r="D134" s="24" t="n">
        <v>6</v>
      </c>
      <c r="E134" s="26" t="n">
        <f aca="false">SUMIF('Your Lines'!$B$6:$B$463,$B134,'Your Lines'!$E$6:$E$463)</f>
        <v>91</v>
      </c>
      <c r="F134" s="15" t="n">
        <f aca="false">ROUND(SUMIF('Your Lines'!$B$6:$B$463,$B134,'Your Lines'!$J$6:$J$463),2)</f>
        <v>13468</v>
      </c>
      <c r="G134" s="15" t="n">
        <f aca="false">ROUND(SUMIF('Your Lines'!$B$6:$B$463,$B134,'Your Lines'!$G$6:$G$463),2)</f>
        <v>12919.99</v>
      </c>
      <c r="H134" s="25" t="n">
        <f aca="false">$G134/$F134</f>
        <v>0.959310216810217</v>
      </c>
      <c r="I134" s="15" t="n">
        <f aca="false">ROUND(SUMIF('Your Lines'!$B$6:$B$463,$B134,'Your Lines'!$K$6:$K$463),2)</f>
        <v>7098</v>
      </c>
      <c r="J134" s="15" t="n">
        <f aca="false">ROUND(SUMIF('Your Lines'!$B$6:$B$463,$B134,'Your Lines'!$L$6:$L$463),2)</f>
        <v>261.01</v>
      </c>
      <c r="K134" s="15" t="n">
        <f aca="false">ROUND($G134-$I134-$J134,2)</f>
        <v>5560.98</v>
      </c>
      <c r="L134" s="15" t="n">
        <f aca="false">ROUND($D134*'Your Inputs'!$C$40+'Your Inputs'!$C$41,2)</f>
        <v>7370</v>
      </c>
      <c r="M134" s="15" t="n">
        <f aca="false">ROUND($K134-$L134,2)</f>
        <v>-1809.02</v>
      </c>
      <c r="N134" s="26" t="n">
        <f aca="false">RANK($M134,'Your Accounts'!$M$6:$M$185)</f>
        <v>175</v>
      </c>
      <c r="O134" s="15" t="n">
        <f aca="false">SUMIF('Your Accounts'!$N$6:$N$185,"&lt;="&amp;$N134,'Your Accounts'!$M$6:$M$185)</f>
        <v>13503161.84</v>
      </c>
      <c r="P134" s="15"/>
      <c r="Q134" s="26" t="n">
        <f aca="false">COUNTIFS('Your Lines'!$B$6:$B$463,$B134,'Your Lines'!$R$6:$R$463,"below the floor")</f>
        <v>0</v>
      </c>
      <c r="R134" s="15" t="n">
        <f aca="false">IF(Q134&gt;0,$K134,0)</f>
        <v>0</v>
      </c>
      <c r="AN134" s="15" t="n">
        <f aca="false">IF(VLOOKUP($C134,'Your Floors'!$B$53:$F$56,5,FALSE())="yes",0,$R134)</f>
        <v>0</v>
      </c>
      <c r="AP134" s="15" t="n">
        <f aca="false">ROUND($K134-$AS134,2)</f>
        <v>1875.98</v>
      </c>
      <c r="AQ134" s="26" t="n">
        <f aca="false">RANK($AP134,'Your Accounts'!$AP$6:$AP$185)</f>
        <v>175</v>
      </c>
      <c r="AR134" s="15" t="n">
        <f aca="false">SUMIF('Your Accounts'!$AQ$6:$AQ$185,"&lt;="&amp;$AQ134,'Your Accounts'!$AP$6:$AP$185)</f>
        <v>14312394.34</v>
      </c>
      <c r="AS134" s="15" t="n">
        <f aca="false">ROUND($D134*Sensitivity!$C$35+Sensitivity!$D$35,2)</f>
        <v>3685</v>
      </c>
      <c r="AT134" s="15" t="n">
        <f aca="false">ROUND($K134-$AW134,2)</f>
        <v>-1809.02</v>
      </c>
      <c r="AU134" s="26" t="n">
        <f aca="false">RANK($AT134,'Your Accounts'!$AT$6:$AT$185)</f>
        <v>175</v>
      </c>
      <c r="AV134" s="15" t="n">
        <f aca="false">SUMIF('Your Accounts'!$AU$6:$AU$185,"&lt;="&amp;$AU134,'Your Accounts'!$AT$6:$AT$185)</f>
        <v>13503161.84</v>
      </c>
      <c r="AW134" s="15" t="n">
        <f aca="false">ROUND($D134*Sensitivity!$C$36+Sensitivity!$D$36,2)</f>
        <v>7370</v>
      </c>
      <c r="AX134" s="15" t="n">
        <f aca="false">ROUND($K134-$BA134,2)</f>
        <v>-3651.52</v>
      </c>
      <c r="AY134" s="26" t="n">
        <f aca="false">RANK($AX134,'Your Accounts'!$AX$6:$AX$185)</f>
        <v>175</v>
      </c>
      <c r="AZ134" s="15" t="n">
        <f aca="false">SUMIF('Your Accounts'!$AY$6:$AY$185,"&lt;="&amp;$AY134,'Your Accounts'!$AX$6:$AX$185)</f>
        <v>13098545.59</v>
      </c>
      <c r="BA134" s="15" t="n">
        <f aca="false">ROUND($D134*Sensitivity!$C$37+Sensitivity!$D$37,2)</f>
        <v>9212.5</v>
      </c>
      <c r="BB134" s="15" t="n">
        <f aca="false">ROUND($K134-$BE134,2)</f>
        <v>-5494.02</v>
      </c>
      <c r="BC134" s="26" t="n">
        <f aca="false">RANK($BB134,'Your Accounts'!$BB$6:$BB$185)</f>
        <v>175</v>
      </c>
      <c r="BD134" s="15" t="n">
        <f aca="false">SUMIF('Your Accounts'!$BC$6:$BC$185,"&lt;="&amp;$BC134,'Your Accounts'!$BB$6:$BB$185)</f>
        <v>12693929.34</v>
      </c>
      <c r="BE134" s="15" t="n">
        <f aca="false">ROUND($D134*Sensitivity!$C$38+Sensitivity!$D$38,2)</f>
        <v>11055</v>
      </c>
      <c r="BF134" s="15" t="n">
        <f aca="false">ROUND($K134-$BI134,2)</f>
        <v>-9179.02</v>
      </c>
      <c r="BG134" s="26" t="n">
        <f aca="false">RANK($BF134,'Your Accounts'!$BF$6:$BF$185)</f>
        <v>175</v>
      </c>
      <c r="BH134" s="15" t="n">
        <f aca="false">SUMIF('Your Accounts'!$BG$6:$BG$185,"&lt;="&amp;$BG134,'Your Accounts'!$BF$6:$BF$185)</f>
        <v>11884696.84</v>
      </c>
      <c r="BI134" s="15" t="n">
        <f aca="false">ROUND($D134*Sensitivity!$C$39+Sensitivity!$D$39,2)</f>
        <v>14740</v>
      </c>
      <c r="BJ134" s="15" t="n">
        <f aca="false">ROUND($K134-$BM134,2)</f>
        <v>-12864.02</v>
      </c>
      <c r="BK134" s="26" t="n">
        <f aca="false">RANK($BJ134,'Your Accounts'!$BJ$6:$BJ$185)</f>
        <v>175</v>
      </c>
      <c r="BL134" s="15" t="n">
        <f aca="false">SUMIF('Your Accounts'!$BK$6:$BK$185,"&lt;="&amp;$BK134,'Your Accounts'!$BJ$6:$BJ$185)</f>
        <v>11075464.34</v>
      </c>
      <c r="BM134" s="15" t="n">
        <f aca="false">ROUND($D134*Sensitivity!$C$40+Sensitivity!$D$40,2)</f>
        <v>18425</v>
      </c>
      <c r="BN134" s="15" t="n">
        <f aca="false">ROUND($K134-$BQ134,2)</f>
        <v>-16549.02</v>
      </c>
      <c r="BO134" s="26" t="n">
        <f aca="false">RANK($BN134,'Your Accounts'!$BN$6:$BN$185)</f>
        <v>175</v>
      </c>
      <c r="BP134" s="15" t="n">
        <f aca="false">SUMIF('Your Accounts'!$BO$6:$BO$185,"&lt;="&amp;$BO134,'Your Accounts'!$BN$6:$BN$185)</f>
        <v>10266231.84</v>
      </c>
      <c r="BQ134" s="15" t="n">
        <f aca="false">ROUND($D134*Sensitivity!$C$41+Sensitivity!$D$41,2)</f>
        <v>22110</v>
      </c>
    </row>
    <row r="135" customFormat="false" ht="15" hidden="false" customHeight="false" outlineLevel="0" collapsed="false">
      <c r="B135" s="18" t="s">
        <v>247</v>
      </c>
      <c r="C135" s="18" t="s">
        <v>218</v>
      </c>
      <c r="D135" s="24" t="n">
        <v>13</v>
      </c>
      <c r="E135" s="26" t="n">
        <f aca="false">SUMIF('Your Lines'!$B$6:$B$463,$B135,'Your Lines'!$E$6:$E$463)</f>
        <v>512</v>
      </c>
      <c r="F135" s="15" t="n">
        <f aca="false">ROUND(SUMIF('Your Lines'!$B$6:$B$463,$B135,'Your Lines'!$J$6:$J$463),2)</f>
        <v>66208</v>
      </c>
      <c r="G135" s="15" t="n">
        <f aca="false">ROUND(SUMIF('Your Lines'!$B$6:$B$463,$B135,'Your Lines'!$G$6:$G$463),2)</f>
        <v>65545.92</v>
      </c>
      <c r="H135" s="25" t="n">
        <f aca="false">$G135/$F135</f>
        <v>0.99</v>
      </c>
      <c r="I135" s="15" t="n">
        <f aca="false">ROUND(SUMIF('Your Lines'!$B$6:$B$463,$B135,'Your Lines'!$K$6:$K$463),2)</f>
        <v>36256</v>
      </c>
      <c r="J135" s="15" t="n">
        <f aca="false">ROUND(SUMIF('Your Lines'!$B$6:$B$463,$B135,'Your Lines'!$L$6:$L$463),2)</f>
        <v>1324.16</v>
      </c>
      <c r="K135" s="15" t="n">
        <f aca="false">ROUND($G135-$I135-$J135,2)</f>
        <v>27965.76</v>
      </c>
      <c r="L135" s="15" t="n">
        <f aca="false">ROUND($D135*'Your Inputs'!$C$40+'Your Inputs'!$C$41,2)</f>
        <v>8385</v>
      </c>
      <c r="M135" s="15" t="n">
        <f aca="false">ROUND($K135-$L135,2)</f>
        <v>19580.76</v>
      </c>
      <c r="N135" s="26" t="n">
        <f aca="false">RANK($M135,'Your Accounts'!$M$6:$M$185)</f>
        <v>127</v>
      </c>
      <c r="O135" s="15" t="n">
        <f aca="false">SUMIF('Your Accounts'!$N$6:$N$185,"&lt;="&amp;$N135,'Your Accounts'!$M$6:$M$185)</f>
        <v>13050356.49</v>
      </c>
      <c r="P135" s="15"/>
      <c r="Q135" s="26" t="n">
        <f aca="false">COUNTIFS('Your Lines'!$B$6:$B$463,$B135,'Your Lines'!$R$6:$R$463,"below the floor")</f>
        <v>0</v>
      </c>
      <c r="R135" s="15" t="n">
        <f aca="false">IF(Q135&gt;0,$K135,0)</f>
        <v>0</v>
      </c>
      <c r="AN135" s="15" t="n">
        <f aca="false">IF(VLOOKUP($C135,'Your Floors'!$B$53:$F$56,5,FALSE())="yes",0,$R135)</f>
        <v>0</v>
      </c>
      <c r="AP135" s="15" t="n">
        <f aca="false">ROUND($K135-$AS135,2)</f>
        <v>23773.26</v>
      </c>
      <c r="AQ135" s="26" t="n">
        <f aca="false">RANK($AP135,'Your Accounts'!$AP$6:$AP$185)</f>
        <v>127</v>
      </c>
      <c r="AR135" s="15" t="n">
        <f aca="false">SUMIF('Your Accounts'!$AQ$6:$AQ$185,"&lt;="&amp;$AQ135,'Your Accounts'!$AP$6:$AP$185)</f>
        <v>13663133.99</v>
      </c>
      <c r="AS135" s="15" t="n">
        <f aca="false">ROUND($D135*Sensitivity!$C$35+Sensitivity!$D$35,2)</f>
        <v>4192.5</v>
      </c>
      <c r="AT135" s="15" t="n">
        <f aca="false">ROUND($K135-$AW135,2)</f>
        <v>19580.76</v>
      </c>
      <c r="AU135" s="26" t="n">
        <f aca="false">RANK($AT135,'Your Accounts'!$AT$6:$AT$185)</f>
        <v>127</v>
      </c>
      <c r="AV135" s="15" t="n">
        <f aca="false">SUMIF('Your Accounts'!$AU$6:$AU$185,"&lt;="&amp;$AU135,'Your Accounts'!$AT$6:$AT$185)</f>
        <v>13050356.49</v>
      </c>
      <c r="AW135" s="15" t="n">
        <f aca="false">ROUND($D135*Sensitivity!$C$36+Sensitivity!$D$36,2)</f>
        <v>8385</v>
      </c>
      <c r="AX135" s="15" t="n">
        <f aca="false">ROUND($K135-$BA135,2)</f>
        <v>17484.51</v>
      </c>
      <c r="AY135" s="26" t="n">
        <f aca="false">RANK($AX135,'Your Accounts'!$AX$6:$AX$185)</f>
        <v>126</v>
      </c>
      <c r="AZ135" s="15" t="n">
        <f aca="false">SUMIF('Your Accounts'!$AY$6:$AY$185,"&lt;="&amp;$AY135,'Your Accounts'!$AX$6:$AX$185)</f>
        <v>12726726.1</v>
      </c>
      <c r="BA135" s="15" t="n">
        <f aca="false">ROUND($D135*Sensitivity!$C$37+Sensitivity!$D$37,2)</f>
        <v>10481.25</v>
      </c>
      <c r="BB135" s="15" t="n">
        <f aca="false">ROUND($K135-$BE135,2)</f>
        <v>15388.26</v>
      </c>
      <c r="BC135" s="26" t="n">
        <f aca="false">RANK($BB135,'Your Accounts'!$BB$6:$BB$185)</f>
        <v>126</v>
      </c>
      <c r="BD135" s="15" t="n">
        <f aca="false">SUMIF('Your Accounts'!$BC$6:$BC$185,"&lt;="&amp;$BC135,'Your Accounts'!$BB$6:$BB$185)</f>
        <v>12422759.85</v>
      </c>
      <c r="BE135" s="15" t="n">
        <f aca="false">ROUND($D135*Sensitivity!$C$38+Sensitivity!$D$38,2)</f>
        <v>12577.5</v>
      </c>
      <c r="BF135" s="15" t="n">
        <f aca="false">ROUND($K135-$BI135,2)</f>
        <v>11195.76</v>
      </c>
      <c r="BG135" s="26" t="n">
        <f aca="false">RANK($BF135,'Your Accounts'!$BF$6:$BF$185)</f>
        <v>126</v>
      </c>
      <c r="BH135" s="15" t="n">
        <f aca="false">SUMIF('Your Accounts'!$BG$6:$BG$185,"&lt;="&amp;$BG135,'Your Accounts'!$BF$6:$BF$185)</f>
        <v>11814827.35</v>
      </c>
      <c r="BI135" s="15" t="n">
        <f aca="false">ROUND($D135*Sensitivity!$C$39+Sensitivity!$D$39,2)</f>
        <v>16770</v>
      </c>
      <c r="BJ135" s="15" t="n">
        <f aca="false">ROUND($K135-$BM135,2)</f>
        <v>7003.26</v>
      </c>
      <c r="BK135" s="26" t="n">
        <f aca="false">RANK($BJ135,'Your Accounts'!$BJ$6:$BJ$185)</f>
        <v>125</v>
      </c>
      <c r="BL135" s="15" t="n">
        <f aca="false">SUMIF('Your Accounts'!$BK$6:$BK$185,"&lt;="&amp;$BK135,'Your Accounts'!$BJ$6:$BJ$185)</f>
        <v>11200065.86</v>
      </c>
      <c r="BM135" s="15" t="n">
        <f aca="false">ROUND($D135*Sensitivity!$C$40+Sensitivity!$D$40,2)</f>
        <v>20962.5</v>
      </c>
      <c r="BN135" s="15" t="n">
        <f aca="false">ROUND($K135-$BQ135,2)</f>
        <v>2810.76</v>
      </c>
      <c r="BO135" s="26" t="n">
        <f aca="false">RANK($BN135,'Your Accounts'!$BN$6:$BN$185)</f>
        <v>124</v>
      </c>
      <c r="BP135" s="15" t="n">
        <f aca="false">SUMIF('Your Accounts'!$BO$6:$BO$185,"&lt;="&amp;$BO135,'Your Accounts'!$BN$6:$BN$185)</f>
        <v>10595464.42</v>
      </c>
      <c r="BQ135" s="15" t="n">
        <f aca="false">ROUND($D135*Sensitivity!$C$41+Sensitivity!$D$41,2)</f>
        <v>25155</v>
      </c>
    </row>
    <row r="136" customFormat="false" ht="15" hidden="false" customHeight="false" outlineLevel="0" collapsed="false">
      <c r="B136" s="18" t="s">
        <v>248</v>
      </c>
      <c r="C136" s="18" t="s">
        <v>218</v>
      </c>
      <c r="D136" s="24" t="n">
        <v>8</v>
      </c>
      <c r="E136" s="26" t="n">
        <f aca="false">SUMIF('Your Lines'!$B$6:$B$463,$B136,'Your Lines'!$E$6:$E$463)</f>
        <v>390</v>
      </c>
      <c r="F136" s="15" t="n">
        <f aca="false">ROUND(SUMIF('Your Lines'!$B$6:$B$463,$B136,'Your Lines'!$J$6:$J$463),2)</f>
        <v>32732</v>
      </c>
      <c r="G136" s="15" t="n">
        <f aca="false">ROUND(SUMIF('Your Lines'!$B$6:$B$463,$B136,'Your Lines'!$G$6:$G$463),2)</f>
        <v>32404.68</v>
      </c>
      <c r="H136" s="25" t="n">
        <f aca="false">$G136/$F136</f>
        <v>0.99</v>
      </c>
      <c r="I136" s="15" t="n">
        <f aca="false">ROUND(SUMIF('Your Lines'!$B$6:$B$463,$B136,'Your Lines'!$K$6:$K$463),2)</f>
        <v>18632</v>
      </c>
      <c r="J136" s="15" t="n">
        <f aca="false">ROUND(SUMIF('Your Lines'!$B$6:$B$463,$B136,'Your Lines'!$L$6:$L$463),2)</f>
        <v>654.64</v>
      </c>
      <c r="K136" s="15" t="n">
        <f aca="false">ROUND($G136-$I136-$J136,2)</f>
        <v>13118.04</v>
      </c>
      <c r="L136" s="15" t="n">
        <f aca="false">ROUND($D136*'Your Inputs'!$C$40+'Your Inputs'!$C$41,2)</f>
        <v>7660</v>
      </c>
      <c r="M136" s="15" t="n">
        <f aca="false">ROUND($K136-$L136,2)</f>
        <v>5458.04</v>
      </c>
      <c r="N136" s="26" t="n">
        <f aca="false">RANK($M136,'Your Accounts'!$M$6:$M$185)</f>
        <v>162</v>
      </c>
      <c r="O136" s="15" t="n">
        <f aca="false">SUMIF('Your Accounts'!$N$6:$N$185,"&lt;="&amp;$N136,'Your Accounts'!$M$6:$M$185)</f>
        <v>13488648.92</v>
      </c>
      <c r="P136" s="15"/>
      <c r="Q136" s="26" t="n">
        <f aca="false">COUNTIFS('Your Lines'!$B$6:$B$463,$B136,'Your Lines'!$R$6:$R$463,"below the floor")</f>
        <v>0</v>
      </c>
      <c r="R136" s="15" t="n">
        <f aca="false">IF(Q136&gt;0,$K136,0)</f>
        <v>0</v>
      </c>
      <c r="AN136" s="15" t="n">
        <f aca="false">IF(VLOOKUP($C136,'Your Floors'!$B$53:$F$56,5,FALSE())="yes",0,$R136)</f>
        <v>0</v>
      </c>
      <c r="AP136" s="15" t="n">
        <f aca="false">ROUND($K136-$AS136,2)</f>
        <v>9288.04</v>
      </c>
      <c r="AQ136" s="26" t="n">
        <f aca="false">RANK($AP136,'Your Accounts'!$AP$6:$AP$185)</f>
        <v>163</v>
      </c>
      <c r="AR136" s="15" t="n">
        <f aca="false">SUMIF('Your Accounts'!$AQ$6:$AQ$185,"&lt;="&amp;$AQ136,'Your Accounts'!$AP$6:$AP$185)</f>
        <v>14258856.26</v>
      </c>
      <c r="AS136" s="15" t="n">
        <f aca="false">ROUND($D136*Sensitivity!$C$35+Sensitivity!$D$35,2)</f>
        <v>3830</v>
      </c>
      <c r="AT136" s="15" t="n">
        <f aca="false">ROUND($K136-$AW136,2)</f>
        <v>5458.04</v>
      </c>
      <c r="AU136" s="26" t="n">
        <f aca="false">RANK($AT136,'Your Accounts'!$AT$6:$AT$185)</f>
        <v>162</v>
      </c>
      <c r="AV136" s="15" t="n">
        <f aca="false">SUMIF('Your Accounts'!$AU$6:$AU$185,"&lt;="&amp;$AU136,'Your Accounts'!$AT$6:$AT$185)</f>
        <v>13488648.92</v>
      </c>
      <c r="AW136" s="15" t="n">
        <f aca="false">ROUND($D136*Sensitivity!$C$36+Sensitivity!$D$36,2)</f>
        <v>7660</v>
      </c>
      <c r="AX136" s="15" t="n">
        <f aca="false">ROUND($K136-$BA136,2)</f>
        <v>3543.04</v>
      </c>
      <c r="AY136" s="26" t="n">
        <f aca="false">RANK($AX136,'Your Accounts'!$AX$6:$AX$185)</f>
        <v>162</v>
      </c>
      <c r="AZ136" s="15" t="n">
        <f aca="false">SUMIF('Your Accounts'!$AY$6:$AY$185,"&lt;="&amp;$AY136,'Your Accounts'!$AX$6:$AX$185)</f>
        <v>13108347.67</v>
      </c>
      <c r="BA136" s="15" t="n">
        <f aca="false">ROUND($D136*Sensitivity!$C$37+Sensitivity!$D$37,2)</f>
        <v>9575</v>
      </c>
      <c r="BB136" s="15" t="n">
        <f aca="false">ROUND($K136-$BE136,2)</f>
        <v>1628.04</v>
      </c>
      <c r="BC136" s="26" t="n">
        <f aca="false">RANK($BB136,'Your Accounts'!$BB$6:$BB$185)</f>
        <v>162</v>
      </c>
      <c r="BD136" s="15" t="n">
        <f aca="false">SUMIF('Your Accounts'!$BC$6:$BC$185,"&lt;="&amp;$BC136,'Your Accounts'!$BB$6:$BB$185)</f>
        <v>12728046.42</v>
      </c>
      <c r="BE136" s="15" t="n">
        <f aca="false">ROUND($D136*Sensitivity!$C$38+Sensitivity!$D$38,2)</f>
        <v>11490</v>
      </c>
      <c r="BF136" s="15" t="n">
        <f aca="false">ROUND($K136-$BI136,2)</f>
        <v>-2201.96</v>
      </c>
      <c r="BG136" s="26" t="n">
        <f aca="false">RANK($BF136,'Your Accounts'!$BF$6:$BF$185)</f>
        <v>162</v>
      </c>
      <c r="BH136" s="15" t="n">
        <f aca="false">SUMIF('Your Accounts'!$BG$6:$BG$185,"&lt;="&amp;$BG136,'Your Accounts'!$BF$6:$BF$185)</f>
        <v>11967443.92</v>
      </c>
      <c r="BI136" s="15" t="n">
        <f aca="false">ROUND($D136*Sensitivity!$C$39+Sensitivity!$D$39,2)</f>
        <v>15320</v>
      </c>
      <c r="BJ136" s="15" t="n">
        <f aca="false">ROUND($K136-$BM136,2)</f>
        <v>-6031.96</v>
      </c>
      <c r="BK136" s="26" t="n">
        <f aca="false">RANK($BJ136,'Your Accounts'!$BJ$6:$BJ$185)</f>
        <v>162</v>
      </c>
      <c r="BL136" s="15" t="n">
        <f aca="false">SUMIF('Your Accounts'!$BK$6:$BK$185,"&lt;="&amp;$BK136,'Your Accounts'!$BJ$6:$BJ$185)</f>
        <v>11206841.42</v>
      </c>
      <c r="BM136" s="15" t="n">
        <f aca="false">ROUND($D136*Sensitivity!$C$40+Sensitivity!$D$40,2)</f>
        <v>19150</v>
      </c>
      <c r="BN136" s="15" t="n">
        <f aca="false">ROUND($K136-$BQ136,2)</f>
        <v>-9861.96</v>
      </c>
      <c r="BO136" s="26" t="n">
        <f aca="false">RANK($BN136,'Your Accounts'!$BN$6:$BN$185)</f>
        <v>159</v>
      </c>
      <c r="BP136" s="15" t="n">
        <f aca="false">SUMIF('Your Accounts'!$BO$6:$BO$185,"&lt;="&amp;$BO136,'Your Accounts'!$BN$6:$BN$185)</f>
        <v>10476738.02</v>
      </c>
      <c r="BQ136" s="15" t="n">
        <f aca="false">ROUND($D136*Sensitivity!$C$41+Sensitivity!$D$41,2)</f>
        <v>22980</v>
      </c>
    </row>
    <row r="137" customFormat="false" ht="15" hidden="false" customHeight="false" outlineLevel="0" collapsed="false">
      <c r="B137" s="18" t="s">
        <v>249</v>
      </c>
      <c r="C137" s="18" t="s">
        <v>218</v>
      </c>
      <c r="D137" s="24" t="n">
        <v>41</v>
      </c>
      <c r="E137" s="26" t="n">
        <f aca="false">SUMIF('Your Lines'!$B$6:$B$463,$B137,'Your Lines'!$E$6:$E$463)</f>
        <v>2276</v>
      </c>
      <c r="F137" s="15" t="n">
        <f aca="false">ROUND(SUMIF('Your Lines'!$B$6:$B$463,$B137,'Your Lines'!$J$6:$J$463),2)</f>
        <v>165966</v>
      </c>
      <c r="G137" s="15" t="n">
        <f aca="false">ROUND(SUMIF('Your Lines'!$B$6:$B$463,$B137,'Your Lines'!$G$6:$G$463),2)</f>
        <v>152471.25</v>
      </c>
      <c r="H137" s="25" t="n">
        <f aca="false">$G137/$F137</f>
        <v>0.918689671378475</v>
      </c>
      <c r="I137" s="15" t="n">
        <f aca="false">ROUND(SUMIF('Your Lines'!$B$6:$B$463,$B137,'Your Lines'!$K$6:$K$463),2)</f>
        <v>98018</v>
      </c>
      <c r="J137" s="15" t="n">
        <f aca="false">ROUND(SUMIF('Your Lines'!$B$6:$B$463,$B137,'Your Lines'!$L$6:$L$463),2)</f>
        <v>3080.23</v>
      </c>
      <c r="K137" s="15" t="n">
        <f aca="false">ROUND($G137-$I137-$J137,2)</f>
        <v>51373.02</v>
      </c>
      <c r="L137" s="15" t="n">
        <f aca="false">ROUND($D137*'Your Inputs'!$C$40+'Your Inputs'!$C$41,2)</f>
        <v>12445</v>
      </c>
      <c r="M137" s="15" t="n">
        <f aca="false">ROUND($K137-$L137,2)</f>
        <v>38928.02</v>
      </c>
      <c r="N137" s="26" t="n">
        <f aca="false">RANK($M137,'Your Accounts'!$M$6:$M$185)</f>
        <v>87</v>
      </c>
      <c r="O137" s="15" t="n">
        <f aca="false">SUMIF('Your Accounts'!$N$6:$N$185,"&lt;="&amp;$N137,'Your Accounts'!$M$6:$M$185)</f>
        <v>11912243.51</v>
      </c>
      <c r="P137" s="15"/>
      <c r="Q137" s="26" t="n">
        <f aca="false">COUNTIFS('Your Lines'!$B$6:$B$463,$B137,'Your Lines'!$R$6:$R$463,"below the floor")</f>
        <v>0</v>
      </c>
      <c r="R137" s="15" t="n">
        <f aca="false">IF(Q137&gt;0,$K137,0)</f>
        <v>0</v>
      </c>
      <c r="AN137" s="15" t="n">
        <f aca="false">IF(VLOOKUP($C137,'Your Floors'!$B$53:$F$56,5,FALSE())="yes",0,$R137)</f>
        <v>0</v>
      </c>
      <c r="AP137" s="15" t="n">
        <f aca="false">ROUND($K137-$AS137,2)</f>
        <v>45150.52</v>
      </c>
      <c r="AQ137" s="26" t="n">
        <f aca="false">RANK($AP137,'Your Accounts'!$AP$6:$AP$185)</f>
        <v>85</v>
      </c>
      <c r="AR137" s="15" t="n">
        <f aca="false">SUMIF('Your Accounts'!$AQ$6:$AQ$185,"&lt;="&amp;$AQ137,'Your Accounts'!$AP$6:$AP$185)</f>
        <v>12256148.75</v>
      </c>
      <c r="AS137" s="15" t="n">
        <f aca="false">ROUND($D137*Sensitivity!$C$35+Sensitivity!$D$35,2)</f>
        <v>6222.5</v>
      </c>
      <c r="AT137" s="15" t="n">
        <f aca="false">ROUND($K137-$AW137,2)</f>
        <v>38928.02</v>
      </c>
      <c r="AU137" s="26" t="n">
        <f aca="false">RANK($AT137,'Your Accounts'!$AT$6:$AT$185)</f>
        <v>87</v>
      </c>
      <c r="AV137" s="15" t="n">
        <f aca="false">SUMIF('Your Accounts'!$AU$6:$AU$185,"&lt;="&amp;$AU137,'Your Accounts'!$AT$6:$AT$185)</f>
        <v>11912243.51</v>
      </c>
      <c r="AW137" s="15" t="n">
        <f aca="false">ROUND($D137*Sensitivity!$C$36+Sensitivity!$D$36,2)</f>
        <v>12445</v>
      </c>
      <c r="AX137" s="15" t="n">
        <f aca="false">ROUND($K137-$BA137,2)</f>
        <v>35816.77</v>
      </c>
      <c r="AY137" s="26" t="n">
        <f aca="false">RANK($AX137,'Your Accounts'!$AX$6:$AX$185)</f>
        <v>88</v>
      </c>
      <c r="AZ137" s="15" t="n">
        <f aca="false">SUMIF('Your Accounts'!$AY$6:$AY$185,"&lt;="&amp;$AY137,'Your Accounts'!$AX$6:$AX$185)</f>
        <v>11732599.93</v>
      </c>
      <c r="BA137" s="15" t="n">
        <f aca="false">ROUND($D137*Sensitivity!$C$37+Sensitivity!$D$37,2)</f>
        <v>15556.25</v>
      </c>
      <c r="BB137" s="15" t="n">
        <f aca="false">ROUND($K137-$BE137,2)</f>
        <v>32705.52</v>
      </c>
      <c r="BC137" s="26" t="n">
        <f aca="false">RANK($BB137,'Your Accounts'!$BB$6:$BB$185)</f>
        <v>90</v>
      </c>
      <c r="BD137" s="15" t="n">
        <f aca="false">SUMIF('Your Accounts'!$BC$6:$BC$185,"&lt;="&amp;$BC137,'Your Accounts'!$BB$6:$BB$185)</f>
        <v>11580995.54</v>
      </c>
      <c r="BE137" s="15" t="n">
        <f aca="false">ROUND($D137*Sensitivity!$C$38+Sensitivity!$D$38,2)</f>
        <v>18667.5</v>
      </c>
      <c r="BF137" s="15" t="n">
        <f aca="false">ROUND($K137-$BI137,2)</f>
        <v>26483.02</v>
      </c>
      <c r="BG137" s="26" t="n">
        <f aca="false">RANK($BF137,'Your Accounts'!$BF$6:$BF$185)</f>
        <v>94</v>
      </c>
      <c r="BH137" s="15" t="n">
        <f aca="false">SUMIF('Your Accounts'!$BG$6:$BG$185,"&lt;="&amp;$BG137,'Your Accounts'!$BF$6:$BF$185)</f>
        <v>11245565.25</v>
      </c>
      <c r="BI137" s="15" t="n">
        <f aca="false">ROUND($D137*Sensitivity!$C$39+Sensitivity!$D$39,2)</f>
        <v>24890</v>
      </c>
      <c r="BJ137" s="15" t="n">
        <f aca="false">ROUND($K137-$BM137,2)</f>
        <v>20260.52</v>
      </c>
      <c r="BK137" s="26" t="n">
        <f aca="false">RANK($BJ137,'Your Accounts'!$BJ$6:$BJ$185)</f>
        <v>97</v>
      </c>
      <c r="BL137" s="15" t="n">
        <f aca="false">SUMIF('Your Accounts'!$BK$6:$BK$185,"&lt;="&amp;$BK137,'Your Accounts'!$BJ$6:$BJ$185)</f>
        <v>10847822.74</v>
      </c>
      <c r="BM137" s="15" t="n">
        <f aca="false">ROUND($D137*Sensitivity!$C$40+Sensitivity!$D$40,2)</f>
        <v>31112.5</v>
      </c>
      <c r="BN137" s="15" t="n">
        <f aca="false">ROUND($K137-$BQ137,2)</f>
        <v>14038.02</v>
      </c>
      <c r="BO137" s="26" t="n">
        <f aca="false">RANK($BN137,'Your Accounts'!$BN$6:$BN$185)</f>
        <v>99</v>
      </c>
      <c r="BP137" s="15" t="n">
        <f aca="false">SUMIF('Your Accounts'!$BO$6:$BO$185,"&lt;="&amp;$BO137,'Your Accounts'!$BN$6:$BN$185)</f>
        <v>10402722.66</v>
      </c>
      <c r="BQ137" s="15" t="n">
        <f aca="false">ROUND($D137*Sensitivity!$C$41+Sensitivity!$D$41,2)</f>
        <v>37335</v>
      </c>
    </row>
    <row r="138" customFormat="false" ht="15" hidden="false" customHeight="false" outlineLevel="0" collapsed="false">
      <c r="B138" s="18" t="s">
        <v>250</v>
      </c>
      <c r="C138" s="18" t="s">
        <v>218</v>
      </c>
      <c r="D138" s="24" t="n">
        <v>2</v>
      </c>
      <c r="E138" s="26" t="n">
        <f aca="false">SUMIF('Your Lines'!$B$6:$B$463,$B138,'Your Lines'!$E$6:$E$463)</f>
        <v>59</v>
      </c>
      <c r="F138" s="15" t="n">
        <f aca="false">ROUND(SUMIF('Your Lines'!$B$6:$B$463,$B138,'Your Lines'!$J$6:$J$463),2)</f>
        <v>5664</v>
      </c>
      <c r="G138" s="15" t="n">
        <f aca="false">ROUND(SUMIF('Your Lines'!$B$6:$B$463,$B138,'Your Lines'!$G$6:$G$463),2)</f>
        <v>5607.36</v>
      </c>
      <c r="H138" s="25" t="n">
        <f aca="false">$G138/$F138</f>
        <v>0.99</v>
      </c>
      <c r="I138" s="15" t="n">
        <f aca="false">ROUND(SUMIF('Your Lines'!$B$6:$B$463,$B138,'Your Lines'!$K$6:$K$463),2)</f>
        <v>3422</v>
      </c>
      <c r="J138" s="15" t="n">
        <f aca="false">ROUND(SUMIF('Your Lines'!$B$6:$B$463,$B138,'Your Lines'!$L$6:$L$463),2)</f>
        <v>113.28</v>
      </c>
      <c r="K138" s="15" t="n">
        <f aca="false">ROUND($G138-$I138-$J138,2)</f>
        <v>2072.08</v>
      </c>
      <c r="L138" s="15" t="n">
        <f aca="false">ROUND($D138*'Your Inputs'!$C$40+'Your Inputs'!$C$41,2)</f>
        <v>6790</v>
      </c>
      <c r="M138" s="15" t="n">
        <f aca="false">ROUND($K138-$L138,2)</f>
        <v>-4717.92</v>
      </c>
      <c r="N138" s="26" t="n">
        <f aca="false">RANK($M138,'Your Accounts'!$M$6:$M$185)</f>
        <v>180</v>
      </c>
      <c r="O138" s="15" t="n">
        <f aca="false">SUMIF('Your Accounts'!$N$6:$N$185,"&lt;="&amp;$N138,'Your Accounts'!$M$6:$M$185)</f>
        <v>13482887.59</v>
      </c>
      <c r="P138" s="15"/>
      <c r="Q138" s="26" t="n">
        <f aca="false">COUNTIFS('Your Lines'!$B$6:$B$463,$B138,'Your Lines'!$R$6:$R$463,"below the floor")</f>
        <v>0</v>
      </c>
      <c r="R138" s="15" t="n">
        <f aca="false">IF(Q138&gt;0,$K138,0)</f>
        <v>0</v>
      </c>
      <c r="AN138" s="15" t="n">
        <f aca="false">IF(VLOOKUP($C138,'Your Floors'!$B$53:$F$56,5,FALSE())="yes",0,$R138)</f>
        <v>0</v>
      </c>
      <c r="AP138" s="15" t="n">
        <f aca="false">ROUND($K138-$AS138,2)</f>
        <v>-1322.92</v>
      </c>
      <c r="AQ138" s="26" t="n">
        <f aca="false">RANK($AP138,'Your Accounts'!$AP$6:$AP$185)</f>
        <v>180</v>
      </c>
      <c r="AR138" s="15" t="n">
        <f aca="false">SUMIF('Your Accounts'!$AQ$6:$AQ$185,"&lt;="&amp;$AQ138,'Your Accounts'!$AP$6:$AP$185)</f>
        <v>14311125.09</v>
      </c>
      <c r="AS138" s="15" t="n">
        <f aca="false">ROUND($D138*Sensitivity!$C$35+Sensitivity!$D$35,2)</f>
        <v>3395</v>
      </c>
      <c r="AT138" s="15" t="n">
        <f aca="false">ROUND($K138-$AW138,2)</f>
        <v>-4717.92</v>
      </c>
      <c r="AU138" s="26" t="n">
        <f aca="false">RANK($AT138,'Your Accounts'!$AT$6:$AT$185)</f>
        <v>180</v>
      </c>
      <c r="AV138" s="15" t="n">
        <f aca="false">SUMIF('Your Accounts'!$AU$6:$AU$185,"&lt;="&amp;$AU138,'Your Accounts'!$AT$6:$AT$185)</f>
        <v>13482887.59</v>
      </c>
      <c r="AW138" s="15" t="n">
        <f aca="false">ROUND($D138*Sensitivity!$C$36+Sensitivity!$D$36,2)</f>
        <v>6790</v>
      </c>
      <c r="AX138" s="15" t="n">
        <f aca="false">ROUND($K138-$BA138,2)</f>
        <v>-6415.42</v>
      </c>
      <c r="AY138" s="26" t="n">
        <f aca="false">RANK($AX138,'Your Accounts'!$AX$6:$AX$185)</f>
        <v>180</v>
      </c>
      <c r="AZ138" s="15" t="n">
        <f aca="false">SUMIF('Your Accounts'!$AY$6:$AY$185,"&lt;="&amp;$AY138,'Your Accounts'!$AX$6:$AX$185)</f>
        <v>13068768.84</v>
      </c>
      <c r="BA138" s="15" t="n">
        <f aca="false">ROUND($D138*Sensitivity!$C$37+Sensitivity!$D$37,2)</f>
        <v>8487.5</v>
      </c>
      <c r="BB138" s="15" t="n">
        <f aca="false">ROUND($K138-$BE138,2)</f>
        <v>-8112.92</v>
      </c>
      <c r="BC138" s="26" t="n">
        <f aca="false">RANK($BB138,'Your Accounts'!$BB$6:$BB$185)</f>
        <v>179</v>
      </c>
      <c r="BD138" s="15" t="n">
        <f aca="false">SUMIF('Your Accounts'!$BC$6:$BC$185,"&lt;="&amp;$BC138,'Your Accounts'!$BB$6:$BB$185)</f>
        <v>12662977.08</v>
      </c>
      <c r="BE138" s="15" t="n">
        <f aca="false">ROUND($D138*Sensitivity!$C$38+Sensitivity!$D$38,2)</f>
        <v>10185</v>
      </c>
      <c r="BF138" s="15" t="n">
        <f aca="false">ROUND($K138-$BI138,2)</f>
        <v>-11507.92</v>
      </c>
      <c r="BG138" s="26" t="n">
        <f aca="false">RANK($BF138,'Your Accounts'!$BF$6:$BF$185)</f>
        <v>178</v>
      </c>
      <c r="BH138" s="15" t="n">
        <f aca="false">SUMIF('Your Accounts'!$BG$6:$BG$185,"&lt;="&amp;$BG138,'Your Accounts'!$BF$6:$BF$185)</f>
        <v>11851165.34</v>
      </c>
      <c r="BI138" s="15" t="n">
        <f aca="false">ROUND($D138*Sensitivity!$C$39+Sensitivity!$D$39,2)</f>
        <v>13580</v>
      </c>
      <c r="BJ138" s="15" t="n">
        <f aca="false">ROUND($K138-$BM138,2)</f>
        <v>-14902.92</v>
      </c>
      <c r="BK138" s="26" t="n">
        <f aca="false">RANK($BJ138,'Your Accounts'!$BJ$6:$BJ$185)</f>
        <v>178</v>
      </c>
      <c r="BL138" s="15" t="n">
        <f aca="false">SUMIF('Your Accounts'!$BK$6:$BK$185,"&lt;="&amp;$BK138,'Your Accounts'!$BJ$6:$BJ$185)</f>
        <v>11031530.34</v>
      </c>
      <c r="BM138" s="15" t="n">
        <f aca="false">ROUND($D138*Sensitivity!$C$40+Sensitivity!$D$40,2)</f>
        <v>16975</v>
      </c>
      <c r="BN138" s="15" t="n">
        <f aca="false">ROUND($K138-$BQ138,2)</f>
        <v>-18297.92</v>
      </c>
      <c r="BO138" s="26" t="n">
        <f aca="false">RANK($BN138,'Your Accounts'!$BN$6:$BN$185)</f>
        <v>177</v>
      </c>
      <c r="BP138" s="15" t="n">
        <f aca="false">SUMIF('Your Accounts'!$BO$6:$BO$185,"&lt;="&amp;$BO138,'Your Accounts'!$BN$6:$BN$185)</f>
        <v>10230339.76</v>
      </c>
      <c r="BQ138" s="15" t="n">
        <f aca="false">ROUND($D138*Sensitivity!$C$41+Sensitivity!$D$41,2)</f>
        <v>20370</v>
      </c>
    </row>
    <row r="139" customFormat="false" ht="15" hidden="false" customHeight="false" outlineLevel="0" collapsed="false">
      <c r="B139" s="18" t="s">
        <v>251</v>
      </c>
      <c r="C139" s="18" t="s">
        <v>218</v>
      </c>
      <c r="D139" s="24" t="n">
        <v>14</v>
      </c>
      <c r="E139" s="26" t="n">
        <f aca="false">SUMIF('Your Lines'!$B$6:$B$463,$B139,'Your Lines'!$E$6:$E$463)</f>
        <v>744</v>
      </c>
      <c r="F139" s="15" t="n">
        <f aca="false">ROUND(SUMIF('Your Lines'!$B$6:$B$463,$B139,'Your Lines'!$J$6:$J$463),2)</f>
        <v>57192</v>
      </c>
      <c r="G139" s="15" t="n">
        <f aca="false">ROUND(SUMIF('Your Lines'!$B$6:$B$463,$B139,'Your Lines'!$G$6:$G$463),2)</f>
        <v>55487.67</v>
      </c>
      <c r="H139" s="25" t="n">
        <f aca="false">$G139/$F139</f>
        <v>0.970199853126311</v>
      </c>
      <c r="I139" s="15" t="n">
        <f aca="false">ROUND(SUMIF('Your Lines'!$B$6:$B$463,$B139,'Your Lines'!$K$6:$K$463),2)</f>
        <v>33056</v>
      </c>
      <c r="J139" s="15" t="n">
        <f aca="false">ROUND(SUMIF('Your Lines'!$B$6:$B$463,$B139,'Your Lines'!$L$6:$L$463),2)</f>
        <v>1120.96</v>
      </c>
      <c r="K139" s="15" t="n">
        <f aca="false">ROUND($G139-$I139-$J139,2)</f>
        <v>21310.71</v>
      </c>
      <c r="L139" s="15" t="n">
        <f aca="false">ROUND($D139*'Your Inputs'!$C$40+'Your Inputs'!$C$41,2)</f>
        <v>8530</v>
      </c>
      <c r="M139" s="15" t="n">
        <f aca="false">ROUND($K139-$L139,2)</f>
        <v>12780.71</v>
      </c>
      <c r="N139" s="26" t="n">
        <f aca="false">RANK($M139,'Your Accounts'!$M$6:$M$185)</f>
        <v>143</v>
      </c>
      <c r="O139" s="15" t="n">
        <f aca="false">SUMIF('Your Accounts'!$N$6:$N$185,"&lt;="&amp;$N139,'Your Accounts'!$M$6:$M$185)</f>
        <v>13297798.81</v>
      </c>
      <c r="P139" s="15"/>
      <c r="Q139" s="26" t="n">
        <f aca="false">COUNTIFS('Your Lines'!$B$6:$B$463,$B139,'Your Lines'!$R$6:$R$463,"below the floor")</f>
        <v>0</v>
      </c>
      <c r="R139" s="15" t="n">
        <f aca="false">IF(Q139&gt;0,$K139,0)</f>
        <v>0</v>
      </c>
      <c r="AN139" s="15" t="n">
        <f aca="false">IF(VLOOKUP($C139,'Your Floors'!$B$53:$F$56,5,FALSE())="yes",0,$R139)</f>
        <v>0</v>
      </c>
      <c r="AP139" s="15" t="n">
        <f aca="false">ROUND($K139-$AS139,2)</f>
        <v>17045.71</v>
      </c>
      <c r="AQ139" s="26" t="n">
        <f aca="false">RANK($AP139,'Your Accounts'!$AP$6:$AP$185)</f>
        <v>145</v>
      </c>
      <c r="AR139" s="15" t="n">
        <f aca="false">SUMIF('Your Accounts'!$AQ$6:$AQ$185,"&lt;="&amp;$AQ139,'Your Accounts'!$AP$6:$AP$185)</f>
        <v>14014510.84</v>
      </c>
      <c r="AS139" s="15" t="n">
        <f aca="false">ROUND($D139*Sensitivity!$C$35+Sensitivity!$D$35,2)</f>
        <v>4265</v>
      </c>
      <c r="AT139" s="15" t="n">
        <f aca="false">ROUND($K139-$AW139,2)</f>
        <v>12780.71</v>
      </c>
      <c r="AU139" s="26" t="n">
        <f aca="false">RANK($AT139,'Your Accounts'!$AT$6:$AT$185)</f>
        <v>143</v>
      </c>
      <c r="AV139" s="15" t="n">
        <f aca="false">SUMIF('Your Accounts'!$AU$6:$AU$185,"&lt;="&amp;$AU139,'Your Accounts'!$AT$6:$AT$185)</f>
        <v>13297798.81</v>
      </c>
      <c r="AW139" s="15" t="n">
        <f aca="false">ROUND($D139*Sensitivity!$C$36+Sensitivity!$D$36,2)</f>
        <v>8530</v>
      </c>
      <c r="AX139" s="15" t="n">
        <f aca="false">ROUND($K139-$BA139,2)</f>
        <v>10648.21</v>
      </c>
      <c r="AY139" s="26" t="n">
        <f aca="false">RANK($AX139,'Your Accounts'!$AX$6:$AX$185)</f>
        <v>144</v>
      </c>
      <c r="AZ139" s="15" t="n">
        <f aca="false">SUMIF('Your Accounts'!$AY$6:$AY$185,"&lt;="&amp;$AY139,'Your Accounts'!$AX$6:$AX$185)</f>
        <v>12967782.12</v>
      </c>
      <c r="BA139" s="15" t="n">
        <f aca="false">ROUND($D139*Sensitivity!$C$37+Sensitivity!$D$37,2)</f>
        <v>10662.5</v>
      </c>
      <c r="BB139" s="15" t="n">
        <f aca="false">ROUND($K139-$BE139,2)</f>
        <v>8515.71</v>
      </c>
      <c r="BC139" s="26" t="n">
        <f aca="false">RANK($BB139,'Your Accounts'!$BB$6:$BB$185)</f>
        <v>145</v>
      </c>
      <c r="BD139" s="15" t="n">
        <f aca="false">SUMIF('Your Accounts'!$BC$6:$BC$185,"&lt;="&amp;$BC139,'Your Accounts'!$BB$6:$BB$185)</f>
        <v>12633569.75</v>
      </c>
      <c r="BE139" s="15" t="n">
        <f aca="false">ROUND($D139*Sensitivity!$C$38+Sensitivity!$D$38,2)</f>
        <v>12795</v>
      </c>
      <c r="BF139" s="15" t="n">
        <f aca="false">ROUND($K139-$BI139,2)</f>
        <v>4250.71</v>
      </c>
      <c r="BG139" s="26" t="n">
        <f aca="false">RANK($BF139,'Your Accounts'!$BF$6:$BF$185)</f>
        <v>146</v>
      </c>
      <c r="BH139" s="15" t="n">
        <f aca="false">SUMIF('Your Accounts'!$BG$6:$BG$185,"&lt;="&amp;$BG139,'Your Accounts'!$BF$6:$BF$185)</f>
        <v>11948414.77</v>
      </c>
      <c r="BI139" s="15" t="n">
        <f aca="false">ROUND($D139*Sensitivity!$C$39+Sensitivity!$D$39,2)</f>
        <v>17060</v>
      </c>
      <c r="BJ139" s="15" t="n">
        <f aca="false">ROUND($K139-$BM139,2)</f>
        <v>-14.29</v>
      </c>
      <c r="BK139" s="26" t="n">
        <f aca="false">RANK($BJ139,'Your Accounts'!$BJ$6:$BJ$185)</f>
        <v>146</v>
      </c>
      <c r="BL139" s="15" t="n">
        <f aca="false">SUMIF('Your Accounts'!$BK$6:$BK$185,"&lt;="&amp;$BK139,'Your Accounts'!$BJ$6:$BJ$185)</f>
        <v>11255612.56</v>
      </c>
      <c r="BM139" s="15" t="n">
        <f aca="false">ROUND($D139*Sensitivity!$C$40+Sensitivity!$D$40,2)</f>
        <v>21325</v>
      </c>
      <c r="BN139" s="15" t="n">
        <f aca="false">ROUND($K139-$BQ139,2)</f>
        <v>-4279.29</v>
      </c>
      <c r="BO139" s="26" t="n">
        <f aca="false">RANK($BN139,'Your Accounts'!$BN$6:$BN$185)</f>
        <v>149</v>
      </c>
      <c r="BP139" s="15" t="n">
        <f aca="false">SUMIF('Your Accounts'!$BO$6:$BO$185,"&lt;="&amp;$BO139,'Your Accounts'!$BN$6:$BN$185)</f>
        <v>10551012.2</v>
      </c>
      <c r="BQ139" s="15" t="n">
        <f aca="false">ROUND($D139*Sensitivity!$C$41+Sensitivity!$D$41,2)</f>
        <v>25590</v>
      </c>
    </row>
    <row r="140" customFormat="false" ht="15" hidden="false" customHeight="false" outlineLevel="0" collapsed="false">
      <c r="B140" s="18" t="s">
        <v>252</v>
      </c>
      <c r="C140" s="18" t="s">
        <v>218</v>
      </c>
      <c r="D140" s="24" t="n">
        <v>26</v>
      </c>
      <c r="E140" s="26" t="n">
        <f aca="false">SUMIF('Your Lines'!$B$6:$B$463,$B140,'Your Lines'!$E$6:$E$463)</f>
        <v>1800</v>
      </c>
      <c r="F140" s="15" t="n">
        <f aca="false">ROUND(SUMIF('Your Lines'!$B$6:$B$463,$B140,'Your Lines'!$J$6:$J$463),2)</f>
        <v>147336</v>
      </c>
      <c r="G140" s="15" t="n">
        <f aca="false">ROUND(SUMIF('Your Lines'!$B$6:$B$463,$B140,'Your Lines'!$G$6:$G$463),2)</f>
        <v>134620.47</v>
      </c>
      <c r="H140" s="25" t="n">
        <f aca="false">$G140/$F140</f>
        <v>0.913697059781723</v>
      </c>
      <c r="I140" s="15" t="n">
        <f aca="false">ROUND(SUMIF('Your Lines'!$B$6:$B$463,$B140,'Your Lines'!$K$6:$K$463),2)</f>
        <v>84648</v>
      </c>
      <c r="J140" s="15" t="n">
        <f aca="false">ROUND(SUMIF('Your Lines'!$B$6:$B$463,$B140,'Your Lines'!$L$6:$L$463),2)</f>
        <v>2719.61</v>
      </c>
      <c r="K140" s="15" t="n">
        <f aca="false">ROUND($G140-$I140-$J140,2)</f>
        <v>47252.86</v>
      </c>
      <c r="L140" s="15" t="n">
        <f aca="false">ROUND($D140*'Your Inputs'!$C$40+'Your Inputs'!$C$41,2)</f>
        <v>10270</v>
      </c>
      <c r="M140" s="15" t="n">
        <f aca="false">ROUND($K140-$L140,2)</f>
        <v>36982.86</v>
      </c>
      <c r="N140" s="26" t="n">
        <f aca="false">RANK($M140,'Your Accounts'!$M$6:$M$185)</f>
        <v>91</v>
      </c>
      <c r="O140" s="15" t="n">
        <f aca="false">SUMIF('Your Accounts'!$N$6:$N$185,"&lt;="&amp;$N140,'Your Accounts'!$M$6:$M$185)</f>
        <v>12063163.4</v>
      </c>
      <c r="P140" s="15"/>
      <c r="Q140" s="26" t="n">
        <f aca="false">COUNTIFS('Your Lines'!$B$6:$B$463,$B140,'Your Lines'!$R$6:$R$463,"below the floor")</f>
        <v>3</v>
      </c>
      <c r="R140" s="15" t="n">
        <f aca="false">IF(Q140&gt;0,$K140,0)</f>
        <v>47252.86</v>
      </c>
      <c r="AN140" s="15" t="n">
        <f aca="false">IF(VLOOKUP($C140,'Your Floors'!$B$53:$F$56,5,FALSE())="yes",0,$R140)</f>
        <v>47252.86</v>
      </c>
      <c r="AP140" s="15" t="n">
        <f aca="false">ROUND($K140-$AS140,2)</f>
        <v>42117.86</v>
      </c>
      <c r="AQ140" s="26" t="n">
        <f aca="false">RANK($AP140,'Your Accounts'!$AP$6:$AP$185)</f>
        <v>91</v>
      </c>
      <c r="AR140" s="15" t="n">
        <f aca="false">SUMIF('Your Accounts'!$AQ$6:$AQ$185,"&lt;="&amp;$AQ140,'Your Accounts'!$AP$6:$AP$185)</f>
        <v>12515079.47</v>
      </c>
      <c r="AS140" s="15" t="n">
        <f aca="false">ROUND($D140*Sensitivity!$C$35+Sensitivity!$D$35,2)</f>
        <v>5135</v>
      </c>
      <c r="AT140" s="15" t="n">
        <f aca="false">ROUND($K140-$AW140,2)</f>
        <v>36982.86</v>
      </c>
      <c r="AU140" s="26" t="n">
        <f aca="false">RANK($AT140,'Your Accounts'!$AT$6:$AT$185)</f>
        <v>91</v>
      </c>
      <c r="AV140" s="15" t="n">
        <f aca="false">SUMIF('Your Accounts'!$AU$6:$AU$185,"&lt;="&amp;$AU140,'Your Accounts'!$AT$6:$AT$185)</f>
        <v>12063163.4</v>
      </c>
      <c r="AW140" s="15" t="n">
        <f aca="false">ROUND($D140*Sensitivity!$C$36+Sensitivity!$D$36,2)</f>
        <v>10270</v>
      </c>
      <c r="AX140" s="15" t="n">
        <f aca="false">ROUND($K140-$BA140,2)</f>
        <v>34415.36</v>
      </c>
      <c r="AY140" s="26" t="n">
        <f aca="false">RANK($AX140,'Your Accounts'!$AX$6:$AX$185)</f>
        <v>92</v>
      </c>
      <c r="AZ140" s="15" t="n">
        <f aca="false">SUMIF('Your Accounts'!$AY$6:$AY$185,"&lt;="&amp;$AY140,'Your Accounts'!$AX$6:$AX$185)</f>
        <v>11872480.79</v>
      </c>
      <c r="BA140" s="15" t="n">
        <f aca="false">ROUND($D140*Sensitivity!$C$37+Sensitivity!$D$37,2)</f>
        <v>12837.5</v>
      </c>
      <c r="BB140" s="15" t="n">
        <f aca="false">ROUND($K140-$BE140,2)</f>
        <v>31847.86</v>
      </c>
      <c r="BC140" s="26" t="n">
        <f aca="false">RANK($BB140,'Your Accounts'!$BB$6:$BB$185)</f>
        <v>92</v>
      </c>
      <c r="BD140" s="15" t="n">
        <f aca="false">SUMIF('Your Accounts'!$BC$6:$BC$185,"&lt;="&amp;$BC140,'Your Accounts'!$BB$6:$BB$185)</f>
        <v>11645333.29</v>
      </c>
      <c r="BE140" s="15" t="n">
        <f aca="false">ROUND($D140*Sensitivity!$C$38+Sensitivity!$D$38,2)</f>
        <v>15405</v>
      </c>
      <c r="BF140" s="15" t="n">
        <f aca="false">ROUND($K140-$BI140,2)</f>
        <v>26712.86</v>
      </c>
      <c r="BG140" s="26" t="n">
        <f aca="false">RANK($BF140,'Your Accounts'!$BF$6:$BF$185)</f>
        <v>93</v>
      </c>
      <c r="BH140" s="15" t="n">
        <f aca="false">SUMIF('Your Accounts'!$BG$6:$BG$185,"&lt;="&amp;$BG140,'Your Accounts'!$BF$6:$BF$185)</f>
        <v>11219082.23</v>
      </c>
      <c r="BI140" s="15" t="n">
        <f aca="false">ROUND($D140*Sensitivity!$C$39+Sensitivity!$D$39,2)</f>
        <v>20540</v>
      </c>
      <c r="BJ140" s="15" t="n">
        <f aca="false">ROUND($K140-$BM140,2)</f>
        <v>21577.86</v>
      </c>
      <c r="BK140" s="26" t="n">
        <f aca="false">RANK($BJ140,'Your Accounts'!$BJ$6:$BJ$185)</f>
        <v>94</v>
      </c>
      <c r="BL140" s="15" t="n">
        <f aca="false">SUMIF('Your Accounts'!$BK$6:$BK$185,"&lt;="&amp;$BK140,'Your Accounts'!$BJ$6:$BJ$185)</f>
        <v>10785257.26</v>
      </c>
      <c r="BM140" s="15" t="n">
        <f aca="false">ROUND($D140*Sensitivity!$C$40+Sensitivity!$D$40,2)</f>
        <v>25675</v>
      </c>
      <c r="BN140" s="15" t="n">
        <f aca="false">ROUND($K140-$BQ140,2)</f>
        <v>16442.86</v>
      </c>
      <c r="BO140" s="26" t="n">
        <f aca="false">RANK($BN140,'Your Accounts'!$BN$6:$BN$185)</f>
        <v>96</v>
      </c>
      <c r="BP140" s="15" t="n">
        <f aca="false">SUMIF('Your Accounts'!$BO$6:$BO$185,"&lt;="&amp;$BO140,'Your Accounts'!$BN$6:$BN$185)</f>
        <v>10359469.72</v>
      </c>
      <c r="BQ140" s="15" t="n">
        <f aca="false">ROUND($D140*Sensitivity!$C$41+Sensitivity!$D$41,2)</f>
        <v>30810</v>
      </c>
    </row>
    <row r="141" customFormat="false" ht="15" hidden="false" customHeight="false" outlineLevel="0" collapsed="false">
      <c r="B141" s="18" t="s">
        <v>253</v>
      </c>
      <c r="C141" s="18" t="s">
        <v>218</v>
      </c>
      <c r="D141" s="24" t="n">
        <v>9</v>
      </c>
      <c r="E141" s="26" t="n">
        <f aca="false">SUMIF('Your Lines'!$B$6:$B$463,$B141,'Your Lines'!$E$6:$E$463)</f>
        <v>619</v>
      </c>
      <c r="F141" s="15" t="n">
        <f aca="false">ROUND(SUMIF('Your Lines'!$B$6:$B$463,$B141,'Your Lines'!$J$6:$J$463),2)</f>
        <v>69668</v>
      </c>
      <c r="G141" s="15" t="n">
        <f aca="false">ROUND(SUMIF('Your Lines'!$B$6:$B$463,$B141,'Your Lines'!$G$6:$G$463),2)</f>
        <v>64771.96</v>
      </c>
      <c r="H141" s="25" t="n">
        <f aca="false">$G141/$F141</f>
        <v>0.929723258884997</v>
      </c>
      <c r="I141" s="15" t="n">
        <f aca="false">ROUND(SUMIF('Your Lines'!$B$6:$B$463,$B141,'Your Lines'!$K$6:$K$463),2)</f>
        <v>39842</v>
      </c>
      <c r="J141" s="15" t="n">
        <f aca="false">ROUND(SUMIF('Your Lines'!$B$6:$B$463,$B141,'Your Lines'!$L$6:$L$463),2)</f>
        <v>1308.52</v>
      </c>
      <c r="K141" s="15" t="n">
        <f aca="false">ROUND($G141-$I141-$J141,2)</f>
        <v>23621.44</v>
      </c>
      <c r="L141" s="15" t="n">
        <f aca="false">ROUND($D141*'Your Inputs'!$C$40+'Your Inputs'!$C$41,2)</f>
        <v>7805</v>
      </c>
      <c r="M141" s="15" t="n">
        <f aca="false">ROUND($K141-$L141,2)</f>
        <v>15816.44</v>
      </c>
      <c r="N141" s="26" t="n">
        <f aca="false">RANK($M141,'Your Accounts'!$M$6:$M$185)</f>
        <v>133</v>
      </c>
      <c r="O141" s="15" t="n">
        <f aca="false">SUMIF('Your Accounts'!$N$6:$N$185,"&lt;="&amp;$N141,'Your Accounts'!$M$6:$M$185)</f>
        <v>13155293.11</v>
      </c>
      <c r="P141" s="15"/>
      <c r="Q141" s="26" t="n">
        <f aca="false">COUNTIFS('Your Lines'!$B$6:$B$463,$B141,'Your Lines'!$R$6:$R$463,"below the floor")</f>
        <v>2</v>
      </c>
      <c r="R141" s="15" t="n">
        <f aca="false">IF(Q141&gt;0,$K141,0)</f>
        <v>23621.44</v>
      </c>
      <c r="AN141" s="15" t="n">
        <f aca="false">IF(VLOOKUP($C141,'Your Floors'!$B$53:$F$56,5,FALSE())="yes",0,$R141)</f>
        <v>23621.44</v>
      </c>
      <c r="AP141" s="15" t="n">
        <f aca="false">ROUND($K141-$AS141,2)</f>
        <v>19718.94</v>
      </c>
      <c r="AQ141" s="26" t="n">
        <f aca="false">RANK($AP141,'Your Accounts'!$AP$6:$AP$185)</f>
        <v>134</v>
      </c>
      <c r="AR141" s="15" t="n">
        <f aca="false">SUMIF('Your Accounts'!$AQ$6:$AQ$185,"&lt;="&amp;$AQ141,'Your Accounts'!$AP$6:$AP$185)</f>
        <v>13814832.82</v>
      </c>
      <c r="AS141" s="15" t="n">
        <f aca="false">ROUND($D141*Sensitivity!$C$35+Sensitivity!$D$35,2)</f>
        <v>3902.5</v>
      </c>
      <c r="AT141" s="15" t="n">
        <f aca="false">ROUND($K141-$AW141,2)</f>
        <v>15816.44</v>
      </c>
      <c r="AU141" s="26" t="n">
        <f aca="false">RANK($AT141,'Your Accounts'!$AT$6:$AT$185)</f>
        <v>133</v>
      </c>
      <c r="AV141" s="15" t="n">
        <f aca="false">SUMIF('Your Accounts'!$AU$6:$AU$185,"&lt;="&amp;$AU141,'Your Accounts'!$AT$6:$AT$185)</f>
        <v>13155293.11</v>
      </c>
      <c r="AW141" s="15" t="n">
        <f aca="false">ROUND($D141*Sensitivity!$C$36+Sensitivity!$D$36,2)</f>
        <v>7805</v>
      </c>
      <c r="AX141" s="15" t="n">
        <f aca="false">ROUND($K141-$BA141,2)</f>
        <v>13865.19</v>
      </c>
      <c r="AY141" s="26" t="n">
        <f aca="false">RANK($AX141,'Your Accounts'!$AX$6:$AX$185)</f>
        <v>132</v>
      </c>
      <c r="AZ141" s="15" t="n">
        <f aca="false">SUMIF('Your Accounts'!$AY$6:$AY$185,"&lt;="&amp;$AY141,'Your Accounts'!$AX$6:$AX$185)</f>
        <v>12822063.82</v>
      </c>
      <c r="BA141" s="15" t="n">
        <f aca="false">ROUND($D141*Sensitivity!$C$37+Sensitivity!$D$37,2)</f>
        <v>9756.25</v>
      </c>
      <c r="BB141" s="15" t="n">
        <f aca="false">ROUND($K141-$BE141,2)</f>
        <v>11913.94</v>
      </c>
      <c r="BC141" s="26" t="n">
        <f aca="false">RANK($BB141,'Your Accounts'!$BB$6:$BB$185)</f>
        <v>132</v>
      </c>
      <c r="BD141" s="15" t="n">
        <f aca="false">SUMIF('Your Accounts'!$BC$6:$BC$185,"&lt;="&amp;$BC141,'Your Accounts'!$BB$6:$BB$185)</f>
        <v>12505085.07</v>
      </c>
      <c r="BE141" s="15" t="n">
        <f aca="false">ROUND($D141*Sensitivity!$C$38+Sensitivity!$D$38,2)</f>
        <v>11707.5</v>
      </c>
      <c r="BF141" s="15" t="n">
        <f aca="false">ROUND($K141-$BI141,2)</f>
        <v>8011.44</v>
      </c>
      <c r="BG141" s="26" t="n">
        <f aca="false">RANK($BF141,'Your Accounts'!$BF$6:$BF$185)</f>
        <v>132</v>
      </c>
      <c r="BH141" s="15" t="n">
        <f aca="false">SUMIF('Your Accounts'!$BG$6:$BG$185,"&lt;="&amp;$BG141,'Your Accounts'!$BF$6:$BF$185)</f>
        <v>11871127.57</v>
      </c>
      <c r="BI141" s="15" t="n">
        <f aca="false">ROUND($D141*Sensitivity!$C$39+Sensitivity!$D$39,2)</f>
        <v>15610</v>
      </c>
      <c r="BJ141" s="15" t="n">
        <f aca="false">ROUND($K141-$BM141,2)</f>
        <v>4108.94</v>
      </c>
      <c r="BK141" s="26" t="n">
        <f aca="false">RANK($BJ141,'Your Accounts'!$BJ$6:$BJ$185)</f>
        <v>131</v>
      </c>
      <c r="BL141" s="15" t="n">
        <f aca="false">SUMIF('Your Accounts'!$BK$6:$BK$185,"&lt;="&amp;$BK141,'Your Accounts'!$BJ$6:$BJ$185)</f>
        <v>11233442.94</v>
      </c>
      <c r="BM141" s="15" t="n">
        <f aca="false">ROUND($D141*Sensitivity!$C$40+Sensitivity!$D$40,2)</f>
        <v>19512.5</v>
      </c>
      <c r="BN141" s="15" t="n">
        <f aca="false">ROUND($K141-$BQ141,2)</f>
        <v>206.44</v>
      </c>
      <c r="BO141" s="26" t="n">
        <f aca="false">RANK($BN141,'Your Accounts'!$BN$6:$BN$185)</f>
        <v>131</v>
      </c>
      <c r="BP141" s="15" t="n">
        <f aca="false">SUMIF('Your Accounts'!$BO$6:$BO$185,"&lt;="&amp;$BO141,'Your Accounts'!$BN$6:$BN$185)</f>
        <v>10605200.44</v>
      </c>
      <c r="BQ141" s="15" t="n">
        <f aca="false">ROUND($D141*Sensitivity!$C$41+Sensitivity!$D$41,2)</f>
        <v>23415</v>
      </c>
    </row>
    <row r="142" customFormat="false" ht="15" hidden="false" customHeight="false" outlineLevel="0" collapsed="false">
      <c r="B142" s="18" t="s">
        <v>254</v>
      </c>
      <c r="C142" s="18" t="s">
        <v>218</v>
      </c>
      <c r="D142" s="24" t="n">
        <v>3</v>
      </c>
      <c r="E142" s="26" t="n">
        <f aca="false">SUMIF('Your Lines'!$B$6:$B$463,$B142,'Your Lines'!$E$6:$E$463)</f>
        <v>174</v>
      </c>
      <c r="F142" s="15" t="n">
        <f aca="false">ROUND(SUMIF('Your Lines'!$B$6:$B$463,$B142,'Your Lines'!$J$6:$J$463),2)</f>
        <v>17380</v>
      </c>
      <c r="G142" s="15" t="n">
        <f aca="false">ROUND(SUMIF('Your Lines'!$B$6:$B$463,$B142,'Your Lines'!$G$6:$G$463),2)</f>
        <v>16385.96</v>
      </c>
      <c r="H142" s="25" t="n">
        <f aca="false">$G142/$F142</f>
        <v>0.942805523590334</v>
      </c>
      <c r="I142" s="15" t="n">
        <f aca="false">ROUND(SUMIF('Your Lines'!$B$6:$B$463,$B142,'Your Lines'!$K$6:$K$463),2)</f>
        <v>10352</v>
      </c>
      <c r="J142" s="15" t="n">
        <f aca="false">ROUND(SUMIF('Your Lines'!$B$6:$B$463,$B142,'Your Lines'!$L$6:$L$463),2)</f>
        <v>331.03</v>
      </c>
      <c r="K142" s="15" t="n">
        <f aca="false">ROUND($G142-$I142-$J142,2)</f>
        <v>5702.93</v>
      </c>
      <c r="L142" s="15" t="n">
        <f aca="false">ROUND($D142*'Your Inputs'!$C$40+'Your Inputs'!$C$41,2)</f>
        <v>6935</v>
      </c>
      <c r="M142" s="15" t="n">
        <f aca="false">ROUND($K142-$L142,2)</f>
        <v>-1232.07</v>
      </c>
      <c r="N142" s="26" t="n">
        <f aca="false">RANK($M142,'Your Accounts'!$M$6:$M$185)</f>
        <v>174</v>
      </c>
      <c r="O142" s="15" t="n">
        <f aca="false">SUMIF('Your Accounts'!$N$6:$N$185,"&lt;="&amp;$N142,'Your Accounts'!$M$6:$M$185)</f>
        <v>13504970.86</v>
      </c>
      <c r="P142" s="15"/>
      <c r="Q142" s="26" t="n">
        <f aca="false">COUNTIFS('Your Lines'!$B$6:$B$463,$B142,'Your Lines'!$R$6:$R$463,"below the floor")</f>
        <v>0</v>
      </c>
      <c r="R142" s="15" t="n">
        <f aca="false">IF(Q142&gt;0,$K142,0)</f>
        <v>0</v>
      </c>
      <c r="AN142" s="15" t="n">
        <f aca="false">IF(VLOOKUP($C142,'Your Floors'!$B$53:$F$56,5,FALSE())="yes",0,$R142)</f>
        <v>0</v>
      </c>
      <c r="AP142" s="15" t="n">
        <f aca="false">ROUND($K142-$AS142,2)</f>
        <v>2235.43</v>
      </c>
      <c r="AQ142" s="26" t="n">
        <f aca="false">RANK($AP142,'Your Accounts'!$AP$6:$AP$185)</f>
        <v>174</v>
      </c>
      <c r="AR142" s="15" t="n">
        <f aca="false">SUMIF('Your Accounts'!$AQ$6:$AQ$185,"&lt;="&amp;$AQ142,'Your Accounts'!$AP$6:$AP$185)</f>
        <v>14310518.36</v>
      </c>
      <c r="AS142" s="15" t="n">
        <f aca="false">ROUND($D142*Sensitivity!$C$35+Sensitivity!$D$35,2)</f>
        <v>3467.5</v>
      </c>
      <c r="AT142" s="15" t="n">
        <f aca="false">ROUND($K142-$AW142,2)</f>
        <v>-1232.07</v>
      </c>
      <c r="AU142" s="26" t="n">
        <f aca="false">RANK($AT142,'Your Accounts'!$AT$6:$AT$185)</f>
        <v>174</v>
      </c>
      <c r="AV142" s="15" t="n">
        <f aca="false">SUMIF('Your Accounts'!$AU$6:$AU$185,"&lt;="&amp;$AU142,'Your Accounts'!$AT$6:$AT$185)</f>
        <v>13504970.86</v>
      </c>
      <c r="AW142" s="15" t="n">
        <f aca="false">ROUND($D142*Sensitivity!$C$36+Sensitivity!$D$36,2)</f>
        <v>6935</v>
      </c>
      <c r="AX142" s="15" t="n">
        <f aca="false">ROUND($K142-$BA142,2)</f>
        <v>-2965.82</v>
      </c>
      <c r="AY142" s="26" t="n">
        <f aca="false">RANK($AX142,'Your Accounts'!$AX$6:$AX$185)</f>
        <v>174</v>
      </c>
      <c r="AZ142" s="15" t="n">
        <f aca="false">SUMIF('Your Accounts'!$AY$6:$AY$185,"&lt;="&amp;$AY142,'Your Accounts'!$AX$6:$AX$185)</f>
        <v>13102197.11</v>
      </c>
      <c r="BA142" s="15" t="n">
        <f aca="false">ROUND($D142*Sensitivity!$C$37+Sensitivity!$D$37,2)</f>
        <v>8668.75</v>
      </c>
      <c r="BB142" s="15" t="n">
        <f aca="false">ROUND($K142-$BE142,2)</f>
        <v>-4699.57</v>
      </c>
      <c r="BC142" s="26" t="n">
        <f aca="false">RANK($BB142,'Your Accounts'!$BB$6:$BB$185)</f>
        <v>174</v>
      </c>
      <c r="BD142" s="15" t="n">
        <f aca="false">SUMIF('Your Accounts'!$BC$6:$BC$185,"&lt;="&amp;$BC142,'Your Accounts'!$BB$6:$BB$185)</f>
        <v>12699423.36</v>
      </c>
      <c r="BE142" s="15" t="n">
        <f aca="false">ROUND($D142*Sensitivity!$C$38+Sensitivity!$D$38,2)</f>
        <v>10402.5</v>
      </c>
      <c r="BF142" s="15" t="n">
        <f aca="false">ROUND($K142-$BI142,2)</f>
        <v>-8167.07</v>
      </c>
      <c r="BG142" s="26" t="n">
        <f aca="false">RANK($BF142,'Your Accounts'!$BF$6:$BF$185)</f>
        <v>174</v>
      </c>
      <c r="BH142" s="15" t="n">
        <f aca="false">SUMIF('Your Accounts'!$BG$6:$BG$185,"&lt;="&amp;$BG142,'Your Accounts'!$BF$6:$BF$185)</f>
        <v>11893875.86</v>
      </c>
      <c r="BI142" s="15" t="n">
        <f aca="false">ROUND($D142*Sensitivity!$C$39+Sensitivity!$D$39,2)</f>
        <v>13870</v>
      </c>
      <c r="BJ142" s="15" t="n">
        <f aca="false">ROUND($K142-$BM142,2)</f>
        <v>-11634.57</v>
      </c>
      <c r="BK142" s="26" t="n">
        <f aca="false">RANK($BJ142,'Your Accounts'!$BJ$6:$BJ$185)</f>
        <v>173</v>
      </c>
      <c r="BL142" s="15" t="n">
        <f aca="false">SUMIF('Your Accounts'!$BK$6:$BK$185,"&lt;="&amp;$BK142,'Your Accounts'!$BJ$6:$BJ$185)</f>
        <v>11100011</v>
      </c>
      <c r="BM142" s="15" t="n">
        <f aca="false">ROUND($D142*Sensitivity!$C$40+Sensitivity!$D$40,2)</f>
        <v>17337.5</v>
      </c>
      <c r="BN142" s="15" t="n">
        <f aca="false">ROUND($K142-$BQ142,2)</f>
        <v>-15102.07</v>
      </c>
      <c r="BO142" s="26" t="n">
        <f aca="false">RANK($BN142,'Your Accounts'!$BN$6:$BN$185)</f>
        <v>172</v>
      </c>
      <c r="BP142" s="15" t="n">
        <f aca="false">SUMIF('Your Accounts'!$BO$6:$BO$185,"&lt;="&amp;$BO142,'Your Accounts'!$BN$6:$BN$185)</f>
        <v>10313207.95</v>
      </c>
      <c r="BQ142" s="15" t="n">
        <f aca="false">ROUND($D142*Sensitivity!$C$41+Sensitivity!$D$41,2)</f>
        <v>20805</v>
      </c>
    </row>
    <row r="143" customFormat="false" ht="15" hidden="false" customHeight="false" outlineLevel="0" collapsed="false">
      <c r="B143" s="18" t="s">
        <v>255</v>
      </c>
      <c r="C143" s="18" t="s">
        <v>218</v>
      </c>
      <c r="D143" s="24" t="n">
        <v>28</v>
      </c>
      <c r="E143" s="26" t="n">
        <f aca="false">SUMIF('Your Lines'!$B$6:$B$463,$B143,'Your Lines'!$E$6:$E$463)</f>
        <v>1438</v>
      </c>
      <c r="F143" s="15" t="n">
        <f aca="false">ROUND(SUMIF('Your Lines'!$B$6:$B$463,$B143,'Your Lines'!$J$6:$J$463),2)</f>
        <v>123844</v>
      </c>
      <c r="G143" s="15" t="n">
        <f aca="false">ROUND(SUMIF('Your Lines'!$B$6:$B$463,$B143,'Your Lines'!$G$6:$G$463),2)</f>
        <v>112261.94</v>
      </c>
      <c r="H143" s="25" t="n">
        <f aca="false">$G143/$F143</f>
        <v>0.906478634411033</v>
      </c>
      <c r="I143" s="15" t="n">
        <f aca="false">ROUND(SUMIF('Your Lines'!$B$6:$B$463,$B143,'Your Lines'!$K$6:$K$463),2)</f>
        <v>70392</v>
      </c>
      <c r="J143" s="15" t="n">
        <f aca="false">ROUND(SUMIF('Your Lines'!$B$6:$B$463,$B143,'Your Lines'!$L$6:$L$463),2)</f>
        <v>2267.92</v>
      </c>
      <c r="K143" s="15" t="n">
        <f aca="false">ROUND($G143-$I143-$J143,2)</f>
        <v>39602.02</v>
      </c>
      <c r="L143" s="15" t="n">
        <f aca="false">ROUND($D143*'Your Inputs'!$C$40+'Your Inputs'!$C$41,2)</f>
        <v>10560</v>
      </c>
      <c r="M143" s="15" t="n">
        <f aca="false">ROUND($K143-$L143,2)</f>
        <v>29042.02</v>
      </c>
      <c r="N143" s="26" t="n">
        <f aca="false">RANK($M143,'Your Accounts'!$M$6:$M$185)</f>
        <v>106</v>
      </c>
      <c r="O143" s="15" t="n">
        <f aca="false">SUMIF('Your Accounts'!$N$6:$N$185,"&lt;="&amp;$N143,'Your Accounts'!$M$6:$M$185)</f>
        <v>12548210.24</v>
      </c>
      <c r="P143" s="15"/>
      <c r="Q143" s="26" t="n">
        <f aca="false">COUNTIFS('Your Lines'!$B$6:$B$463,$B143,'Your Lines'!$R$6:$R$463,"below the floor")</f>
        <v>3</v>
      </c>
      <c r="R143" s="15" t="n">
        <f aca="false">IF(Q143&gt;0,$K143,0)</f>
        <v>39602.02</v>
      </c>
      <c r="AN143" s="15" t="n">
        <f aca="false">IF(VLOOKUP($C143,'Your Floors'!$B$53:$F$56,5,FALSE())="yes",0,$R143)</f>
        <v>39602.02</v>
      </c>
      <c r="AP143" s="15" t="n">
        <f aca="false">ROUND($K143-$AS143,2)</f>
        <v>34322.02</v>
      </c>
      <c r="AQ143" s="26" t="n">
        <f aca="false">RANK($AP143,'Your Accounts'!$AP$6:$AP$185)</f>
        <v>104</v>
      </c>
      <c r="AR143" s="15" t="n">
        <f aca="false">SUMIF('Your Accounts'!$AQ$6:$AQ$185,"&lt;="&amp;$AQ143,'Your Accounts'!$AP$6:$AP$185)</f>
        <v>13001558.82</v>
      </c>
      <c r="AS143" s="15" t="n">
        <f aca="false">ROUND($D143*Sensitivity!$C$35+Sensitivity!$D$35,2)</f>
        <v>5280</v>
      </c>
      <c r="AT143" s="15" t="n">
        <f aca="false">ROUND($K143-$AW143,2)</f>
        <v>29042.02</v>
      </c>
      <c r="AU143" s="26" t="n">
        <f aca="false">RANK($AT143,'Your Accounts'!$AT$6:$AT$185)</f>
        <v>106</v>
      </c>
      <c r="AV143" s="15" t="n">
        <f aca="false">SUMIF('Your Accounts'!$AU$6:$AU$185,"&lt;="&amp;$AU143,'Your Accounts'!$AT$6:$AT$185)</f>
        <v>12548210.24</v>
      </c>
      <c r="AW143" s="15" t="n">
        <f aca="false">ROUND($D143*Sensitivity!$C$36+Sensitivity!$D$36,2)</f>
        <v>10560</v>
      </c>
      <c r="AX143" s="15" t="n">
        <f aca="false">ROUND($K143-$BA143,2)</f>
        <v>26402.02</v>
      </c>
      <c r="AY143" s="26" t="n">
        <f aca="false">RANK($AX143,'Your Accounts'!$AX$6:$AX$185)</f>
        <v>107</v>
      </c>
      <c r="AZ143" s="15" t="n">
        <f aca="false">SUMIF('Your Accounts'!$AY$6:$AY$185,"&lt;="&amp;$AY143,'Your Accounts'!$AX$6:$AX$185)</f>
        <v>12314376.31</v>
      </c>
      <c r="BA143" s="15" t="n">
        <f aca="false">ROUND($D143*Sensitivity!$C$37+Sensitivity!$D$37,2)</f>
        <v>13200</v>
      </c>
      <c r="BB143" s="15" t="n">
        <f aca="false">ROUND($K143-$BE143,2)</f>
        <v>23762.02</v>
      </c>
      <c r="BC143" s="26" t="n">
        <f aca="false">RANK($BB143,'Your Accounts'!$BB$6:$BB$185)</f>
        <v>106</v>
      </c>
      <c r="BD143" s="15" t="n">
        <f aca="false">SUMIF('Your Accounts'!$BC$6:$BC$185,"&lt;="&amp;$BC143,'Your Accounts'!$BB$6:$BB$185)</f>
        <v>12028003.04</v>
      </c>
      <c r="BE143" s="15" t="n">
        <f aca="false">ROUND($D143*Sensitivity!$C$38+Sensitivity!$D$38,2)</f>
        <v>15840</v>
      </c>
      <c r="BF143" s="15" t="n">
        <f aca="false">ROUND($K143-$BI143,2)</f>
        <v>18482.02</v>
      </c>
      <c r="BG143" s="26" t="n">
        <f aca="false">RANK($BF143,'Your Accounts'!$BF$6:$BF$185)</f>
        <v>107</v>
      </c>
      <c r="BH143" s="15" t="n">
        <f aca="false">SUMIF('Your Accounts'!$BG$6:$BG$185,"&lt;="&amp;$BG143,'Your Accounts'!$BF$6:$BF$185)</f>
        <v>11527686.21</v>
      </c>
      <c r="BI143" s="15" t="n">
        <f aca="false">ROUND($D143*Sensitivity!$C$39+Sensitivity!$D$39,2)</f>
        <v>21120</v>
      </c>
      <c r="BJ143" s="15" t="n">
        <f aca="false">ROUND($K143-$BM143,2)</f>
        <v>13202.02</v>
      </c>
      <c r="BK143" s="26" t="n">
        <f aca="false">RANK($BJ143,'Your Accounts'!$BJ$6:$BJ$185)</f>
        <v>109</v>
      </c>
      <c r="BL143" s="15" t="n">
        <f aca="false">SUMIF('Your Accounts'!$BK$6:$BK$185,"&lt;="&amp;$BK143,'Your Accounts'!$BJ$6:$BJ$185)</f>
        <v>11033493.97</v>
      </c>
      <c r="BM143" s="15" t="n">
        <f aca="false">ROUND($D143*Sensitivity!$C$40+Sensitivity!$D$40,2)</f>
        <v>26400</v>
      </c>
      <c r="BN143" s="15" t="n">
        <f aca="false">ROUND($K143-$BQ143,2)</f>
        <v>7922.02</v>
      </c>
      <c r="BO143" s="26" t="n">
        <f aca="false">RANK($BN143,'Your Accounts'!$BN$6:$BN$185)</f>
        <v>110</v>
      </c>
      <c r="BP143" s="15" t="n">
        <f aca="false">SUMIF('Your Accounts'!$BO$6:$BO$185,"&lt;="&amp;$BO143,'Your Accounts'!$BN$6:$BN$185)</f>
        <v>10513179.83</v>
      </c>
      <c r="BQ143" s="15" t="n">
        <f aca="false">ROUND($D143*Sensitivity!$C$41+Sensitivity!$D$41,2)</f>
        <v>31680</v>
      </c>
    </row>
    <row r="144" customFormat="false" ht="15" hidden="false" customHeight="false" outlineLevel="0" collapsed="false">
      <c r="B144" s="18" t="s">
        <v>256</v>
      </c>
      <c r="C144" s="18" t="s">
        <v>218</v>
      </c>
      <c r="D144" s="24" t="n">
        <v>11</v>
      </c>
      <c r="E144" s="26" t="n">
        <f aca="false">SUMIF('Your Lines'!$B$6:$B$463,$B144,'Your Lines'!$E$6:$E$463)</f>
        <v>462</v>
      </c>
      <c r="F144" s="15" t="n">
        <f aca="false">ROUND(SUMIF('Your Lines'!$B$6:$B$463,$B144,'Your Lines'!$J$6:$J$463),2)</f>
        <v>53556</v>
      </c>
      <c r="G144" s="15" t="n">
        <f aca="false">ROUND(SUMIF('Your Lines'!$B$6:$B$463,$B144,'Your Lines'!$G$6:$G$463),2)</f>
        <v>51968.39</v>
      </c>
      <c r="H144" s="25" t="n">
        <f aca="false">$G144/$F144</f>
        <v>0.970356075883188</v>
      </c>
      <c r="I144" s="15" t="n">
        <f aca="false">ROUND(SUMIF('Your Lines'!$B$6:$B$463,$B144,'Your Lines'!$K$6:$K$463),2)</f>
        <v>30336</v>
      </c>
      <c r="J144" s="15" t="n">
        <f aca="false">ROUND(SUMIF('Your Lines'!$B$6:$B$463,$B144,'Your Lines'!$L$6:$L$463),2)</f>
        <v>1049.87</v>
      </c>
      <c r="K144" s="15" t="n">
        <f aca="false">ROUND($G144-$I144-$J144,2)</f>
        <v>20582.52</v>
      </c>
      <c r="L144" s="15" t="n">
        <f aca="false">ROUND($D144*'Your Inputs'!$C$40+'Your Inputs'!$C$41,2)</f>
        <v>8095</v>
      </c>
      <c r="M144" s="15" t="n">
        <f aca="false">ROUND($K144-$L144,2)</f>
        <v>12487.52</v>
      </c>
      <c r="N144" s="26" t="n">
        <f aca="false">RANK($M144,'Your Accounts'!$M$6:$M$185)</f>
        <v>147</v>
      </c>
      <c r="O144" s="15" t="n">
        <f aca="false">SUMIF('Your Accounts'!$N$6:$N$185,"&lt;="&amp;$N144,'Your Accounts'!$M$6:$M$185)</f>
        <v>13348149.5</v>
      </c>
      <c r="P144" s="15"/>
      <c r="Q144" s="26" t="n">
        <f aca="false">COUNTIFS('Your Lines'!$B$6:$B$463,$B144,'Your Lines'!$R$6:$R$463,"below the floor")</f>
        <v>0</v>
      </c>
      <c r="R144" s="15" t="n">
        <f aca="false">IF(Q144&gt;0,$K144,0)</f>
        <v>0</v>
      </c>
      <c r="AN144" s="15" t="n">
        <f aca="false">IF(VLOOKUP($C144,'Your Floors'!$B$53:$F$56,5,FALSE())="yes",0,$R144)</f>
        <v>0</v>
      </c>
      <c r="AP144" s="15" t="n">
        <f aca="false">ROUND($K144-$AS144,2)</f>
        <v>16535.02</v>
      </c>
      <c r="AQ144" s="26" t="n">
        <f aca="false">RANK($AP144,'Your Accounts'!$AP$6:$AP$185)</f>
        <v>147</v>
      </c>
      <c r="AR144" s="15" t="n">
        <f aca="false">SUMIF('Your Accounts'!$AQ$6:$AQ$185,"&lt;="&amp;$AQ144,'Your Accounts'!$AP$6:$AP$185)</f>
        <v>14047862.92</v>
      </c>
      <c r="AS144" s="15" t="n">
        <f aca="false">ROUND($D144*Sensitivity!$C$35+Sensitivity!$D$35,2)</f>
        <v>4047.5</v>
      </c>
      <c r="AT144" s="15" t="n">
        <f aca="false">ROUND($K144-$AW144,2)</f>
        <v>12487.52</v>
      </c>
      <c r="AU144" s="26" t="n">
        <f aca="false">RANK($AT144,'Your Accounts'!$AT$6:$AT$185)</f>
        <v>147</v>
      </c>
      <c r="AV144" s="15" t="n">
        <f aca="false">SUMIF('Your Accounts'!$AU$6:$AU$185,"&lt;="&amp;$AU144,'Your Accounts'!$AT$6:$AT$185)</f>
        <v>13348149.5</v>
      </c>
      <c r="AW144" s="15" t="n">
        <f aca="false">ROUND($D144*Sensitivity!$C$36+Sensitivity!$D$36,2)</f>
        <v>8095</v>
      </c>
      <c r="AX144" s="15" t="n">
        <f aca="false">ROUND($K144-$BA144,2)</f>
        <v>10463.77</v>
      </c>
      <c r="AY144" s="26" t="n">
        <f aca="false">RANK($AX144,'Your Accounts'!$AX$6:$AX$185)</f>
        <v>146</v>
      </c>
      <c r="AZ144" s="15" t="n">
        <f aca="false">SUMIF('Your Accounts'!$AY$6:$AY$185,"&lt;="&amp;$AY144,'Your Accounts'!$AX$6:$AX$185)</f>
        <v>12988807.27</v>
      </c>
      <c r="BA144" s="15" t="n">
        <f aca="false">ROUND($D144*Sensitivity!$C$37+Sensitivity!$D$37,2)</f>
        <v>10118.75</v>
      </c>
      <c r="BB144" s="15" t="n">
        <f aca="false">ROUND($K144-$BE144,2)</f>
        <v>8440.02</v>
      </c>
      <c r="BC144" s="26" t="n">
        <f aca="false">RANK($BB144,'Your Accounts'!$BB$6:$BB$185)</f>
        <v>146</v>
      </c>
      <c r="BD144" s="15" t="n">
        <f aca="false">SUMIF('Your Accounts'!$BC$6:$BC$185,"&lt;="&amp;$BC144,'Your Accounts'!$BB$6:$BB$185)</f>
        <v>12642009.77</v>
      </c>
      <c r="BE144" s="15" t="n">
        <f aca="false">ROUND($D144*Sensitivity!$C$38+Sensitivity!$D$38,2)</f>
        <v>12142.5</v>
      </c>
      <c r="BF144" s="15" t="n">
        <f aca="false">ROUND($K144-$BI144,2)</f>
        <v>4392.52</v>
      </c>
      <c r="BG144" s="26" t="n">
        <f aca="false">RANK($BF144,'Your Accounts'!$BF$6:$BF$185)</f>
        <v>145</v>
      </c>
      <c r="BH144" s="15" t="n">
        <f aca="false">SUMIF('Your Accounts'!$BG$6:$BG$185,"&lt;="&amp;$BG144,'Your Accounts'!$BF$6:$BF$185)</f>
        <v>11944164.06</v>
      </c>
      <c r="BI144" s="15" t="n">
        <f aca="false">ROUND($D144*Sensitivity!$C$39+Sensitivity!$D$39,2)</f>
        <v>16190</v>
      </c>
      <c r="BJ144" s="15" t="n">
        <f aca="false">ROUND($K144-$BM144,2)</f>
        <v>345.02</v>
      </c>
      <c r="BK144" s="26" t="n">
        <f aca="false">RANK($BJ144,'Your Accounts'!$BJ$6:$BJ$185)</f>
        <v>144</v>
      </c>
      <c r="BL144" s="15" t="n">
        <f aca="false">SUMIF('Your Accounts'!$BK$6:$BK$185,"&lt;="&amp;$BK144,'Your Accounts'!$BJ$6:$BJ$185)</f>
        <v>11255556.69</v>
      </c>
      <c r="BM144" s="15" t="n">
        <f aca="false">ROUND($D144*Sensitivity!$C$40+Sensitivity!$D$40,2)</f>
        <v>20237.5</v>
      </c>
      <c r="BN144" s="15" t="n">
        <f aca="false">ROUND($K144-$BQ144,2)</f>
        <v>-3702.48</v>
      </c>
      <c r="BO144" s="26" t="n">
        <f aca="false">RANK($BN144,'Your Accounts'!$BN$6:$BN$185)</f>
        <v>143</v>
      </c>
      <c r="BP144" s="15" t="n">
        <f aca="false">SUMIF('Your Accounts'!$BO$6:$BO$185,"&lt;="&amp;$BO144,'Your Accounts'!$BN$6:$BN$185)</f>
        <v>10575433.65</v>
      </c>
      <c r="BQ144" s="15" t="n">
        <f aca="false">ROUND($D144*Sensitivity!$C$41+Sensitivity!$D$41,2)</f>
        <v>24285</v>
      </c>
    </row>
    <row r="145" customFormat="false" ht="15" hidden="false" customHeight="false" outlineLevel="0" collapsed="false">
      <c r="B145" s="18" t="s">
        <v>257</v>
      </c>
      <c r="C145" s="18" t="s">
        <v>218</v>
      </c>
      <c r="D145" s="24" t="n">
        <v>7</v>
      </c>
      <c r="E145" s="26" t="n">
        <f aca="false">SUMIF('Your Lines'!$B$6:$B$463,$B145,'Your Lines'!$E$6:$E$463)</f>
        <v>229</v>
      </c>
      <c r="F145" s="15" t="n">
        <f aca="false">ROUND(SUMIF('Your Lines'!$B$6:$B$463,$B145,'Your Lines'!$J$6:$J$463),2)</f>
        <v>25676</v>
      </c>
      <c r="G145" s="15" t="n">
        <f aca="false">ROUND(SUMIF('Your Lines'!$B$6:$B$463,$B145,'Your Lines'!$G$6:$G$463),2)</f>
        <v>24271.64</v>
      </c>
      <c r="H145" s="25" t="n">
        <f aca="false">$G145/$F145</f>
        <v>0.945304564573921</v>
      </c>
      <c r="I145" s="15" t="n">
        <f aca="false">ROUND(SUMIF('Your Lines'!$B$6:$B$463,$B145,'Your Lines'!$K$6:$K$463),2)</f>
        <v>14702</v>
      </c>
      <c r="J145" s="15" t="n">
        <f aca="false">ROUND(SUMIF('Your Lines'!$B$6:$B$463,$B145,'Your Lines'!$L$6:$L$463),2)</f>
        <v>490.33</v>
      </c>
      <c r="K145" s="15" t="n">
        <f aca="false">ROUND($G145-$I145-$J145,2)</f>
        <v>9079.31</v>
      </c>
      <c r="L145" s="15" t="n">
        <f aca="false">ROUND($D145*'Your Inputs'!$C$40+'Your Inputs'!$C$41,2)</f>
        <v>7515</v>
      </c>
      <c r="M145" s="15" t="n">
        <f aca="false">ROUND($K145-$L145,2)</f>
        <v>1564.31</v>
      </c>
      <c r="N145" s="26" t="n">
        <f aca="false">RANK($M145,'Your Accounts'!$M$6:$M$185)</f>
        <v>167</v>
      </c>
      <c r="O145" s="15" t="n">
        <f aca="false">SUMIF('Your Accounts'!$N$6:$N$185,"&lt;="&amp;$N145,'Your Accounts'!$M$6:$M$185)</f>
        <v>13505647.54</v>
      </c>
      <c r="P145" s="15"/>
      <c r="Q145" s="26" t="n">
        <f aca="false">COUNTIFS('Your Lines'!$B$6:$B$463,$B145,'Your Lines'!$R$6:$R$463,"below the floor")</f>
        <v>0</v>
      </c>
      <c r="R145" s="15" t="n">
        <f aca="false">IF(Q145&gt;0,$K145,0)</f>
        <v>0</v>
      </c>
      <c r="AN145" s="15" t="n">
        <f aca="false">IF(VLOOKUP($C145,'Your Floors'!$B$53:$F$56,5,FALSE())="yes",0,$R145)</f>
        <v>0</v>
      </c>
      <c r="AP145" s="15" t="n">
        <f aca="false">ROUND($K145-$AS145,2)</f>
        <v>5321.81</v>
      </c>
      <c r="AQ145" s="26" t="n">
        <f aca="false">RANK($AP145,'Your Accounts'!$AP$6:$AP$185)</f>
        <v>168</v>
      </c>
      <c r="AR145" s="15" t="n">
        <f aca="false">SUMIF('Your Accounts'!$AQ$6:$AQ$185,"&lt;="&amp;$AQ145,'Your Accounts'!$AP$6:$AP$185)</f>
        <v>14291300.02</v>
      </c>
      <c r="AS145" s="15" t="n">
        <f aca="false">ROUND($D145*Sensitivity!$C$35+Sensitivity!$D$35,2)</f>
        <v>3757.5</v>
      </c>
      <c r="AT145" s="15" t="n">
        <f aca="false">ROUND($K145-$AW145,2)</f>
        <v>1564.31</v>
      </c>
      <c r="AU145" s="26" t="n">
        <f aca="false">RANK($AT145,'Your Accounts'!$AT$6:$AT$185)</f>
        <v>167</v>
      </c>
      <c r="AV145" s="15" t="n">
        <f aca="false">SUMIF('Your Accounts'!$AU$6:$AU$185,"&lt;="&amp;$AU145,'Your Accounts'!$AT$6:$AT$185)</f>
        <v>13505647.54</v>
      </c>
      <c r="AW145" s="15" t="n">
        <f aca="false">ROUND($D145*Sensitivity!$C$36+Sensitivity!$D$36,2)</f>
        <v>7515</v>
      </c>
      <c r="AX145" s="15" t="n">
        <f aca="false">ROUND($K145-$BA145,2)</f>
        <v>-314.44</v>
      </c>
      <c r="AY145" s="26" t="n">
        <f aca="false">RANK($AX145,'Your Accounts'!$AX$6:$AX$185)</f>
        <v>167</v>
      </c>
      <c r="AZ145" s="15" t="n">
        <f aca="false">SUMIF('Your Accounts'!$AY$6:$AY$185,"&lt;="&amp;$AY145,'Your Accounts'!$AX$6:$AX$185)</f>
        <v>13115553.79</v>
      </c>
      <c r="BA145" s="15" t="n">
        <f aca="false">ROUND($D145*Sensitivity!$C$37+Sensitivity!$D$37,2)</f>
        <v>9393.75</v>
      </c>
      <c r="BB145" s="15" t="n">
        <f aca="false">ROUND($K145-$BE145,2)</f>
        <v>-2193.19</v>
      </c>
      <c r="BC145" s="26" t="n">
        <f aca="false">RANK($BB145,'Your Accounts'!$BB$6:$BB$185)</f>
        <v>167</v>
      </c>
      <c r="BD145" s="15" t="n">
        <f aca="false">SUMIF('Your Accounts'!$BC$6:$BC$185,"&lt;="&amp;$BC145,'Your Accounts'!$BB$6:$BB$185)</f>
        <v>12725460.04</v>
      </c>
      <c r="BE145" s="15" t="n">
        <f aca="false">ROUND($D145*Sensitivity!$C$38+Sensitivity!$D$38,2)</f>
        <v>11272.5</v>
      </c>
      <c r="BF145" s="15" t="n">
        <f aca="false">ROUND($K145-$BI145,2)</f>
        <v>-5950.69</v>
      </c>
      <c r="BG145" s="26" t="n">
        <f aca="false">RANK($BF145,'Your Accounts'!$BF$6:$BF$185)</f>
        <v>167</v>
      </c>
      <c r="BH145" s="15" t="n">
        <f aca="false">SUMIF('Your Accounts'!$BG$6:$BG$185,"&lt;="&amp;$BG145,'Your Accounts'!$BF$6:$BF$185)</f>
        <v>11945272.54</v>
      </c>
      <c r="BI145" s="15" t="n">
        <f aca="false">ROUND($D145*Sensitivity!$C$39+Sensitivity!$D$39,2)</f>
        <v>15030</v>
      </c>
      <c r="BJ145" s="15" t="n">
        <f aca="false">ROUND($K145-$BM145,2)</f>
        <v>-9708.19</v>
      </c>
      <c r="BK145" s="26" t="n">
        <f aca="false">RANK($BJ145,'Your Accounts'!$BJ$6:$BJ$185)</f>
        <v>167</v>
      </c>
      <c r="BL145" s="15" t="n">
        <f aca="false">SUMIF('Your Accounts'!$BK$6:$BK$185,"&lt;="&amp;$BK145,'Your Accounts'!$BJ$6:$BJ$185)</f>
        <v>11165085.04</v>
      </c>
      <c r="BM145" s="15" t="n">
        <f aca="false">ROUND($D145*Sensitivity!$C$40+Sensitivity!$D$40,2)</f>
        <v>18787.5</v>
      </c>
      <c r="BN145" s="15" t="n">
        <f aca="false">ROUND($K145-$BQ145,2)</f>
        <v>-13465.69</v>
      </c>
      <c r="BO145" s="26" t="n">
        <f aca="false">RANK($BN145,'Your Accounts'!$BN$6:$BN$185)</f>
        <v>167</v>
      </c>
      <c r="BP145" s="15" t="n">
        <f aca="false">SUMIF('Your Accounts'!$BO$6:$BO$185,"&lt;="&amp;$BO145,'Your Accounts'!$BN$6:$BN$185)</f>
        <v>10384897.54</v>
      </c>
      <c r="BQ145" s="15" t="n">
        <f aca="false">ROUND($D145*Sensitivity!$C$41+Sensitivity!$D$41,2)</f>
        <v>22545</v>
      </c>
    </row>
    <row r="146" customFormat="false" ht="15" hidden="false" customHeight="false" outlineLevel="0" collapsed="false">
      <c r="B146" s="18" t="s">
        <v>258</v>
      </c>
      <c r="C146" s="18" t="s">
        <v>218</v>
      </c>
      <c r="D146" s="24" t="n">
        <v>19</v>
      </c>
      <c r="E146" s="26" t="n">
        <f aca="false">SUMIF('Your Lines'!$B$6:$B$463,$B146,'Your Lines'!$E$6:$E$463)</f>
        <v>1155</v>
      </c>
      <c r="F146" s="15" t="n">
        <f aca="false">ROUND(SUMIF('Your Lines'!$B$6:$B$463,$B146,'Your Lines'!$J$6:$J$463),2)</f>
        <v>102590</v>
      </c>
      <c r="G146" s="15" t="n">
        <f aca="false">ROUND(SUMIF('Your Lines'!$B$6:$B$463,$B146,'Your Lines'!$G$6:$G$463),2)</f>
        <v>90720.19</v>
      </c>
      <c r="H146" s="25" t="n">
        <f aca="false">$G146/$F146</f>
        <v>0.884298567111804</v>
      </c>
      <c r="I146" s="15" t="n">
        <f aca="false">ROUND(SUMIF('Your Lines'!$B$6:$B$463,$B146,'Your Lines'!$K$6:$K$463),2)</f>
        <v>58064</v>
      </c>
      <c r="J146" s="15" t="n">
        <f aca="false">ROUND(SUMIF('Your Lines'!$B$6:$B$463,$B146,'Your Lines'!$L$6:$L$463),2)</f>
        <v>1832.73</v>
      </c>
      <c r="K146" s="15" t="n">
        <f aca="false">ROUND($G146-$I146-$J146,2)</f>
        <v>30823.46</v>
      </c>
      <c r="L146" s="15" t="n">
        <f aca="false">ROUND($D146*'Your Inputs'!$C$40+'Your Inputs'!$C$41,2)</f>
        <v>9255</v>
      </c>
      <c r="M146" s="15" t="n">
        <f aca="false">ROUND($K146-$L146,2)</f>
        <v>21568.46</v>
      </c>
      <c r="N146" s="26" t="n">
        <f aca="false">RANK($M146,'Your Accounts'!$M$6:$M$185)</f>
        <v>123</v>
      </c>
      <c r="O146" s="15" t="n">
        <f aca="false">SUMIF('Your Accounts'!$N$6:$N$185,"&lt;="&amp;$N146,'Your Accounts'!$M$6:$M$185)</f>
        <v>12970400.6</v>
      </c>
      <c r="P146" s="15"/>
      <c r="Q146" s="26" t="n">
        <f aca="false">COUNTIFS('Your Lines'!$B$6:$B$463,$B146,'Your Lines'!$R$6:$R$463,"below the floor")</f>
        <v>3</v>
      </c>
      <c r="R146" s="15" t="n">
        <f aca="false">IF(Q146&gt;0,$K146,0)</f>
        <v>30823.46</v>
      </c>
      <c r="AN146" s="15" t="n">
        <f aca="false">IF(VLOOKUP($C146,'Your Floors'!$B$53:$F$56,5,FALSE())="yes",0,$R146)</f>
        <v>30823.46</v>
      </c>
      <c r="AP146" s="15" t="n">
        <f aca="false">ROUND($K146-$AS146,2)</f>
        <v>26195.96</v>
      </c>
      <c r="AQ146" s="26" t="n">
        <f aca="false">RANK($AP146,'Your Accounts'!$AP$6:$AP$185)</f>
        <v>122</v>
      </c>
      <c r="AR146" s="15" t="n">
        <f aca="false">SUMIF('Your Accounts'!$AQ$6:$AQ$185,"&lt;="&amp;$AQ146,'Your Accounts'!$AP$6:$AP$185)</f>
        <v>13540178.28</v>
      </c>
      <c r="AS146" s="15" t="n">
        <f aca="false">ROUND($D146*Sensitivity!$C$35+Sensitivity!$D$35,2)</f>
        <v>4627.5</v>
      </c>
      <c r="AT146" s="15" t="n">
        <f aca="false">ROUND($K146-$AW146,2)</f>
        <v>21568.46</v>
      </c>
      <c r="AU146" s="26" t="n">
        <f aca="false">RANK($AT146,'Your Accounts'!$AT$6:$AT$185)</f>
        <v>123</v>
      </c>
      <c r="AV146" s="15" t="n">
        <f aca="false">SUMIF('Your Accounts'!$AU$6:$AU$185,"&lt;="&amp;$AU146,'Your Accounts'!$AT$6:$AT$185)</f>
        <v>12970400.6</v>
      </c>
      <c r="AW146" s="15" t="n">
        <f aca="false">ROUND($D146*Sensitivity!$C$36+Sensitivity!$D$36,2)</f>
        <v>9255</v>
      </c>
      <c r="AX146" s="15" t="n">
        <f aca="false">ROUND($K146-$BA146,2)</f>
        <v>19254.71</v>
      </c>
      <c r="AY146" s="26" t="n">
        <f aca="false">RANK($AX146,'Your Accounts'!$AX$6:$AX$185)</f>
        <v>123</v>
      </c>
      <c r="AZ146" s="15" t="n">
        <f aca="false">SUMIF('Your Accounts'!$AY$6:$AY$185,"&lt;="&amp;$AY146,'Your Accounts'!$AX$6:$AX$185)</f>
        <v>12672650.6</v>
      </c>
      <c r="BA146" s="15" t="n">
        <f aca="false">ROUND($D146*Sensitivity!$C$37+Sensitivity!$D$37,2)</f>
        <v>11568.75</v>
      </c>
      <c r="BB146" s="15" t="n">
        <f aca="false">ROUND($K146-$BE146,2)</f>
        <v>16940.96</v>
      </c>
      <c r="BC146" s="26" t="n">
        <f aca="false">RANK($BB146,'Your Accounts'!$BB$6:$BB$185)</f>
        <v>123</v>
      </c>
      <c r="BD146" s="15" t="n">
        <f aca="false">SUMIF('Your Accounts'!$BC$6:$BC$185,"&lt;="&amp;$BC146,'Your Accounts'!$BB$6:$BB$185)</f>
        <v>12374900.6</v>
      </c>
      <c r="BE146" s="15" t="n">
        <f aca="false">ROUND($D146*Sensitivity!$C$38+Sensitivity!$D$38,2)</f>
        <v>13882.5</v>
      </c>
      <c r="BF146" s="15" t="n">
        <f aca="false">ROUND($K146-$BI146,2)</f>
        <v>12313.46</v>
      </c>
      <c r="BG146" s="26" t="n">
        <f aca="false">RANK($BF146,'Your Accounts'!$BF$6:$BF$185)</f>
        <v>124</v>
      </c>
      <c r="BH146" s="15" t="n">
        <f aca="false">SUMIF('Your Accounts'!$BG$6:$BG$185,"&lt;="&amp;$BG146,'Your Accounts'!$BF$6:$BF$185)</f>
        <v>11792320.1</v>
      </c>
      <c r="BI146" s="15" t="n">
        <f aca="false">ROUND($D146*Sensitivity!$C$39+Sensitivity!$D$39,2)</f>
        <v>18510</v>
      </c>
      <c r="BJ146" s="15" t="n">
        <f aca="false">ROUND($K146-$BM146,2)</f>
        <v>7685.96</v>
      </c>
      <c r="BK146" s="26" t="n">
        <f aca="false">RANK($BJ146,'Your Accounts'!$BJ$6:$BJ$185)</f>
        <v>123</v>
      </c>
      <c r="BL146" s="15" t="n">
        <f aca="false">SUMIF('Your Accounts'!$BK$6:$BK$185,"&lt;="&amp;$BK146,'Your Accounts'!$BJ$6:$BJ$185)</f>
        <v>11185746.52</v>
      </c>
      <c r="BM146" s="15" t="n">
        <f aca="false">ROUND($D146*Sensitivity!$C$40+Sensitivity!$D$40,2)</f>
        <v>23137.5</v>
      </c>
      <c r="BN146" s="15" t="n">
        <f aca="false">ROUND($K146-$BQ146,2)</f>
        <v>3058.46</v>
      </c>
      <c r="BO146" s="26" t="n">
        <f aca="false">RANK($BN146,'Your Accounts'!$BN$6:$BN$185)</f>
        <v>123</v>
      </c>
      <c r="BP146" s="15" t="n">
        <f aca="false">SUMIF('Your Accounts'!$BO$6:$BO$185,"&lt;="&amp;$BO146,'Your Accounts'!$BN$6:$BN$185)</f>
        <v>10592653.66</v>
      </c>
      <c r="BQ146" s="15" t="n">
        <f aca="false">ROUND($D146*Sensitivity!$C$41+Sensitivity!$D$41,2)</f>
        <v>27765</v>
      </c>
    </row>
    <row r="147" customFormat="false" ht="15" hidden="false" customHeight="false" outlineLevel="0" collapsed="false">
      <c r="B147" s="18" t="s">
        <v>259</v>
      </c>
      <c r="C147" s="18" t="s">
        <v>218</v>
      </c>
      <c r="D147" s="24" t="n">
        <v>24</v>
      </c>
      <c r="E147" s="26" t="n">
        <f aca="false">SUMIF('Your Lines'!$B$6:$B$463,$B147,'Your Lines'!$E$6:$E$463)</f>
        <v>1343</v>
      </c>
      <c r="F147" s="15" t="n">
        <f aca="false">ROUND(SUMIF('Your Lines'!$B$6:$B$463,$B147,'Your Lines'!$J$6:$J$463),2)</f>
        <v>113244</v>
      </c>
      <c r="G147" s="15" t="n">
        <f aca="false">ROUND(SUMIF('Your Lines'!$B$6:$B$463,$B147,'Your Lines'!$G$6:$G$463),2)</f>
        <v>106492.4</v>
      </c>
      <c r="H147" s="25" t="n">
        <f aca="false">$G147/$F147</f>
        <v>0.940380064285967</v>
      </c>
      <c r="I147" s="15" t="n">
        <f aca="false">ROUND(SUMIF('Your Lines'!$B$6:$B$463,$B147,'Your Lines'!$K$6:$K$463),2)</f>
        <v>64170</v>
      </c>
      <c r="J147" s="15" t="n">
        <f aca="false">ROUND(SUMIF('Your Lines'!$B$6:$B$463,$B147,'Your Lines'!$L$6:$L$463),2)</f>
        <v>2151.37</v>
      </c>
      <c r="K147" s="15" t="n">
        <f aca="false">ROUND($G147-$I147-$J147,2)</f>
        <v>40171.03</v>
      </c>
      <c r="L147" s="15" t="n">
        <f aca="false">ROUND($D147*'Your Inputs'!$C$40+'Your Inputs'!$C$41,2)</f>
        <v>9980</v>
      </c>
      <c r="M147" s="15" t="n">
        <f aca="false">ROUND($K147-$L147,2)</f>
        <v>30191.03</v>
      </c>
      <c r="N147" s="26" t="n">
        <f aca="false">RANK($M147,'Your Accounts'!$M$6:$M$185)</f>
        <v>103</v>
      </c>
      <c r="O147" s="15" t="n">
        <f aca="false">SUMIF('Your Accounts'!$N$6:$N$185,"&lt;="&amp;$N147,'Your Accounts'!$M$6:$M$185)</f>
        <v>12459797.38</v>
      </c>
      <c r="P147" s="15"/>
      <c r="Q147" s="26" t="n">
        <f aca="false">COUNTIFS('Your Lines'!$B$6:$B$463,$B147,'Your Lines'!$R$6:$R$463,"below the floor")</f>
        <v>0</v>
      </c>
      <c r="R147" s="15" t="n">
        <f aca="false">IF(Q147&gt;0,$K147,0)</f>
        <v>0</v>
      </c>
      <c r="AN147" s="15" t="n">
        <f aca="false">IF(VLOOKUP($C147,'Your Floors'!$B$53:$F$56,5,FALSE())="yes",0,$R147)</f>
        <v>0</v>
      </c>
      <c r="AP147" s="15" t="n">
        <f aca="false">ROUND($K147-$AS147,2)</f>
        <v>35181.03</v>
      </c>
      <c r="AQ147" s="26" t="n">
        <f aca="false">RANK($AP147,'Your Accounts'!$AP$6:$AP$185)</f>
        <v>102</v>
      </c>
      <c r="AR147" s="15" t="n">
        <f aca="false">SUMIF('Your Accounts'!$AQ$6:$AQ$185,"&lt;="&amp;$AQ147,'Your Accounts'!$AP$6:$AP$185)</f>
        <v>12932121.03</v>
      </c>
      <c r="AS147" s="15" t="n">
        <f aca="false">ROUND($D147*Sensitivity!$C$35+Sensitivity!$D$35,2)</f>
        <v>4990</v>
      </c>
      <c r="AT147" s="15" t="n">
        <f aca="false">ROUND($K147-$AW147,2)</f>
        <v>30191.03</v>
      </c>
      <c r="AU147" s="26" t="n">
        <f aca="false">RANK($AT147,'Your Accounts'!$AT$6:$AT$185)</f>
        <v>103</v>
      </c>
      <c r="AV147" s="15" t="n">
        <f aca="false">SUMIF('Your Accounts'!$AU$6:$AU$185,"&lt;="&amp;$AU147,'Your Accounts'!$AT$6:$AT$185)</f>
        <v>12459797.38</v>
      </c>
      <c r="AW147" s="15" t="n">
        <f aca="false">ROUND($D147*Sensitivity!$C$36+Sensitivity!$D$36,2)</f>
        <v>9980</v>
      </c>
      <c r="AX147" s="15" t="n">
        <f aca="false">ROUND($K147-$BA147,2)</f>
        <v>27696.03</v>
      </c>
      <c r="AY147" s="26" t="n">
        <f aca="false">RANK($AX147,'Your Accounts'!$AX$6:$AX$185)</f>
        <v>104</v>
      </c>
      <c r="AZ147" s="15" t="n">
        <f aca="false">SUMIF('Your Accounts'!$AY$6:$AY$185,"&lt;="&amp;$AY147,'Your Accounts'!$AX$6:$AX$185)</f>
        <v>12234419.95</v>
      </c>
      <c r="BA147" s="15" t="n">
        <f aca="false">ROUND($D147*Sensitivity!$C$37+Sensitivity!$D$37,2)</f>
        <v>12475</v>
      </c>
      <c r="BB147" s="15" t="n">
        <f aca="false">ROUND($K147-$BE147,2)</f>
        <v>25201.03</v>
      </c>
      <c r="BC147" s="26" t="n">
        <f aca="false">RANK($BB147,'Your Accounts'!$BB$6:$BB$185)</f>
        <v>101</v>
      </c>
      <c r="BD147" s="15" t="n">
        <f aca="false">SUMIF('Your Accounts'!$BC$6:$BC$185,"&lt;="&amp;$BC147,'Your Accounts'!$BB$6:$BB$185)</f>
        <v>11904249.63</v>
      </c>
      <c r="BE147" s="15" t="n">
        <f aca="false">ROUND($D147*Sensitivity!$C$38+Sensitivity!$D$38,2)</f>
        <v>14970</v>
      </c>
      <c r="BF147" s="15" t="n">
        <f aca="false">ROUND($K147-$BI147,2)</f>
        <v>20211.03</v>
      </c>
      <c r="BG147" s="26" t="n">
        <f aca="false">RANK($BF147,'Your Accounts'!$BF$6:$BF$185)</f>
        <v>102</v>
      </c>
      <c r="BH147" s="15" t="n">
        <f aca="false">SUMIF('Your Accounts'!$BG$6:$BG$185,"&lt;="&amp;$BG147,'Your Accounts'!$BF$6:$BF$185)</f>
        <v>11432110.7</v>
      </c>
      <c r="BI147" s="15" t="n">
        <f aca="false">ROUND($D147*Sensitivity!$C$39+Sensitivity!$D$39,2)</f>
        <v>19960</v>
      </c>
      <c r="BJ147" s="15" t="n">
        <f aca="false">ROUND($K147-$BM147,2)</f>
        <v>15221.03</v>
      </c>
      <c r="BK147" s="26" t="n">
        <f aca="false">RANK($BJ147,'Your Accounts'!$BJ$6:$BJ$185)</f>
        <v>103</v>
      </c>
      <c r="BL147" s="15" t="n">
        <f aca="false">SUMIF('Your Accounts'!$BK$6:$BK$185,"&lt;="&amp;$BK147,'Your Accounts'!$BJ$6:$BJ$185)</f>
        <v>10950171.37</v>
      </c>
      <c r="BM147" s="15" t="n">
        <f aca="false">ROUND($D147*Sensitivity!$C$40+Sensitivity!$D$40,2)</f>
        <v>24950</v>
      </c>
      <c r="BN147" s="15" t="n">
        <f aca="false">ROUND($K147-$BQ147,2)</f>
        <v>10231.03</v>
      </c>
      <c r="BO147" s="26" t="n">
        <f aca="false">RANK($BN147,'Your Accounts'!$BN$6:$BN$185)</f>
        <v>105</v>
      </c>
      <c r="BP147" s="15" t="n">
        <f aca="false">SUMIF('Your Accounts'!$BO$6:$BO$185,"&lt;="&amp;$BO147,'Your Accounts'!$BN$6:$BN$185)</f>
        <v>10469492.07</v>
      </c>
      <c r="BQ147" s="15" t="n">
        <f aca="false">ROUND($D147*Sensitivity!$C$41+Sensitivity!$D$41,2)</f>
        <v>29940</v>
      </c>
    </row>
    <row r="148" customFormat="false" ht="15" hidden="false" customHeight="false" outlineLevel="0" collapsed="false">
      <c r="B148" s="18" t="s">
        <v>260</v>
      </c>
      <c r="C148" s="18" t="s">
        <v>218</v>
      </c>
      <c r="D148" s="24" t="n">
        <v>9</v>
      </c>
      <c r="E148" s="26" t="n">
        <f aca="false">SUMIF('Your Lines'!$B$6:$B$463,$B148,'Your Lines'!$E$6:$E$463)</f>
        <v>499</v>
      </c>
      <c r="F148" s="15" t="n">
        <f aca="false">ROUND(SUMIF('Your Lines'!$B$6:$B$463,$B148,'Your Lines'!$J$6:$J$463),2)</f>
        <v>30938</v>
      </c>
      <c r="G148" s="15" t="n">
        <f aca="false">ROUND(SUMIF('Your Lines'!$B$6:$B$463,$B148,'Your Lines'!$G$6:$G$463),2)</f>
        <v>29020.61</v>
      </c>
      <c r="H148" s="25" t="n">
        <f aca="false">$G148/$F148</f>
        <v>0.938024759195811</v>
      </c>
      <c r="I148" s="15" t="n">
        <f aca="false">ROUND(SUMIF('Your Lines'!$B$6:$B$463,$B148,'Your Lines'!$K$6:$K$463),2)</f>
        <v>17964</v>
      </c>
      <c r="J148" s="15" t="n">
        <f aca="false">ROUND(SUMIF('Your Lines'!$B$6:$B$463,$B148,'Your Lines'!$L$6:$L$463),2)</f>
        <v>586.28</v>
      </c>
      <c r="K148" s="15" t="n">
        <f aca="false">ROUND($G148-$I148-$J148,2)</f>
        <v>10470.33</v>
      </c>
      <c r="L148" s="15" t="n">
        <f aca="false">ROUND($D148*'Your Inputs'!$C$40+'Your Inputs'!$C$41,2)</f>
        <v>7805</v>
      </c>
      <c r="M148" s="15" t="n">
        <f aca="false">ROUND($K148-$L148,2)</f>
        <v>2665.33</v>
      </c>
      <c r="N148" s="26" t="n">
        <f aca="false">RANK($M148,'Your Accounts'!$M$6:$M$185)</f>
        <v>166</v>
      </c>
      <c r="O148" s="15" t="n">
        <f aca="false">SUMIF('Your Accounts'!$N$6:$N$185,"&lt;="&amp;$N148,'Your Accounts'!$M$6:$M$185)</f>
        <v>13504083.23</v>
      </c>
      <c r="P148" s="15"/>
      <c r="Q148" s="26" t="n">
        <f aca="false">COUNTIFS('Your Lines'!$B$6:$B$463,$B148,'Your Lines'!$R$6:$R$463,"below the floor")</f>
        <v>0</v>
      </c>
      <c r="R148" s="15" t="n">
        <f aca="false">IF(Q148&gt;0,$K148,0)</f>
        <v>0</v>
      </c>
      <c r="AN148" s="15" t="n">
        <f aca="false">IF(VLOOKUP($C148,'Your Floors'!$B$53:$F$56,5,FALSE())="yes",0,$R148)</f>
        <v>0</v>
      </c>
      <c r="AP148" s="15" t="n">
        <f aca="false">ROUND($K148-$AS148,2)</f>
        <v>6567.83</v>
      </c>
      <c r="AQ148" s="26" t="n">
        <f aca="false">RANK($AP148,'Your Accounts'!$AP$6:$AP$185)</f>
        <v>165</v>
      </c>
      <c r="AR148" s="15" t="n">
        <f aca="false">SUMIF('Your Accounts'!$AQ$6:$AQ$185,"&lt;="&amp;$AQ148,'Your Accounts'!$AP$6:$AP$185)</f>
        <v>14274212.23</v>
      </c>
      <c r="AS148" s="15" t="n">
        <f aca="false">ROUND($D148*Sensitivity!$C$35+Sensitivity!$D$35,2)</f>
        <v>3902.5</v>
      </c>
      <c r="AT148" s="15" t="n">
        <f aca="false">ROUND($K148-$AW148,2)</f>
        <v>2665.33</v>
      </c>
      <c r="AU148" s="26" t="n">
        <f aca="false">RANK($AT148,'Your Accounts'!$AT$6:$AT$185)</f>
        <v>166</v>
      </c>
      <c r="AV148" s="15" t="n">
        <f aca="false">SUMIF('Your Accounts'!$AU$6:$AU$185,"&lt;="&amp;$AU148,'Your Accounts'!$AT$6:$AT$185)</f>
        <v>13504083.23</v>
      </c>
      <c r="AW148" s="15" t="n">
        <f aca="false">ROUND($D148*Sensitivity!$C$36+Sensitivity!$D$36,2)</f>
        <v>7805</v>
      </c>
      <c r="AX148" s="15" t="n">
        <f aca="false">ROUND($K148-$BA148,2)</f>
        <v>714.08</v>
      </c>
      <c r="AY148" s="26" t="n">
        <f aca="false">RANK($AX148,'Your Accounts'!$AX$6:$AX$185)</f>
        <v>166</v>
      </c>
      <c r="AZ148" s="15" t="n">
        <f aca="false">SUMIF('Your Accounts'!$AY$6:$AY$185,"&lt;="&amp;$AY148,'Your Accounts'!$AX$6:$AX$185)</f>
        <v>13115868.23</v>
      </c>
      <c r="BA148" s="15" t="n">
        <f aca="false">ROUND($D148*Sensitivity!$C$37+Sensitivity!$D$37,2)</f>
        <v>9756.25</v>
      </c>
      <c r="BB148" s="15" t="n">
        <f aca="false">ROUND($K148-$BE148,2)</f>
        <v>-1237.17</v>
      </c>
      <c r="BC148" s="26" t="n">
        <f aca="false">RANK($BB148,'Your Accounts'!$BB$6:$BB$185)</f>
        <v>166</v>
      </c>
      <c r="BD148" s="15" t="n">
        <f aca="false">SUMIF('Your Accounts'!$BC$6:$BC$185,"&lt;="&amp;$BC148,'Your Accounts'!$BB$6:$BB$185)</f>
        <v>12727653.23</v>
      </c>
      <c r="BE148" s="15" t="n">
        <f aca="false">ROUND($D148*Sensitivity!$C$38+Sensitivity!$D$38,2)</f>
        <v>11707.5</v>
      </c>
      <c r="BF148" s="15" t="n">
        <f aca="false">ROUND($K148-$BI148,2)</f>
        <v>-5139.67</v>
      </c>
      <c r="BG148" s="26" t="n">
        <f aca="false">RANK($BF148,'Your Accounts'!$BF$6:$BF$185)</f>
        <v>166</v>
      </c>
      <c r="BH148" s="15" t="n">
        <f aca="false">SUMIF('Your Accounts'!$BG$6:$BG$185,"&lt;="&amp;$BG148,'Your Accounts'!$BF$6:$BF$185)</f>
        <v>11951223.23</v>
      </c>
      <c r="BI148" s="15" t="n">
        <f aca="false">ROUND($D148*Sensitivity!$C$39+Sensitivity!$D$39,2)</f>
        <v>15610</v>
      </c>
      <c r="BJ148" s="15" t="n">
        <f aca="false">ROUND($K148-$BM148,2)</f>
        <v>-9042.17</v>
      </c>
      <c r="BK148" s="26" t="n">
        <f aca="false">RANK($BJ148,'Your Accounts'!$BJ$6:$BJ$185)</f>
        <v>166</v>
      </c>
      <c r="BL148" s="15" t="n">
        <f aca="false">SUMIF('Your Accounts'!$BK$6:$BK$185,"&lt;="&amp;$BK148,'Your Accounts'!$BJ$6:$BJ$185)</f>
        <v>11174793.23</v>
      </c>
      <c r="BM148" s="15" t="n">
        <f aca="false">ROUND($D148*Sensitivity!$C$40+Sensitivity!$D$40,2)</f>
        <v>19512.5</v>
      </c>
      <c r="BN148" s="15" t="n">
        <f aca="false">ROUND($K148-$BQ148,2)</f>
        <v>-12944.67</v>
      </c>
      <c r="BO148" s="26" t="n">
        <f aca="false">RANK($BN148,'Your Accounts'!$BN$6:$BN$185)</f>
        <v>166</v>
      </c>
      <c r="BP148" s="15" t="n">
        <f aca="false">SUMIF('Your Accounts'!$BO$6:$BO$185,"&lt;="&amp;$BO148,'Your Accounts'!$BN$6:$BN$185)</f>
        <v>10398363.23</v>
      </c>
      <c r="BQ148" s="15" t="n">
        <f aca="false">ROUND($D148*Sensitivity!$C$41+Sensitivity!$D$41,2)</f>
        <v>23415</v>
      </c>
    </row>
    <row r="149" customFormat="false" ht="15" hidden="false" customHeight="false" outlineLevel="0" collapsed="false">
      <c r="B149" s="18" t="s">
        <v>261</v>
      </c>
      <c r="C149" s="18" t="s">
        <v>218</v>
      </c>
      <c r="D149" s="24" t="n">
        <v>39</v>
      </c>
      <c r="E149" s="26" t="n">
        <f aca="false">SUMIF('Your Lines'!$B$6:$B$463,$B149,'Your Lines'!$E$6:$E$463)</f>
        <v>2092</v>
      </c>
      <c r="F149" s="15" t="n">
        <f aca="false">ROUND(SUMIF('Your Lines'!$B$6:$B$463,$B149,'Your Lines'!$J$6:$J$463),2)</f>
        <v>129704</v>
      </c>
      <c r="G149" s="15" t="n">
        <f aca="false">ROUND(SUMIF('Your Lines'!$B$6:$B$463,$B149,'Your Lines'!$G$6:$G$463),2)</f>
        <v>120830.95</v>
      </c>
      <c r="H149" s="25" t="n">
        <f aca="false">$G149/$F149</f>
        <v>0.931590004934312</v>
      </c>
      <c r="I149" s="15" t="n">
        <f aca="false">ROUND(SUMIF('Your Lines'!$B$6:$B$463,$B149,'Your Lines'!$K$6:$K$463),2)</f>
        <v>75312</v>
      </c>
      <c r="J149" s="15" t="n">
        <f aca="false">ROUND(SUMIF('Your Lines'!$B$6:$B$463,$B149,'Your Lines'!$L$6:$L$463),2)</f>
        <v>2441.03</v>
      </c>
      <c r="K149" s="15" t="n">
        <f aca="false">ROUND($G149-$I149-$J149,2)</f>
        <v>43077.92</v>
      </c>
      <c r="L149" s="15" t="n">
        <f aca="false">ROUND($D149*'Your Inputs'!$C$40+'Your Inputs'!$C$41,2)</f>
        <v>12155</v>
      </c>
      <c r="M149" s="15" t="n">
        <f aca="false">ROUND($K149-$L149,2)</f>
        <v>30922.92</v>
      </c>
      <c r="N149" s="26" t="n">
        <f aca="false">RANK($M149,'Your Accounts'!$M$6:$M$185)</f>
        <v>99</v>
      </c>
      <c r="O149" s="15" t="n">
        <f aca="false">SUMIF('Your Accounts'!$N$6:$N$185,"&lt;="&amp;$N149,'Your Accounts'!$M$6:$M$185)</f>
        <v>12338212.6</v>
      </c>
      <c r="P149" s="15"/>
      <c r="Q149" s="26" t="n">
        <f aca="false">COUNTIFS('Your Lines'!$B$6:$B$463,$B149,'Your Lines'!$R$6:$R$463,"below the floor")</f>
        <v>0</v>
      </c>
      <c r="R149" s="15" t="n">
        <f aca="false">IF(Q149&gt;0,$K149,0)</f>
        <v>0</v>
      </c>
      <c r="AN149" s="15" t="n">
        <f aca="false">IF(VLOOKUP($C149,'Your Floors'!$B$53:$F$56,5,FALSE())="yes",0,$R149)</f>
        <v>0</v>
      </c>
      <c r="AP149" s="15" t="n">
        <f aca="false">ROUND($K149-$AS149,2)</f>
        <v>37000.42</v>
      </c>
      <c r="AQ149" s="26" t="n">
        <f aca="false">RANK($AP149,'Your Accounts'!$AP$6:$AP$185)</f>
        <v>99</v>
      </c>
      <c r="AR149" s="15" t="n">
        <f aca="false">SUMIF('Your Accounts'!$AQ$6:$AQ$185,"&lt;="&amp;$AQ149,'Your Accounts'!$AP$6:$AP$185)</f>
        <v>12824972.6</v>
      </c>
      <c r="AS149" s="15" t="n">
        <f aca="false">ROUND($D149*Sensitivity!$C$35+Sensitivity!$D$35,2)</f>
        <v>6077.5</v>
      </c>
      <c r="AT149" s="15" t="n">
        <f aca="false">ROUND($K149-$AW149,2)</f>
        <v>30922.92</v>
      </c>
      <c r="AU149" s="26" t="n">
        <f aca="false">RANK($AT149,'Your Accounts'!$AT$6:$AT$185)</f>
        <v>99</v>
      </c>
      <c r="AV149" s="15" t="n">
        <f aca="false">SUMIF('Your Accounts'!$AU$6:$AU$185,"&lt;="&amp;$AU149,'Your Accounts'!$AT$6:$AT$185)</f>
        <v>12338212.6</v>
      </c>
      <c r="AW149" s="15" t="n">
        <f aca="false">ROUND($D149*Sensitivity!$C$36+Sensitivity!$D$36,2)</f>
        <v>12155</v>
      </c>
      <c r="AX149" s="15" t="n">
        <f aca="false">ROUND($K149-$BA149,2)</f>
        <v>27884.17</v>
      </c>
      <c r="AY149" s="26" t="n">
        <f aca="false">RANK($AX149,'Your Accounts'!$AX$6:$AX$185)</f>
        <v>101</v>
      </c>
      <c r="AZ149" s="15" t="n">
        <f aca="false">SUMIF('Your Accounts'!$AY$6:$AY$185,"&lt;="&amp;$AY149,'Your Accounts'!$AX$6:$AX$185)</f>
        <v>12151249.02</v>
      </c>
      <c r="BA149" s="15" t="n">
        <f aca="false">ROUND($D149*Sensitivity!$C$37+Sensitivity!$D$37,2)</f>
        <v>15193.75</v>
      </c>
      <c r="BB149" s="15" t="n">
        <f aca="false">ROUND($K149-$BE149,2)</f>
        <v>24845.42</v>
      </c>
      <c r="BC149" s="26" t="n">
        <f aca="false">RANK($BB149,'Your Accounts'!$BB$6:$BB$185)</f>
        <v>105</v>
      </c>
      <c r="BD149" s="15" t="n">
        <f aca="false">SUMIF('Your Accounts'!$BC$6:$BC$185,"&lt;="&amp;$BC149,'Your Accounts'!$BB$6:$BB$185)</f>
        <v>12004241.02</v>
      </c>
      <c r="BE149" s="15" t="n">
        <f aca="false">ROUND($D149*Sensitivity!$C$38+Sensitivity!$D$38,2)</f>
        <v>18232.5</v>
      </c>
      <c r="BF149" s="15" t="n">
        <f aca="false">ROUND($K149-$BI149,2)</f>
        <v>18767.92</v>
      </c>
      <c r="BG149" s="26" t="n">
        <f aca="false">RANK($BF149,'Your Accounts'!$BF$6:$BF$185)</f>
        <v>106</v>
      </c>
      <c r="BH149" s="15" t="n">
        <f aca="false">SUMIF('Your Accounts'!$BG$6:$BG$185,"&lt;="&amp;$BG149,'Your Accounts'!$BF$6:$BF$185)</f>
        <v>11509204.19</v>
      </c>
      <c r="BI149" s="15" t="n">
        <f aca="false">ROUND($D149*Sensitivity!$C$39+Sensitivity!$D$39,2)</f>
        <v>24310</v>
      </c>
      <c r="BJ149" s="15" t="n">
        <f aca="false">ROUND($K149-$BM149,2)</f>
        <v>12690.42</v>
      </c>
      <c r="BK149" s="26" t="n">
        <f aca="false">RANK($BJ149,'Your Accounts'!$BJ$6:$BJ$185)</f>
        <v>110</v>
      </c>
      <c r="BL149" s="15" t="n">
        <f aca="false">SUMIF('Your Accounts'!$BK$6:$BK$185,"&lt;="&amp;$BK149,'Your Accounts'!$BJ$6:$BJ$185)</f>
        <v>11046184.39</v>
      </c>
      <c r="BM149" s="15" t="n">
        <f aca="false">ROUND($D149*Sensitivity!$C$40+Sensitivity!$D$40,2)</f>
        <v>30387.5</v>
      </c>
      <c r="BN149" s="15" t="n">
        <f aca="false">ROUND($K149-$BQ149,2)</f>
        <v>6612.92</v>
      </c>
      <c r="BO149" s="26" t="n">
        <f aca="false">RANK($BN149,'Your Accounts'!$BN$6:$BN$185)</f>
        <v>116</v>
      </c>
      <c r="BP149" s="15" t="n">
        <f aca="false">SUMIF('Your Accounts'!$BO$6:$BO$185,"&lt;="&amp;$BO149,'Your Accounts'!$BN$6:$BN$185)</f>
        <v>10556824.95</v>
      </c>
      <c r="BQ149" s="15" t="n">
        <f aca="false">ROUND($D149*Sensitivity!$C$41+Sensitivity!$D$41,2)</f>
        <v>36465</v>
      </c>
    </row>
    <row r="150" customFormat="false" ht="15" hidden="false" customHeight="false" outlineLevel="0" collapsed="false">
      <c r="B150" s="18" t="s">
        <v>262</v>
      </c>
      <c r="C150" s="18" t="s">
        <v>218</v>
      </c>
      <c r="D150" s="24" t="n">
        <v>3</v>
      </c>
      <c r="E150" s="26" t="n">
        <f aca="false">SUMIF('Your Lines'!$B$6:$B$463,$B150,'Your Lines'!$E$6:$E$463)</f>
        <v>107</v>
      </c>
      <c r="F150" s="15" t="n">
        <f aca="false">ROUND(SUMIF('Your Lines'!$B$6:$B$463,$B150,'Your Lines'!$J$6:$J$463),2)</f>
        <v>15836</v>
      </c>
      <c r="G150" s="15" t="n">
        <f aca="false">ROUND(SUMIF('Your Lines'!$B$6:$B$463,$B150,'Your Lines'!$G$6:$G$463),2)</f>
        <v>15337.44</v>
      </c>
      <c r="H150" s="25" t="n">
        <f aca="false">$G150/$F150</f>
        <v>0.968517302349078</v>
      </c>
      <c r="I150" s="15" t="n">
        <f aca="false">ROUND(SUMIF('Your Lines'!$B$6:$B$463,$B150,'Your Lines'!$K$6:$K$463),2)</f>
        <v>8346</v>
      </c>
      <c r="J150" s="15" t="n">
        <f aca="false">ROUND(SUMIF('Your Lines'!$B$6:$B$463,$B150,'Your Lines'!$L$6:$L$463),2)</f>
        <v>309.85</v>
      </c>
      <c r="K150" s="15" t="n">
        <f aca="false">ROUND($G150-$I150-$J150,2)</f>
        <v>6681.59</v>
      </c>
      <c r="L150" s="15" t="n">
        <f aca="false">ROUND($D150*'Your Inputs'!$C$40+'Your Inputs'!$C$41,2)</f>
        <v>6935</v>
      </c>
      <c r="M150" s="15" t="n">
        <f aca="false">ROUND($K150-$L150,2)</f>
        <v>-253.41</v>
      </c>
      <c r="N150" s="26" t="n">
        <f aca="false">RANK($M150,'Your Accounts'!$M$6:$M$185)</f>
        <v>170</v>
      </c>
      <c r="O150" s="15" t="n">
        <f aca="false">SUMIF('Your Accounts'!$N$6:$N$185,"&lt;="&amp;$N150,'Your Accounts'!$M$6:$M$185)</f>
        <v>13508023.83</v>
      </c>
      <c r="P150" s="15"/>
      <c r="Q150" s="26" t="n">
        <f aca="false">COUNTIFS('Your Lines'!$B$6:$B$463,$B150,'Your Lines'!$R$6:$R$463,"below the floor")</f>
        <v>0</v>
      </c>
      <c r="R150" s="15" t="n">
        <f aca="false">IF(Q150&gt;0,$K150,0)</f>
        <v>0</v>
      </c>
      <c r="AN150" s="15" t="n">
        <f aca="false">IF(VLOOKUP($C150,'Your Floors'!$B$53:$F$56,5,FALSE())="yes",0,$R150)</f>
        <v>0</v>
      </c>
      <c r="AP150" s="15" t="n">
        <f aca="false">ROUND($K150-$AS150,2)</f>
        <v>3214.09</v>
      </c>
      <c r="AQ150" s="26" t="n">
        <f aca="false">RANK($AP150,'Your Accounts'!$AP$6:$AP$185)</f>
        <v>171</v>
      </c>
      <c r="AR150" s="15" t="n">
        <f aca="false">SUMIF('Your Accounts'!$AQ$6:$AQ$185,"&lt;="&amp;$AQ150,'Your Accounts'!$AP$6:$AP$185)</f>
        <v>14302704.38</v>
      </c>
      <c r="AS150" s="15" t="n">
        <f aca="false">ROUND($D150*Sensitivity!$C$35+Sensitivity!$D$35,2)</f>
        <v>3467.5</v>
      </c>
      <c r="AT150" s="15" t="n">
        <f aca="false">ROUND($K150-$AW150,2)</f>
        <v>-253.41</v>
      </c>
      <c r="AU150" s="26" t="n">
        <f aca="false">RANK($AT150,'Your Accounts'!$AT$6:$AT$185)</f>
        <v>170</v>
      </c>
      <c r="AV150" s="15" t="n">
        <f aca="false">SUMIF('Your Accounts'!$AU$6:$AU$185,"&lt;="&amp;$AU150,'Your Accounts'!$AT$6:$AT$185)</f>
        <v>13508023.83</v>
      </c>
      <c r="AW150" s="15" t="n">
        <f aca="false">ROUND($D150*Sensitivity!$C$36+Sensitivity!$D$36,2)</f>
        <v>6935</v>
      </c>
      <c r="AX150" s="15" t="n">
        <f aca="false">ROUND($K150-$BA150,2)</f>
        <v>-1987.16</v>
      </c>
      <c r="AY150" s="26" t="n">
        <f aca="false">RANK($AX150,'Your Accounts'!$AX$6:$AX$185)</f>
        <v>170</v>
      </c>
      <c r="AZ150" s="15" t="n">
        <f aca="false">SUMIF('Your Accounts'!$AY$6:$AY$185,"&lt;="&amp;$AY150,'Your Accounts'!$AX$6:$AX$185)</f>
        <v>13112330.08</v>
      </c>
      <c r="BA150" s="15" t="n">
        <f aca="false">ROUND($D150*Sensitivity!$C$37+Sensitivity!$D$37,2)</f>
        <v>8668.75</v>
      </c>
      <c r="BB150" s="15" t="n">
        <f aca="false">ROUND($K150-$BE150,2)</f>
        <v>-3720.91</v>
      </c>
      <c r="BC150" s="26" t="n">
        <f aca="false">RANK($BB150,'Your Accounts'!$BB$6:$BB$185)</f>
        <v>170</v>
      </c>
      <c r="BD150" s="15" t="n">
        <f aca="false">SUMIF('Your Accounts'!$BC$6:$BC$185,"&lt;="&amp;$BC150,'Your Accounts'!$BB$6:$BB$185)</f>
        <v>12716636.33</v>
      </c>
      <c r="BE150" s="15" t="n">
        <f aca="false">ROUND($D150*Sensitivity!$C$38+Sensitivity!$D$38,2)</f>
        <v>10402.5</v>
      </c>
      <c r="BF150" s="15" t="n">
        <f aca="false">ROUND($K150-$BI150,2)</f>
        <v>-7188.41</v>
      </c>
      <c r="BG150" s="26" t="n">
        <f aca="false">RANK($BF150,'Your Accounts'!$BF$6:$BF$185)</f>
        <v>170</v>
      </c>
      <c r="BH150" s="15" t="n">
        <f aca="false">SUMIF('Your Accounts'!$BG$6:$BG$185,"&lt;="&amp;$BG150,'Your Accounts'!$BF$6:$BF$185)</f>
        <v>11925248.83</v>
      </c>
      <c r="BI150" s="15" t="n">
        <f aca="false">ROUND($D150*Sensitivity!$C$39+Sensitivity!$D$39,2)</f>
        <v>13870</v>
      </c>
      <c r="BJ150" s="15" t="n">
        <f aca="false">ROUND($K150-$BM150,2)</f>
        <v>-10655.91</v>
      </c>
      <c r="BK150" s="26" t="n">
        <f aca="false">RANK($BJ150,'Your Accounts'!$BJ$6:$BJ$185)</f>
        <v>170</v>
      </c>
      <c r="BL150" s="15" t="n">
        <f aca="false">SUMIF('Your Accounts'!$BK$6:$BK$185,"&lt;="&amp;$BK150,'Your Accounts'!$BJ$6:$BJ$185)</f>
        <v>11133861.33</v>
      </c>
      <c r="BM150" s="15" t="n">
        <f aca="false">ROUND($D150*Sensitivity!$C$40+Sensitivity!$D$40,2)</f>
        <v>17337.5</v>
      </c>
      <c r="BN150" s="15" t="n">
        <f aca="false">ROUND($K150-$BQ150,2)</f>
        <v>-14123.41</v>
      </c>
      <c r="BO150" s="26" t="n">
        <f aca="false">RANK($BN150,'Your Accounts'!$BN$6:$BN$185)</f>
        <v>169</v>
      </c>
      <c r="BP150" s="15" t="n">
        <f aca="false">SUMIF('Your Accounts'!$BO$6:$BO$185,"&lt;="&amp;$BO150,'Your Accounts'!$BN$6:$BN$185)</f>
        <v>10356726.61</v>
      </c>
      <c r="BQ150" s="15" t="n">
        <f aca="false">ROUND($D150*Sensitivity!$C$41+Sensitivity!$D$41,2)</f>
        <v>20805</v>
      </c>
    </row>
    <row r="151" customFormat="false" ht="15" hidden="false" customHeight="false" outlineLevel="0" collapsed="false">
      <c r="B151" s="18" t="s">
        <v>263</v>
      </c>
      <c r="C151" s="18" t="s">
        <v>218</v>
      </c>
      <c r="D151" s="24" t="n">
        <v>33</v>
      </c>
      <c r="E151" s="26" t="n">
        <f aca="false">SUMIF('Your Lines'!$B$6:$B$463,$B151,'Your Lines'!$E$6:$E$463)</f>
        <v>929</v>
      </c>
      <c r="F151" s="15" t="n">
        <f aca="false">ROUND(SUMIF('Your Lines'!$B$6:$B$463,$B151,'Your Lines'!$J$6:$J$463),2)</f>
        <v>67050</v>
      </c>
      <c r="G151" s="15" t="n">
        <f aca="false">ROUND(SUMIF('Your Lines'!$B$6:$B$463,$B151,'Your Lines'!$G$6:$G$463),2)</f>
        <v>64446.75</v>
      </c>
      <c r="H151" s="25" t="n">
        <f aca="false">$G151/$F151</f>
        <v>0.961174496644295</v>
      </c>
      <c r="I151" s="15" t="n">
        <f aca="false">ROUND(SUMIF('Your Lines'!$B$6:$B$463,$B151,'Your Lines'!$K$6:$K$463),2)</f>
        <v>39560</v>
      </c>
      <c r="J151" s="15" t="n">
        <f aca="false">ROUND(SUMIF('Your Lines'!$B$6:$B$463,$B151,'Your Lines'!$L$6:$L$463),2)</f>
        <v>1301.95</v>
      </c>
      <c r="K151" s="15" t="n">
        <f aca="false">ROUND($G151-$I151-$J151,2)</f>
        <v>23584.8</v>
      </c>
      <c r="L151" s="15" t="n">
        <f aca="false">ROUND($D151*'Your Inputs'!$C$40+'Your Inputs'!$C$41,2)</f>
        <v>11285</v>
      </c>
      <c r="M151" s="15" t="n">
        <f aca="false">ROUND($K151-$L151,2)</f>
        <v>12299.8</v>
      </c>
      <c r="N151" s="26" t="n">
        <f aca="false">RANK($M151,'Your Accounts'!$M$6:$M$185)</f>
        <v>148</v>
      </c>
      <c r="O151" s="15" t="n">
        <f aca="false">SUMIF('Your Accounts'!$N$6:$N$185,"&lt;="&amp;$N151,'Your Accounts'!$M$6:$M$185)</f>
        <v>13360449.3</v>
      </c>
      <c r="P151" s="15"/>
      <c r="Q151" s="26" t="n">
        <f aca="false">COUNTIFS('Your Lines'!$B$6:$B$463,$B151,'Your Lines'!$R$6:$R$463,"below the floor")</f>
        <v>0</v>
      </c>
      <c r="R151" s="15" t="n">
        <f aca="false">IF(Q151&gt;0,$K151,0)</f>
        <v>0</v>
      </c>
      <c r="AN151" s="15" t="n">
        <f aca="false">IF(VLOOKUP($C151,'Your Floors'!$B$53:$F$56,5,FALSE())="yes",0,$R151)</f>
        <v>0</v>
      </c>
      <c r="AP151" s="15" t="n">
        <f aca="false">ROUND($K151-$AS151,2)</f>
        <v>17942.3</v>
      </c>
      <c r="AQ151" s="26" t="n">
        <f aca="false">RANK($AP151,'Your Accounts'!$AP$6:$AP$185)</f>
        <v>141</v>
      </c>
      <c r="AR151" s="15" t="n">
        <f aca="false">SUMIF('Your Accounts'!$AQ$6:$AQ$185,"&lt;="&amp;$AQ151,'Your Accounts'!$AP$6:$AP$185)</f>
        <v>13945154.32</v>
      </c>
      <c r="AS151" s="15" t="n">
        <f aca="false">ROUND($D151*Sensitivity!$C$35+Sensitivity!$D$35,2)</f>
        <v>5642.5</v>
      </c>
      <c r="AT151" s="15" t="n">
        <f aca="false">ROUND($K151-$AW151,2)</f>
        <v>12299.8</v>
      </c>
      <c r="AU151" s="26" t="n">
        <f aca="false">RANK($AT151,'Your Accounts'!$AT$6:$AT$185)</f>
        <v>148</v>
      </c>
      <c r="AV151" s="15" t="n">
        <f aca="false">SUMIF('Your Accounts'!$AU$6:$AU$185,"&lt;="&amp;$AU151,'Your Accounts'!$AT$6:$AT$185)</f>
        <v>13360449.3</v>
      </c>
      <c r="AW151" s="15" t="n">
        <f aca="false">ROUND($D151*Sensitivity!$C$36+Sensitivity!$D$36,2)</f>
        <v>11285</v>
      </c>
      <c r="AX151" s="15" t="n">
        <f aca="false">ROUND($K151-$BA151,2)</f>
        <v>9478.55</v>
      </c>
      <c r="AY151" s="26" t="n">
        <f aca="false">RANK($AX151,'Your Accounts'!$AX$6:$AX$185)</f>
        <v>149</v>
      </c>
      <c r="AZ151" s="15" t="n">
        <f aca="false">SUMIF('Your Accounts'!$AY$6:$AY$185,"&lt;="&amp;$AY151,'Your Accounts'!$AX$6:$AX$185)</f>
        <v>13018362.01</v>
      </c>
      <c r="BA151" s="15" t="n">
        <f aca="false">ROUND($D151*Sensitivity!$C$37+Sensitivity!$D$37,2)</f>
        <v>14106.25</v>
      </c>
      <c r="BB151" s="15" t="n">
        <f aca="false">ROUND($K151-$BE151,2)</f>
        <v>6657.3</v>
      </c>
      <c r="BC151" s="26" t="n">
        <f aca="false">RANK($BB151,'Your Accounts'!$BB$6:$BB$185)</f>
        <v>152</v>
      </c>
      <c r="BD151" s="15" t="n">
        <f aca="false">SUMIF('Your Accounts'!$BC$6:$BC$185,"&lt;="&amp;$BC151,'Your Accounts'!$BB$6:$BB$185)</f>
        <v>12686166.65</v>
      </c>
      <c r="BE151" s="15" t="n">
        <f aca="false">ROUND($D151*Sensitivity!$C$38+Sensitivity!$D$38,2)</f>
        <v>16927.5</v>
      </c>
      <c r="BF151" s="15" t="n">
        <f aca="false">ROUND($K151-$BI151,2)</f>
        <v>1014.8</v>
      </c>
      <c r="BG151" s="26" t="n">
        <f aca="false">RANK($BF151,'Your Accounts'!$BF$6:$BF$185)</f>
        <v>155</v>
      </c>
      <c r="BH151" s="15" t="n">
        <f aca="false">SUMIF('Your Accounts'!$BG$6:$BG$185,"&lt;="&amp;$BG151,'Your Accounts'!$BF$6:$BF$185)</f>
        <v>11972913.39</v>
      </c>
      <c r="BI151" s="15" t="n">
        <f aca="false">ROUND($D151*Sensitivity!$C$39+Sensitivity!$D$39,2)</f>
        <v>22570</v>
      </c>
      <c r="BJ151" s="15" t="n">
        <f aca="false">ROUND($K151-$BM151,2)</f>
        <v>-4627.7</v>
      </c>
      <c r="BK151" s="26" t="n">
        <f aca="false">RANK($BJ151,'Your Accounts'!$BJ$6:$BJ$185)</f>
        <v>157</v>
      </c>
      <c r="BL151" s="15" t="n">
        <f aca="false">SUMIF('Your Accounts'!$BK$6:$BK$185,"&lt;="&amp;$BK151,'Your Accounts'!$BJ$6:$BJ$185)</f>
        <v>11233953.46</v>
      </c>
      <c r="BM151" s="15" t="n">
        <f aca="false">ROUND($D151*Sensitivity!$C$40+Sensitivity!$D$40,2)</f>
        <v>28212.5</v>
      </c>
      <c r="BN151" s="15" t="n">
        <f aca="false">ROUND($K151-$BQ151,2)</f>
        <v>-10270.2</v>
      </c>
      <c r="BO151" s="26" t="n">
        <f aca="false">RANK($BN151,'Your Accounts'!$BN$6:$BN$185)</f>
        <v>162</v>
      </c>
      <c r="BP151" s="15" t="n">
        <f aca="false">SUMIF('Your Accounts'!$BO$6:$BO$185,"&lt;="&amp;$BO151,'Your Accounts'!$BN$6:$BN$185)</f>
        <v>10446238.92</v>
      </c>
      <c r="BQ151" s="15" t="n">
        <f aca="false">ROUND($D151*Sensitivity!$C$41+Sensitivity!$D$41,2)</f>
        <v>33855</v>
      </c>
    </row>
    <row r="152" customFormat="false" ht="15" hidden="false" customHeight="false" outlineLevel="0" collapsed="false">
      <c r="B152" s="18" t="s">
        <v>264</v>
      </c>
      <c r="C152" s="18" t="s">
        <v>218</v>
      </c>
      <c r="D152" s="24" t="n">
        <v>34</v>
      </c>
      <c r="E152" s="26" t="n">
        <f aca="false">SUMIF('Your Lines'!$B$6:$B$463,$B152,'Your Lines'!$E$6:$E$463)</f>
        <v>1491</v>
      </c>
      <c r="F152" s="15" t="n">
        <f aca="false">ROUND(SUMIF('Your Lines'!$B$6:$B$463,$B152,'Your Lines'!$J$6:$J$463),2)</f>
        <v>107406</v>
      </c>
      <c r="G152" s="15" t="n">
        <f aca="false">ROUND(SUMIF('Your Lines'!$B$6:$B$463,$B152,'Your Lines'!$G$6:$G$463),2)</f>
        <v>103914.04</v>
      </c>
      <c r="H152" s="25" t="n">
        <f aca="false">$G152/$F152</f>
        <v>0.967488222259464</v>
      </c>
      <c r="I152" s="15" t="n">
        <f aca="false">ROUND(SUMIF('Your Lines'!$B$6:$B$463,$B152,'Your Lines'!$K$6:$K$463),2)</f>
        <v>60984</v>
      </c>
      <c r="J152" s="15" t="n">
        <f aca="false">ROUND(SUMIF('Your Lines'!$B$6:$B$463,$B152,'Your Lines'!$L$6:$L$463),2)</f>
        <v>2099.27</v>
      </c>
      <c r="K152" s="15" t="n">
        <f aca="false">ROUND($G152-$I152-$J152,2)</f>
        <v>40830.77</v>
      </c>
      <c r="L152" s="15" t="n">
        <f aca="false">ROUND($D152*'Your Inputs'!$C$40+'Your Inputs'!$C$41,2)</f>
        <v>11430</v>
      </c>
      <c r="M152" s="15" t="n">
        <f aca="false">ROUND($K152-$L152,2)</f>
        <v>29400.77</v>
      </c>
      <c r="N152" s="26" t="n">
        <f aca="false">RANK($M152,'Your Accounts'!$M$6:$M$185)</f>
        <v>105</v>
      </c>
      <c r="O152" s="15" t="n">
        <f aca="false">SUMIF('Your Accounts'!$N$6:$N$185,"&lt;="&amp;$N152,'Your Accounts'!$M$6:$M$185)</f>
        <v>12519168.22</v>
      </c>
      <c r="P152" s="15"/>
      <c r="Q152" s="26" t="n">
        <f aca="false">COUNTIFS('Your Lines'!$B$6:$B$463,$B152,'Your Lines'!$R$6:$R$463,"below the floor")</f>
        <v>0</v>
      </c>
      <c r="R152" s="15" t="n">
        <f aca="false">IF(Q152&gt;0,$K152,0)</f>
        <v>0</v>
      </c>
      <c r="AN152" s="15" t="n">
        <f aca="false">IF(VLOOKUP($C152,'Your Floors'!$B$53:$F$56,5,FALSE())="yes",0,$R152)</f>
        <v>0</v>
      </c>
      <c r="AP152" s="15" t="n">
        <f aca="false">ROUND($K152-$AS152,2)</f>
        <v>35115.77</v>
      </c>
      <c r="AQ152" s="26" t="n">
        <f aca="false">RANK($AP152,'Your Accounts'!$AP$6:$AP$185)</f>
        <v>103</v>
      </c>
      <c r="AR152" s="15" t="n">
        <f aca="false">SUMIF('Your Accounts'!$AQ$6:$AQ$185,"&lt;="&amp;$AQ152,'Your Accounts'!$AP$6:$AP$185)</f>
        <v>12967236.8</v>
      </c>
      <c r="AS152" s="15" t="n">
        <f aca="false">ROUND($D152*Sensitivity!$C$35+Sensitivity!$D$35,2)</f>
        <v>5715</v>
      </c>
      <c r="AT152" s="15" t="n">
        <f aca="false">ROUND($K152-$AW152,2)</f>
        <v>29400.77</v>
      </c>
      <c r="AU152" s="26" t="n">
        <f aca="false">RANK($AT152,'Your Accounts'!$AT$6:$AT$185)</f>
        <v>105</v>
      </c>
      <c r="AV152" s="15" t="n">
        <f aca="false">SUMIF('Your Accounts'!$AU$6:$AU$185,"&lt;="&amp;$AU152,'Your Accounts'!$AT$6:$AT$185)</f>
        <v>12519168.22</v>
      </c>
      <c r="AW152" s="15" t="n">
        <f aca="false">ROUND($D152*Sensitivity!$C$36+Sensitivity!$D$36,2)</f>
        <v>11430</v>
      </c>
      <c r="AX152" s="15" t="n">
        <f aca="false">ROUND($K152-$BA152,2)</f>
        <v>26543.27</v>
      </c>
      <c r="AY152" s="26" t="n">
        <f aca="false">RANK($AX152,'Your Accounts'!$AX$6:$AX$185)</f>
        <v>106</v>
      </c>
      <c r="AZ152" s="15" t="n">
        <f aca="false">SUMIF('Your Accounts'!$AY$6:$AY$185,"&lt;="&amp;$AY152,'Your Accounts'!$AX$6:$AX$185)</f>
        <v>12287974.29</v>
      </c>
      <c r="BA152" s="15" t="n">
        <f aca="false">ROUND($D152*Sensitivity!$C$37+Sensitivity!$D$37,2)</f>
        <v>14287.5</v>
      </c>
      <c r="BB152" s="15" t="n">
        <f aca="false">ROUND($K152-$BE152,2)</f>
        <v>23685.77</v>
      </c>
      <c r="BC152" s="26" t="n">
        <f aca="false">RANK($BB152,'Your Accounts'!$BB$6:$BB$185)</f>
        <v>107</v>
      </c>
      <c r="BD152" s="15" t="n">
        <f aca="false">SUMIF('Your Accounts'!$BC$6:$BC$185,"&lt;="&amp;$BC152,'Your Accounts'!$BB$6:$BB$185)</f>
        <v>12051688.81</v>
      </c>
      <c r="BE152" s="15" t="n">
        <f aca="false">ROUND($D152*Sensitivity!$C$38+Sensitivity!$D$38,2)</f>
        <v>17145</v>
      </c>
      <c r="BF152" s="15" t="n">
        <f aca="false">ROUND($K152-$BI152,2)</f>
        <v>17970.77</v>
      </c>
      <c r="BG152" s="26" t="n">
        <f aca="false">RANK($BF152,'Your Accounts'!$BF$6:$BF$185)</f>
        <v>108</v>
      </c>
      <c r="BH152" s="15" t="n">
        <f aca="false">SUMIF('Your Accounts'!$BG$6:$BG$185,"&lt;="&amp;$BG152,'Your Accounts'!$BF$6:$BF$185)</f>
        <v>11545656.98</v>
      </c>
      <c r="BI152" s="15" t="n">
        <f aca="false">ROUND($D152*Sensitivity!$C$39+Sensitivity!$D$39,2)</f>
        <v>22860</v>
      </c>
      <c r="BJ152" s="15" t="n">
        <f aca="false">ROUND($K152-$BM152,2)</f>
        <v>12255.77</v>
      </c>
      <c r="BK152" s="26" t="n">
        <f aca="false">RANK($BJ152,'Your Accounts'!$BJ$6:$BJ$185)</f>
        <v>112</v>
      </c>
      <c r="BL152" s="15" t="n">
        <f aca="false">SUMIF('Your Accounts'!$BK$6:$BK$185,"&lt;="&amp;$BK152,'Your Accounts'!$BJ$6:$BJ$185)</f>
        <v>11070924.61</v>
      </c>
      <c r="BM152" s="15" t="n">
        <f aca="false">ROUND($D152*Sensitivity!$C$40+Sensitivity!$D$40,2)</f>
        <v>28575</v>
      </c>
      <c r="BN152" s="15" t="n">
        <f aca="false">ROUND($K152-$BQ152,2)</f>
        <v>6540.77</v>
      </c>
      <c r="BO152" s="26" t="n">
        <f aca="false">RANK($BN152,'Your Accounts'!$BN$6:$BN$185)</f>
        <v>117</v>
      </c>
      <c r="BP152" s="15" t="n">
        <f aca="false">SUMIF('Your Accounts'!$BO$6:$BO$185,"&lt;="&amp;$BO152,'Your Accounts'!$BN$6:$BN$185)</f>
        <v>10563365.72</v>
      </c>
      <c r="BQ152" s="15" t="n">
        <f aca="false">ROUND($D152*Sensitivity!$C$41+Sensitivity!$D$41,2)</f>
        <v>34290</v>
      </c>
    </row>
    <row r="153" customFormat="false" ht="15" hidden="false" customHeight="false" outlineLevel="0" collapsed="false">
      <c r="B153" s="18" t="s">
        <v>265</v>
      </c>
      <c r="C153" s="18" t="s">
        <v>218</v>
      </c>
      <c r="D153" s="24" t="n">
        <v>44</v>
      </c>
      <c r="E153" s="26" t="n">
        <f aca="false">SUMIF('Your Lines'!$B$6:$B$463,$B153,'Your Lines'!$E$6:$E$463)</f>
        <v>3127</v>
      </c>
      <c r="F153" s="15" t="n">
        <f aca="false">ROUND(SUMIF('Your Lines'!$B$6:$B$463,$B153,'Your Lines'!$J$6:$J$463),2)</f>
        <v>230832</v>
      </c>
      <c r="G153" s="15" t="n">
        <f aca="false">ROUND(SUMIF('Your Lines'!$B$6:$B$463,$B153,'Your Lines'!$G$6:$G$463),2)</f>
        <v>200179.11</v>
      </c>
      <c r="H153" s="25" t="n">
        <f aca="false">$G153/$F153</f>
        <v>0.867206929715118</v>
      </c>
      <c r="I153" s="15" t="n">
        <f aca="false">ROUND(SUMIF('Your Lines'!$B$6:$B$463,$B153,'Your Lines'!$K$6:$K$463),2)</f>
        <v>136486</v>
      </c>
      <c r="J153" s="15" t="n">
        <f aca="false">ROUND(SUMIF('Your Lines'!$B$6:$B$463,$B153,'Your Lines'!$L$6:$L$463),2)</f>
        <v>4127.4</v>
      </c>
      <c r="K153" s="15" t="n">
        <f aca="false">ROUND($G153-$I153-$J153,2)</f>
        <v>59565.71</v>
      </c>
      <c r="L153" s="15" t="n">
        <f aca="false">ROUND($D153*'Your Inputs'!$C$40+'Your Inputs'!$C$41,2)</f>
        <v>12880</v>
      </c>
      <c r="M153" s="15" t="n">
        <f aca="false">ROUND($K153-$L153,2)</f>
        <v>46685.71</v>
      </c>
      <c r="N153" s="26" t="n">
        <f aca="false">RANK($M153,'Your Accounts'!$M$6:$M$185)</f>
        <v>81</v>
      </c>
      <c r="O153" s="15" t="n">
        <f aca="false">SUMIF('Your Accounts'!$N$6:$N$185,"&lt;="&amp;$N153,'Your Accounts'!$M$6:$M$185)</f>
        <v>11660673.84</v>
      </c>
      <c r="P153" s="15"/>
      <c r="Q153" s="26" t="n">
        <f aca="false">COUNTIFS('Your Lines'!$B$6:$B$463,$B153,'Your Lines'!$R$6:$R$463,"below the floor")</f>
        <v>2</v>
      </c>
      <c r="R153" s="15" t="n">
        <f aca="false">IF(Q153&gt;0,$K153,0)</f>
        <v>59565.71</v>
      </c>
      <c r="AN153" s="15" t="n">
        <f aca="false">IF(VLOOKUP($C153,'Your Floors'!$B$53:$F$56,5,FALSE())="yes",0,$R153)</f>
        <v>59565.71</v>
      </c>
      <c r="AP153" s="15" t="n">
        <f aca="false">ROUND($K153-$AS153,2)</f>
        <v>53125.71</v>
      </c>
      <c r="AQ153" s="26" t="n">
        <f aca="false">RANK($AP153,'Your Accounts'!$AP$6:$AP$185)</f>
        <v>79</v>
      </c>
      <c r="AR153" s="15" t="n">
        <f aca="false">SUMIF('Your Accounts'!$AQ$6:$AQ$185,"&lt;="&amp;$AQ153,'Your Accounts'!$AP$6:$AP$185)</f>
        <v>11957848.5</v>
      </c>
      <c r="AS153" s="15" t="n">
        <f aca="false">ROUND($D153*Sensitivity!$C$35+Sensitivity!$D$35,2)</f>
        <v>6440</v>
      </c>
      <c r="AT153" s="15" t="n">
        <f aca="false">ROUND($K153-$AW153,2)</f>
        <v>46685.71</v>
      </c>
      <c r="AU153" s="26" t="n">
        <f aca="false">RANK($AT153,'Your Accounts'!$AT$6:$AT$185)</f>
        <v>81</v>
      </c>
      <c r="AV153" s="15" t="n">
        <f aca="false">SUMIF('Your Accounts'!$AU$6:$AU$185,"&lt;="&amp;$AU153,'Your Accounts'!$AT$6:$AT$185)</f>
        <v>11660673.84</v>
      </c>
      <c r="AW153" s="15" t="n">
        <f aca="false">ROUND($D153*Sensitivity!$C$36+Sensitivity!$D$36,2)</f>
        <v>12880</v>
      </c>
      <c r="AX153" s="15" t="n">
        <f aca="false">ROUND($K153-$BA153,2)</f>
        <v>43465.71</v>
      </c>
      <c r="AY153" s="26" t="n">
        <f aca="false">RANK($AX153,'Your Accounts'!$AX$6:$AX$185)</f>
        <v>81</v>
      </c>
      <c r="AZ153" s="15" t="n">
        <f aca="false">SUMIF('Your Accounts'!$AY$6:$AY$185,"&lt;="&amp;$AY153,'Your Accounts'!$AX$6:$AX$185)</f>
        <v>11459847.59</v>
      </c>
      <c r="BA153" s="15" t="n">
        <f aca="false">ROUND($D153*Sensitivity!$C$37+Sensitivity!$D$37,2)</f>
        <v>16100</v>
      </c>
      <c r="BB153" s="15" t="n">
        <f aca="false">ROUND($K153-$BE153,2)</f>
        <v>40245.71</v>
      </c>
      <c r="BC153" s="26" t="n">
        <f aca="false">RANK($BB153,'Your Accounts'!$BB$6:$BB$185)</f>
        <v>82</v>
      </c>
      <c r="BD153" s="15" t="n">
        <f aca="false">SUMIF('Your Accounts'!$BC$6:$BC$185,"&lt;="&amp;$BC153,'Your Accounts'!$BB$6:$BB$185)</f>
        <v>11299354.29</v>
      </c>
      <c r="BE153" s="15" t="n">
        <f aca="false">ROUND($D153*Sensitivity!$C$38+Sensitivity!$D$38,2)</f>
        <v>19320</v>
      </c>
      <c r="BF153" s="15" t="n">
        <f aca="false">ROUND($K153-$BI153,2)</f>
        <v>33805.71</v>
      </c>
      <c r="BG153" s="26" t="n">
        <f aca="false">RANK($BF153,'Your Accounts'!$BF$6:$BF$185)</f>
        <v>83</v>
      </c>
      <c r="BH153" s="15" t="n">
        <f aca="false">SUMIF('Your Accounts'!$BG$6:$BG$185,"&lt;="&amp;$BG153,'Your Accounts'!$BF$6:$BF$185)</f>
        <v>10929478.68</v>
      </c>
      <c r="BI153" s="15" t="n">
        <f aca="false">ROUND($D153*Sensitivity!$C$39+Sensitivity!$D$39,2)</f>
        <v>25760</v>
      </c>
      <c r="BJ153" s="15" t="n">
        <f aca="false">ROUND($K153-$BM153,2)</f>
        <v>27365.71</v>
      </c>
      <c r="BK153" s="26" t="n">
        <f aca="false">RANK($BJ153,'Your Accounts'!$BJ$6:$BJ$185)</f>
        <v>83</v>
      </c>
      <c r="BL153" s="15" t="n">
        <f aca="false">SUMIF('Your Accounts'!$BK$6:$BK$185,"&lt;="&amp;$BK153,'Your Accounts'!$BJ$6:$BJ$185)</f>
        <v>10519948.68</v>
      </c>
      <c r="BM153" s="15" t="n">
        <f aca="false">ROUND($D153*Sensitivity!$C$40+Sensitivity!$D$40,2)</f>
        <v>32200</v>
      </c>
      <c r="BN153" s="15" t="n">
        <f aca="false">ROUND($K153-$BQ153,2)</f>
        <v>20925.71</v>
      </c>
      <c r="BO153" s="26" t="n">
        <f aca="false">RANK($BN153,'Your Accounts'!$BN$6:$BN$185)</f>
        <v>85</v>
      </c>
      <c r="BP153" s="15" t="n">
        <f aca="false">SUMIF('Your Accounts'!$BO$6:$BO$185,"&lt;="&amp;$BO153,'Your Accounts'!$BN$6:$BN$185)</f>
        <v>10153426.35</v>
      </c>
      <c r="BQ153" s="15" t="n">
        <f aca="false">ROUND($D153*Sensitivity!$C$41+Sensitivity!$D$41,2)</f>
        <v>38640</v>
      </c>
    </row>
    <row r="154" customFormat="false" ht="15" hidden="false" customHeight="false" outlineLevel="0" collapsed="false">
      <c r="B154" s="18" t="s">
        <v>266</v>
      </c>
      <c r="C154" s="18" t="s">
        <v>218</v>
      </c>
      <c r="D154" s="24" t="n">
        <v>22</v>
      </c>
      <c r="E154" s="26" t="n">
        <f aca="false">SUMIF('Your Lines'!$B$6:$B$463,$B154,'Your Lines'!$E$6:$E$463)</f>
        <v>866</v>
      </c>
      <c r="F154" s="15" t="n">
        <f aca="false">ROUND(SUMIF('Your Lines'!$B$6:$B$463,$B154,'Your Lines'!$J$6:$J$463),2)</f>
        <v>68998</v>
      </c>
      <c r="G154" s="15" t="n">
        <f aca="false">ROUND(SUMIF('Your Lines'!$B$6:$B$463,$B154,'Your Lines'!$G$6:$G$463),2)</f>
        <v>66147.53</v>
      </c>
      <c r="H154" s="25" t="n">
        <f aca="false">$G154/$F154</f>
        <v>0.958687643120091</v>
      </c>
      <c r="I154" s="15" t="n">
        <f aca="false">ROUND(SUMIF('Your Lines'!$B$6:$B$463,$B154,'Your Lines'!$K$6:$K$463),2)</f>
        <v>39374</v>
      </c>
      <c r="J154" s="15" t="n">
        <f aca="false">ROUND(SUMIF('Your Lines'!$B$6:$B$463,$B154,'Your Lines'!$L$6:$L$463),2)</f>
        <v>1336.32</v>
      </c>
      <c r="K154" s="15" t="n">
        <f aca="false">ROUND($G154-$I154-$J154,2)</f>
        <v>25437.21</v>
      </c>
      <c r="L154" s="15" t="n">
        <f aca="false">ROUND($D154*'Your Inputs'!$C$40+'Your Inputs'!$C$41,2)</f>
        <v>9690</v>
      </c>
      <c r="M154" s="15" t="n">
        <f aca="false">ROUND($K154-$L154,2)</f>
        <v>15747.21</v>
      </c>
      <c r="N154" s="26" t="n">
        <f aca="false">RANK($M154,'Your Accounts'!$M$6:$M$185)</f>
        <v>134</v>
      </c>
      <c r="O154" s="15" t="n">
        <f aca="false">SUMIF('Your Accounts'!$N$6:$N$185,"&lt;="&amp;$N154,'Your Accounts'!$M$6:$M$185)</f>
        <v>13171040.32</v>
      </c>
      <c r="P154" s="15"/>
      <c r="Q154" s="26" t="n">
        <f aca="false">COUNTIFS('Your Lines'!$B$6:$B$463,$B154,'Your Lines'!$R$6:$R$463,"below the floor")</f>
        <v>0</v>
      </c>
      <c r="R154" s="15" t="n">
        <f aca="false">IF(Q154&gt;0,$K154,0)</f>
        <v>0</v>
      </c>
      <c r="AN154" s="15" t="n">
        <f aca="false">IF(VLOOKUP($C154,'Your Floors'!$B$53:$F$56,5,FALSE())="yes",0,$R154)</f>
        <v>0</v>
      </c>
      <c r="AP154" s="15" t="n">
        <f aca="false">ROUND($K154-$AS154,2)</f>
        <v>20592.21</v>
      </c>
      <c r="AQ154" s="26" t="n">
        <f aca="false">RANK($AP154,'Your Accounts'!$AP$6:$AP$185)</f>
        <v>133</v>
      </c>
      <c r="AR154" s="15" t="n">
        <f aca="false">SUMIF('Your Accounts'!$AQ$6:$AQ$185,"&lt;="&amp;$AQ154,'Your Accounts'!$AP$6:$AP$185)</f>
        <v>13795113.88</v>
      </c>
      <c r="AS154" s="15" t="n">
        <f aca="false">ROUND($D154*Sensitivity!$C$35+Sensitivity!$D$35,2)</f>
        <v>4845</v>
      </c>
      <c r="AT154" s="15" t="n">
        <f aca="false">ROUND($K154-$AW154,2)</f>
        <v>15747.21</v>
      </c>
      <c r="AU154" s="26" t="n">
        <f aca="false">RANK($AT154,'Your Accounts'!$AT$6:$AT$185)</f>
        <v>134</v>
      </c>
      <c r="AV154" s="15" t="n">
        <f aca="false">SUMIF('Your Accounts'!$AU$6:$AU$185,"&lt;="&amp;$AU154,'Your Accounts'!$AT$6:$AT$185)</f>
        <v>13171040.32</v>
      </c>
      <c r="AW154" s="15" t="n">
        <f aca="false">ROUND($D154*Sensitivity!$C$36+Sensitivity!$D$36,2)</f>
        <v>9690</v>
      </c>
      <c r="AX154" s="15" t="n">
        <f aca="false">ROUND($K154-$BA154,2)</f>
        <v>13324.71</v>
      </c>
      <c r="AY154" s="26" t="n">
        <f aca="false">RANK($AX154,'Your Accounts'!$AX$6:$AX$185)</f>
        <v>135</v>
      </c>
      <c r="AZ154" s="15" t="n">
        <f aca="false">SUMIF('Your Accounts'!$AY$6:$AY$185,"&lt;="&amp;$AY154,'Your Accounts'!$AX$6:$AX$185)</f>
        <v>12862832.54</v>
      </c>
      <c r="BA154" s="15" t="n">
        <f aca="false">ROUND($D154*Sensitivity!$C$37+Sensitivity!$D$37,2)</f>
        <v>12112.5</v>
      </c>
      <c r="BB154" s="15" t="n">
        <f aca="false">ROUND($K154-$BE154,2)</f>
        <v>10902.21</v>
      </c>
      <c r="BC154" s="26" t="n">
        <f aca="false">RANK($BB154,'Your Accounts'!$BB$6:$BB$185)</f>
        <v>135</v>
      </c>
      <c r="BD154" s="15" t="n">
        <f aca="false">SUMIF('Your Accounts'!$BC$6:$BC$185,"&lt;="&amp;$BC154,'Your Accounts'!$BB$6:$BB$185)</f>
        <v>12539021.29</v>
      </c>
      <c r="BE154" s="15" t="n">
        <f aca="false">ROUND($D154*Sensitivity!$C$38+Sensitivity!$D$38,2)</f>
        <v>14535</v>
      </c>
      <c r="BF154" s="15" t="n">
        <f aca="false">ROUND($K154-$BI154,2)</f>
        <v>6057.21</v>
      </c>
      <c r="BG154" s="26" t="n">
        <f aca="false">RANK($BF154,'Your Accounts'!$BF$6:$BF$185)</f>
        <v>137</v>
      </c>
      <c r="BH154" s="15" t="n">
        <f aca="false">SUMIF('Your Accounts'!$BG$6:$BG$185,"&lt;="&amp;$BG154,'Your Accounts'!$BF$6:$BF$185)</f>
        <v>11905289.55</v>
      </c>
      <c r="BI154" s="15" t="n">
        <f aca="false">ROUND($D154*Sensitivity!$C$39+Sensitivity!$D$39,2)</f>
        <v>19380</v>
      </c>
      <c r="BJ154" s="15" t="n">
        <f aca="false">ROUND($K154-$BM154,2)</f>
        <v>1212.21</v>
      </c>
      <c r="BK154" s="26" t="n">
        <f aca="false">RANK($BJ154,'Your Accounts'!$BJ$6:$BJ$185)</f>
        <v>138</v>
      </c>
      <c r="BL154" s="15" t="n">
        <f aca="false">SUMIF('Your Accounts'!$BK$6:$BK$185,"&lt;="&amp;$BK154,'Your Accounts'!$BJ$6:$BJ$185)</f>
        <v>11251440.47</v>
      </c>
      <c r="BM154" s="15" t="n">
        <f aca="false">ROUND($D154*Sensitivity!$C$40+Sensitivity!$D$40,2)</f>
        <v>24225</v>
      </c>
      <c r="BN154" s="15" t="n">
        <f aca="false">ROUND($K154-$BQ154,2)</f>
        <v>-3632.79</v>
      </c>
      <c r="BO154" s="26" t="n">
        <f aca="false">RANK($BN154,'Your Accounts'!$BN$6:$BN$185)</f>
        <v>142</v>
      </c>
      <c r="BP154" s="15" t="n">
        <f aca="false">SUMIF('Your Accounts'!$BO$6:$BO$185,"&lt;="&amp;$BO154,'Your Accounts'!$BN$6:$BN$185)</f>
        <v>10579136.13</v>
      </c>
      <c r="BQ154" s="15" t="n">
        <f aca="false">ROUND($D154*Sensitivity!$C$41+Sensitivity!$D$41,2)</f>
        <v>29070</v>
      </c>
    </row>
    <row r="155" customFormat="false" ht="15" hidden="false" customHeight="false" outlineLevel="0" collapsed="false">
      <c r="B155" s="18" t="s">
        <v>267</v>
      </c>
      <c r="C155" s="18" t="s">
        <v>218</v>
      </c>
      <c r="D155" s="24" t="n">
        <v>15</v>
      </c>
      <c r="E155" s="26" t="n">
        <f aca="false">SUMIF('Your Lines'!$B$6:$B$463,$B155,'Your Lines'!$E$6:$E$463)</f>
        <v>780</v>
      </c>
      <c r="F155" s="15" t="n">
        <f aca="false">ROUND(SUMIF('Your Lines'!$B$6:$B$463,$B155,'Your Lines'!$J$6:$J$463),2)</f>
        <v>64964</v>
      </c>
      <c r="G155" s="15" t="n">
        <f aca="false">ROUND(SUMIF('Your Lines'!$B$6:$B$463,$B155,'Your Lines'!$G$6:$G$463),2)</f>
        <v>59769.12</v>
      </c>
      <c r="H155" s="25" t="n">
        <f aca="false">$G155/$F155</f>
        <v>0.920034480635429</v>
      </c>
      <c r="I155" s="15" t="n">
        <f aca="false">ROUND(SUMIF('Your Lines'!$B$6:$B$463,$B155,'Your Lines'!$K$6:$K$463),2)</f>
        <v>36804</v>
      </c>
      <c r="J155" s="15" t="n">
        <f aca="false">ROUND(SUMIF('Your Lines'!$B$6:$B$463,$B155,'Your Lines'!$L$6:$L$463),2)</f>
        <v>1207.46</v>
      </c>
      <c r="K155" s="15" t="n">
        <f aca="false">ROUND($G155-$I155-$J155,2)</f>
        <v>21757.66</v>
      </c>
      <c r="L155" s="15" t="n">
        <f aca="false">ROUND($D155*'Your Inputs'!$C$40+'Your Inputs'!$C$41,2)</f>
        <v>8675</v>
      </c>
      <c r="M155" s="15" t="n">
        <f aca="false">ROUND($K155-$L155,2)</f>
        <v>13082.66</v>
      </c>
      <c r="N155" s="26" t="n">
        <f aca="false">RANK($M155,'Your Accounts'!$M$6:$M$185)</f>
        <v>142</v>
      </c>
      <c r="O155" s="15" t="n">
        <f aca="false">SUMIF('Your Accounts'!$N$6:$N$185,"&lt;="&amp;$N155,'Your Accounts'!$M$6:$M$185)</f>
        <v>13285018.1</v>
      </c>
      <c r="P155" s="15"/>
      <c r="Q155" s="26" t="n">
        <f aca="false">COUNTIFS('Your Lines'!$B$6:$B$463,$B155,'Your Lines'!$R$6:$R$463,"below the floor")</f>
        <v>0</v>
      </c>
      <c r="R155" s="15" t="n">
        <f aca="false">IF(Q155&gt;0,$K155,0)</f>
        <v>0</v>
      </c>
      <c r="AN155" s="15" t="n">
        <f aca="false">IF(VLOOKUP($C155,'Your Floors'!$B$53:$F$56,5,FALSE())="yes",0,$R155)</f>
        <v>0</v>
      </c>
      <c r="AP155" s="15" t="n">
        <f aca="false">ROUND($K155-$AS155,2)</f>
        <v>17420.16</v>
      </c>
      <c r="AQ155" s="26" t="n">
        <f aca="false">RANK($AP155,'Your Accounts'!$AP$6:$AP$185)</f>
        <v>143</v>
      </c>
      <c r="AR155" s="15" t="n">
        <f aca="false">SUMIF('Your Accounts'!$AQ$6:$AQ$185,"&lt;="&amp;$AQ155,'Your Accounts'!$AP$6:$AP$185)</f>
        <v>13980220.4</v>
      </c>
      <c r="AS155" s="15" t="n">
        <f aca="false">ROUND($D155*Sensitivity!$C$35+Sensitivity!$D$35,2)</f>
        <v>4337.5</v>
      </c>
      <c r="AT155" s="15" t="n">
        <f aca="false">ROUND($K155-$AW155,2)</f>
        <v>13082.66</v>
      </c>
      <c r="AU155" s="26" t="n">
        <f aca="false">RANK($AT155,'Your Accounts'!$AT$6:$AT$185)</f>
        <v>142</v>
      </c>
      <c r="AV155" s="15" t="n">
        <f aca="false">SUMIF('Your Accounts'!$AU$6:$AU$185,"&lt;="&amp;$AU155,'Your Accounts'!$AT$6:$AT$185)</f>
        <v>13285018.1</v>
      </c>
      <c r="AW155" s="15" t="n">
        <f aca="false">ROUND($D155*Sensitivity!$C$36+Sensitivity!$D$36,2)</f>
        <v>8675</v>
      </c>
      <c r="AX155" s="15" t="n">
        <f aca="false">ROUND($K155-$BA155,2)</f>
        <v>10913.91</v>
      </c>
      <c r="AY155" s="26" t="n">
        <f aca="false">RANK($AX155,'Your Accounts'!$AX$6:$AX$185)</f>
        <v>142</v>
      </c>
      <c r="AZ155" s="15" t="n">
        <f aca="false">SUMIF('Your Accounts'!$AY$6:$AY$185,"&lt;="&amp;$AY155,'Your Accounts'!$AX$6:$AX$185)</f>
        <v>12946388.1</v>
      </c>
      <c r="BA155" s="15" t="n">
        <f aca="false">ROUND($D155*Sensitivity!$C$37+Sensitivity!$D$37,2)</f>
        <v>10843.75</v>
      </c>
      <c r="BB155" s="15" t="n">
        <f aca="false">ROUND($K155-$BE155,2)</f>
        <v>8745.16</v>
      </c>
      <c r="BC155" s="26" t="n">
        <f aca="false">RANK($BB155,'Your Accounts'!$BB$6:$BB$185)</f>
        <v>142</v>
      </c>
      <c r="BD155" s="15" t="n">
        <f aca="false">SUMIF('Your Accounts'!$BC$6:$BC$185,"&lt;="&amp;$BC155,'Your Accounts'!$BB$6:$BB$185)</f>
        <v>12607758.1</v>
      </c>
      <c r="BE155" s="15" t="n">
        <f aca="false">ROUND($D155*Sensitivity!$C$38+Sensitivity!$D$38,2)</f>
        <v>13012.5</v>
      </c>
      <c r="BF155" s="15" t="n">
        <f aca="false">ROUND($K155-$BI155,2)</f>
        <v>4407.66</v>
      </c>
      <c r="BG155" s="26" t="n">
        <f aca="false">RANK($BF155,'Your Accounts'!$BF$6:$BF$185)</f>
        <v>144</v>
      </c>
      <c r="BH155" s="15" t="n">
        <f aca="false">SUMIF('Your Accounts'!$BG$6:$BG$185,"&lt;="&amp;$BG155,'Your Accounts'!$BF$6:$BF$185)</f>
        <v>11939771.54</v>
      </c>
      <c r="BI155" s="15" t="n">
        <f aca="false">ROUND($D155*Sensitivity!$C$39+Sensitivity!$D$39,2)</f>
        <v>17350</v>
      </c>
      <c r="BJ155" s="15" t="n">
        <f aca="false">ROUND($K155-$BM155,2)</f>
        <v>70.16</v>
      </c>
      <c r="BK155" s="26" t="n">
        <f aca="false">RANK($BJ155,'Your Accounts'!$BJ$6:$BJ$185)</f>
        <v>145</v>
      </c>
      <c r="BL155" s="15" t="n">
        <f aca="false">SUMIF('Your Accounts'!$BK$6:$BK$185,"&lt;="&amp;$BK155,'Your Accounts'!$BJ$6:$BJ$185)</f>
        <v>11255626.85</v>
      </c>
      <c r="BM155" s="15" t="n">
        <f aca="false">ROUND($D155*Sensitivity!$C$40+Sensitivity!$D$40,2)</f>
        <v>21687.5</v>
      </c>
      <c r="BN155" s="15" t="n">
        <f aca="false">ROUND($K155-$BQ155,2)</f>
        <v>-4267.34</v>
      </c>
      <c r="BO155" s="26" t="n">
        <f aca="false">RANK($BN155,'Your Accounts'!$BN$6:$BN$185)</f>
        <v>148</v>
      </c>
      <c r="BP155" s="15" t="n">
        <f aca="false">SUMIF('Your Accounts'!$BO$6:$BO$185,"&lt;="&amp;$BO155,'Your Accounts'!$BN$6:$BN$185)</f>
        <v>10555291.49</v>
      </c>
      <c r="BQ155" s="15" t="n">
        <f aca="false">ROUND($D155*Sensitivity!$C$41+Sensitivity!$D$41,2)</f>
        <v>26025</v>
      </c>
    </row>
    <row r="156" customFormat="false" ht="15" hidden="false" customHeight="false" outlineLevel="0" collapsed="false">
      <c r="B156" s="18" t="s">
        <v>268</v>
      </c>
      <c r="C156" s="18" t="s">
        <v>218</v>
      </c>
      <c r="D156" s="24" t="n">
        <v>13</v>
      </c>
      <c r="E156" s="26" t="n">
        <f aca="false">SUMIF('Your Lines'!$B$6:$B$463,$B156,'Your Lines'!$E$6:$E$463)</f>
        <v>745</v>
      </c>
      <c r="F156" s="15" t="n">
        <f aca="false">ROUND(SUMIF('Your Lines'!$B$6:$B$463,$B156,'Your Lines'!$J$6:$J$463),2)</f>
        <v>60366</v>
      </c>
      <c r="G156" s="15" t="n">
        <f aca="false">ROUND(SUMIF('Your Lines'!$B$6:$B$463,$B156,'Your Lines'!$G$6:$G$463),2)</f>
        <v>57630.68</v>
      </c>
      <c r="H156" s="25" t="n">
        <f aca="false">$G156/$F156</f>
        <v>0.954687738130736</v>
      </c>
      <c r="I156" s="15" t="n">
        <f aca="false">ROUND(SUMIF('Your Lines'!$B$6:$B$463,$B156,'Your Lines'!$K$6:$K$463),2)</f>
        <v>34628</v>
      </c>
      <c r="J156" s="15" t="n">
        <f aca="false">ROUND(SUMIF('Your Lines'!$B$6:$B$463,$B156,'Your Lines'!$L$6:$L$463),2)</f>
        <v>1164.26</v>
      </c>
      <c r="K156" s="15" t="n">
        <f aca="false">ROUND($G156-$I156-$J156,2)</f>
        <v>21838.42</v>
      </c>
      <c r="L156" s="15" t="n">
        <f aca="false">ROUND($D156*'Your Inputs'!$C$40+'Your Inputs'!$C$41,2)</f>
        <v>8385</v>
      </c>
      <c r="M156" s="15" t="n">
        <f aca="false">ROUND($K156-$L156,2)</f>
        <v>13453.42</v>
      </c>
      <c r="N156" s="26" t="n">
        <f aca="false">RANK($M156,'Your Accounts'!$M$6:$M$185)</f>
        <v>141</v>
      </c>
      <c r="O156" s="15" t="n">
        <f aca="false">SUMIF('Your Accounts'!$N$6:$N$185,"&lt;="&amp;$N156,'Your Accounts'!$M$6:$M$185)</f>
        <v>13271935.44</v>
      </c>
      <c r="P156" s="15"/>
      <c r="Q156" s="26" t="n">
        <f aca="false">COUNTIFS('Your Lines'!$B$6:$B$463,$B156,'Your Lines'!$R$6:$R$463,"below the floor")</f>
        <v>0</v>
      </c>
      <c r="R156" s="15" t="n">
        <f aca="false">IF(Q156&gt;0,$K156,0)</f>
        <v>0</v>
      </c>
      <c r="AN156" s="15" t="n">
        <f aca="false">IF(VLOOKUP($C156,'Your Floors'!$B$53:$F$56,5,FALSE())="yes",0,$R156)</f>
        <v>0</v>
      </c>
      <c r="AP156" s="15" t="n">
        <f aca="false">ROUND($K156-$AS156,2)</f>
        <v>17645.92</v>
      </c>
      <c r="AQ156" s="26" t="n">
        <f aca="false">RANK($AP156,'Your Accounts'!$AP$6:$AP$185)</f>
        <v>142</v>
      </c>
      <c r="AR156" s="15" t="n">
        <f aca="false">SUMIF('Your Accounts'!$AQ$6:$AQ$185,"&lt;="&amp;$AQ156,'Your Accounts'!$AP$6:$AP$185)</f>
        <v>13962800.24</v>
      </c>
      <c r="AS156" s="15" t="n">
        <f aca="false">ROUND($D156*Sensitivity!$C$35+Sensitivity!$D$35,2)</f>
        <v>4192.5</v>
      </c>
      <c r="AT156" s="15" t="n">
        <f aca="false">ROUND($K156-$AW156,2)</f>
        <v>13453.42</v>
      </c>
      <c r="AU156" s="26" t="n">
        <f aca="false">RANK($AT156,'Your Accounts'!$AT$6:$AT$185)</f>
        <v>141</v>
      </c>
      <c r="AV156" s="15" t="n">
        <f aca="false">SUMIF('Your Accounts'!$AU$6:$AU$185,"&lt;="&amp;$AU156,'Your Accounts'!$AT$6:$AT$185)</f>
        <v>13271935.44</v>
      </c>
      <c r="AW156" s="15" t="n">
        <f aca="false">ROUND($D156*Sensitivity!$C$36+Sensitivity!$D$36,2)</f>
        <v>8385</v>
      </c>
      <c r="AX156" s="15" t="n">
        <f aca="false">ROUND($K156-$BA156,2)</f>
        <v>11357.17</v>
      </c>
      <c r="AY156" s="26" t="n">
        <f aca="false">RANK($AX156,'Your Accounts'!$AX$6:$AX$185)</f>
        <v>141</v>
      </c>
      <c r="AZ156" s="15" t="n">
        <f aca="false">SUMIF('Your Accounts'!$AY$6:$AY$185,"&lt;="&amp;$AY156,'Your Accounts'!$AX$6:$AX$185)</f>
        <v>12935474.19</v>
      </c>
      <c r="BA156" s="15" t="n">
        <f aca="false">ROUND($D156*Sensitivity!$C$37+Sensitivity!$D$37,2)</f>
        <v>10481.25</v>
      </c>
      <c r="BB156" s="15" t="n">
        <f aca="false">ROUND($K156-$BE156,2)</f>
        <v>9260.92</v>
      </c>
      <c r="BC156" s="26" t="n">
        <f aca="false">RANK($BB156,'Your Accounts'!$BB$6:$BB$185)</f>
        <v>141</v>
      </c>
      <c r="BD156" s="15" t="n">
        <f aca="false">SUMIF('Your Accounts'!$BC$6:$BC$185,"&lt;="&amp;$BC156,'Your Accounts'!$BB$6:$BB$185)</f>
        <v>12599012.94</v>
      </c>
      <c r="BE156" s="15" t="n">
        <f aca="false">ROUND($D156*Sensitivity!$C$38+Sensitivity!$D$38,2)</f>
        <v>12577.5</v>
      </c>
      <c r="BF156" s="15" t="n">
        <f aca="false">ROUND($K156-$BI156,2)</f>
        <v>5068.42</v>
      </c>
      <c r="BG156" s="26" t="n">
        <f aca="false">RANK($BF156,'Your Accounts'!$BF$6:$BF$185)</f>
        <v>140</v>
      </c>
      <c r="BH156" s="15" t="n">
        <f aca="false">SUMIF('Your Accounts'!$BG$6:$BG$185,"&lt;="&amp;$BG156,'Your Accounts'!$BF$6:$BF$185)</f>
        <v>11921478.02</v>
      </c>
      <c r="BI156" s="15" t="n">
        <f aca="false">ROUND($D156*Sensitivity!$C$39+Sensitivity!$D$39,2)</f>
        <v>16770</v>
      </c>
      <c r="BJ156" s="15" t="n">
        <f aca="false">ROUND($K156-$BM156,2)</f>
        <v>875.92</v>
      </c>
      <c r="BK156" s="26" t="n">
        <f aca="false">RANK($BJ156,'Your Accounts'!$BJ$6:$BJ$185)</f>
        <v>140</v>
      </c>
      <c r="BL156" s="15" t="n">
        <f aca="false">SUMIF('Your Accounts'!$BK$6:$BK$185,"&lt;="&amp;$BK156,'Your Accounts'!$BJ$6:$BJ$185)</f>
        <v>11253473.02</v>
      </c>
      <c r="BM156" s="15" t="n">
        <f aca="false">ROUND($D156*Sensitivity!$C$40+Sensitivity!$D$40,2)</f>
        <v>20962.5</v>
      </c>
      <c r="BN156" s="15" t="n">
        <f aca="false">ROUND($K156-$BQ156,2)</f>
        <v>-3316.58</v>
      </c>
      <c r="BO156" s="26" t="n">
        <f aca="false">RANK($BN156,'Your Accounts'!$BN$6:$BN$185)</f>
        <v>139</v>
      </c>
      <c r="BP156" s="15" t="n">
        <f aca="false">SUMIF('Your Accounts'!$BO$6:$BO$185,"&lt;="&amp;$BO156,'Your Accounts'!$BN$6:$BN$185)</f>
        <v>10589540.48</v>
      </c>
      <c r="BQ156" s="15" t="n">
        <f aca="false">ROUND($D156*Sensitivity!$C$41+Sensitivity!$D$41,2)</f>
        <v>25155</v>
      </c>
    </row>
    <row r="157" customFormat="false" ht="15" hidden="false" customHeight="false" outlineLevel="0" collapsed="false">
      <c r="B157" s="18" t="s">
        <v>269</v>
      </c>
      <c r="C157" s="18" t="s">
        <v>218</v>
      </c>
      <c r="D157" s="24" t="n">
        <v>7</v>
      </c>
      <c r="E157" s="26" t="n">
        <f aca="false">SUMIF('Your Lines'!$B$6:$B$463,$B157,'Your Lines'!$E$6:$E$463)</f>
        <v>441</v>
      </c>
      <c r="F157" s="15" t="n">
        <f aca="false">ROUND(SUMIF('Your Lines'!$B$6:$B$463,$B157,'Your Lines'!$J$6:$J$463),2)</f>
        <v>49564</v>
      </c>
      <c r="G157" s="15" t="n">
        <f aca="false">ROUND(SUMIF('Your Lines'!$B$6:$B$463,$B157,'Your Lines'!$G$6:$G$463),2)</f>
        <v>48086.99</v>
      </c>
      <c r="H157" s="25" t="n">
        <f aca="false">$G157/$F157</f>
        <v>0.970199943507384</v>
      </c>
      <c r="I157" s="15" t="n">
        <f aca="false">ROUND(SUMIF('Your Lines'!$B$6:$B$463,$B157,'Your Lines'!$K$6:$K$463),2)</f>
        <v>28358</v>
      </c>
      <c r="J157" s="15" t="n">
        <f aca="false">ROUND(SUMIF('Your Lines'!$B$6:$B$463,$B157,'Your Lines'!$L$6:$L$463),2)</f>
        <v>971.45</v>
      </c>
      <c r="K157" s="15" t="n">
        <f aca="false">ROUND($G157-$I157-$J157,2)</f>
        <v>18757.54</v>
      </c>
      <c r="L157" s="15" t="n">
        <f aca="false">ROUND($D157*'Your Inputs'!$C$40+'Your Inputs'!$C$41,2)</f>
        <v>7515</v>
      </c>
      <c r="M157" s="15" t="n">
        <f aca="false">ROUND($K157-$L157,2)</f>
        <v>11242.54</v>
      </c>
      <c r="N157" s="26" t="n">
        <f aca="false">RANK($M157,'Your Accounts'!$M$6:$M$185)</f>
        <v>150</v>
      </c>
      <c r="O157" s="15" t="n">
        <f aca="false">SUMIF('Your Accounts'!$N$6:$N$185,"&lt;="&amp;$N157,'Your Accounts'!$M$6:$M$185)</f>
        <v>13383452.05</v>
      </c>
      <c r="P157" s="15"/>
      <c r="Q157" s="26" t="n">
        <f aca="false">COUNTIFS('Your Lines'!$B$6:$B$463,$B157,'Your Lines'!$R$6:$R$463,"below the floor")</f>
        <v>0</v>
      </c>
      <c r="R157" s="15" t="n">
        <f aca="false">IF(Q157&gt;0,$K157,0)</f>
        <v>0</v>
      </c>
      <c r="AN157" s="15" t="n">
        <f aca="false">IF(VLOOKUP($C157,'Your Floors'!$B$53:$F$56,5,FALSE())="yes",0,$R157)</f>
        <v>0</v>
      </c>
      <c r="AP157" s="15" t="n">
        <f aca="false">ROUND($K157-$AS157,2)</f>
        <v>15000.04</v>
      </c>
      <c r="AQ157" s="26" t="n">
        <f aca="false">RANK($AP157,'Your Accounts'!$AP$6:$AP$185)</f>
        <v>150</v>
      </c>
      <c r="AR157" s="15" t="n">
        <f aca="false">SUMIF('Your Accounts'!$AQ$6:$AQ$185,"&lt;="&amp;$AQ157,'Your Accounts'!$AP$6:$AP$185)</f>
        <v>14094904.55</v>
      </c>
      <c r="AS157" s="15" t="n">
        <f aca="false">ROUND($D157*Sensitivity!$C$35+Sensitivity!$D$35,2)</f>
        <v>3757.5</v>
      </c>
      <c r="AT157" s="15" t="n">
        <f aca="false">ROUND($K157-$AW157,2)</f>
        <v>11242.54</v>
      </c>
      <c r="AU157" s="26" t="n">
        <f aca="false">RANK($AT157,'Your Accounts'!$AT$6:$AT$185)</f>
        <v>150</v>
      </c>
      <c r="AV157" s="15" t="n">
        <f aca="false">SUMIF('Your Accounts'!$AU$6:$AU$185,"&lt;="&amp;$AU157,'Your Accounts'!$AT$6:$AT$185)</f>
        <v>13383452.05</v>
      </c>
      <c r="AW157" s="15" t="n">
        <f aca="false">ROUND($D157*Sensitivity!$C$36+Sensitivity!$D$36,2)</f>
        <v>7515</v>
      </c>
      <c r="AX157" s="15" t="n">
        <f aca="false">ROUND($K157-$BA157,2)</f>
        <v>9363.79</v>
      </c>
      <c r="AY157" s="26" t="n">
        <f aca="false">RANK($AX157,'Your Accounts'!$AX$6:$AX$185)</f>
        <v>150</v>
      </c>
      <c r="AZ157" s="15" t="n">
        <f aca="false">SUMIF('Your Accounts'!$AY$6:$AY$185,"&lt;="&amp;$AY157,'Your Accounts'!$AX$6:$AX$185)</f>
        <v>13027725.8</v>
      </c>
      <c r="BA157" s="15" t="n">
        <f aca="false">ROUND($D157*Sensitivity!$C$37+Sensitivity!$D$37,2)</f>
        <v>9393.75</v>
      </c>
      <c r="BB157" s="15" t="n">
        <f aca="false">ROUND($K157-$BE157,2)</f>
        <v>7485.04</v>
      </c>
      <c r="BC157" s="26" t="n">
        <f aca="false">RANK($BB157,'Your Accounts'!$BB$6:$BB$185)</f>
        <v>149</v>
      </c>
      <c r="BD157" s="15" t="n">
        <f aca="false">SUMIF('Your Accounts'!$BC$6:$BC$185,"&lt;="&amp;$BC157,'Your Accounts'!$BB$6:$BB$185)</f>
        <v>12665342.25</v>
      </c>
      <c r="BE157" s="15" t="n">
        <f aca="false">ROUND($D157*Sensitivity!$C$38+Sensitivity!$D$38,2)</f>
        <v>11272.5</v>
      </c>
      <c r="BF157" s="15" t="n">
        <f aca="false">ROUND($K157-$BI157,2)</f>
        <v>3727.54</v>
      </c>
      <c r="BG157" s="26" t="n">
        <f aca="false">RANK($BF157,'Your Accounts'!$BF$6:$BF$185)</f>
        <v>148</v>
      </c>
      <c r="BH157" s="15" t="n">
        <f aca="false">SUMIF('Your Accounts'!$BG$6:$BG$185,"&lt;="&amp;$BG157,'Your Accounts'!$BF$6:$BF$185)</f>
        <v>11956387.52</v>
      </c>
      <c r="BI157" s="15" t="n">
        <f aca="false">ROUND($D157*Sensitivity!$C$39+Sensitivity!$D$39,2)</f>
        <v>15030</v>
      </c>
      <c r="BJ157" s="15" t="n">
        <f aca="false">ROUND($K157-$BM157,2)</f>
        <v>-29.96</v>
      </c>
      <c r="BK157" s="26" t="n">
        <f aca="false">RANK($BJ157,'Your Accounts'!$BJ$6:$BJ$185)</f>
        <v>147</v>
      </c>
      <c r="BL157" s="15" t="n">
        <f aca="false">SUMIF('Your Accounts'!$BK$6:$BK$185,"&lt;="&amp;$BK157,'Your Accounts'!$BJ$6:$BJ$185)</f>
        <v>11255582.6</v>
      </c>
      <c r="BM157" s="15" t="n">
        <f aca="false">ROUND($D157*Sensitivity!$C$40+Sensitivity!$D$40,2)</f>
        <v>18787.5</v>
      </c>
      <c r="BN157" s="15" t="n">
        <f aca="false">ROUND($K157-$BQ157,2)</f>
        <v>-3787.46</v>
      </c>
      <c r="BO157" s="26" t="n">
        <f aca="false">RANK($BN157,'Your Accounts'!$BN$6:$BN$185)</f>
        <v>145</v>
      </c>
      <c r="BP157" s="15" t="n">
        <f aca="false">SUMIF('Your Accounts'!$BO$6:$BO$185,"&lt;="&amp;$BO157,'Your Accounts'!$BN$6:$BN$185)</f>
        <v>10567936.73</v>
      </c>
      <c r="BQ157" s="15" t="n">
        <f aca="false">ROUND($D157*Sensitivity!$C$41+Sensitivity!$D$41,2)</f>
        <v>22545</v>
      </c>
    </row>
    <row r="158" customFormat="false" ht="15" hidden="false" customHeight="false" outlineLevel="0" collapsed="false">
      <c r="B158" s="18" t="s">
        <v>270</v>
      </c>
      <c r="C158" s="18" t="s">
        <v>218</v>
      </c>
      <c r="D158" s="24" t="n">
        <v>23</v>
      </c>
      <c r="E158" s="26" t="n">
        <f aca="false">SUMIF('Your Lines'!$B$6:$B$463,$B158,'Your Lines'!$E$6:$E$463)</f>
        <v>864</v>
      </c>
      <c r="F158" s="15" t="n">
        <f aca="false">ROUND(SUMIF('Your Lines'!$B$6:$B$463,$B158,'Your Lines'!$J$6:$J$463),2)</f>
        <v>71206</v>
      </c>
      <c r="G158" s="15" t="n">
        <f aca="false">ROUND(SUMIF('Your Lines'!$B$6:$B$463,$B158,'Your Lines'!$G$6:$G$463),2)</f>
        <v>66156.92</v>
      </c>
      <c r="H158" s="25" t="n">
        <f aca="false">$G158/$F158</f>
        <v>0.929091930455299</v>
      </c>
      <c r="I158" s="15" t="n">
        <f aca="false">ROUND(SUMIF('Your Lines'!$B$6:$B$463,$B158,'Your Lines'!$K$6:$K$463),2)</f>
        <v>40538</v>
      </c>
      <c r="J158" s="15" t="n">
        <f aca="false">ROUND(SUMIF('Your Lines'!$B$6:$B$463,$B158,'Your Lines'!$L$6:$L$463),2)</f>
        <v>1336.5</v>
      </c>
      <c r="K158" s="15" t="n">
        <f aca="false">ROUND($G158-$I158-$J158,2)</f>
        <v>24282.42</v>
      </c>
      <c r="L158" s="15" t="n">
        <f aca="false">ROUND($D158*'Your Inputs'!$C$40+'Your Inputs'!$C$41,2)</f>
        <v>9835</v>
      </c>
      <c r="M158" s="15" t="n">
        <f aca="false">ROUND($K158-$L158,2)</f>
        <v>14447.42</v>
      </c>
      <c r="N158" s="26" t="n">
        <f aca="false">RANK($M158,'Your Accounts'!$M$6:$M$185)</f>
        <v>138</v>
      </c>
      <c r="O158" s="15" t="n">
        <f aca="false">SUMIF('Your Accounts'!$N$6:$N$185,"&lt;="&amp;$N158,'Your Accounts'!$M$6:$M$185)</f>
        <v>13230142.31</v>
      </c>
      <c r="P158" s="15"/>
      <c r="Q158" s="26" t="n">
        <f aca="false">COUNTIFS('Your Lines'!$B$6:$B$463,$B158,'Your Lines'!$R$6:$R$463,"below the floor")</f>
        <v>0</v>
      </c>
      <c r="R158" s="15" t="n">
        <f aca="false">IF(Q158&gt;0,$K158,0)</f>
        <v>0</v>
      </c>
      <c r="AN158" s="15" t="n">
        <f aca="false">IF(VLOOKUP($C158,'Your Floors'!$B$53:$F$56,5,FALSE())="yes",0,$R158)</f>
        <v>0</v>
      </c>
      <c r="AP158" s="15" t="n">
        <f aca="false">ROUND($K158-$AS158,2)</f>
        <v>19364.92</v>
      </c>
      <c r="AQ158" s="26" t="n">
        <f aca="false">RANK($AP158,'Your Accounts'!$AP$6:$AP$185)</f>
        <v>136</v>
      </c>
      <c r="AR158" s="15" t="n">
        <f aca="false">SUMIF('Your Accounts'!$AQ$6:$AQ$185,"&lt;="&amp;$AQ158,'Your Accounts'!$AP$6:$AP$185)</f>
        <v>13853631.21</v>
      </c>
      <c r="AS158" s="15" t="n">
        <f aca="false">ROUND($D158*Sensitivity!$C$35+Sensitivity!$D$35,2)</f>
        <v>4917.5</v>
      </c>
      <c r="AT158" s="15" t="n">
        <f aca="false">ROUND($K158-$AW158,2)</f>
        <v>14447.42</v>
      </c>
      <c r="AU158" s="26" t="n">
        <f aca="false">RANK($AT158,'Your Accounts'!$AT$6:$AT$185)</f>
        <v>138</v>
      </c>
      <c r="AV158" s="15" t="n">
        <f aca="false">SUMIF('Your Accounts'!$AU$6:$AU$185,"&lt;="&amp;$AU158,'Your Accounts'!$AT$6:$AT$185)</f>
        <v>13230142.31</v>
      </c>
      <c r="AW158" s="15" t="n">
        <f aca="false">ROUND($D158*Sensitivity!$C$36+Sensitivity!$D$36,2)</f>
        <v>9835</v>
      </c>
      <c r="AX158" s="15" t="n">
        <f aca="false">ROUND($K158-$BA158,2)</f>
        <v>11988.67</v>
      </c>
      <c r="AY158" s="26" t="n">
        <f aca="false">RANK($AX158,'Your Accounts'!$AX$6:$AX$185)</f>
        <v>139</v>
      </c>
      <c r="AZ158" s="15" t="n">
        <f aca="false">SUMIF('Your Accounts'!$AY$6:$AY$185,"&lt;="&amp;$AY158,'Your Accounts'!$AX$6:$AX$185)</f>
        <v>12912297.89</v>
      </c>
      <c r="BA158" s="15" t="n">
        <f aca="false">ROUND($D158*Sensitivity!$C$37+Sensitivity!$D$37,2)</f>
        <v>12293.75</v>
      </c>
      <c r="BB158" s="15" t="n">
        <f aca="false">ROUND($K158-$BE158,2)</f>
        <v>9529.92</v>
      </c>
      <c r="BC158" s="26" t="n">
        <f aca="false">RANK($BB158,'Your Accounts'!$BB$6:$BB$185)</f>
        <v>140</v>
      </c>
      <c r="BD158" s="15" t="n">
        <f aca="false">SUMIF('Your Accounts'!$BC$6:$BC$185,"&lt;="&amp;$BC158,'Your Accounts'!$BB$6:$BB$185)</f>
        <v>12589752.02</v>
      </c>
      <c r="BE158" s="15" t="n">
        <f aca="false">ROUND($D158*Sensitivity!$C$38+Sensitivity!$D$38,2)</f>
        <v>14752.5</v>
      </c>
      <c r="BF158" s="15" t="n">
        <f aca="false">ROUND($K158-$BI158,2)</f>
        <v>4612.42</v>
      </c>
      <c r="BG158" s="26" t="n">
        <f aca="false">RANK($BF158,'Your Accounts'!$BF$6:$BF$185)</f>
        <v>142</v>
      </c>
      <c r="BH158" s="15" t="n">
        <f aca="false">SUMIF('Your Accounts'!$BG$6:$BG$185,"&lt;="&amp;$BG158,'Your Accounts'!$BF$6:$BF$185)</f>
        <v>11930765</v>
      </c>
      <c r="BI158" s="15" t="n">
        <f aca="false">ROUND($D158*Sensitivity!$C$39+Sensitivity!$D$39,2)</f>
        <v>19670</v>
      </c>
      <c r="BJ158" s="15" t="n">
        <f aca="false">ROUND($K158-$BM158,2)</f>
        <v>-305.08</v>
      </c>
      <c r="BK158" s="26" t="n">
        <f aca="false">RANK($BJ158,'Your Accounts'!$BJ$6:$BJ$185)</f>
        <v>148</v>
      </c>
      <c r="BL158" s="15" t="n">
        <f aca="false">SUMIF('Your Accounts'!$BK$6:$BK$185,"&lt;="&amp;$BK158,'Your Accounts'!$BJ$6:$BJ$185)</f>
        <v>11255277.52</v>
      </c>
      <c r="BM158" s="15" t="n">
        <f aca="false">ROUND($D158*Sensitivity!$C$40+Sensitivity!$D$40,2)</f>
        <v>24587.5</v>
      </c>
      <c r="BN158" s="15" t="n">
        <f aca="false">ROUND($K158-$BQ158,2)</f>
        <v>-5222.58</v>
      </c>
      <c r="BO158" s="26" t="n">
        <f aca="false">RANK($BN158,'Your Accounts'!$BN$6:$BN$185)</f>
        <v>151</v>
      </c>
      <c r="BP158" s="15" t="n">
        <f aca="false">SUMIF('Your Accounts'!$BO$6:$BO$185,"&lt;="&amp;$BO158,'Your Accounts'!$BN$6:$BN$185)</f>
        <v>10541161.03</v>
      </c>
      <c r="BQ158" s="15" t="n">
        <f aca="false">ROUND($D158*Sensitivity!$C$41+Sensitivity!$D$41,2)</f>
        <v>29505</v>
      </c>
    </row>
    <row r="159" customFormat="false" ht="15" hidden="false" customHeight="false" outlineLevel="0" collapsed="false">
      <c r="B159" s="18" t="s">
        <v>271</v>
      </c>
      <c r="C159" s="18" t="s">
        <v>218</v>
      </c>
      <c r="D159" s="24" t="n">
        <v>14</v>
      </c>
      <c r="E159" s="26" t="n">
        <f aca="false">SUMIF('Your Lines'!$B$6:$B$463,$B159,'Your Lines'!$E$6:$E$463)</f>
        <v>699</v>
      </c>
      <c r="F159" s="15" t="n">
        <f aca="false">ROUND(SUMIF('Your Lines'!$B$6:$B$463,$B159,'Your Lines'!$J$6:$J$463),2)</f>
        <v>49866</v>
      </c>
      <c r="G159" s="15" t="n">
        <f aca="false">ROUND(SUMIF('Your Lines'!$B$6:$B$463,$B159,'Your Lines'!$G$6:$G$463),2)</f>
        <v>44149.75</v>
      </c>
      <c r="H159" s="25" t="n">
        <f aca="false">$G159/$F159</f>
        <v>0.885367785665584</v>
      </c>
      <c r="I159" s="15" t="n">
        <f aca="false">ROUND(SUMIF('Your Lines'!$B$6:$B$463,$B159,'Your Lines'!$K$6:$K$463),2)</f>
        <v>29388</v>
      </c>
      <c r="J159" s="15" t="n">
        <f aca="false">ROUND(SUMIF('Your Lines'!$B$6:$B$463,$B159,'Your Lines'!$L$6:$L$463),2)</f>
        <v>891.91</v>
      </c>
      <c r="K159" s="15" t="n">
        <f aca="false">ROUND($G159-$I159-$J159,2)</f>
        <v>13869.84</v>
      </c>
      <c r="L159" s="15" t="n">
        <f aca="false">ROUND($D159*'Your Inputs'!$C$40+'Your Inputs'!$C$41,2)</f>
        <v>8530</v>
      </c>
      <c r="M159" s="15" t="n">
        <f aca="false">ROUND($K159-$L159,2)</f>
        <v>5339.84</v>
      </c>
      <c r="N159" s="26" t="n">
        <f aca="false">RANK($M159,'Your Accounts'!$M$6:$M$185)</f>
        <v>163</v>
      </c>
      <c r="O159" s="15" t="n">
        <f aca="false">SUMIF('Your Accounts'!$N$6:$N$185,"&lt;="&amp;$N159,'Your Accounts'!$M$6:$M$185)</f>
        <v>13493988.76</v>
      </c>
      <c r="P159" s="15"/>
      <c r="Q159" s="26" t="n">
        <f aca="false">COUNTIFS('Your Lines'!$B$6:$B$463,$B159,'Your Lines'!$R$6:$R$463,"below the floor")</f>
        <v>2</v>
      </c>
      <c r="R159" s="15" t="n">
        <f aca="false">IF(Q159&gt;0,$K159,0)</f>
        <v>13869.84</v>
      </c>
      <c r="AN159" s="15" t="n">
        <f aca="false">IF(VLOOKUP($C159,'Your Floors'!$B$53:$F$56,5,FALSE())="yes",0,$R159)</f>
        <v>13869.84</v>
      </c>
      <c r="AP159" s="15" t="n">
        <f aca="false">ROUND($K159-$AS159,2)</f>
        <v>9604.84</v>
      </c>
      <c r="AQ159" s="26" t="n">
        <f aca="false">RANK($AP159,'Your Accounts'!$AP$6:$AP$185)</f>
        <v>162</v>
      </c>
      <c r="AR159" s="15" t="n">
        <f aca="false">SUMIF('Your Accounts'!$AQ$6:$AQ$185,"&lt;="&amp;$AQ159,'Your Accounts'!$AP$6:$AP$185)</f>
        <v>14249568.22</v>
      </c>
      <c r="AS159" s="15" t="n">
        <f aca="false">ROUND($D159*Sensitivity!$C$35+Sensitivity!$D$35,2)</f>
        <v>4265</v>
      </c>
      <c r="AT159" s="15" t="n">
        <f aca="false">ROUND($K159-$AW159,2)</f>
        <v>5339.84</v>
      </c>
      <c r="AU159" s="26" t="n">
        <f aca="false">RANK($AT159,'Your Accounts'!$AT$6:$AT$185)</f>
        <v>163</v>
      </c>
      <c r="AV159" s="15" t="n">
        <f aca="false">SUMIF('Your Accounts'!$AU$6:$AU$185,"&lt;="&amp;$AU159,'Your Accounts'!$AT$6:$AT$185)</f>
        <v>13493988.76</v>
      </c>
      <c r="AW159" s="15" t="n">
        <f aca="false">ROUND($D159*Sensitivity!$C$36+Sensitivity!$D$36,2)</f>
        <v>8530</v>
      </c>
      <c r="AX159" s="15" t="n">
        <f aca="false">ROUND($K159-$BA159,2)</f>
        <v>3207.34</v>
      </c>
      <c r="AY159" s="26" t="n">
        <f aca="false">RANK($AX159,'Your Accounts'!$AX$6:$AX$185)</f>
        <v>163</v>
      </c>
      <c r="AZ159" s="15" t="n">
        <f aca="false">SUMIF('Your Accounts'!$AY$6:$AY$185,"&lt;="&amp;$AY159,'Your Accounts'!$AX$6:$AX$185)</f>
        <v>13111555.01</v>
      </c>
      <c r="BA159" s="15" t="n">
        <f aca="false">ROUND($D159*Sensitivity!$C$37+Sensitivity!$D$37,2)</f>
        <v>10662.5</v>
      </c>
      <c r="BB159" s="15" t="n">
        <f aca="false">ROUND($K159-$BE159,2)</f>
        <v>1074.84</v>
      </c>
      <c r="BC159" s="26" t="n">
        <f aca="false">RANK($BB159,'Your Accounts'!$BB$6:$BB$185)</f>
        <v>163</v>
      </c>
      <c r="BD159" s="15" t="n">
        <f aca="false">SUMIF('Your Accounts'!$BC$6:$BC$185,"&lt;="&amp;$BC159,'Your Accounts'!$BB$6:$BB$185)</f>
        <v>12729121.26</v>
      </c>
      <c r="BE159" s="15" t="n">
        <f aca="false">ROUND($D159*Sensitivity!$C$38+Sensitivity!$D$38,2)</f>
        <v>12795</v>
      </c>
      <c r="BF159" s="15" t="n">
        <f aca="false">ROUND($K159-$BI159,2)</f>
        <v>-3190.16</v>
      </c>
      <c r="BG159" s="26" t="n">
        <f aca="false">RANK($BF159,'Your Accounts'!$BF$6:$BF$185)</f>
        <v>163</v>
      </c>
      <c r="BH159" s="15" t="n">
        <f aca="false">SUMIF('Your Accounts'!$BG$6:$BG$185,"&lt;="&amp;$BG159,'Your Accounts'!$BF$6:$BF$185)</f>
        <v>11964253.76</v>
      </c>
      <c r="BI159" s="15" t="n">
        <f aca="false">ROUND($D159*Sensitivity!$C$39+Sensitivity!$D$39,2)</f>
        <v>17060</v>
      </c>
      <c r="BJ159" s="15" t="n">
        <f aca="false">ROUND($K159-$BM159,2)</f>
        <v>-7455.16</v>
      </c>
      <c r="BK159" s="26" t="n">
        <f aca="false">RANK($BJ159,'Your Accounts'!$BJ$6:$BJ$185)</f>
        <v>163</v>
      </c>
      <c r="BL159" s="15" t="n">
        <f aca="false">SUMIF('Your Accounts'!$BK$6:$BK$185,"&lt;="&amp;$BK159,'Your Accounts'!$BJ$6:$BJ$185)</f>
        <v>11199386.26</v>
      </c>
      <c r="BM159" s="15" t="n">
        <f aca="false">ROUND($D159*Sensitivity!$C$40+Sensitivity!$D$40,2)</f>
        <v>21325</v>
      </c>
      <c r="BN159" s="15" t="n">
        <f aca="false">ROUND($K159-$BQ159,2)</f>
        <v>-11720.16</v>
      </c>
      <c r="BO159" s="26" t="n">
        <f aca="false">RANK($BN159,'Your Accounts'!$BN$6:$BN$185)</f>
        <v>164</v>
      </c>
      <c r="BP159" s="15" t="n">
        <f aca="false">SUMIF('Your Accounts'!$BO$6:$BO$185,"&lt;="&amp;$BO159,'Your Accounts'!$BN$6:$BN$185)</f>
        <v>10423119.76</v>
      </c>
      <c r="BQ159" s="15" t="n">
        <f aca="false">ROUND($D159*Sensitivity!$C$41+Sensitivity!$D$41,2)</f>
        <v>25590</v>
      </c>
    </row>
    <row r="160" customFormat="false" ht="15" hidden="false" customHeight="false" outlineLevel="0" collapsed="false">
      <c r="B160" s="18" t="s">
        <v>272</v>
      </c>
      <c r="C160" s="18" t="s">
        <v>218</v>
      </c>
      <c r="D160" s="24" t="n">
        <v>12</v>
      </c>
      <c r="E160" s="26" t="n">
        <f aca="false">SUMIF('Your Lines'!$B$6:$B$463,$B160,'Your Lines'!$E$6:$E$463)</f>
        <v>436</v>
      </c>
      <c r="F160" s="15" t="n">
        <f aca="false">ROUND(SUMIF('Your Lines'!$B$6:$B$463,$B160,'Your Lines'!$J$6:$J$463),2)</f>
        <v>38116</v>
      </c>
      <c r="G160" s="15" t="n">
        <f aca="false">ROUND(SUMIF('Your Lines'!$B$6:$B$463,$B160,'Your Lines'!$G$6:$G$463),2)</f>
        <v>35329.87</v>
      </c>
      <c r="H160" s="25" t="n">
        <f aca="false">$G160/$F160</f>
        <v>0.926903924860951</v>
      </c>
      <c r="I160" s="15" t="n">
        <f aca="false">ROUND(SUMIF('Your Lines'!$B$6:$B$463,$B160,'Your Lines'!$K$6:$K$463),2)</f>
        <v>21708</v>
      </c>
      <c r="J160" s="15" t="n">
        <f aca="false">ROUND(SUMIF('Your Lines'!$B$6:$B$463,$B160,'Your Lines'!$L$6:$L$463),2)</f>
        <v>713.73</v>
      </c>
      <c r="K160" s="15" t="n">
        <f aca="false">ROUND($G160-$I160-$J160,2)</f>
        <v>12908.14</v>
      </c>
      <c r="L160" s="15" t="n">
        <f aca="false">ROUND($D160*'Your Inputs'!$C$40+'Your Inputs'!$C$41,2)</f>
        <v>8240</v>
      </c>
      <c r="M160" s="15" t="n">
        <f aca="false">ROUND($K160-$L160,2)</f>
        <v>4668.14</v>
      </c>
      <c r="N160" s="26" t="n">
        <f aca="false">RANK($M160,'Your Accounts'!$M$6:$M$185)</f>
        <v>164</v>
      </c>
      <c r="O160" s="15" t="n">
        <f aca="false">SUMIF('Your Accounts'!$N$6:$N$185,"&lt;="&amp;$N160,'Your Accounts'!$M$6:$M$185)</f>
        <v>13498656.9</v>
      </c>
      <c r="P160" s="15"/>
      <c r="Q160" s="26" t="n">
        <f aca="false">COUNTIFS('Your Lines'!$B$6:$B$463,$B160,'Your Lines'!$R$6:$R$463,"below the floor")</f>
        <v>0</v>
      </c>
      <c r="R160" s="15" t="n">
        <f aca="false">IF(Q160&gt;0,$K160,0)</f>
        <v>0</v>
      </c>
      <c r="AN160" s="15" t="n">
        <f aca="false">IF(VLOOKUP($C160,'Your Floors'!$B$53:$F$56,5,FALSE())="yes",0,$R160)</f>
        <v>0</v>
      </c>
      <c r="AP160" s="15" t="n">
        <f aca="false">ROUND($K160-$AS160,2)</f>
        <v>8788.14</v>
      </c>
      <c r="AQ160" s="26" t="n">
        <f aca="false">RANK($AP160,'Your Accounts'!$AP$6:$AP$185)</f>
        <v>164</v>
      </c>
      <c r="AR160" s="15" t="n">
        <f aca="false">SUMIF('Your Accounts'!$AQ$6:$AQ$185,"&lt;="&amp;$AQ160,'Your Accounts'!$AP$6:$AP$185)</f>
        <v>14267644.4</v>
      </c>
      <c r="AS160" s="15" t="n">
        <f aca="false">ROUND($D160*Sensitivity!$C$35+Sensitivity!$D$35,2)</f>
        <v>4120</v>
      </c>
      <c r="AT160" s="15" t="n">
        <f aca="false">ROUND($K160-$AW160,2)</f>
        <v>4668.14</v>
      </c>
      <c r="AU160" s="26" t="n">
        <f aca="false">RANK($AT160,'Your Accounts'!$AT$6:$AT$185)</f>
        <v>164</v>
      </c>
      <c r="AV160" s="15" t="n">
        <f aca="false">SUMIF('Your Accounts'!$AU$6:$AU$185,"&lt;="&amp;$AU160,'Your Accounts'!$AT$6:$AT$185)</f>
        <v>13498656.9</v>
      </c>
      <c r="AW160" s="15" t="n">
        <f aca="false">ROUND($D160*Sensitivity!$C$36+Sensitivity!$D$36,2)</f>
        <v>8240</v>
      </c>
      <c r="AX160" s="15" t="n">
        <f aca="false">ROUND($K160-$BA160,2)</f>
        <v>2608.14</v>
      </c>
      <c r="AY160" s="26" t="n">
        <f aca="false">RANK($AX160,'Your Accounts'!$AX$6:$AX$185)</f>
        <v>164</v>
      </c>
      <c r="AZ160" s="15" t="n">
        <f aca="false">SUMIF('Your Accounts'!$AY$6:$AY$185,"&lt;="&amp;$AY160,'Your Accounts'!$AX$6:$AX$185)</f>
        <v>13114163.15</v>
      </c>
      <c r="BA160" s="15" t="n">
        <f aca="false">ROUND($D160*Sensitivity!$C$37+Sensitivity!$D$37,2)</f>
        <v>10300</v>
      </c>
      <c r="BB160" s="15" t="n">
        <f aca="false">ROUND($K160-$BE160,2)</f>
        <v>548.14</v>
      </c>
      <c r="BC160" s="26" t="n">
        <f aca="false">RANK($BB160,'Your Accounts'!$BB$6:$BB$185)</f>
        <v>164</v>
      </c>
      <c r="BD160" s="15" t="n">
        <f aca="false">SUMIF('Your Accounts'!$BC$6:$BC$185,"&lt;="&amp;$BC160,'Your Accounts'!$BB$6:$BB$185)</f>
        <v>12729669.4</v>
      </c>
      <c r="BE160" s="15" t="n">
        <f aca="false">ROUND($D160*Sensitivity!$C$38+Sensitivity!$D$38,2)</f>
        <v>12360</v>
      </c>
      <c r="BF160" s="15" t="n">
        <f aca="false">ROUND($K160-$BI160,2)</f>
        <v>-3571.86</v>
      </c>
      <c r="BG160" s="26" t="n">
        <f aca="false">RANK($BF160,'Your Accounts'!$BF$6:$BF$185)</f>
        <v>164</v>
      </c>
      <c r="BH160" s="15" t="n">
        <f aca="false">SUMIF('Your Accounts'!$BG$6:$BG$185,"&lt;="&amp;$BG160,'Your Accounts'!$BF$6:$BF$185)</f>
        <v>11960681.9</v>
      </c>
      <c r="BI160" s="15" t="n">
        <f aca="false">ROUND($D160*Sensitivity!$C$39+Sensitivity!$D$39,2)</f>
        <v>16480</v>
      </c>
      <c r="BJ160" s="15" t="n">
        <f aca="false">ROUND($K160-$BM160,2)</f>
        <v>-7691.86</v>
      </c>
      <c r="BK160" s="26" t="n">
        <f aca="false">RANK($BJ160,'Your Accounts'!$BJ$6:$BJ$185)</f>
        <v>164</v>
      </c>
      <c r="BL160" s="15" t="n">
        <f aca="false">SUMIF('Your Accounts'!$BK$6:$BK$185,"&lt;="&amp;$BK160,'Your Accounts'!$BJ$6:$BJ$185)</f>
        <v>11191694.4</v>
      </c>
      <c r="BM160" s="15" t="n">
        <f aca="false">ROUND($D160*Sensitivity!$C$40+Sensitivity!$D$40,2)</f>
        <v>20600</v>
      </c>
      <c r="BN160" s="15" t="n">
        <f aca="false">ROUND($K160-$BQ160,2)</f>
        <v>-11811.86</v>
      </c>
      <c r="BO160" s="26" t="n">
        <f aca="false">RANK($BN160,'Your Accounts'!$BN$6:$BN$185)</f>
        <v>165</v>
      </c>
      <c r="BP160" s="15" t="n">
        <f aca="false">SUMIF('Your Accounts'!$BO$6:$BO$185,"&lt;="&amp;$BO160,'Your Accounts'!$BN$6:$BN$185)</f>
        <v>10411307.9</v>
      </c>
      <c r="BQ160" s="15" t="n">
        <f aca="false">ROUND($D160*Sensitivity!$C$41+Sensitivity!$D$41,2)</f>
        <v>24720</v>
      </c>
    </row>
    <row r="161" customFormat="false" ht="15" hidden="false" customHeight="false" outlineLevel="0" collapsed="false">
      <c r="B161" s="18" t="s">
        <v>273</v>
      </c>
      <c r="C161" s="18" t="s">
        <v>218</v>
      </c>
      <c r="D161" s="24" t="n">
        <v>18</v>
      </c>
      <c r="E161" s="26" t="n">
        <f aca="false">SUMIF('Your Lines'!$B$6:$B$463,$B161,'Your Lines'!$E$6:$E$463)</f>
        <v>616</v>
      </c>
      <c r="F161" s="15" t="n">
        <f aca="false">ROUND(SUMIF('Your Lines'!$B$6:$B$463,$B161,'Your Lines'!$J$6:$J$463),2)</f>
        <v>45502</v>
      </c>
      <c r="G161" s="15" t="n">
        <f aca="false">ROUND(SUMIF('Your Lines'!$B$6:$B$463,$B161,'Your Lines'!$G$6:$G$463),2)</f>
        <v>45046.98</v>
      </c>
      <c r="H161" s="25" t="n">
        <f aca="false">$G161/$F161</f>
        <v>0.99</v>
      </c>
      <c r="I161" s="15" t="n">
        <f aca="false">ROUND(SUMIF('Your Lines'!$B$6:$B$463,$B161,'Your Lines'!$K$6:$K$463),2)</f>
        <v>26906</v>
      </c>
      <c r="J161" s="15" t="n">
        <f aca="false">ROUND(SUMIF('Your Lines'!$B$6:$B$463,$B161,'Your Lines'!$L$6:$L$463),2)</f>
        <v>910.04</v>
      </c>
      <c r="K161" s="15" t="n">
        <f aca="false">ROUND($G161-$I161-$J161,2)</f>
        <v>17230.94</v>
      </c>
      <c r="L161" s="15" t="n">
        <f aca="false">ROUND($D161*'Your Inputs'!$C$40+'Your Inputs'!$C$41,2)</f>
        <v>9110</v>
      </c>
      <c r="M161" s="15" t="n">
        <f aca="false">ROUND($K161-$L161,2)</f>
        <v>8120.94</v>
      </c>
      <c r="N161" s="26" t="n">
        <f aca="false">RANK($M161,'Your Accounts'!$M$6:$M$185)</f>
        <v>158</v>
      </c>
      <c r="O161" s="15" t="n">
        <f aca="false">SUMIF('Your Accounts'!$N$6:$N$185,"&lt;="&amp;$N161,'Your Accounts'!$M$6:$M$185)</f>
        <v>13460524.79</v>
      </c>
      <c r="P161" s="15"/>
      <c r="Q161" s="26" t="n">
        <f aca="false">COUNTIFS('Your Lines'!$B$6:$B$463,$B161,'Your Lines'!$R$6:$R$463,"below the floor")</f>
        <v>0</v>
      </c>
      <c r="R161" s="15" t="n">
        <f aca="false">IF(Q161&gt;0,$K161,0)</f>
        <v>0</v>
      </c>
      <c r="AN161" s="15" t="n">
        <f aca="false">IF(VLOOKUP($C161,'Your Floors'!$B$53:$F$56,5,FALSE())="yes",0,$R161)</f>
        <v>0</v>
      </c>
      <c r="AP161" s="15" t="n">
        <f aca="false">ROUND($K161-$AS161,2)</f>
        <v>12675.94</v>
      </c>
      <c r="AQ161" s="26" t="n">
        <f aca="false">RANK($AP161,'Your Accounts'!$AP$6:$AP$185)</f>
        <v>158</v>
      </c>
      <c r="AR161" s="15" t="n">
        <f aca="false">SUMIF('Your Accounts'!$AQ$6:$AQ$185,"&lt;="&amp;$AQ161,'Your Accounts'!$AP$6:$AP$185)</f>
        <v>14204937.29</v>
      </c>
      <c r="AS161" s="15" t="n">
        <f aca="false">ROUND($D161*Sensitivity!$C$35+Sensitivity!$D$35,2)</f>
        <v>4555</v>
      </c>
      <c r="AT161" s="15" t="n">
        <f aca="false">ROUND($K161-$AW161,2)</f>
        <v>8120.94</v>
      </c>
      <c r="AU161" s="26" t="n">
        <f aca="false">RANK($AT161,'Your Accounts'!$AT$6:$AT$185)</f>
        <v>158</v>
      </c>
      <c r="AV161" s="15" t="n">
        <f aca="false">SUMIF('Your Accounts'!$AU$6:$AU$185,"&lt;="&amp;$AU161,'Your Accounts'!$AT$6:$AT$185)</f>
        <v>13460524.79</v>
      </c>
      <c r="AW161" s="15" t="n">
        <f aca="false">ROUND($D161*Sensitivity!$C$36+Sensitivity!$D$36,2)</f>
        <v>9110</v>
      </c>
      <c r="AX161" s="15" t="n">
        <f aca="false">ROUND($K161-$BA161,2)</f>
        <v>5843.44</v>
      </c>
      <c r="AY161" s="26" t="n">
        <f aca="false">RANK($AX161,'Your Accounts'!$AX$6:$AX$185)</f>
        <v>158</v>
      </c>
      <c r="AZ161" s="15" t="n">
        <f aca="false">SUMIF('Your Accounts'!$AY$6:$AY$185,"&lt;="&amp;$AY161,'Your Accounts'!$AX$6:$AX$185)</f>
        <v>13088318.54</v>
      </c>
      <c r="BA161" s="15" t="n">
        <f aca="false">ROUND($D161*Sensitivity!$C$37+Sensitivity!$D$37,2)</f>
        <v>11387.5</v>
      </c>
      <c r="BB161" s="15" t="n">
        <f aca="false">ROUND($K161-$BE161,2)</f>
        <v>3565.94</v>
      </c>
      <c r="BC161" s="26" t="n">
        <f aca="false">RANK($BB161,'Your Accounts'!$BB$6:$BB$185)</f>
        <v>158</v>
      </c>
      <c r="BD161" s="15" t="n">
        <f aca="false">SUMIF('Your Accounts'!$BC$6:$BC$185,"&lt;="&amp;$BC161,'Your Accounts'!$BB$6:$BB$185)</f>
        <v>12716112.29</v>
      </c>
      <c r="BE161" s="15" t="n">
        <f aca="false">ROUND($D161*Sensitivity!$C$38+Sensitivity!$D$38,2)</f>
        <v>13665</v>
      </c>
      <c r="BF161" s="15" t="n">
        <f aca="false">ROUND($K161-$BI161,2)</f>
        <v>-989.06</v>
      </c>
      <c r="BG161" s="26" t="n">
        <f aca="false">RANK($BF161,'Your Accounts'!$BF$6:$BF$185)</f>
        <v>160</v>
      </c>
      <c r="BH161" s="15" t="n">
        <f aca="false">SUMIF('Your Accounts'!$BG$6:$BG$185,"&lt;="&amp;$BG161,'Your Accounts'!$BF$6:$BF$185)</f>
        <v>11970665.72</v>
      </c>
      <c r="BI161" s="15" t="n">
        <f aca="false">ROUND($D161*Sensitivity!$C$39+Sensitivity!$D$39,2)</f>
        <v>18220</v>
      </c>
      <c r="BJ161" s="15" t="n">
        <f aca="false">ROUND($K161-$BM161,2)</f>
        <v>-5544.06</v>
      </c>
      <c r="BK161" s="26" t="n">
        <f aca="false">RANK($BJ161,'Your Accounts'!$BJ$6:$BJ$185)</f>
        <v>160</v>
      </c>
      <c r="BL161" s="15" t="n">
        <f aca="false">SUMIF('Your Accounts'!$BK$6:$BK$185,"&lt;="&amp;$BK161,'Your Accounts'!$BJ$6:$BJ$185)</f>
        <v>11218448.22</v>
      </c>
      <c r="BM161" s="15" t="n">
        <f aca="false">ROUND($D161*Sensitivity!$C$40+Sensitivity!$D$40,2)</f>
        <v>22775</v>
      </c>
      <c r="BN161" s="15" t="n">
        <f aca="false">ROUND($K161-$BQ161,2)</f>
        <v>-10099.06</v>
      </c>
      <c r="BO161" s="26" t="n">
        <f aca="false">RANK($BN161,'Your Accounts'!$BN$6:$BN$185)</f>
        <v>160</v>
      </c>
      <c r="BP161" s="15" t="n">
        <f aca="false">SUMIF('Your Accounts'!$BO$6:$BO$185,"&lt;="&amp;$BO161,'Your Accounts'!$BN$6:$BN$185)</f>
        <v>10466638.96</v>
      </c>
      <c r="BQ161" s="15" t="n">
        <f aca="false">ROUND($D161*Sensitivity!$C$41+Sensitivity!$D$41,2)</f>
        <v>27330</v>
      </c>
    </row>
    <row r="162" customFormat="false" ht="15" hidden="false" customHeight="false" outlineLevel="0" collapsed="false">
      <c r="B162" s="18" t="s">
        <v>274</v>
      </c>
      <c r="C162" s="18" t="s">
        <v>218</v>
      </c>
      <c r="D162" s="24" t="n">
        <v>13</v>
      </c>
      <c r="E162" s="26" t="n">
        <f aca="false">SUMIF('Your Lines'!$B$6:$B$463,$B162,'Your Lines'!$E$6:$E$463)</f>
        <v>618</v>
      </c>
      <c r="F162" s="15" t="n">
        <f aca="false">ROUND(SUMIF('Your Lines'!$B$6:$B$463,$B162,'Your Lines'!$J$6:$J$463),2)</f>
        <v>45196</v>
      </c>
      <c r="G162" s="15" t="n">
        <f aca="false">ROUND(SUMIF('Your Lines'!$B$6:$B$463,$B162,'Your Lines'!$G$6:$G$463),2)</f>
        <v>44744.04</v>
      </c>
      <c r="H162" s="25" t="n">
        <f aca="false">$G162/$F162</f>
        <v>0.99</v>
      </c>
      <c r="I162" s="15" t="n">
        <f aca="false">ROUND(SUMIF('Your Lines'!$B$6:$B$463,$B162,'Your Lines'!$K$6:$K$463),2)</f>
        <v>25608</v>
      </c>
      <c r="J162" s="15" t="n">
        <f aca="false">ROUND(SUMIF('Your Lines'!$B$6:$B$463,$B162,'Your Lines'!$L$6:$L$463),2)</f>
        <v>903.92</v>
      </c>
      <c r="K162" s="15" t="n">
        <f aca="false">ROUND($G162-$I162-$J162,2)</f>
        <v>18232.12</v>
      </c>
      <c r="L162" s="15" t="n">
        <f aca="false">ROUND($D162*'Your Inputs'!$C$40+'Your Inputs'!$C$41,2)</f>
        <v>8385</v>
      </c>
      <c r="M162" s="15" t="n">
        <f aca="false">ROUND($K162-$L162,2)</f>
        <v>9847.12</v>
      </c>
      <c r="N162" s="26" t="n">
        <f aca="false">RANK($M162,'Your Accounts'!$M$6:$M$185)</f>
        <v>154</v>
      </c>
      <c r="O162" s="15" t="n">
        <f aca="false">SUMIF('Your Accounts'!$N$6:$N$185,"&lt;="&amp;$N162,'Your Accounts'!$M$6:$M$185)</f>
        <v>13425456.98</v>
      </c>
      <c r="P162" s="15"/>
      <c r="Q162" s="26" t="n">
        <f aca="false">COUNTIFS('Your Lines'!$B$6:$B$463,$B162,'Your Lines'!$R$6:$R$463,"below the floor")</f>
        <v>0</v>
      </c>
      <c r="R162" s="15" t="n">
        <f aca="false">IF(Q162&gt;0,$K162,0)</f>
        <v>0</v>
      </c>
      <c r="AN162" s="15" t="n">
        <f aca="false">IF(VLOOKUP($C162,'Your Floors'!$B$53:$F$56,5,FALSE())="yes",0,$R162)</f>
        <v>0</v>
      </c>
      <c r="AP162" s="15" t="n">
        <f aca="false">ROUND($K162-$AS162,2)</f>
        <v>14039.62</v>
      </c>
      <c r="AQ162" s="26" t="n">
        <f aca="false">RANK($AP162,'Your Accounts'!$AP$6:$AP$185)</f>
        <v>154</v>
      </c>
      <c r="AR162" s="15" t="n">
        <f aca="false">SUMIF('Your Accounts'!$AQ$6:$AQ$185,"&lt;="&amp;$AQ162,'Your Accounts'!$AP$6:$AP$185)</f>
        <v>14152954.48</v>
      </c>
      <c r="AS162" s="15" t="n">
        <f aca="false">ROUND($D162*Sensitivity!$C$35+Sensitivity!$D$35,2)</f>
        <v>4192.5</v>
      </c>
      <c r="AT162" s="15" t="n">
        <f aca="false">ROUND($K162-$AW162,2)</f>
        <v>9847.12</v>
      </c>
      <c r="AU162" s="26" t="n">
        <f aca="false">RANK($AT162,'Your Accounts'!$AT$6:$AT$185)</f>
        <v>154</v>
      </c>
      <c r="AV162" s="15" t="n">
        <f aca="false">SUMIF('Your Accounts'!$AU$6:$AU$185,"&lt;="&amp;$AU162,'Your Accounts'!$AT$6:$AT$185)</f>
        <v>13425456.98</v>
      </c>
      <c r="AW162" s="15" t="n">
        <f aca="false">ROUND($D162*Sensitivity!$C$36+Sensitivity!$D$36,2)</f>
        <v>8385</v>
      </c>
      <c r="AX162" s="15" t="n">
        <f aca="false">ROUND($K162-$BA162,2)</f>
        <v>7750.87</v>
      </c>
      <c r="AY162" s="26" t="n">
        <f aca="false">RANK($AX162,'Your Accounts'!$AX$6:$AX$185)</f>
        <v>155</v>
      </c>
      <c r="AZ162" s="15" t="n">
        <f aca="false">SUMIF('Your Accounts'!$AY$6:$AY$185,"&lt;="&amp;$AY162,'Your Accounts'!$AX$6:$AX$185)</f>
        <v>13069469.64</v>
      </c>
      <c r="BA162" s="15" t="n">
        <f aca="false">ROUND($D162*Sensitivity!$C$37+Sensitivity!$D$37,2)</f>
        <v>10481.25</v>
      </c>
      <c r="BB162" s="15" t="n">
        <f aca="false">ROUND($K162-$BE162,2)</f>
        <v>5654.62</v>
      </c>
      <c r="BC162" s="26" t="n">
        <f aca="false">RANK($BB162,'Your Accounts'!$BB$6:$BB$185)</f>
        <v>155</v>
      </c>
      <c r="BD162" s="15" t="n">
        <f aca="false">SUMIF('Your Accounts'!$BC$6:$BC$185,"&lt;="&amp;$BC162,'Your Accounts'!$BB$6:$BB$185)</f>
        <v>12703950.89</v>
      </c>
      <c r="BE162" s="15" t="n">
        <f aca="false">ROUND($D162*Sensitivity!$C$38+Sensitivity!$D$38,2)</f>
        <v>12577.5</v>
      </c>
      <c r="BF162" s="15" t="n">
        <f aca="false">ROUND($K162-$BI162,2)</f>
        <v>1462.12</v>
      </c>
      <c r="BG162" s="26" t="n">
        <f aca="false">RANK($BF162,'Your Accounts'!$BF$6:$BF$185)</f>
        <v>154</v>
      </c>
      <c r="BH162" s="15" t="n">
        <f aca="false">SUMIF('Your Accounts'!$BG$6:$BG$185,"&lt;="&amp;$BG162,'Your Accounts'!$BF$6:$BF$185)</f>
        <v>11971898.59</v>
      </c>
      <c r="BI162" s="15" t="n">
        <f aca="false">ROUND($D162*Sensitivity!$C$39+Sensitivity!$D$39,2)</f>
        <v>16770</v>
      </c>
      <c r="BJ162" s="15" t="n">
        <f aca="false">ROUND($K162-$BM162,2)</f>
        <v>-2730.38</v>
      </c>
      <c r="BK162" s="26" t="n">
        <f aca="false">RANK($BJ162,'Your Accounts'!$BJ$6:$BJ$185)</f>
        <v>154</v>
      </c>
      <c r="BL162" s="15" t="n">
        <f aca="false">SUMIF('Your Accounts'!$BK$6:$BK$185,"&lt;="&amp;$BK162,'Your Accounts'!$BJ$6:$BJ$185)</f>
        <v>11246503.59</v>
      </c>
      <c r="BM162" s="15" t="n">
        <f aca="false">ROUND($D162*Sensitivity!$C$40+Sensitivity!$D$40,2)</f>
        <v>20962.5</v>
      </c>
      <c r="BN162" s="15" t="n">
        <f aca="false">ROUND($K162-$BQ162,2)</f>
        <v>-6922.88</v>
      </c>
      <c r="BO162" s="26" t="n">
        <f aca="false">RANK($BN162,'Your Accounts'!$BN$6:$BN$185)</f>
        <v>154</v>
      </c>
      <c r="BP162" s="15" t="n">
        <f aca="false">SUMIF('Your Accounts'!$BO$6:$BO$185,"&lt;="&amp;$BO162,'Your Accounts'!$BN$6:$BN$185)</f>
        <v>10521108.59</v>
      </c>
      <c r="BQ162" s="15" t="n">
        <f aca="false">ROUND($D162*Sensitivity!$C$41+Sensitivity!$D$41,2)</f>
        <v>25155</v>
      </c>
    </row>
    <row r="163" customFormat="false" ht="15" hidden="false" customHeight="false" outlineLevel="0" collapsed="false">
      <c r="B163" s="18" t="s">
        <v>275</v>
      </c>
      <c r="C163" s="18" t="s">
        <v>218</v>
      </c>
      <c r="D163" s="24" t="n">
        <v>11</v>
      </c>
      <c r="E163" s="26" t="n">
        <f aca="false">SUMIF('Your Lines'!$B$6:$B$463,$B163,'Your Lines'!$E$6:$E$463)</f>
        <v>497</v>
      </c>
      <c r="F163" s="15" t="n">
        <f aca="false">ROUND(SUMIF('Your Lines'!$B$6:$B$463,$B163,'Your Lines'!$J$6:$J$463),2)</f>
        <v>58840</v>
      </c>
      <c r="G163" s="15" t="n">
        <f aca="false">ROUND(SUMIF('Your Lines'!$B$6:$B$463,$B163,'Your Lines'!$G$6:$G$463),2)</f>
        <v>55083.36</v>
      </c>
      <c r="H163" s="25" t="n">
        <f aca="false">$G163/$F163</f>
        <v>0.936154996600952</v>
      </c>
      <c r="I163" s="15" t="n">
        <f aca="false">ROUND(SUMIF('Your Lines'!$B$6:$B$463,$B163,'Your Lines'!$K$6:$K$463),2)</f>
        <v>33106</v>
      </c>
      <c r="J163" s="15" t="n">
        <f aca="false">ROUND(SUMIF('Your Lines'!$B$6:$B$463,$B163,'Your Lines'!$L$6:$L$463),2)</f>
        <v>1112.8</v>
      </c>
      <c r="K163" s="15" t="n">
        <f aca="false">ROUND($G163-$I163-$J163,2)</f>
        <v>20864.56</v>
      </c>
      <c r="L163" s="15" t="n">
        <f aca="false">ROUND($D163*'Your Inputs'!$C$40+'Your Inputs'!$C$41,2)</f>
        <v>8095</v>
      </c>
      <c r="M163" s="15" t="n">
        <f aca="false">ROUND($K163-$L163,2)</f>
        <v>12769.56</v>
      </c>
      <c r="N163" s="26" t="n">
        <f aca="false">RANK($M163,'Your Accounts'!$M$6:$M$185)</f>
        <v>144</v>
      </c>
      <c r="O163" s="15" t="n">
        <f aca="false">SUMIF('Your Accounts'!$N$6:$N$185,"&lt;="&amp;$N163,'Your Accounts'!$M$6:$M$185)</f>
        <v>13310568.37</v>
      </c>
      <c r="P163" s="15"/>
      <c r="Q163" s="26" t="n">
        <f aca="false">COUNTIFS('Your Lines'!$B$6:$B$463,$B163,'Your Lines'!$R$6:$R$463,"below the floor")</f>
        <v>0</v>
      </c>
      <c r="R163" s="15" t="n">
        <f aca="false">IF(Q163&gt;0,$K163,0)</f>
        <v>0</v>
      </c>
      <c r="AN163" s="15" t="n">
        <f aca="false">IF(VLOOKUP($C163,'Your Floors'!$B$53:$F$56,5,FALSE())="yes",0,$R163)</f>
        <v>0</v>
      </c>
      <c r="AP163" s="15" t="n">
        <f aca="false">ROUND($K163-$AS163,2)</f>
        <v>16817.06</v>
      </c>
      <c r="AQ163" s="26" t="n">
        <f aca="false">RANK($AP163,'Your Accounts'!$AP$6:$AP$185)</f>
        <v>146</v>
      </c>
      <c r="AR163" s="15" t="n">
        <f aca="false">SUMIF('Your Accounts'!$AQ$6:$AQ$185,"&lt;="&amp;$AQ163,'Your Accounts'!$AP$6:$AP$185)</f>
        <v>14031327.9</v>
      </c>
      <c r="AS163" s="15" t="n">
        <f aca="false">ROUND($D163*Sensitivity!$C$35+Sensitivity!$D$35,2)</f>
        <v>4047.5</v>
      </c>
      <c r="AT163" s="15" t="n">
        <f aca="false">ROUND($K163-$AW163,2)</f>
        <v>12769.56</v>
      </c>
      <c r="AU163" s="26" t="n">
        <f aca="false">RANK($AT163,'Your Accounts'!$AT$6:$AT$185)</f>
        <v>144</v>
      </c>
      <c r="AV163" s="15" t="n">
        <f aca="false">SUMIF('Your Accounts'!$AU$6:$AU$185,"&lt;="&amp;$AU163,'Your Accounts'!$AT$6:$AT$185)</f>
        <v>13310568.37</v>
      </c>
      <c r="AW163" s="15" t="n">
        <f aca="false">ROUND($D163*Sensitivity!$C$36+Sensitivity!$D$36,2)</f>
        <v>8095</v>
      </c>
      <c r="AX163" s="15" t="n">
        <f aca="false">ROUND($K163-$BA163,2)</f>
        <v>10745.81</v>
      </c>
      <c r="AY163" s="26" t="n">
        <f aca="false">RANK($AX163,'Your Accounts'!$AX$6:$AX$185)</f>
        <v>143</v>
      </c>
      <c r="AZ163" s="15" t="n">
        <f aca="false">SUMIF('Your Accounts'!$AY$6:$AY$185,"&lt;="&amp;$AY163,'Your Accounts'!$AX$6:$AX$185)</f>
        <v>12957133.91</v>
      </c>
      <c r="BA163" s="15" t="n">
        <f aca="false">ROUND($D163*Sensitivity!$C$37+Sensitivity!$D$37,2)</f>
        <v>10118.75</v>
      </c>
      <c r="BB163" s="15" t="n">
        <f aca="false">ROUND($K163-$BE163,2)</f>
        <v>8722.06</v>
      </c>
      <c r="BC163" s="26" t="n">
        <f aca="false">RANK($BB163,'Your Accounts'!$BB$6:$BB$185)</f>
        <v>143</v>
      </c>
      <c r="BD163" s="15" t="n">
        <f aca="false">SUMIF('Your Accounts'!$BC$6:$BC$185,"&lt;="&amp;$BC163,'Your Accounts'!$BB$6:$BB$185)</f>
        <v>12616480.16</v>
      </c>
      <c r="BE163" s="15" t="n">
        <f aca="false">ROUND($D163*Sensitivity!$C$38+Sensitivity!$D$38,2)</f>
        <v>12142.5</v>
      </c>
      <c r="BF163" s="15" t="n">
        <f aca="false">ROUND($K163-$BI163,2)</f>
        <v>4674.56</v>
      </c>
      <c r="BG163" s="26" t="n">
        <f aca="false">RANK($BF163,'Your Accounts'!$BF$6:$BF$185)</f>
        <v>141</v>
      </c>
      <c r="BH163" s="15" t="n">
        <f aca="false">SUMIF('Your Accounts'!$BG$6:$BG$185,"&lt;="&amp;$BG163,'Your Accounts'!$BF$6:$BF$185)</f>
        <v>11926152.58</v>
      </c>
      <c r="BI163" s="15" t="n">
        <f aca="false">ROUND($D163*Sensitivity!$C$39+Sensitivity!$D$39,2)</f>
        <v>16190</v>
      </c>
      <c r="BJ163" s="15" t="n">
        <f aca="false">ROUND($K163-$BM163,2)</f>
        <v>627.06</v>
      </c>
      <c r="BK163" s="26" t="n">
        <f aca="false">RANK($BJ163,'Your Accounts'!$BJ$6:$BJ$185)</f>
        <v>141</v>
      </c>
      <c r="BL163" s="15" t="n">
        <f aca="false">SUMIF('Your Accounts'!$BK$6:$BK$185,"&lt;="&amp;$BK163,'Your Accounts'!$BJ$6:$BJ$185)</f>
        <v>11254100.08</v>
      </c>
      <c r="BM163" s="15" t="n">
        <f aca="false">ROUND($D163*Sensitivity!$C$40+Sensitivity!$D$40,2)</f>
        <v>20237.5</v>
      </c>
      <c r="BN163" s="15" t="n">
        <f aca="false">ROUND($K163-$BQ163,2)</f>
        <v>-3420.44</v>
      </c>
      <c r="BO163" s="26" t="n">
        <f aca="false">RANK($BN163,'Your Accounts'!$BN$6:$BN$185)</f>
        <v>141</v>
      </c>
      <c r="BP163" s="15" t="n">
        <f aca="false">SUMIF('Your Accounts'!$BO$6:$BO$185,"&lt;="&amp;$BO163,'Your Accounts'!$BN$6:$BN$185)</f>
        <v>10582768.92</v>
      </c>
      <c r="BQ163" s="15" t="n">
        <f aca="false">ROUND($D163*Sensitivity!$C$41+Sensitivity!$D$41,2)</f>
        <v>24285</v>
      </c>
    </row>
    <row r="164" customFormat="false" ht="15" hidden="false" customHeight="false" outlineLevel="0" collapsed="false">
      <c r="B164" s="18" t="s">
        <v>276</v>
      </c>
      <c r="C164" s="18" t="s">
        <v>218</v>
      </c>
      <c r="D164" s="24" t="n">
        <v>41</v>
      </c>
      <c r="E164" s="26" t="n">
        <f aca="false">SUMIF('Your Lines'!$B$6:$B$463,$B164,'Your Lines'!$E$6:$E$463)</f>
        <v>3601</v>
      </c>
      <c r="F164" s="15" t="n">
        <f aca="false">ROUND(SUMIF('Your Lines'!$B$6:$B$463,$B164,'Your Lines'!$J$6:$J$463),2)</f>
        <v>286752</v>
      </c>
      <c r="G164" s="15" t="n">
        <f aca="false">ROUND(SUMIF('Your Lines'!$B$6:$B$463,$B164,'Your Lines'!$G$6:$G$463),2)</f>
        <v>241631.57</v>
      </c>
      <c r="H164" s="25" t="n">
        <f aca="false">$G164/$F164</f>
        <v>0.842649990235465</v>
      </c>
      <c r="I164" s="15" t="n">
        <f aca="false">ROUND(SUMIF('Your Lines'!$B$6:$B$463,$B164,'Your Lines'!$K$6:$K$463),2)</f>
        <v>164754</v>
      </c>
      <c r="J164" s="15" t="n">
        <f aca="false">ROUND(SUMIF('Your Lines'!$B$6:$B$463,$B164,'Your Lines'!$L$6:$L$463),2)</f>
        <v>4982.09</v>
      </c>
      <c r="K164" s="15" t="n">
        <f aca="false">ROUND($G164-$I164-$J164,2)</f>
        <v>71895.48</v>
      </c>
      <c r="L164" s="15" t="n">
        <f aca="false">ROUND($D164*'Your Inputs'!$C$40+'Your Inputs'!$C$41,2)</f>
        <v>12445</v>
      </c>
      <c r="M164" s="15" t="n">
        <f aca="false">ROUND($K164-$L164,2)</f>
        <v>59450.48</v>
      </c>
      <c r="N164" s="26" t="n">
        <f aca="false">RANK($M164,'Your Accounts'!$M$6:$M$185)</f>
        <v>62</v>
      </c>
      <c r="O164" s="15" t="n">
        <f aca="false">SUMIF('Your Accounts'!$N$6:$N$185,"&lt;="&amp;$N164,'Your Accounts'!$M$6:$M$185)</f>
        <v>10650974.02</v>
      </c>
      <c r="P164" s="15"/>
      <c r="Q164" s="26" t="n">
        <f aca="false">COUNTIFS('Your Lines'!$B$6:$B$463,$B164,'Your Lines'!$R$6:$R$463,"below the floor")</f>
        <v>3</v>
      </c>
      <c r="R164" s="15" t="n">
        <f aca="false">IF(Q164&gt;0,$K164,0)</f>
        <v>71895.48</v>
      </c>
      <c r="AN164" s="15" t="n">
        <f aca="false">IF(VLOOKUP($C164,'Your Floors'!$B$53:$F$56,5,FALSE())="yes",0,$R164)</f>
        <v>71895.48</v>
      </c>
      <c r="AP164" s="15" t="n">
        <f aca="false">ROUND($K164-$AS164,2)</f>
        <v>65672.98</v>
      </c>
      <c r="AQ164" s="26" t="n">
        <f aca="false">RANK($AP164,'Your Accounts'!$AP$6:$AP$185)</f>
        <v>60</v>
      </c>
      <c r="AR164" s="15" t="n">
        <f aca="false">SUMIF('Your Accounts'!$AQ$6:$AQ$185,"&lt;="&amp;$AQ164,'Your Accounts'!$AP$6:$AP$185)</f>
        <v>10834155.76</v>
      </c>
      <c r="AS164" s="15" t="n">
        <f aca="false">ROUND($D164*Sensitivity!$C$35+Sensitivity!$D$35,2)</f>
        <v>6222.5</v>
      </c>
      <c r="AT164" s="15" t="n">
        <f aca="false">ROUND($K164-$AW164,2)</f>
        <v>59450.48</v>
      </c>
      <c r="AU164" s="26" t="n">
        <f aca="false">RANK($AT164,'Your Accounts'!$AT$6:$AT$185)</f>
        <v>62</v>
      </c>
      <c r="AV164" s="15" t="n">
        <f aca="false">SUMIF('Your Accounts'!$AU$6:$AU$185,"&lt;="&amp;$AU164,'Your Accounts'!$AT$6:$AT$185)</f>
        <v>10650974.02</v>
      </c>
      <c r="AW164" s="15" t="n">
        <f aca="false">ROUND($D164*Sensitivity!$C$36+Sensitivity!$D$36,2)</f>
        <v>12445</v>
      </c>
      <c r="AX164" s="15" t="n">
        <f aca="false">ROUND($K164-$BA164,2)</f>
        <v>56339.23</v>
      </c>
      <c r="AY164" s="26" t="n">
        <f aca="false">RANK($AX164,'Your Accounts'!$AX$6:$AX$185)</f>
        <v>62</v>
      </c>
      <c r="AZ164" s="15" t="n">
        <f aca="false">SUMIF('Your Accounts'!$AY$6:$AY$185,"&lt;="&amp;$AY164,'Your Accounts'!$AX$6:$AX$185)</f>
        <v>10494870.27</v>
      </c>
      <c r="BA164" s="15" t="n">
        <f aca="false">ROUND($D164*Sensitivity!$C$37+Sensitivity!$D$37,2)</f>
        <v>15556.25</v>
      </c>
      <c r="BB164" s="15" t="n">
        <f aca="false">ROUND($K164-$BE164,2)</f>
        <v>53227.98</v>
      </c>
      <c r="BC164" s="26" t="n">
        <f aca="false">RANK($BB164,'Your Accounts'!$BB$6:$BB$185)</f>
        <v>63</v>
      </c>
      <c r="BD164" s="15" t="n">
        <f aca="false">SUMIF('Your Accounts'!$BC$6:$BC$185,"&lt;="&amp;$BC164,'Your Accounts'!$BB$6:$BB$185)</f>
        <v>10392397.86</v>
      </c>
      <c r="BE164" s="15" t="n">
        <f aca="false">ROUND($D164*Sensitivity!$C$38+Sensitivity!$D$38,2)</f>
        <v>18667.5</v>
      </c>
      <c r="BF164" s="15" t="n">
        <f aca="false">ROUND($K164-$BI164,2)</f>
        <v>47005.48</v>
      </c>
      <c r="BG164" s="26" t="n">
        <f aca="false">RANK($BF164,'Your Accounts'!$BF$6:$BF$185)</f>
        <v>67</v>
      </c>
      <c r="BH164" s="15" t="n">
        <f aca="false">SUMIF('Your Accounts'!$BG$6:$BG$185,"&lt;="&amp;$BG164,'Your Accounts'!$BF$6:$BF$185)</f>
        <v>10268684.09</v>
      </c>
      <c r="BI164" s="15" t="n">
        <f aca="false">ROUND($D164*Sensitivity!$C$39+Sensitivity!$D$39,2)</f>
        <v>24890</v>
      </c>
      <c r="BJ164" s="15" t="n">
        <f aca="false">ROUND($K164-$BM164,2)</f>
        <v>40782.98</v>
      </c>
      <c r="BK164" s="26" t="n">
        <f aca="false">RANK($BJ164,'Your Accounts'!$BJ$6:$BJ$185)</f>
        <v>68</v>
      </c>
      <c r="BL164" s="15" t="n">
        <f aca="false">SUMIF('Your Accounts'!$BK$6:$BK$185,"&lt;="&amp;$BK164,'Your Accounts'!$BJ$6:$BJ$185)</f>
        <v>9978062.22</v>
      </c>
      <c r="BM164" s="15" t="n">
        <f aca="false">ROUND($D164*Sensitivity!$C$40+Sensitivity!$D$40,2)</f>
        <v>31112.5</v>
      </c>
      <c r="BN164" s="15" t="n">
        <f aca="false">ROUND($K164-$BQ164,2)</f>
        <v>34560.48</v>
      </c>
      <c r="BO164" s="26" t="n">
        <f aca="false">RANK($BN164,'Your Accounts'!$BN$6:$BN$185)</f>
        <v>73</v>
      </c>
      <c r="BP164" s="15" t="n">
        <f aca="false">SUMIF('Your Accounts'!$BO$6:$BO$185,"&lt;="&amp;$BO164,'Your Accounts'!$BN$6:$BN$185)</f>
        <v>9818720.78</v>
      </c>
      <c r="BQ164" s="15" t="n">
        <f aca="false">ROUND($D164*Sensitivity!$C$41+Sensitivity!$D$41,2)</f>
        <v>37335</v>
      </c>
    </row>
    <row r="165" customFormat="false" ht="15" hidden="false" customHeight="false" outlineLevel="0" collapsed="false">
      <c r="B165" s="18" t="s">
        <v>277</v>
      </c>
      <c r="C165" s="18" t="s">
        <v>218</v>
      </c>
      <c r="D165" s="24" t="n">
        <v>27</v>
      </c>
      <c r="E165" s="26" t="n">
        <f aca="false">SUMIF('Your Lines'!$B$6:$B$463,$B165,'Your Lines'!$E$6:$E$463)</f>
        <v>1172</v>
      </c>
      <c r="F165" s="15" t="n">
        <f aca="false">ROUND(SUMIF('Your Lines'!$B$6:$B$463,$B165,'Your Lines'!$J$6:$J$463),2)</f>
        <v>93760</v>
      </c>
      <c r="G165" s="15" t="n">
        <f aca="false">ROUND(SUMIF('Your Lines'!$B$6:$B$463,$B165,'Your Lines'!$G$6:$G$463),2)</f>
        <v>88444.34</v>
      </c>
      <c r="H165" s="25" t="n">
        <f aca="false">$G165/$F165</f>
        <v>0.943305674061433</v>
      </c>
      <c r="I165" s="15" t="n">
        <f aca="false">ROUND(SUMIF('Your Lines'!$B$6:$B$463,$B165,'Your Lines'!$K$6:$K$463),2)</f>
        <v>53304</v>
      </c>
      <c r="J165" s="15" t="n">
        <f aca="false">ROUND(SUMIF('Your Lines'!$B$6:$B$463,$B165,'Your Lines'!$L$6:$L$463),2)</f>
        <v>1786.76</v>
      </c>
      <c r="K165" s="15" t="n">
        <f aca="false">ROUND($G165-$I165-$J165,2)</f>
        <v>33353.58</v>
      </c>
      <c r="L165" s="15" t="n">
        <f aca="false">ROUND($D165*'Your Inputs'!$C$40+'Your Inputs'!$C$41,2)</f>
        <v>10415</v>
      </c>
      <c r="M165" s="15" t="n">
        <f aca="false">ROUND($K165-$L165,2)</f>
        <v>22938.58</v>
      </c>
      <c r="N165" s="26" t="n">
        <f aca="false">RANK($M165,'Your Accounts'!$M$6:$M$185)</f>
        <v>121</v>
      </c>
      <c r="O165" s="15" t="n">
        <f aca="false">SUMIF('Your Accounts'!$N$6:$N$185,"&lt;="&amp;$N165,'Your Accounts'!$M$6:$M$185)</f>
        <v>12927084.82</v>
      </c>
      <c r="P165" s="15"/>
      <c r="Q165" s="26" t="n">
        <f aca="false">COUNTIFS('Your Lines'!$B$6:$B$463,$B165,'Your Lines'!$R$6:$R$463,"below the floor")</f>
        <v>0</v>
      </c>
      <c r="R165" s="15" t="n">
        <f aca="false">IF(Q165&gt;0,$K165,0)</f>
        <v>0</v>
      </c>
      <c r="AN165" s="15" t="n">
        <f aca="false">IF(VLOOKUP($C165,'Your Floors'!$B$53:$F$56,5,FALSE())="yes",0,$R165)</f>
        <v>0</v>
      </c>
      <c r="AP165" s="15" t="n">
        <f aca="false">ROUND($K165-$AS165,2)</f>
        <v>28146.08</v>
      </c>
      <c r="AQ165" s="26" t="n">
        <f aca="false">RANK($AP165,'Your Accounts'!$AP$6:$AP$185)</f>
        <v>118</v>
      </c>
      <c r="AR165" s="15" t="n">
        <f aca="false">SUMIF('Your Accounts'!$AQ$6:$AQ$185,"&lt;="&amp;$AQ165,'Your Accounts'!$AP$6:$AP$185)</f>
        <v>13432247.61</v>
      </c>
      <c r="AS165" s="15" t="n">
        <f aca="false">ROUND($D165*Sensitivity!$C$35+Sensitivity!$D$35,2)</f>
        <v>5207.5</v>
      </c>
      <c r="AT165" s="15" t="n">
        <f aca="false">ROUND($K165-$AW165,2)</f>
        <v>22938.58</v>
      </c>
      <c r="AU165" s="26" t="n">
        <f aca="false">RANK($AT165,'Your Accounts'!$AT$6:$AT$185)</f>
        <v>121</v>
      </c>
      <c r="AV165" s="15" t="n">
        <f aca="false">SUMIF('Your Accounts'!$AU$6:$AU$185,"&lt;="&amp;$AU165,'Your Accounts'!$AT$6:$AT$185)</f>
        <v>12927084.82</v>
      </c>
      <c r="AW165" s="15" t="n">
        <f aca="false">ROUND($D165*Sensitivity!$C$36+Sensitivity!$D$36,2)</f>
        <v>10415</v>
      </c>
      <c r="AX165" s="15" t="n">
        <f aca="false">ROUND($K165-$BA165,2)</f>
        <v>20334.83</v>
      </c>
      <c r="AY165" s="26" t="n">
        <f aca="false">RANK($AX165,'Your Accounts'!$AX$6:$AX$185)</f>
        <v>121</v>
      </c>
      <c r="AZ165" s="15" t="n">
        <f aca="false">SUMIF('Your Accounts'!$AY$6:$AY$185,"&lt;="&amp;$AY165,'Your Accounts'!$AX$6:$AX$185)</f>
        <v>12633636.07</v>
      </c>
      <c r="BA165" s="15" t="n">
        <f aca="false">ROUND($D165*Sensitivity!$C$37+Sensitivity!$D$37,2)</f>
        <v>13018.75</v>
      </c>
      <c r="BB165" s="15" t="n">
        <f aca="false">ROUND($K165-$BE165,2)</f>
        <v>17731.08</v>
      </c>
      <c r="BC165" s="26" t="n">
        <f aca="false">RANK($BB165,'Your Accounts'!$BB$6:$BB$185)</f>
        <v>122</v>
      </c>
      <c r="BD165" s="15" t="n">
        <f aca="false">SUMIF('Your Accounts'!$BC$6:$BC$185,"&lt;="&amp;$BC165,'Your Accounts'!$BB$6:$BB$185)</f>
        <v>12357959.64</v>
      </c>
      <c r="BE165" s="15" t="n">
        <f aca="false">ROUND($D165*Sensitivity!$C$38+Sensitivity!$D$38,2)</f>
        <v>15622.5</v>
      </c>
      <c r="BF165" s="15" t="n">
        <f aca="false">ROUND($K165-$BI165,2)</f>
        <v>12523.58</v>
      </c>
      <c r="BG165" s="26" t="n">
        <f aca="false">RANK($BF165,'Your Accounts'!$BF$6:$BF$185)</f>
        <v>123</v>
      </c>
      <c r="BH165" s="15" t="n">
        <f aca="false">SUMIF('Your Accounts'!$BG$6:$BG$185,"&lt;="&amp;$BG165,'Your Accounts'!$BF$6:$BF$185)</f>
        <v>11780006.64</v>
      </c>
      <c r="BI165" s="15" t="n">
        <f aca="false">ROUND($D165*Sensitivity!$C$39+Sensitivity!$D$39,2)</f>
        <v>20830</v>
      </c>
      <c r="BJ165" s="15" t="n">
        <f aca="false">ROUND($K165-$BM165,2)</f>
        <v>7316.08</v>
      </c>
      <c r="BK165" s="26" t="n">
        <f aca="false">RANK($BJ165,'Your Accounts'!$BJ$6:$BJ$185)</f>
        <v>124</v>
      </c>
      <c r="BL165" s="15" t="n">
        <f aca="false">SUMIF('Your Accounts'!$BK$6:$BK$185,"&lt;="&amp;$BK165,'Your Accounts'!$BJ$6:$BJ$185)</f>
        <v>11193062.6</v>
      </c>
      <c r="BM165" s="15" t="n">
        <f aca="false">ROUND($D165*Sensitivity!$C$40+Sensitivity!$D$40,2)</f>
        <v>26037.5</v>
      </c>
      <c r="BN165" s="15" t="n">
        <f aca="false">ROUND($K165-$BQ165,2)</f>
        <v>2108.58</v>
      </c>
      <c r="BO165" s="26" t="n">
        <f aca="false">RANK($BN165,'Your Accounts'!$BN$6:$BN$185)</f>
        <v>128</v>
      </c>
      <c r="BP165" s="15" t="n">
        <f aca="false">SUMIF('Your Accounts'!$BO$6:$BO$185,"&lt;="&amp;$BO165,'Your Accounts'!$BN$6:$BN$185)</f>
        <v>10604426.39</v>
      </c>
      <c r="BQ165" s="15" t="n">
        <f aca="false">ROUND($D165*Sensitivity!$C$41+Sensitivity!$D$41,2)</f>
        <v>31245</v>
      </c>
    </row>
    <row r="166" customFormat="false" ht="15" hidden="false" customHeight="false" outlineLevel="0" collapsed="false">
      <c r="B166" s="18" t="s">
        <v>278</v>
      </c>
      <c r="C166" s="18" t="s">
        <v>218</v>
      </c>
      <c r="D166" s="24" t="n">
        <v>12</v>
      </c>
      <c r="E166" s="26" t="n">
        <f aca="false">SUMIF('Your Lines'!$B$6:$B$463,$B166,'Your Lines'!$E$6:$E$463)</f>
        <v>731</v>
      </c>
      <c r="F166" s="15" t="n">
        <f aca="false">ROUND(SUMIF('Your Lines'!$B$6:$B$463,$B166,'Your Lines'!$J$6:$J$463),2)</f>
        <v>84996</v>
      </c>
      <c r="G166" s="15" t="n">
        <f aca="false">ROUND(SUMIF('Your Lines'!$B$6:$B$463,$B166,'Your Lines'!$G$6:$G$463),2)</f>
        <v>82130.2</v>
      </c>
      <c r="H166" s="25" t="n">
        <f aca="false">$G166/$F166</f>
        <v>0.96628311920561</v>
      </c>
      <c r="I166" s="15" t="n">
        <f aca="false">ROUND(SUMIF('Your Lines'!$B$6:$B$463,$B166,'Your Lines'!$K$6:$K$463),2)</f>
        <v>48098</v>
      </c>
      <c r="J166" s="15" t="n">
        <f aca="false">ROUND(SUMIF('Your Lines'!$B$6:$B$463,$B166,'Your Lines'!$L$6:$L$463),2)</f>
        <v>1659.19</v>
      </c>
      <c r="K166" s="15" t="n">
        <f aca="false">ROUND($G166-$I166-$J166,2)</f>
        <v>32373.01</v>
      </c>
      <c r="L166" s="15" t="n">
        <f aca="false">ROUND($D166*'Your Inputs'!$C$40+'Your Inputs'!$C$41,2)</f>
        <v>8240</v>
      </c>
      <c r="M166" s="15" t="n">
        <f aca="false">ROUND($K166-$L166,2)</f>
        <v>24133.01</v>
      </c>
      <c r="N166" s="26" t="n">
        <f aca="false">RANK($M166,'Your Accounts'!$M$6:$M$185)</f>
        <v>117</v>
      </c>
      <c r="O166" s="15" t="n">
        <f aca="false">SUMIF('Your Accounts'!$N$6:$N$185,"&lt;="&amp;$N166,'Your Accounts'!$M$6:$M$185)</f>
        <v>12834046.53</v>
      </c>
      <c r="P166" s="15"/>
      <c r="Q166" s="26" t="n">
        <f aca="false">COUNTIFS('Your Lines'!$B$6:$B$463,$B166,'Your Lines'!$R$6:$R$463,"below the floor")</f>
        <v>0</v>
      </c>
      <c r="R166" s="15" t="n">
        <f aca="false">IF(Q166&gt;0,$K166,0)</f>
        <v>0</v>
      </c>
      <c r="AN166" s="15" t="n">
        <f aca="false">IF(VLOOKUP($C166,'Your Floors'!$B$53:$F$56,5,FALSE())="yes",0,$R166)</f>
        <v>0</v>
      </c>
      <c r="AP166" s="15" t="n">
        <f aca="false">ROUND($K166-$AS166,2)</f>
        <v>28253.01</v>
      </c>
      <c r="AQ166" s="26" t="n">
        <f aca="false">RANK($AP166,'Your Accounts'!$AP$6:$AP$185)</f>
        <v>117</v>
      </c>
      <c r="AR166" s="15" t="n">
        <f aca="false">SUMIF('Your Accounts'!$AQ$6:$AQ$185,"&lt;="&amp;$AQ166,'Your Accounts'!$AP$6:$AP$185)</f>
        <v>13404101.53</v>
      </c>
      <c r="AS166" s="15" t="n">
        <f aca="false">ROUND($D166*Sensitivity!$C$35+Sensitivity!$D$35,2)</f>
        <v>4120</v>
      </c>
      <c r="AT166" s="15" t="n">
        <f aca="false">ROUND($K166-$AW166,2)</f>
        <v>24133.01</v>
      </c>
      <c r="AU166" s="26" t="n">
        <f aca="false">RANK($AT166,'Your Accounts'!$AT$6:$AT$185)</f>
        <v>117</v>
      </c>
      <c r="AV166" s="15" t="n">
        <f aca="false">SUMIF('Your Accounts'!$AU$6:$AU$185,"&lt;="&amp;$AU166,'Your Accounts'!$AT$6:$AT$185)</f>
        <v>12834046.53</v>
      </c>
      <c r="AW166" s="15" t="n">
        <f aca="false">ROUND($D166*Sensitivity!$C$36+Sensitivity!$D$36,2)</f>
        <v>8240</v>
      </c>
      <c r="AX166" s="15" t="n">
        <f aca="false">ROUND($K166-$BA166,2)</f>
        <v>22073.01</v>
      </c>
      <c r="AY166" s="26" t="n">
        <f aca="false">RANK($AX166,'Your Accounts'!$AX$6:$AX$185)</f>
        <v>117</v>
      </c>
      <c r="AZ166" s="15" t="n">
        <f aca="false">SUMIF('Your Accounts'!$AY$6:$AY$185,"&lt;="&amp;$AY166,'Your Accounts'!$AX$6:$AX$185)</f>
        <v>12549019.03</v>
      </c>
      <c r="BA166" s="15" t="n">
        <f aca="false">ROUND($D166*Sensitivity!$C$37+Sensitivity!$D$37,2)</f>
        <v>10300</v>
      </c>
      <c r="BB166" s="15" t="n">
        <f aca="false">ROUND($K166-$BE166,2)</f>
        <v>20013.01</v>
      </c>
      <c r="BC166" s="26" t="n">
        <f aca="false">RANK($BB166,'Your Accounts'!$BB$6:$BB$185)</f>
        <v>116</v>
      </c>
      <c r="BD166" s="15" t="n">
        <f aca="false">SUMIF('Your Accounts'!$BC$6:$BC$185,"&lt;="&amp;$BC166,'Your Accounts'!$BB$6:$BB$185)</f>
        <v>12244422.77</v>
      </c>
      <c r="BE166" s="15" t="n">
        <f aca="false">ROUND($D166*Sensitivity!$C$38+Sensitivity!$D$38,2)</f>
        <v>12360</v>
      </c>
      <c r="BF166" s="15" t="n">
        <f aca="false">ROUND($K166-$BI166,2)</f>
        <v>15893.01</v>
      </c>
      <c r="BG166" s="26" t="n">
        <f aca="false">RANK($BF166,'Your Accounts'!$BF$6:$BF$185)</f>
        <v>113</v>
      </c>
      <c r="BH166" s="15" t="n">
        <f aca="false">SUMIF('Your Accounts'!$BG$6:$BG$185,"&lt;="&amp;$BG166,'Your Accounts'!$BF$6:$BF$185)</f>
        <v>11632647.62</v>
      </c>
      <c r="BI166" s="15" t="n">
        <f aca="false">ROUND($D166*Sensitivity!$C$39+Sensitivity!$D$39,2)</f>
        <v>16480</v>
      </c>
      <c r="BJ166" s="15" t="n">
        <f aca="false">ROUND($K166-$BM166,2)</f>
        <v>11773.01</v>
      </c>
      <c r="BK166" s="26" t="n">
        <f aca="false">RANK($BJ166,'Your Accounts'!$BJ$6:$BJ$185)</f>
        <v>114</v>
      </c>
      <c r="BL166" s="15" t="n">
        <f aca="false">SUMIF('Your Accounts'!$BK$6:$BK$185,"&lt;="&amp;$BK166,'Your Accounts'!$BJ$6:$BJ$185)</f>
        <v>11094714.6</v>
      </c>
      <c r="BM166" s="15" t="n">
        <f aca="false">ROUND($D166*Sensitivity!$C$40+Sensitivity!$D$40,2)</f>
        <v>20600</v>
      </c>
      <c r="BN166" s="15" t="n">
        <f aca="false">ROUND($K166-$BQ166,2)</f>
        <v>7653.01</v>
      </c>
      <c r="BO166" s="26" t="n">
        <f aca="false">RANK($BN166,'Your Accounts'!$BN$6:$BN$185)</f>
        <v>111</v>
      </c>
      <c r="BP166" s="15" t="n">
        <f aca="false">SUMIF('Your Accounts'!$BO$6:$BO$185,"&lt;="&amp;$BO166,'Your Accounts'!$BN$6:$BN$185)</f>
        <v>10520832.84</v>
      </c>
      <c r="BQ166" s="15" t="n">
        <f aca="false">ROUND($D166*Sensitivity!$C$41+Sensitivity!$D$41,2)</f>
        <v>24720</v>
      </c>
    </row>
    <row r="167" customFormat="false" ht="15" hidden="false" customHeight="false" outlineLevel="0" collapsed="false">
      <c r="B167" s="18" t="s">
        <v>279</v>
      </c>
      <c r="C167" s="18" t="s">
        <v>218</v>
      </c>
      <c r="D167" s="24" t="n">
        <v>4</v>
      </c>
      <c r="E167" s="26" t="n">
        <f aca="false">SUMIF('Your Lines'!$B$6:$B$463,$B167,'Your Lines'!$E$6:$E$463)</f>
        <v>249</v>
      </c>
      <c r="F167" s="15" t="n">
        <f aca="false">ROUND(SUMIF('Your Lines'!$B$6:$B$463,$B167,'Your Lines'!$J$6:$J$463),2)</f>
        <v>26660</v>
      </c>
      <c r="G167" s="15" t="n">
        <f aca="false">ROUND(SUMIF('Your Lines'!$B$6:$B$463,$B167,'Your Lines'!$G$6:$G$463),2)</f>
        <v>25865.53</v>
      </c>
      <c r="H167" s="25" t="n">
        <f aca="false">$G167/$F167</f>
        <v>0.970199924981245</v>
      </c>
      <c r="I167" s="15" t="n">
        <f aca="false">ROUND(SUMIF('Your Lines'!$B$6:$B$463,$B167,'Your Lines'!$K$6:$K$463),2)</f>
        <v>15502</v>
      </c>
      <c r="J167" s="15" t="n">
        <f aca="false">ROUND(SUMIF('Your Lines'!$B$6:$B$463,$B167,'Your Lines'!$L$6:$L$463),2)</f>
        <v>522.53</v>
      </c>
      <c r="K167" s="15" t="n">
        <f aca="false">ROUND($G167-$I167-$J167,2)</f>
        <v>9841</v>
      </c>
      <c r="L167" s="15" t="n">
        <f aca="false">ROUND($D167*'Your Inputs'!$C$40+'Your Inputs'!$C$41,2)</f>
        <v>7080</v>
      </c>
      <c r="M167" s="15" t="n">
        <f aca="false">ROUND($K167-$L167,2)</f>
        <v>2761</v>
      </c>
      <c r="N167" s="26" t="n">
        <f aca="false">RANK($M167,'Your Accounts'!$M$6:$M$185)</f>
        <v>165</v>
      </c>
      <c r="O167" s="15" t="n">
        <f aca="false">SUMIF('Your Accounts'!$N$6:$N$185,"&lt;="&amp;$N167,'Your Accounts'!$M$6:$M$185)</f>
        <v>13501417.9</v>
      </c>
      <c r="P167" s="15"/>
      <c r="Q167" s="26" t="n">
        <f aca="false">COUNTIFS('Your Lines'!$B$6:$B$463,$B167,'Your Lines'!$R$6:$R$463,"below the floor")</f>
        <v>0</v>
      </c>
      <c r="R167" s="15" t="n">
        <f aca="false">IF(Q167&gt;0,$K167,0)</f>
        <v>0</v>
      </c>
      <c r="AN167" s="15" t="n">
        <f aca="false">IF(VLOOKUP($C167,'Your Floors'!$B$53:$F$56,5,FALSE())="yes",0,$R167)</f>
        <v>0</v>
      </c>
      <c r="AP167" s="15" t="n">
        <f aca="false">ROUND($K167-$AS167,2)</f>
        <v>6301</v>
      </c>
      <c r="AQ167" s="26" t="n">
        <f aca="false">RANK($AP167,'Your Accounts'!$AP$6:$AP$185)</f>
        <v>166</v>
      </c>
      <c r="AR167" s="15" t="n">
        <f aca="false">SUMIF('Your Accounts'!$AQ$6:$AQ$185,"&lt;="&amp;$AQ167,'Your Accounts'!$AP$6:$AP$185)</f>
        <v>14280513.23</v>
      </c>
      <c r="AS167" s="15" t="n">
        <f aca="false">ROUND($D167*Sensitivity!$C$35+Sensitivity!$D$35,2)</f>
        <v>3540</v>
      </c>
      <c r="AT167" s="15" t="n">
        <f aca="false">ROUND($K167-$AW167,2)</f>
        <v>2761</v>
      </c>
      <c r="AU167" s="26" t="n">
        <f aca="false">RANK($AT167,'Your Accounts'!$AT$6:$AT$185)</f>
        <v>165</v>
      </c>
      <c r="AV167" s="15" t="n">
        <f aca="false">SUMIF('Your Accounts'!$AU$6:$AU$185,"&lt;="&amp;$AU167,'Your Accounts'!$AT$6:$AT$185)</f>
        <v>13501417.9</v>
      </c>
      <c r="AW167" s="15" t="n">
        <f aca="false">ROUND($D167*Sensitivity!$C$36+Sensitivity!$D$36,2)</f>
        <v>7080</v>
      </c>
      <c r="AX167" s="15" t="n">
        <f aca="false">ROUND($K167-$BA167,2)</f>
        <v>991</v>
      </c>
      <c r="AY167" s="26" t="n">
        <f aca="false">RANK($AX167,'Your Accounts'!$AX$6:$AX$185)</f>
        <v>165</v>
      </c>
      <c r="AZ167" s="15" t="n">
        <f aca="false">SUMIF('Your Accounts'!$AY$6:$AY$185,"&lt;="&amp;$AY167,'Your Accounts'!$AX$6:$AX$185)</f>
        <v>13115154.15</v>
      </c>
      <c r="BA167" s="15" t="n">
        <f aca="false">ROUND($D167*Sensitivity!$C$37+Sensitivity!$D$37,2)</f>
        <v>8850</v>
      </c>
      <c r="BB167" s="15" t="n">
        <f aca="false">ROUND($K167-$BE167,2)</f>
        <v>-779</v>
      </c>
      <c r="BC167" s="26" t="n">
        <f aca="false">RANK($BB167,'Your Accounts'!$BB$6:$BB$185)</f>
        <v>165</v>
      </c>
      <c r="BD167" s="15" t="n">
        <f aca="false">SUMIF('Your Accounts'!$BC$6:$BC$185,"&lt;="&amp;$BC167,'Your Accounts'!$BB$6:$BB$185)</f>
        <v>12728890.4</v>
      </c>
      <c r="BE167" s="15" t="n">
        <f aca="false">ROUND($D167*Sensitivity!$C$38+Sensitivity!$D$38,2)</f>
        <v>10620</v>
      </c>
      <c r="BF167" s="15" t="n">
        <f aca="false">ROUND($K167-$BI167,2)</f>
        <v>-4319</v>
      </c>
      <c r="BG167" s="26" t="n">
        <f aca="false">RANK($BF167,'Your Accounts'!$BF$6:$BF$185)</f>
        <v>165</v>
      </c>
      <c r="BH167" s="15" t="n">
        <f aca="false">SUMIF('Your Accounts'!$BG$6:$BG$185,"&lt;="&amp;$BG167,'Your Accounts'!$BF$6:$BF$185)</f>
        <v>11956362.9</v>
      </c>
      <c r="BI167" s="15" t="n">
        <f aca="false">ROUND($D167*Sensitivity!$C$39+Sensitivity!$D$39,2)</f>
        <v>14160</v>
      </c>
      <c r="BJ167" s="15" t="n">
        <f aca="false">ROUND($K167-$BM167,2)</f>
        <v>-7859</v>
      </c>
      <c r="BK167" s="26" t="n">
        <f aca="false">RANK($BJ167,'Your Accounts'!$BJ$6:$BJ$185)</f>
        <v>165</v>
      </c>
      <c r="BL167" s="15" t="n">
        <f aca="false">SUMIF('Your Accounts'!$BK$6:$BK$185,"&lt;="&amp;$BK167,'Your Accounts'!$BJ$6:$BJ$185)</f>
        <v>11183835.4</v>
      </c>
      <c r="BM167" s="15" t="n">
        <f aca="false">ROUND($D167*Sensitivity!$C$40+Sensitivity!$D$40,2)</f>
        <v>17700</v>
      </c>
      <c r="BN167" s="15" t="n">
        <f aca="false">ROUND($K167-$BQ167,2)</f>
        <v>-11399</v>
      </c>
      <c r="BO167" s="26" t="n">
        <f aca="false">RANK($BN167,'Your Accounts'!$BN$6:$BN$185)</f>
        <v>163</v>
      </c>
      <c r="BP167" s="15" t="n">
        <f aca="false">SUMIF('Your Accounts'!$BO$6:$BO$185,"&lt;="&amp;$BO167,'Your Accounts'!$BN$6:$BN$185)</f>
        <v>10434839.92</v>
      </c>
      <c r="BQ167" s="15" t="n">
        <f aca="false">ROUND($D167*Sensitivity!$C$41+Sensitivity!$D$41,2)</f>
        <v>21240</v>
      </c>
    </row>
    <row r="168" customFormat="false" ht="15" hidden="false" customHeight="false" outlineLevel="0" collapsed="false">
      <c r="B168" s="18" t="s">
        <v>280</v>
      </c>
      <c r="C168" s="18" t="s">
        <v>218</v>
      </c>
      <c r="D168" s="24" t="n">
        <v>35</v>
      </c>
      <c r="E168" s="26" t="n">
        <f aca="false">SUMIF('Your Lines'!$B$6:$B$463,$B168,'Your Lines'!$E$6:$E$463)</f>
        <v>1233</v>
      </c>
      <c r="F168" s="15" t="n">
        <f aca="false">ROUND(SUMIF('Your Lines'!$B$6:$B$463,$B168,'Your Lines'!$J$6:$J$463),2)</f>
        <v>97342</v>
      </c>
      <c r="G168" s="15" t="n">
        <f aca="false">ROUND(SUMIF('Your Lines'!$B$6:$B$463,$B168,'Your Lines'!$G$6:$G$463),2)</f>
        <v>95333.18</v>
      </c>
      <c r="H168" s="25" t="n">
        <f aca="false">$G168/$F168</f>
        <v>0.979363275872696</v>
      </c>
      <c r="I168" s="15" t="n">
        <f aca="false">ROUND(SUMIF('Your Lines'!$B$6:$B$463,$B168,'Your Lines'!$K$6:$K$463),2)</f>
        <v>56476</v>
      </c>
      <c r="J168" s="15" t="n">
        <f aca="false">ROUND(SUMIF('Your Lines'!$B$6:$B$463,$B168,'Your Lines'!$L$6:$L$463),2)</f>
        <v>1925.92</v>
      </c>
      <c r="K168" s="15" t="n">
        <f aca="false">ROUND($G168-$I168-$J168,2)</f>
        <v>36931.26</v>
      </c>
      <c r="L168" s="15" t="n">
        <f aca="false">ROUND($D168*'Your Inputs'!$C$40+'Your Inputs'!$C$41,2)</f>
        <v>11575</v>
      </c>
      <c r="M168" s="15" t="n">
        <f aca="false">ROUND($K168-$L168,2)</f>
        <v>25356.26</v>
      </c>
      <c r="N168" s="26" t="n">
        <f aca="false">RANK($M168,'Your Accounts'!$M$6:$M$185)</f>
        <v>114</v>
      </c>
      <c r="O168" s="15" t="n">
        <f aca="false">SUMIF('Your Accounts'!$N$6:$N$185,"&lt;="&amp;$N168,'Your Accounts'!$M$6:$M$185)</f>
        <v>12759911.48</v>
      </c>
      <c r="P168" s="15"/>
      <c r="Q168" s="26" t="n">
        <f aca="false">COUNTIFS('Your Lines'!$B$6:$B$463,$B168,'Your Lines'!$R$6:$R$463,"below the floor")</f>
        <v>0</v>
      </c>
      <c r="R168" s="15" t="n">
        <f aca="false">IF(Q168&gt;0,$K168,0)</f>
        <v>0</v>
      </c>
      <c r="AN168" s="15" t="n">
        <f aca="false">IF(VLOOKUP($C168,'Your Floors'!$B$53:$F$56,5,FALSE())="yes",0,$R168)</f>
        <v>0</v>
      </c>
      <c r="AP168" s="15" t="n">
        <f aca="false">ROUND($K168-$AS168,2)</f>
        <v>31143.76</v>
      </c>
      <c r="AQ168" s="26" t="n">
        <f aca="false">RANK($AP168,'Your Accounts'!$AP$6:$AP$185)</f>
        <v>110</v>
      </c>
      <c r="AR168" s="15" t="n">
        <f aca="false">SUMIF('Your Accounts'!$AQ$6:$AQ$185,"&lt;="&amp;$AQ168,'Your Accounts'!$AP$6:$AP$185)</f>
        <v>13197875.19</v>
      </c>
      <c r="AS168" s="15" t="n">
        <f aca="false">ROUND($D168*Sensitivity!$C$35+Sensitivity!$D$35,2)</f>
        <v>5787.5</v>
      </c>
      <c r="AT168" s="15" t="n">
        <f aca="false">ROUND($K168-$AW168,2)</f>
        <v>25356.26</v>
      </c>
      <c r="AU168" s="26" t="n">
        <f aca="false">RANK($AT168,'Your Accounts'!$AT$6:$AT$185)</f>
        <v>114</v>
      </c>
      <c r="AV168" s="15" t="n">
        <f aca="false">SUMIF('Your Accounts'!$AU$6:$AU$185,"&lt;="&amp;$AU168,'Your Accounts'!$AT$6:$AT$185)</f>
        <v>12759911.48</v>
      </c>
      <c r="AW168" s="15" t="n">
        <f aca="false">ROUND($D168*Sensitivity!$C$36+Sensitivity!$D$36,2)</f>
        <v>11575</v>
      </c>
      <c r="AX168" s="15" t="n">
        <f aca="false">ROUND($K168-$BA168,2)</f>
        <v>22462.51</v>
      </c>
      <c r="AY168" s="26" t="n">
        <f aca="false">RANK($AX168,'Your Accounts'!$AX$6:$AX$185)</f>
        <v>116</v>
      </c>
      <c r="AZ168" s="15" t="n">
        <f aca="false">SUMIF('Your Accounts'!$AY$6:$AY$185,"&lt;="&amp;$AY168,'Your Accounts'!$AX$6:$AX$185)</f>
        <v>12526946.02</v>
      </c>
      <c r="BA168" s="15" t="n">
        <f aca="false">ROUND($D168*Sensitivity!$C$37+Sensitivity!$D$37,2)</f>
        <v>14468.75</v>
      </c>
      <c r="BB168" s="15" t="n">
        <f aca="false">ROUND($K168-$BE168,2)</f>
        <v>19568.76</v>
      </c>
      <c r="BC168" s="26" t="n">
        <f aca="false">RANK($BB168,'Your Accounts'!$BB$6:$BB$185)</f>
        <v>118</v>
      </c>
      <c r="BD168" s="15" t="n">
        <f aca="false">SUMIF('Your Accounts'!$BC$6:$BC$185,"&lt;="&amp;$BC168,'Your Accounts'!$BB$6:$BB$185)</f>
        <v>12283668.51</v>
      </c>
      <c r="BE168" s="15" t="n">
        <f aca="false">ROUND($D168*Sensitivity!$C$38+Sensitivity!$D$38,2)</f>
        <v>17362.5</v>
      </c>
      <c r="BF168" s="15" t="n">
        <f aca="false">ROUND($K168-$BI168,2)</f>
        <v>13781.26</v>
      </c>
      <c r="BG168" s="26" t="n">
        <f aca="false">RANK($BF168,'Your Accounts'!$BF$6:$BF$185)</f>
        <v>121</v>
      </c>
      <c r="BH168" s="15" t="n">
        <f aca="false">SUMIF('Your Accounts'!$BG$6:$BG$185,"&lt;="&amp;$BG168,'Your Accounts'!$BF$6:$BF$185)</f>
        <v>11754563.56</v>
      </c>
      <c r="BI168" s="15" t="n">
        <f aca="false">ROUND($D168*Sensitivity!$C$39+Sensitivity!$D$39,2)</f>
        <v>23150</v>
      </c>
      <c r="BJ168" s="15" t="n">
        <f aca="false">ROUND($K168-$BM168,2)</f>
        <v>7993.76</v>
      </c>
      <c r="BK168" s="26" t="n">
        <f aca="false">RANK($BJ168,'Your Accounts'!$BJ$6:$BJ$185)</f>
        <v>122</v>
      </c>
      <c r="BL168" s="15" t="n">
        <f aca="false">SUMIF('Your Accounts'!$BK$6:$BK$185,"&lt;="&amp;$BK168,'Your Accounts'!$BJ$6:$BJ$185)</f>
        <v>11178060.56</v>
      </c>
      <c r="BM168" s="15" t="n">
        <f aca="false">ROUND($D168*Sensitivity!$C$40+Sensitivity!$D$40,2)</f>
        <v>28937.5</v>
      </c>
      <c r="BN168" s="15" t="n">
        <f aca="false">ROUND($K168-$BQ168,2)</f>
        <v>2206.26</v>
      </c>
      <c r="BO168" s="26" t="n">
        <f aca="false">RANK($BN168,'Your Accounts'!$BN$6:$BN$185)</f>
        <v>127</v>
      </c>
      <c r="BP168" s="15" t="n">
        <f aca="false">SUMIF('Your Accounts'!$BO$6:$BO$185,"&lt;="&amp;$BO168,'Your Accounts'!$BN$6:$BN$185)</f>
        <v>10602317.81</v>
      </c>
      <c r="BQ168" s="15" t="n">
        <f aca="false">ROUND($D168*Sensitivity!$C$41+Sensitivity!$D$41,2)</f>
        <v>34725</v>
      </c>
    </row>
    <row r="169" customFormat="false" ht="15" hidden="false" customHeight="false" outlineLevel="0" collapsed="false">
      <c r="B169" s="18" t="s">
        <v>281</v>
      </c>
      <c r="C169" s="18" t="s">
        <v>218</v>
      </c>
      <c r="D169" s="24" t="n">
        <v>18</v>
      </c>
      <c r="E169" s="26" t="n">
        <f aca="false">SUMIF('Your Lines'!$B$6:$B$463,$B169,'Your Lines'!$E$6:$E$463)</f>
        <v>748</v>
      </c>
      <c r="F169" s="15" t="n">
        <f aca="false">ROUND(SUMIF('Your Lines'!$B$6:$B$463,$B169,'Your Lines'!$J$6:$J$463),2)</f>
        <v>51714</v>
      </c>
      <c r="G169" s="15" t="n">
        <f aca="false">ROUND(SUMIF('Your Lines'!$B$6:$B$463,$B169,'Your Lines'!$G$6:$G$463),2)</f>
        <v>49044.96</v>
      </c>
      <c r="H169" s="25" t="n">
        <f aca="false">$G169/$F169</f>
        <v>0.94838844413505</v>
      </c>
      <c r="I169" s="15" t="n">
        <f aca="false">ROUND(SUMIF('Your Lines'!$B$6:$B$463,$B169,'Your Lines'!$K$6:$K$463),2)</f>
        <v>30382</v>
      </c>
      <c r="J169" s="15" t="n">
        <f aca="false">ROUND(SUMIF('Your Lines'!$B$6:$B$463,$B169,'Your Lines'!$L$6:$L$463),2)</f>
        <v>990.81</v>
      </c>
      <c r="K169" s="15" t="n">
        <f aca="false">ROUND($G169-$I169-$J169,2)</f>
        <v>17672.15</v>
      </c>
      <c r="L169" s="15" t="n">
        <f aca="false">ROUND($D169*'Your Inputs'!$C$40+'Your Inputs'!$C$41,2)</f>
        <v>9110</v>
      </c>
      <c r="M169" s="15" t="n">
        <f aca="false">ROUND($K169-$L169,2)</f>
        <v>8562.15</v>
      </c>
      <c r="N169" s="26" t="n">
        <f aca="false">RANK($M169,'Your Accounts'!$M$6:$M$185)</f>
        <v>157</v>
      </c>
      <c r="O169" s="15" t="n">
        <f aca="false">SUMIF('Your Accounts'!$N$6:$N$185,"&lt;="&amp;$N169,'Your Accounts'!$M$6:$M$185)</f>
        <v>13452403.85</v>
      </c>
      <c r="P169" s="15"/>
      <c r="Q169" s="26" t="n">
        <f aca="false">COUNTIFS('Your Lines'!$B$6:$B$463,$B169,'Your Lines'!$R$6:$R$463,"below the floor")</f>
        <v>0</v>
      </c>
      <c r="R169" s="15" t="n">
        <f aca="false">IF(Q169&gt;0,$K169,0)</f>
        <v>0</v>
      </c>
      <c r="AN169" s="15" t="n">
        <f aca="false">IF(VLOOKUP($C169,'Your Floors'!$B$53:$F$56,5,FALSE())="yes",0,$R169)</f>
        <v>0</v>
      </c>
      <c r="AP169" s="15" t="n">
        <f aca="false">ROUND($K169-$AS169,2)</f>
        <v>13117.15</v>
      </c>
      <c r="AQ169" s="26" t="n">
        <f aca="false">RANK($AP169,'Your Accounts'!$AP$6:$AP$185)</f>
        <v>156</v>
      </c>
      <c r="AR169" s="15" t="n">
        <f aca="false">SUMIF('Your Accounts'!$AQ$6:$AQ$185,"&lt;="&amp;$AQ169,'Your Accounts'!$AP$6:$AP$185)</f>
        <v>14179189.94</v>
      </c>
      <c r="AS169" s="15" t="n">
        <f aca="false">ROUND($D169*Sensitivity!$C$35+Sensitivity!$D$35,2)</f>
        <v>4555</v>
      </c>
      <c r="AT169" s="15" t="n">
        <f aca="false">ROUND($K169-$AW169,2)</f>
        <v>8562.15</v>
      </c>
      <c r="AU169" s="26" t="n">
        <f aca="false">RANK($AT169,'Your Accounts'!$AT$6:$AT$185)</f>
        <v>157</v>
      </c>
      <c r="AV169" s="15" t="n">
        <f aca="false">SUMIF('Your Accounts'!$AU$6:$AU$185,"&lt;="&amp;$AU169,'Your Accounts'!$AT$6:$AT$185)</f>
        <v>13452403.85</v>
      </c>
      <c r="AW169" s="15" t="n">
        <f aca="false">ROUND($D169*Sensitivity!$C$36+Sensitivity!$D$36,2)</f>
        <v>9110</v>
      </c>
      <c r="AX169" s="15" t="n">
        <f aca="false">ROUND($K169-$BA169,2)</f>
        <v>6284.65</v>
      </c>
      <c r="AY169" s="26" t="n">
        <f aca="false">RANK($AX169,'Your Accounts'!$AX$6:$AX$185)</f>
        <v>157</v>
      </c>
      <c r="AZ169" s="15" t="n">
        <f aca="false">SUMIF('Your Accounts'!$AY$6:$AY$185,"&lt;="&amp;$AY169,'Your Accounts'!$AX$6:$AX$185)</f>
        <v>13082475.1</v>
      </c>
      <c r="BA169" s="15" t="n">
        <f aca="false">ROUND($D169*Sensitivity!$C$37+Sensitivity!$D$37,2)</f>
        <v>11387.5</v>
      </c>
      <c r="BB169" s="15" t="n">
        <f aca="false">ROUND($K169-$BE169,2)</f>
        <v>4007.15</v>
      </c>
      <c r="BC169" s="26" t="n">
        <f aca="false">RANK($BB169,'Your Accounts'!$BB$6:$BB$185)</f>
        <v>157</v>
      </c>
      <c r="BD169" s="15" t="n">
        <f aca="false">SUMIF('Your Accounts'!$BC$6:$BC$185,"&lt;="&amp;$BC169,'Your Accounts'!$BB$6:$BB$185)</f>
        <v>12712546.35</v>
      </c>
      <c r="BE169" s="15" t="n">
        <f aca="false">ROUND($D169*Sensitivity!$C$38+Sensitivity!$D$38,2)</f>
        <v>13665</v>
      </c>
      <c r="BF169" s="15" t="n">
        <f aca="false">ROUND($K169-$BI169,2)</f>
        <v>-547.85</v>
      </c>
      <c r="BG169" s="26" t="n">
        <f aca="false">RANK($BF169,'Your Accounts'!$BF$6:$BF$185)</f>
        <v>158</v>
      </c>
      <c r="BH169" s="15" t="n">
        <f aca="false">SUMIF('Your Accounts'!$BG$6:$BG$185,"&lt;="&amp;$BG169,'Your Accounts'!$BF$6:$BF$185)</f>
        <v>11972465.61</v>
      </c>
      <c r="BI169" s="15" t="n">
        <f aca="false">ROUND($D169*Sensitivity!$C$39+Sensitivity!$D$39,2)</f>
        <v>18220</v>
      </c>
      <c r="BJ169" s="15" t="n">
        <f aca="false">ROUND($K169-$BM169,2)</f>
        <v>-5102.85</v>
      </c>
      <c r="BK169" s="26" t="n">
        <f aca="false">RANK($BJ169,'Your Accounts'!$BJ$6:$BJ$185)</f>
        <v>159</v>
      </c>
      <c r="BL169" s="15" t="n">
        <f aca="false">SUMIF('Your Accounts'!$BK$6:$BK$185,"&lt;="&amp;$BK169,'Your Accounts'!$BJ$6:$BJ$185)</f>
        <v>11223992.28</v>
      </c>
      <c r="BM169" s="15" t="n">
        <f aca="false">ROUND($D169*Sensitivity!$C$40+Sensitivity!$D$40,2)</f>
        <v>22775</v>
      </c>
      <c r="BN169" s="15" t="n">
        <f aca="false">ROUND($K169-$BQ169,2)</f>
        <v>-9657.85</v>
      </c>
      <c r="BO169" s="26" t="n">
        <f aca="false">RANK($BN169,'Your Accounts'!$BN$6:$BN$185)</f>
        <v>158</v>
      </c>
      <c r="BP169" s="15" t="n">
        <f aca="false">SUMIF('Your Accounts'!$BO$6:$BO$185,"&lt;="&amp;$BO169,'Your Accounts'!$BN$6:$BN$185)</f>
        <v>10486599.98</v>
      </c>
      <c r="BQ169" s="15" t="n">
        <f aca="false">ROUND($D169*Sensitivity!$C$41+Sensitivity!$D$41,2)</f>
        <v>27330</v>
      </c>
    </row>
    <row r="170" customFormat="false" ht="15" hidden="false" customHeight="false" outlineLevel="0" collapsed="false">
      <c r="B170" s="18" t="s">
        <v>282</v>
      </c>
      <c r="C170" s="18" t="s">
        <v>218</v>
      </c>
      <c r="D170" s="24" t="n">
        <v>8</v>
      </c>
      <c r="E170" s="26" t="n">
        <f aca="false">SUMIF('Your Lines'!$B$6:$B$463,$B170,'Your Lines'!$E$6:$E$463)</f>
        <v>537</v>
      </c>
      <c r="F170" s="15" t="n">
        <f aca="false">ROUND(SUMIF('Your Lines'!$B$6:$B$463,$B170,'Your Lines'!$J$6:$J$463),2)</f>
        <v>65332</v>
      </c>
      <c r="G170" s="15" t="n">
        <f aca="false">ROUND(SUMIF('Your Lines'!$B$6:$B$463,$B170,'Your Lines'!$G$6:$G$463),2)</f>
        <v>60940.6</v>
      </c>
      <c r="H170" s="25" t="n">
        <f aca="false">$G170/$F170</f>
        <v>0.932783322108615</v>
      </c>
      <c r="I170" s="15" t="n">
        <f aca="false">ROUND(SUMIF('Your Lines'!$B$6:$B$463,$B170,'Your Lines'!$K$6:$K$463),2)</f>
        <v>36446</v>
      </c>
      <c r="J170" s="15" t="n">
        <f aca="false">ROUND(SUMIF('Your Lines'!$B$6:$B$463,$B170,'Your Lines'!$L$6:$L$463),2)</f>
        <v>1231.13</v>
      </c>
      <c r="K170" s="15" t="n">
        <f aca="false">ROUND($G170-$I170-$J170,2)</f>
        <v>23263.47</v>
      </c>
      <c r="L170" s="15" t="n">
        <f aca="false">ROUND($D170*'Your Inputs'!$C$40+'Your Inputs'!$C$41,2)</f>
        <v>7660</v>
      </c>
      <c r="M170" s="15" t="n">
        <f aca="false">ROUND($K170-$L170,2)</f>
        <v>15603.47</v>
      </c>
      <c r="N170" s="26" t="n">
        <f aca="false">RANK($M170,'Your Accounts'!$M$6:$M$185)</f>
        <v>135</v>
      </c>
      <c r="O170" s="15" t="n">
        <f aca="false">SUMIF('Your Accounts'!$N$6:$N$185,"&lt;="&amp;$N170,'Your Accounts'!$M$6:$M$185)</f>
        <v>13186643.79</v>
      </c>
      <c r="P170" s="15"/>
      <c r="Q170" s="26" t="n">
        <f aca="false">COUNTIFS('Your Lines'!$B$6:$B$463,$B170,'Your Lines'!$R$6:$R$463,"below the floor")</f>
        <v>1</v>
      </c>
      <c r="R170" s="15" t="n">
        <f aca="false">IF(Q170&gt;0,$K170,0)</f>
        <v>23263.47</v>
      </c>
      <c r="AN170" s="15" t="n">
        <f aca="false">IF(VLOOKUP($C170,'Your Floors'!$B$53:$F$56,5,FALSE())="yes",0,$R170)</f>
        <v>23263.47</v>
      </c>
      <c r="AP170" s="15" t="n">
        <f aca="false">ROUND($K170-$AS170,2)</f>
        <v>19433.47</v>
      </c>
      <c r="AQ170" s="26" t="n">
        <f aca="false">RANK($AP170,'Your Accounts'!$AP$6:$AP$185)</f>
        <v>135</v>
      </c>
      <c r="AR170" s="15" t="n">
        <f aca="false">SUMIF('Your Accounts'!$AQ$6:$AQ$185,"&lt;="&amp;$AQ170,'Your Accounts'!$AP$6:$AP$185)</f>
        <v>13834266.29</v>
      </c>
      <c r="AS170" s="15" t="n">
        <f aca="false">ROUND($D170*Sensitivity!$C$35+Sensitivity!$D$35,2)</f>
        <v>3830</v>
      </c>
      <c r="AT170" s="15" t="n">
        <f aca="false">ROUND($K170-$AW170,2)</f>
        <v>15603.47</v>
      </c>
      <c r="AU170" s="26" t="n">
        <f aca="false">RANK($AT170,'Your Accounts'!$AT$6:$AT$185)</f>
        <v>135</v>
      </c>
      <c r="AV170" s="15" t="n">
        <f aca="false">SUMIF('Your Accounts'!$AU$6:$AU$185,"&lt;="&amp;$AU170,'Your Accounts'!$AT$6:$AT$185)</f>
        <v>13186643.79</v>
      </c>
      <c r="AW170" s="15" t="n">
        <f aca="false">ROUND($D170*Sensitivity!$C$36+Sensitivity!$D$36,2)</f>
        <v>7660</v>
      </c>
      <c r="AX170" s="15" t="n">
        <f aca="false">ROUND($K170-$BA170,2)</f>
        <v>13688.47</v>
      </c>
      <c r="AY170" s="26" t="n">
        <f aca="false">RANK($AX170,'Your Accounts'!$AX$6:$AX$185)</f>
        <v>134</v>
      </c>
      <c r="AZ170" s="15" t="n">
        <f aca="false">SUMIF('Your Accounts'!$AY$6:$AY$185,"&lt;="&amp;$AY170,'Your Accounts'!$AX$6:$AX$185)</f>
        <v>12849507.83</v>
      </c>
      <c r="BA170" s="15" t="n">
        <f aca="false">ROUND($D170*Sensitivity!$C$37+Sensitivity!$D$37,2)</f>
        <v>9575</v>
      </c>
      <c r="BB170" s="15" t="n">
        <f aca="false">ROUND($K170-$BE170,2)</f>
        <v>11773.47</v>
      </c>
      <c r="BC170" s="26" t="n">
        <f aca="false">RANK($BB170,'Your Accounts'!$BB$6:$BB$185)</f>
        <v>133</v>
      </c>
      <c r="BD170" s="15" t="n">
        <f aca="false">SUMIF('Your Accounts'!$BC$6:$BC$185,"&lt;="&amp;$BC170,'Your Accounts'!$BB$6:$BB$185)</f>
        <v>12516858.54</v>
      </c>
      <c r="BE170" s="15" t="n">
        <f aca="false">ROUND($D170*Sensitivity!$C$38+Sensitivity!$D$38,2)</f>
        <v>11490</v>
      </c>
      <c r="BF170" s="15" t="n">
        <f aca="false">ROUND($K170-$BI170,2)</f>
        <v>7943.47</v>
      </c>
      <c r="BG170" s="26" t="n">
        <f aca="false">RANK($BF170,'Your Accounts'!$BF$6:$BF$185)</f>
        <v>133</v>
      </c>
      <c r="BH170" s="15" t="n">
        <f aca="false">SUMIF('Your Accounts'!$BG$6:$BG$185,"&lt;="&amp;$BG170,'Your Accounts'!$BF$6:$BF$185)</f>
        <v>11879071.04</v>
      </c>
      <c r="BI170" s="15" t="n">
        <f aca="false">ROUND($D170*Sensitivity!$C$39+Sensitivity!$D$39,2)</f>
        <v>15320</v>
      </c>
      <c r="BJ170" s="15" t="n">
        <f aca="false">ROUND($K170-$BM170,2)</f>
        <v>4113.47</v>
      </c>
      <c r="BK170" s="26" t="n">
        <f aca="false">RANK($BJ170,'Your Accounts'!$BJ$6:$BJ$185)</f>
        <v>130</v>
      </c>
      <c r="BL170" s="15" t="n">
        <f aca="false">SUMIF('Your Accounts'!$BK$6:$BK$185,"&lt;="&amp;$BK170,'Your Accounts'!$BJ$6:$BJ$185)</f>
        <v>11229334</v>
      </c>
      <c r="BM170" s="15" t="n">
        <f aca="false">ROUND($D170*Sensitivity!$C$40+Sensitivity!$D$40,2)</f>
        <v>19150</v>
      </c>
      <c r="BN170" s="15" t="n">
        <f aca="false">ROUND($K170-$BQ170,2)</f>
        <v>283.47</v>
      </c>
      <c r="BO170" s="26" t="n">
        <f aca="false">RANK($BN170,'Your Accounts'!$BN$6:$BN$185)</f>
        <v>130</v>
      </c>
      <c r="BP170" s="15" t="n">
        <f aca="false">SUMIF('Your Accounts'!$BO$6:$BO$185,"&lt;="&amp;$BO170,'Your Accounts'!$BN$6:$BN$185)</f>
        <v>10604994</v>
      </c>
      <c r="BQ170" s="15" t="n">
        <f aca="false">ROUND($D170*Sensitivity!$C$41+Sensitivity!$D$41,2)</f>
        <v>22980</v>
      </c>
    </row>
    <row r="171" customFormat="false" ht="15" hidden="false" customHeight="false" outlineLevel="0" collapsed="false">
      <c r="B171" s="18" t="s">
        <v>283</v>
      </c>
      <c r="C171" s="18" t="s">
        <v>218</v>
      </c>
      <c r="D171" s="24" t="n">
        <v>49</v>
      </c>
      <c r="E171" s="26" t="n">
        <f aca="false">SUMIF('Your Lines'!$B$6:$B$463,$B171,'Your Lines'!$E$6:$E$463)</f>
        <v>2961</v>
      </c>
      <c r="F171" s="15" t="n">
        <f aca="false">ROUND(SUMIF('Your Lines'!$B$6:$B$463,$B171,'Your Lines'!$J$6:$J$463),2)</f>
        <v>212074</v>
      </c>
      <c r="G171" s="15" t="n">
        <f aca="false">ROUND(SUMIF('Your Lines'!$B$6:$B$463,$B171,'Your Lines'!$G$6:$G$463),2)</f>
        <v>193461.17</v>
      </c>
      <c r="H171" s="25" t="n">
        <f aca="false">$G171/$F171</f>
        <v>0.912234267284061</v>
      </c>
      <c r="I171" s="15" t="n">
        <f aca="false">ROUND(SUMIF('Your Lines'!$B$6:$B$463,$B171,'Your Lines'!$K$6:$K$463),2)</f>
        <v>125032</v>
      </c>
      <c r="J171" s="15" t="n">
        <f aca="false">ROUND(SUMIF('Your Lines'!$B$6:$B$463,$B171,'Your Lines'!$L$6:$L$463),2)</f>
        <v>3908.31</v>
      </c>
      <c r="K171" s="15" t="n">
        <f aca="false">ROUND($G171-$I171-$J171,2)</f>
        <v>64520.86</v>
      </c>
      <c r="L171" s="15" t="n">
        <f aca="false">ROUND($D171*'Your Inputs'!$C$40+'Your Inputs'!$C$41,2)</f>
        <v>13605</v>
      </c>
      <c r="M171" s="15" t="n">
        <f aca="false">ROUND($K171-$L171,2)</f>
        <v>50915.86</v>
      </c>
      <c r="N171" s="26" t="n">
        <f aca="false">RANK($M171,'Your Accounts'!$M$6:$M$185)</f>
        <v>74</v>
      </c>
      <c r="O171" s="15" t="n">
        <f aca="false">SUMIF('Your Accounts'!$N$6:$N$185,"&lt;="&amp;$N171,'Your Accounts'!$M$6:$M$185)</f>
        <v>11316217.57</v>
      </c>
      <c r="P171" s="15"/>
      <c r="Q171" s="26" t="n">
        <f aca="false">COUNTIFS('Your Lines'!$B$6:$B$463,$B171,'Your Lines'!$R$6:$R$463,"below the floor")</f>
        <v>1</v>
      </c>
      <c r="R171" s="15" t="n">
        <f aca="false">IF(Q171&gt;0,$K171,0)</f>
        <v>64520.86</v>
      </c>
      <c r="AN171" s="15" t="n">
        <f aca="false">IF(VLOOKUP($C171,'Your Floors'!$B$53:$F$56,5,FALSE())="yes",0,$R171)</f>
        <v>64520.86</v>
      </c>
      <c r="AP171" s="15" t="n">
        <f aca="false">ROUND($K171-$AS171,2)</f>
        <v>57718.36</v>
      </c>
      <c r="AQ171" s="26" t="n">
        <f aca="false">RANK($AP171,'Your Accounts'!$AP$6:$AP$185)</f>
        <v>73</v>
      </c>
      <c r="AR171" s="15" t="n">
        <f aca="false">SUMIF('Your Accounts'!$AQ$6:$AQ$185,"&lt;="&amp;$AQ171,'Your Accounts'!$AP$6:$AP$185)</f>
        <v>11629746.11</v>
      </c>
      <c r="AS171" s="15" t="n">
        <f aca="false">ROUND($D171*Sensitivity!$C$35+Sensitivity!$D$35,2)</f>
        <v>6802.5</v>
      </c>
      <c r="AT171" s="15" t="n">
        <f aca="false">ROUND($K171-$AW171,2)</f>
        <v>50915.86</v>
      </c>
      <c r="AU171" s="26" t="n">
        <f aca="false">RANK($AT171,'Your Accounts'!$AT$6:$AT$185)</f>
        <v>74</v>
      </c>
      <c r="AV171" s="15" t="n">
        <f aca="false">SUMIF('Your Accounts'!$AU$6:$AU$185,"&lt;="&amp;$AU171,'Your Accounts'!$AT$6:$AT$185)</f>
        <v>11316217.57</v>
      </c>
      <c r="AW171" s="15" t="n">
        <f aca="false">ROUND($D171*Sensitivity!$C$36+Sensitivity!$D$36,2)</f>
        <v>13605</v>
      </c>
      <c r="AX171" s="15" t="n">
        <f aca="false">ROUND($K171-$BA171,2)</f>
        <v>47514.61</v>
      </c>
      <c r="AY171" s="26" t="n">
        <f aca="false">RANK($AX171,'Your Accounts'!$AX$6:$AX$185)</f>
        <v>77</v>
      </c>
      <c r="AZ171" s="15" t="n">
        <f aca="false">SUMIF('Your Accounts'!$AY$6:$AY$185,"&lt;="&amp;$AY171,'Your Accounts'!$AX$6:$AX$185)</f>
        <v>11276294.1</v>
      </c>
      <c r="BA171" s="15" t="n">
        <f aca="false">ROUND($D171*Sensitivity!$C$37+Sensitivity!$D$37,2)</f>
        <v>17006.25</v>
      </c>
      <c r="BB171" s="15" t="n">
        <f aca="false">ROUND($K171-$BE171,2)</f>
        <v>44113.36</v>
      </c>
      <c r="BC171" s="26" t="n">
        <f aca="false">RANK($BB171,'Your Accounts'!$BB$6:$BB$185)</f>
        <v>80</v>
      </c>
      <c r="BD171" s="15" t="n">
        <f aca="false">SUMIF('Your Accounts'!$BC$6:$BC$185,"&lt;="&amp;$BC171,'Your Accounts'!$BB$6:$BB$185)</f>
        <v>11218775.63</v>
      </c>
      <c r="BE171" s="15" t="n">
        <f aca="false">ROUND($D171*Sensitivity!$C$38+Sensitivity!$D$38,2)</f>
        <v>20407.5</v>
      </c>
      <c r="BF171" s="15" t="n">
        <f aca="false">ROUND($K171-$BI171,2)</f>
        <v>37310.86</v>
      </c>
      <c r="BG171" s="26" t="n">
        <f aca="false">RANK($BF171,'Your Accounts'!$BF$6:$BF$185)</f>
        <v>80</v>
      </c>
      <c r="BH171" s="15" t="n">
        <f aca="false">SUMIF('Your Accounts'!$BG$6:$BG$185,"&lt;="&amp;$BG171,'Your Accounts'!$BF$6:$BF$185)</f>
        <v>10823563.13</v>
      </c>
      <c r="BI171" s="15" t="n">
        <f aca="false">ROUND($D171*Sensitivity!$C$39+Sensitivity!$D$39,2)</f>
        <v>27210</v>
      </c>
      <c r="BJ171" s="15" t="n">
        <f aca="false">ROUND($K171-$BM171,2)</f>
        <v>30508.36</v>
      </c>
      <c r="BK171" s="26" t="n">
        <f aca="false">RANK($BJ171,'Your Accounts'!$BJ$6:$BJ$185)</f>
        <v>82</v>
      </c>
      <c r="BL171" s="15" t="n">
        <f aca="false">SUMIF('Your Accounts'!$BK$6:$BK$185,"&lt;="&amp;$BK171,'Your Accounts'!$BJ$6:$BJ$185)</f>
        <v>10492582.97</v>
      </c>
      <c r="BM171" s="15" t="n">
        <f aca="false">ROUND($D171*Sensitivity!$C$40+Sensitivity!$D$40,2)</f>
        <v>34012.5</v>
      </c>
      <c r="BN171" s="15" t="n">
        <f aca="false">ROUND($K171-$BQ171,2)</f>
        <v>23705.86</v>
      </c>
      <c r="BO171" s="26" t="n">
        <f aca="false">RANK($BN171,'Your Accounts'!$BN$6:$BN$185)</f>
        <v>82</v>
      </c>
      <c r="BP171" s="15" t="n">
        <f aca="false">SUMIF('Your Accounts'!$BO$6:$BO$185,"&lt;="&amp;$BO171,'Your Accounts'!$BN$6:$BN$185)</f>
        <v>10089492.97</v>
      </c>
      <c r="BQ171" s="15" t="n">
        <f aca="false">ROUND($D171*Sensitivity!$C$41+Sensitivity!$D$41,2)</f>
        <v>40815</v>
      </c>
    </row>
    <row r="172" customFormat="false" ht="15" hidden="false" customHeight="false" outlineLevel="0" collapsed="false">
      <c r="B172" s="18" t="s">
        <v>284</v>
      </c>
      <c r="C172" s="18" t="s">
        <v>218</v>
      </c>
      <c r="D172" s="24" t="n">
        <v>44</v>
      </c>
      <c r="E172" s="26" t="n">
        <f aca="false">SUMIF('Your Lines'!$B$6:$B$463,$B172,'Your Lines'!$E$6:$E$463)</f>
        <v>3033</v>
      </c>
      <c r="F172" s="15" t="n">
        <f aca="false">ROUND(SUMIF('Your Lines'!$B$6:$B$463,$B172,'Your Lines'!$J$6:$J$463),2)</f>
        <v>209806</v>
      </c>
      <c r="G172" s="15" t="n">
        <f aca="false">ROUND(SUMIF('Your Lines'!$B$6:$B$463,$B172,'Your Lines'!$G$6:$G$463),2)</f>
        <v>195777.04</v>
      </c>
      <c r="H172" s="25" t="n">
        <f aca="false">$G172/$F172</f>
        <v>0.933133656806764</v>
      </c>
      <c r="I172" s="15" t="n">
        <f aca="false">ROUND(SUMIF('Your Lines'!$B$6:$B$463,$B172,'Your Lines'!$K$6:$K$463),2)</f>
        <v>123268</v>
      </c>
      <c r="J172" s="15" t="n">
        <f aca="false">ROUND(SUMIF('Your Lines'!$B$6:$B$463,$B172,'Your Lines'!$L$6:$L$463),2)</f>
        <v>4036.64</v>
      </c>
      <c r="K172" s="15" t="n">
        <f aca="false">ROUND($G172-$I172-$J172,2)</f>
        <v>68472.4</v>
      </c>
      <c r="L172" s="15" t="n">
        <f aca="false">ROUND($D172*'Your Inputs'!$C$40+'Your Inputs'!$C$41,2)</f>
        <v>12880</v>
      </c>
      <c r="M172" s="15" t="n">
        <f aca="false">ROUND($K172-$L172,2)</f>
        <v>55592.4</v>
      </c>
      <c r="N172" s="26" t="n">
        <f aca="false">RANK($M172,'Your Accounts'!$M$6:$M$185)</f>
        <v>69</v>
      </c>
      <c r="O172" s="15" t="n">
        <f aca="false">SUMIF('Your Accounts'!$N$6:$N$185,"&lt;="&amp;$N172,'Your Accounts'!$M$6:$M$185)</f>
        <v>11050379.61</v>
      </c>
      <c r="P172" s="15"/>
      <c r="Q172" s="26" t="n">
        <f aca="false">COUNTIFS('Your Lines'!$B$6:$B$463,$B172,'Your Lines'!$R$6:$R$463,"below the floor")</f>
        <v>0</v>
      </c>
      <c r="R172" s="15" t="n">
        <f aca="false">IF(Q172&gt;0,$K172,0)</f>
        <v>0</v>
      </c>
      <c r="AN172" s="15" t="n">
        <f aca="false">IF(VLOOKUP($C172,'Your Floors'!$B$53:$F$56,5,FALSE())="yes",0,$R172)</f>
        <v>0</v>
      </c>
      <c r="AP172" s="15" t="n">
        <f aca="false">ROUND($K172-$AS172,2)</f>
        <v>62032.4</v>
      </c>
      <c r="AQ172" s="26" t="n">
        <f aca="false">RANK($AP172,'Your Accounts'!$AP$6:$AP$185)</f>
        <v>65</v>
      </c>
      <c r="AR172" s="15" t="n">
        <f aca="false">SUMIF('Your Accounts'!$AQ$6:$AQ$185,"&lt;="&amp;$AQ172,'Your Accounts'!$AP$6:$AP$185)</f>
        <v>11155173.38</v>
      </c>
      <c r="AS172" s="15" t="n">
        <f aca="false">ROUND($D172*Sensitivity!$C$35+Sensitivity!$D$35,2)</f>
        <v>6440</v>
      </c>
      <c r="AT172" s="15" t="n">
        <f aca="false">ROUND($K172-$AW172,2)</f>
        <v>55592.4</v>
      </c>
      <c r="AU172" s="26" t="n">
        <f aca="false">RANK($AT172,'Your Accounts'!$AT$6:$AT$185)</f>
        <v>69</v>
      </c>
      <c r="AV172" s="15" t="n">
        <f aca="false">SUMIF('Your Accounts'!$AU$6:$AU$185,"&lt;="&amp;$AU172,'Your Accounts'!$AT$6:$AT$185)</f>
        <v>11050379.61</v>
      </c>
      <c r="AW172" s="15" t="n">
        <f aca="false">ROUND($D172*Sensitivity!$C$36+Sensitivity!$D$36,2)</f>
        <v>12880</v>
      </c>
      <c r="AX172" s="15" t="n">
        <f aca="false">ROUND($K172-$BA172,2)</f>
        <v>52372.4</v>
      </c>
      <c r="AY172" s="26" t="n">
        <f aca="false">RANK($AX172,'Your Accounts'!$AX$6:$AX$185)</f>
        <v>70</v>
      </c>
      <c r="AZ172" s="15" t="n">
        <f aca="false">SUMIF('Your Accounts'!$AY$6:$AY$185,"&lt;="&amp;$AY172,'Your Accounts'!$AX$6:$AX$185)</f>
        <v>10929695.24</v>
      </c>
      <c r="BA172" s="15" t="n">
        <f aca="false">ROUND($D172*Sensitivity!$C$37+Sensitivity!$D$37,2)</f>
        <v>16100</v>
      </c>
      <c r="BB172" s="15" t="n">
        <f aca="false">ROUND($K172-$BE172,2)</f>
        <v>49152.4</v>
      </c>
      <c r="BC172" s="26" t="n">
        <f aca="false">RANK($BB172,'Your Accounts'!$BB$6:$BB$185)</f>
        <v>71</v>
      </c>
      <c r="BD172" s="15" t="n">
        <f aca="false">SUMIF('Your Accounts'!$BC$6:$BC$185,"&lt;="&amp;$BC172,'Your Accounts'!$BB$6:$BB$185)</f>
        <v>10803517.38</v>
      </c>
      <c r="BE172" s="15" t="n">
        <f aca="false">ROUND($D172*Sensitivity!$C$38+Sensitivity!$D$38,2)</f>
        <v>19320</v>
      </c>
      <c r="BF172" s="15" t="n">
        <f aca="false">ROUND($K172-$BI172,2)</f>
        <v>42712.4</v>
      </c>
      <c r="BG172" s="26" t="n">
        <f aca="false">RANK($BF172,'Your Accounts'!$BF$6:$BF$185)</f>
        <v>74</v>
      </c>
      <c r="BH172" s="15" t="n">
        <f aca="false">SUMIF('Your Accounts'!$BG$6:$BG$185,"&lt;="&amp;$BG172,'Your Accounts'!$BF$6:$BF$185)</f>
        <v>10580356.09</v>
      </c>
      <c r="BI172" s="15" t="n">
        <f aca="false">ROUND($D172*Sensitivity!$C$39+Sensitivity!$D$39,2)</f>
        <v>25760</v>
      </c>
      <c r="BJ172" s="15" t="n">
        <f aca="false">ROUND($K172-$BM172,2)</f>
        <v>36272.4</v>
      </c>
      <c r="BK172" s="26" t="n">
        <f aca="false">RANK($BJ172,'Your Accounts'!$BJ$6:$BJ$185)</f>
        <v>78</v>
      </c>
      <c r="BL172" s="15" t="n">
        <f aca="false">SUMIF('Your Accounts'!$BK$6:$BK$185,"&lt;="&amp;$BK172,'Your Accounts'!$BJ$6:$BJ$185)</f>
        <v>10363289.83</v>
      </c>
      <c r="BM172" s="15" t="n">
        <f aca="false">ROUND($D172*Sensitivity!$C$40+Sensitivity!$D$40,2)</f>
        <v>32200</v>
      </c>
      <c r="BN172" s="15" t="n">
        <f aca="false">ROUND($K172-$BQ172,2)</f>
        <v>29832.4</v>
      </c>
      <c r="BO172" s="26" t="n">
        <f aca="false">RANK($BN172,'Your Accounts'!$BN$6:$BN$185)</f>
        <v>78</v>
      </c>
      <c r="BP172" s="15" t="n">
        <f aca="false">SUMIF('Your Accounts'!$BO$6:$BO$185,"&lt;="&amp;$BO172,'Your Accounts'!$BN$6:$BN$185)</f>
        <v>9979724.83</v>
      </c>
      <c r="BQ172" s="15" t="n">
        <f aca="false">ROUND($D172*Sensitivity!$C$41+Sensitivity!$D$41,2)</f>
        <v>38640</v>
      </c>
    </row>
    <row r="173" customFormat="false" ht="15" hidden="false" customHeight="false" outlineLevel="0" collapsed="false">
      <c r="B173" s="18" t="s">
        <v>285</v>
      </c>
      <c r="C173" s="18" t="s">
        <v>218</v>
      </c>
      <c r="D173" s="24" t="n">
        <v>26</v>
      </c>
      <c r="E173" s="26" t="n">
        <f aca="false">SUMIF('Your Lines'!$B$6:$B$463,$B173,'Your Lines'!$E$6:$E$463)</f>
        <v>1480</v>
      </c>
      <c r="F173" s="15" t="n">
        <f aca="false">ROUND(SUMIF('Your Lines'!$B$6:$B$463,$B173,'Your Lines'!$J$6:$J$463),2)</f>
        <v>110236</v>
      </c>
      <c r="G173" s="15" t="n">
        <f aca="false">ROUND(SUMIF('Your Lines'!$B$6:$B$463,$B173,'Your Lines'!$G$6:$G$463),2)</f>
        <v>105094.57</v>
      </c>
      <c r="H173" s="25" t="n">
        <f aca="false">$G173/$F173</f>
        <v>0.953359791719584</v>
      </c>
      <c r="I173" s="15" t="n">
        <f aca="false">ROUND(SUMIF('Your Lines'!$B$6:$B$463,$B173,'Your Lines'!$K$6:$K$463),2)</f>
        <v>64812</v>
      </c>
      <c r="J173" s="15" t="n">
        <f aca="false">ROUND(SUMIF('Your Lines'!$B$6:$B$463,$B173,'Your Lines'!$L$6:$L$463),2)</f>
        <v>2123.12</v>
      </c>
      <c r="K173" s="15" t="n">
        <f aca="false">ROUND($G173-$I173-$J173,2)</f>
        <v>38159.45</v>
      </c>
      <c r="L173" s="15" t="n">
        <f aca="false">ROUND($D173*'Your Inputs'!$C$40+'Your Inputs'!$C$41,2)</f>
        <v>10270</v>
      </c>
      <c r="M173" s="15" t="n">
        <f aca="false">ROUND($K173-$L173,2)</f>
        <v>27889.45</v>
      </c>
      <c r="N173" s="26" t="n">
        <f aca="false">RANK($M173,'Your Accounts'!$M$6:$M$185)</f>
        <v>108</v>
      </c>
      <c r="O173" s="15" t="n">
        <f aca="false">SUMIF('Your Accounts'!$N$6:$N$185,"&lt;="&amp;$N173,'Your Accounts'!$M$6:$M$185)</f>
        <v>12604953.26</v>
      </c>
      <c r="P173" s="15"/>
      <c r="Q173" s="26" t="n">
        <f aca="false">COUNTIFS('Your Lines'!$B$6:$B$463,$B173,'Your Lines'!$R$6:$R$463,"below the floor")</f>
        <v>0</v>
      </c>
      <c r="R173" s="15" t="n">
        <f aca="false">IF(Q173&gt;0,$K173,0)</f>
        <v>0</v>
      </c>
      <c r="AN173" s="15" t="n">
        <f aca="false">IF(VLOOKUP($C173,'Your Floors'!$B$53:$F$56,5,FALSE())="yes",0,$R173)</f>
        <v>0</v>
      </c>
      <c r="AP173" s="15" t="n">
        <f aca="false">ROUND($K173-$AS173,2)</f>
        <v>33024.45</v>
      </c>
      <c r="AQ173" s="26" t="n">
        <f aca="false">RANK($AP173,'Your Accounts'!$AP$6:$AP$185)</f>
        <v>107</v>
      </c>
      <c r="AR173" s="15" t="n">
        <f aca="false">SUMIF('Your Accounts'!$AQ$6:$AQ$185,"&lt;="&amp;$AQ173,'Your Accounts'!$AP$6:$AP$185)</f>
        <v>13102924.69</v>
      </c>
      <c r="AS173" s="15" t="n">
        <f aca="false">ROUND($D173*Sensitivity!$C$35+Sensitivity!$D$35,2)</f>
        <v>5135</v>
      </c>
      <c r="AT173" s="15" t="n">
        <f aca="false">ROUND($K173-$AW173,2)</f>
        <v>27889.45</v>
      </c>
      <c r="AU173" s="26" t="n">
        <f aca="false">RANK($AT173,'Your Accounts'!$AT$6:$AT$185)</f>
        <v>108</v>
      </c>
      <c r="AV173" s="15" t="n">
        <f aca="false">SUMIF('Your Accounts'!$AU$6:$AU$185,"&lt;="&amp;$AU173,'Your Accounts'!$AT$6:$AT$185)</f>
        <v>12604953.26</v>
      </c>
      <c r="AW173" s="15" t="n">
        <f aca="false">ROUND($D173*Sensitivity!$C$36+Sensitivity!$D$36,2)</f>
        <v>10270</v>
      </c>
      <c r="AX173" s="15" t="n">
        <f aca="false">ROUND($K173-$BA173,2)</f>
        <v>25321.95</v>
      </c>
      <c r="AY173" s="26" t="n">
        <f aca="false">RANK($AX173,'Your Accounts'!$AX$6:$AX$185)</f>
        <v>108</v>
      </c>
      <c r="AZ173" s="15" t="n">
        <f aca="false">SUMIF('Your Accounts'!$AY$6:$AY$185,"&lt;="&amp;$AY173,'Your Accounts'!$AX$6:$AX$185)</f>
        <v>12339698.26</v>
      </c>
      <c r="BA173" s="15" t="n">
        <f aca="false">ROUND($D173*Sensitivity!$C$37+Sensitivity!$D$37,2)</f>
        <v>12837.5</v>
      </c>
      <c r="BB173" s="15" t="n">
        <f aca="false">ROUND($K173-$BE173,2)</f>
        <v>22754.45</v>
      </c>
      <c r="BC173" s="26" t="n">
        <f aca="false">RANK($BB173,'Your Accounts'!$BB$6:$BB$185)</f>
        <v>109</v>
      </c>
      <c r="BD173" s="15" t="n">
        <f aca="false">SUMIF('Your Accounts'!$BC$6:$BC$185,"&lt;="&amp;$BC173,'Your Accounts'!$BB$6:$BB$185)</f>
        <v>12097761.43</v>
      </c>
      <c r="BE173" s="15" t="n">
        <f aca="false">ROUND($D173*Sensitivity!$C$38+Sensitivity!$D$38,2)</f>
        <v>15405</v>
      </c>
      <c r="BF173" s="15" t="n">
        <f aca="false">ROUND($K173-$BI173,2)</f>
        <v>17619.45</v>
      </c>
      <c r="BG173" s="26" t="n">
        <f aca="false">RANK($BF173,'Your Accounts'!$BF$6:$BF$185)</f>
        <v>112</v>
      </c>
      <c r="BH173" s="15" t="n">
        <f aca="false">SUMIF('Your Accounts'!$BG$6:$BG$185,"&lt;="&amp;$BG173,'Your Accounts'!$BF$6:$BF$185)</f>
        <v>11616754.61</v>
      </c>
      <c r="BI173" s="15" t="n">
        <f aca="false">ROUND($D173*Sensitivity!$C$39+Sensitivity!$D$39,2)</f>
        <v>20540</v>
      </c>
      <c r="BJ173" s="15" t="n">
        <f aca="false">ROUND($K173-$BM173,2)</f>
        <v>12484.45</v>
      </c>
      <c r="BK173" s="26" t="n">
        <f aca="false">RANK($BJ173,'Your Accounts'!$BJ$6:$BJ$185)</f>
        <v>111</v>
      </c>
      <c r="BL173" s="15" t="n">
        <f aca="false">SUMIF('Your Accounts'!$BK$6:$BK$185,"&lt;="&amp;$BK173,'Your Accounts'!$BJ$6:$BJ$185)</f>
        <v>11058668.84</v>
      </c>
      <c r="BM173" s="15" t="n">
        <f aca="false">ROUND($D173*Sensitivity!$C$40+Sensitivity!$D$40,2)</f>
        <v>25675</v>
      </c>
      <c r="BN173" s="15" t="n">
        <f aca="false">ROUND($K173-$BQ173,2)</f>
        <v>7349.45</v>
      </c>
      <c r="BO173" s="26" t="n">
        <f aca="false">RANK($BN173,'Your Accounts'!$BN$6:$BN$185)</f>
        <v>114</v>
      </c>
      <c r="BP173" s="15" t="n">
        <f aca="false">SUMIF('Your Accounts'!$BO$6:$BO$185,"&lt;="&amp;$BO173,'Your Accounts'!$BN$6:$BN$185)</f>
        <v>10543153.64</v>
      </c>
      <c r="BQ173" s="15" t="n">
        <f aca="false">ROUND($D173*Sensitivity!$C$41+Sensitivity!$D$41,2)</f>
        <v>30810</v>
      </c>
    </row>
    <row r="174" customFormat="false" ht="15" hidden="false" customHeight="false" outlineLevel="0" collapsed="false">
      <c r="B174" s="18" t="s">
        <v>286</v>
      </c>
      <c r="C174" s="18" t="s">
        <v>218</v>
      </c>
      <c r="D174" s="24" t="n">
        <v>47</v>
      </c>
      <c r="E174" s="26" t="n">
        <f aca="false">SUMIF('Your Lines'!$B$6:$B$463,$B174,'Your Lines'!$E$6:$E$463)</f>
        <v>2608</v>
      </c>
      <c r="F174" s="15" t="n">
        <f aca="false">ROUND(SUMIF('Your Lines'!$B$6:$B$463,$B174,'Your Lines'!$J$6:$J$463),2)</f>
        <v>189820</v>
      </c>
      <c r="G174" s="15" t="n">
        <f aca="false">ROUND(SUMIF('Your Lines'!$B$6:$B$463,$B174,'Your Lines'!$G$6:$G$463),2)</f>
        <v>174418.66</v>
      </c>
      <c r="H174" s="25" t="n">
        <f aca="false">$G174/$F174</f>
        <v>0.918863449583816</v>
      </c>
      <c r="I174" s="15" t="n">
        <f aca="false">ROUND(SUMIF('Your Lines'!$B$6:$B$463,$B174,'Your Lines'!$K$6:$K$463),2)</f>
        <v>111308</v>
      </c>
      <c r="J174" s="15" t="n">
        <f aca="false">ROUND(SUMIF('Your Lines'!$B$6:$B$463,$B174,'Your Lines'!$L$6:$L$463),2)</f>
        <v>3523.61</v>
      </c>
      <c r="K174" s="15" t="n">
        <f aca="false">ROUND($G174-$I174-$J174,2)</f>
        <v>59587.05</v>
      </c>
      <c r="L174" s="15" t="n">
        <f aca="false">ROUND($D174*'Your Inputs'!$C$40+'Your Inputs'!$C$41,2)</f>
        <v>13315</v>
      </c>
      <c r="M174" s="15" t="n">
        <f aca="false">ROUND($K174-$L174,2)</f>
        <v>46272.05</v>
      </c>
      <c r="N174" s="26" t="n">
        <f aca="false">RANK($M174,'Your Accounts'!$M$6:$M$185)</f>
        <v>82</v>
      </c>
      <c r="O174" s="15" t="n">
        <f aca="false">SUMIF('Your Accounts'!$N$6:$N$185,"&lt;="&amp;$N174,'Your Accounts'!$M$6:$M$185)</f>
        <v>11706945.89</v>
      </c>
      <c r="P174" s="15"/>
      <c r="Q174" s="26" t="n">
        <f aca="false">COUNTIFS('Your Lines'!$B$6:$B$463,$B174,'Your Lines'!$R$6:$R$463,"below the floor")</f>
        <v>0</v>
      </c>
      <c r="R174" s="15" t="n">
        <f aca="false">IF(Q174&gt;0,$K174,0)</f>
        <v>0</v>
      </c>
      <c r="AN174" s="15" t="n">
        <f aca="false">IF(VLOOKUP($C174,'Your Floors'!$B$53:$F$56,5,FALSE())="yes",0,$R174)</f>
        <v>0</v>
      </c>
      <c r="AP174" s="15" t="n">
        <f aca="false">ROUND($K174-$AS174,2)</f>
        <v>52929.55</v>
      </c>
      <c r="AQ174" s="26" t="n">
        <f aca="false">RANK($AP174,'Your Accounts'!$AP$6:$AP$185)</f>
        <v>80</v>
      </c>
      <c r="AR174" s="15" t="n">
        <f aca="false">SUMIF('Your Accounts'!$AQ$6:$AQ$185,"&lt;="&amp;$AQ174,'Your Accounts'!$AP$6:$AP$185)</f>
        <v>12010778.05</v>
      </c>
      <c r="AS174" s="15" t="n">
        <f aca="false">ROUND($D174*Sensitivity!$C$35+Sensitivity!$D$35,2)</f>
        <v>6657.5</v>
      </c>
      <c r="AT174" s="15" t="n">
        <f aca="false">ROUND($K174-$AW174,2)</f>
        <v>46272.05</v>
      </c>
      <c r="AU174" s="26" t="n">
        <f aca="false">RANK($AT174,'Your Accounts'!$AT$6:$AT$185)</f>
        <v>82</v>
      </c>
      <c r="AV174" s="15" t="n">
        <f aca="false">SUMIF('Your Accounts'!$AU$6:$AU$185,"&lt;="&amp;$AU174,'Your Accounts'!$AT$6:$AT$185)</f>
        <v>11706945.89</v>
      </c>
      <c r="AW174" s="15" t="n">
        <f aca="false">ROUND($D174*Sensitivity!$C$36+Sensitivity!$D$36,2)</f>
        <v>13315</v>
      </c>
      <c r="AX174" s="15" t="n">
        <f aca="false">ROUND($K174-$BA174,2)</f>
        <v>42943.3</v>
      </c>
      <c r="AY174" s="26" t="n">
        <f aca="false">RANK($AX174,'Your Accounts'!$AX$6:$AX$185)</f>
        <v>82</v>
      </c>
      <c r="AZ174" s="15" t="n">
        <f aca="false">SUMIF('Your Accounts'!$AY$6:$AY$185,"&lt;="&amp;$AY174,'Your Accounts'!$AX$6:$AX$185)</f>
        <v>11502790.89</v>
      </c>
      <c r="BA174" s="15" t="n">
        <f aca="false">ROUND($D174*Sensitivity!$C$37+Sensitivity!$D$37,2)</f>
        <v>16643.75</v>
      </c>
      <c r="BB174" s="15" t="n">
        <f aca="false">ROUND($K174-$BE174,2)</f>
        <v>39614.55</v>
      </c>
      <c r="BC174" s="26" t="n">
        <f aca="false">RANK($BB174,'Your Accounts'!$BB$6:$BB$185)</f>
        <v>84</v>
      </c>
      <c r="BD174" s="15" t="n">
        <f aca="false">SUMIF('Your Accounts'!$BC$6:$BC$185,"&lt;="&amp;$BC174,'Your Accounts'!$BB$6:$BB$185)</f>
        <v>11378623.23</v>
      </c>
      <c r="BE174" s="15" t="n">
        <f aca="false">ROUND($D174*Sensitivity!$C$38+Sensitivity!$D$38,2)</f>
        <v>19972.5</v>
      </c>
      <c r="BF174" s="15" t="n">
        <f aca="false">ROUND($K174-$BI174,2)</f>
        <v>32957.05</v>
      </c>
      <c r="BG174" s="26" t="n">
        <f aca="false">RANK($BF174,'Your Accounts'!$BF$6:$BF$185)</f>
        <v>84</v>
      </c>
      <c r="BH174" s="15" t="n">
        <f aca="false">SUMIF('Your Accounts'!$BG$6:$BG$185,"&lt;="&amp;$BG174,'Your Accounts'!$BF$6:$BF$185)</f>
        <v>10962435.73</v>
      </c>
      <c r="BI174" s="15" t="n">
        <f aca="false">ROUND($D174*Sensitivity!$C$39+Sensitivity!$D$39,2)</f>
        <v>26630</v>
      </c>
      <c r="BJ174" s="15" t="n">
        <f aca="false">ROUND($K174-$BM174,2)</f>
        <v>26299.55</v>
      </c>
      <c r="BK174" s="26" t="n">
        <f aca="false">RANK($BJ174,'Your Accounts'!$BJ$6:$BJ$185)</f>
        <v>84</v>
      </c>
      <c r="BL174" s="15" t="n">
        <f aca="false">SUMIF('Your Accounts'!$BK$6:$BK$185,"&lt;="&amp;$BK174,'Your Accounts'!$BJ$6:$BJ$185)</f>
        <v>10546248.23</v>
      </c>
      <c r="BM174" s="15" t="n">
        <f aca="false">ROUND($D174*Sensitivity!$C$40+Sensitivity!$D$40,2)</f>
        <v>33287.5</v>
      </c>
      <c r="BN174" s="15" t="n">
        <f aca="false">ROUND($K174-$BQ174,2)</f>
        <v>19642.05</v>
      </c>
      <c r="BO174" s="26" t="n">
        <f aca="false">RANK($BN174,'Your Accounts'!$BN$6:$BN$185)</f>
        <v>89</v>
      </c>
      <c r="BP174" s="15" t="n">
        <f aca="false">SUMIF('Your Accounts'!$BO$6:$BO$185,"&lt;="&amp;$BO174,'Your Accounts'!$BN$6:$BN$185)</f>
        <v>10233739.45</v>
      </c>
      <c r="BQ174" s="15" t="n">
        <f aca="false">ROUND($D174*Sensitivity!$C$41+Sensitivity!$D$41,2)</f>
        <v>39945</v>
      </c>
    </row>
    <row r="175" customFormat="false" ht="15" hidden="false" customHeight="false" outlineLevel="0" collapsed="false">
      <c r="B175" s="18" t="s">
        <v>287</v>
      </c>
      <c r="C175" s="18" t="s">
        <v>218</v>
      </c>
      <c r="D175" s="24" t="n">
        <v>50</v>
      </c>
      <c r="E175" s="26" t="n">
        <f aca="false">SUMIF('Your Lines'!$B$6:$B$463,$B175,'Your Lines'!$E$6:$E$463)</f>
        <v>2848</v>
      </c>
      <c r="F175" s="15" t="n">
        <f aca="false">ROUND(SUMIF('Your Lines'!$B$6:$B$463,$B175,'Your Lines'!$J$6:$J$463),2)</f>
        <v>241974</v>
      </c>
      <c r="G175" s="15" t="n">
        <f aca="false">ROUND(SUMIF('Your Lines'!$B$6:$B$463,$B175,'Your Lines'!$G$6:$G$463),2)</f>
        <v>213313.48</v>
      </c>
      <c r="H175" s="25" t="n">
        <f aca="false">$G175/$F175</f>
        <v>0.881555373717838</v>
      </c>
      <c r="I175" s="15" t="n">
        <f aca="false">ROUND(SUMIF('Your Lines'!$B$6:$B$463,$B175,'Your Lines'!$K$6:$K$463),2)</f>
        <v>136506</v>
      </c>
      <c r="J175" s="15" t="n">
        <f aca="false">ROUND(SUMIF('Your Lines'!$B$6:$B$463,$B175,'Your Lines'!$L$6:$L$463),2)</f>
        <v>4309.36</v>
      </c>
      <c r="K175" s="15" t="n">
        <f aca="false">ROUND($G175-$I175-$J175,2)</f>
        <v>72498.12</v>
      </c>
      <c r="L175" s="15" t="n">
        <f aca="false">ROUND($D175*'Your Inputs'!$C$40+'Your Inputs'!$C$41,2)</f>
        <v>13750</v>
      </c>
      <c r="M175" s="15" t="n">
        <f aca="false">ROUND($K175-$L175,2)</f>
        <v>58748.12</v>
      </c>
      <c r="N175" s="26" t="n">
        <f aca="false">RANK($M175,'Your Accounts'!$M$6:$M$185)</f>
        <v>64</v>
      </c>
      <c r="O175" s="15" t="n">
        <f aca="false">SUMIF('Your Accounts'!$N$6:$N$185,"&lt;="&amp;$N175,'Your Accounts'!$M$6:$M$185)</f>
        <v>10768705.98</v>
      </c>
      <c r="P175" s="15"/>
      <c r="Q175" s="26" t="n">
        <f aca="false">COUNTIFS('Your Lines'!$B$6:$B$463,$B175,'Your Lines'!$R$6:$R$463,"below the floor")</f>
        <v>3</v>
      </c>
      <c r="R175" s="15" t="n">
        <f aca="false">IF(Q175&gt;0,$K175,0)</f>
        <v>72498.12</v>
      </c>
      <c r="AN175" s="15" t="n">
        <f aca="false">IF(VLOOKUP($C175,'Your Floors'!$B$53:$F$56,5,FALSE())="yes",0,$R175)</f>
        <v>72498.12</v>
      </c>
      <c r="AP175" s="15" t="n">
        <f aca="false">ROUND($K175-$AS175,2)</f>
        <v>65623.12</v>
      </c>
      <c r="AQ175" s="26" t="n">
        <f aca="false">RANK($AP175,'Your Accounts'!$AP$6:$AP$185)</f>
        <v>61</v>
      </c>
      <c r="AR175" s="15" t="n">
        <f aca="false">SUMIF('Your Accounts'!$AQ$6:$AQ$185,"&lt;="&amp;$AQ175,'Your Accounts'!$AP$6:$AP$185)</f>
        <v>10899778.88</v>
      </c>
      <c r="AS175" s="15" t="n">
        <f aca="false">ROUND($D175*Sensitivity!$C$35+Sensitivity!$D$35,2)</f>
        <v>6875</v>
      </c>
      <c r="AT175" s="15" t="n">
        <f aca="false">ROUND($K175-$AW175,2)</f>
        <v>58748.12</v>
      </c>
      <c r="AU175" s="26" t="n">
        <f aca="false">RANK($AT175,'Your Accounts'!$AT$6:$AT$185)</f>
        <v>64</v>
      </c>
      <c r="AV175" s="15" t="n">
        <f aca="false">SUMIF('Your Accounts'!$AU$6:$AU$185,"&lt;="&amp;$AU175,'Your Accounts'!$AT$6:$AT$185)</f>
        <v>10768705.98</v>
      </c>
      <c r="AW175" s="15" t="n">
        <f aca="false">ROUND($D175*Sensitivity!$C$36+Sensitivity!$D$36,2)</f>
        <v>13750</v>
      </c>
      <c r="AX175" s="15" t="n">
        <f aca="false">ROUND($K175-$BA175,2)</f>
        <v>55310.62</v>
      </c>
      <c r="AY175" s="26" t="n">
        <f aca="false">RANK($AX175,'Your Accounts'!$AX$6:$AX$185)</f>
        <v>64</v>
      </c>
      <c r="AZ175" s="15" t="n">
        <f aca="false">SUMIF('Your Accounts'!$AY$6:$AY$185,"&lt;="&amp;$AY175,'Your Accounts'!$AX$6:$AX$185)</f>
        <v>10606488.48</v>
      </c>
      <c r="BA175" s="15" t="n">
        <f aca="false">ROUND($D175*Sensitivity!$C$37+Sensitivity!$D$37,2)</f>
        <v>17187.5</v>
      </c>
      <c r="BB175" s="15" t="n">
        <f aca="false">ROUND($K175-$BE175,2)</f>
        <v>51873.12</v>
      </c>
      <c r="BC175" s="26" t="n">
        <f aca="false">RANK($BB175,'Your Accounts'!$BB$6:$BB$185)</f>
        <v>68</v>
      </c>
      <c r="BD175" s="15" t="n">
        <f aca="false">SUMIF('Your Accounts'!$BC$6:$BC$185,"&lt;="&amp;$BC175,'Your Accounts'!$BB$6:$BB$185)</f>
        <v>10654234.71</v>
      </c>
      <c r="BE175" s="15" t="n">
        <f aca="false">ROUND($D175*Sensitivity!$C$38+Sensitivity!$D$38,2)</f>
        <v>20625</v>
      </c>
      <c r="BF175" s="15" t="n">
        <f aca="false">ROUND($K175-$BI175,2)</f>
        <v>44998.12</v>
      </c>
      <c r="BG175" s="26" t="n">
        <f aca="false">RANK($BF175,'Your Accounts'!$BF$6:$BF$185)</f>
        <v>69</v>
      </c>
      <c r="BH175" s="15" t="n">
        <f aca="false">SUMIF('Your Accounts'!$BG$6:$BG$185,"&lt;="&amp;$BG175,'Your Accounts'!$BF$6:$BF$185)</f>
        <v>10360640.34</v>
      </c>
      <c r="BI175" s="15" t="n">
        <f aca="false">ROUND($D175*Sensitivity!$C$39+Sensitivity!$D$39,2)</f>
        <v>27500</v>
      </c>
      <c r="BJ175" s="15" t="n">
        <f aca="false">ROUND($K175-$BM175,2)</f>
        <v>38123.12</v>
      </c>
      <c r="BK175" s="26" t="n">
        <f aca="false">RANK($BJ175,'Your Accounts'!$BJ$6:$BJ$185)</f>
        <v>74</v>
      </c>
      <c r="BL175" s="15" t="n">
        <f aca="false">SUMIF('Your Accounts'!$BK$6:$BK$185,"&lt;="&amp;$BK175,'Your Accounts'!$BJ$6:$BJ$185)</f>
        <v>10215096.4</v>
      </c>
      <c r="BM175" s="15" t="n">
        <f aca="false">ROUND($D175*Sensitivity!$C$40+Sensitivity!$D$40,2)</f>
        <v>34375</v>
      </c>
      <c r="BN175" s="15" t="n">
        <f aca="false">ROUND($K175-$BQ175,2)</f>
        <v>31248.12</v>
      </c>
      <c r="BO175" s="26" t="n">
        <f aca="false">RANK($BN175,'Your Accounts'!$BN$6:$BN$185)</f>
        <v>77</v>
      </c>
      <c r="BP175" s="15" t="n">
        <f aca="false">SUMIF('Your Accounts'!$BO$6:$BO$185,"&lt;="&amp;$BO175,'Your Accounts'!$BN$6:$BN$185)</f>
        <v>9949892.43</v>
      </c>
      <c r="BQ175" s="15" t="n">
        <f aca="false">ROUND($D175*Sensitivity!$C$41+Sensitivity!$D$41,2)</f>
        <v>41250</v>
      </c>
    </row>
    <row r="176" customFormat="false" ht="15" hidden="false" customHeight="false" outlineLevel="0" collapsed="false">
      <c r="B176" s="18" t="s">
        <v>288</v>
      </c>
      <c r="C176" s="18" t="s">
        <v>218</v>
      </c>
      <c r="D176" s="24" t="n">
        <v>24</v>
      </c>
      <c r="E176" s="26" t="n">
        <f aca="false">SUMIF('Your Lines'!$B$6:$B$463,$B176,'Your Lines'!$E$6:$E$463)</f>
        <v>1002</v>
      </c>
      <c r="F176" s="15" t="n">
        <f aca="false">ROUND(SUMIF('Your Lines'!$B$6:$B$463,$B176,'Your Lines'!$J$6:$J$463),2)</f>
        <v>70964</v>
      </c>
      <c r="G176" s="15" t="n">
        <f aca="false">ROUND(SUMIF('Your Lines'!$B$6:$B$463,$B176,'Your Lines'!$G$6:$G$463),2)</f>
        <v>69425.07</v>
      </c>
      <c r="H176" s="25" t="n">
        <f aca="false">$G176/$F176</f>
        <v>0.978313933825602</v>
      </c>
      <c r="I176" s="15" t="n">
        <f aca="false">ROUND(SUMIF('Your Lines'!$B$6:$B$463,$B176,'Your Lines'!$K$6:$K$463),2)</f>
        <v>41792</v>
      </c>
      <c r="J176" s="15" t="n">
        <f aca="false">ROUND(SUMIF('Your Lines'!$B$6:$B$463,$B176,'Your Lines'!$L$6:$L$463),2)</f>
        <v>1402.53</v>
      </c>
      <c r="K176" s="15" t="n">
        <f aca="false">ROUND($G176-$I176-$J176,2)</f>
        <v>26230.54</v>
      </c>
      <c r="L176" s="15" t="n">
        <f aca="false">ROUND($D176*'Your Inputs'!$C$40+'Your Inputs'!$C$41,2)</f>
        <v>9980</v>
      </c>
      <c r="M176" s="15" t="n">
        <f aca="false">ROUND($K176-$L176,2)</f>
        <v>16250.54</v>
      </c>
      <c r="N176" s="26" t="n">
        <f aca="false">RANK($M176,'Your Accounts'!$M$6:$M$185)</f>
        <v>132</v>
      </c>
      <c r="O176" s="15" t="n">
        <f aca="false">SUMIF('Your Accounts'!$N$6:$N$185,"&lt;="&amp;$N176,'Your Accounts'!$M$6:$M$185)</f>
        <v>13139476.67</v>
      </c>
      <c r="P176" s="15"/>
      <c r="Q176" s="26" t="n">
        <f aca="false">COUNTIFS('Your Lines'!$B$6:$B$463,$B176,'Your Lines'!$R$6:$R$463,"below the floor")</f>
        <v>0</v>
      </c>
      <c r="R176" s="15" t="n">
        <f aca="false">IF(Q176&gt;0,$K176,0)</f>
        <v>0</v>
      </c>
      <c r="AN176" s="15" t="n">
        <f aca="false">IF(VLOOKUP($C176,'Your Floors'!$B$53:$F$56,5,FALSE())="yes",0,$R176)</f>
        <v>0</v>
      </c>
      <c r="AP176" s="15" t="n">
        <f aca="false">ROUND($K176-$AS176,2)</f>
        <v>21240.54</v>
      </c>
      <c r="AQ176" s="26" t="n">
        <f aca="false">RANK($AP176,'Your Accounts'!$AP$6:$AP$185)</f>
        <v>131</v>
      </c>
      <c r="AR176" s="15" t="n">
        <f aca="false">SUMIF('Your Accounts'!$AQ$6:$AQ$185,"&lt;="&amp;$AQ176,'Your Accounts'!$AP$6:$AP$185)</f>
        <v>13753295.77</v>
      </c>
      <c r="AS176" s="15" t="n">
        <f aca="false">ROUND($D176*Sensitivity!$C$35+Sensitivity!$D$35,2)</f>
        <v>4990</v>
      </c>
      <c r="AT176" s="15" t="n">
        <f aca="false">ROUND($K176-$AW176,2)</f>
        <v>16250.54</v>
      </c>
      <c r="AU176" s="26" t="n">
        <f aca="false">RANK($AT176,'Your Accounts'!$AT$6:$AT$185)</f>
        <v>132</v>
      </c>
      <c r="AV176" s="15" t="n">
        <f aca="false">SUMIF('Your Accounts'!$AU$6:$AU$185,"&lt;="&amp;$AU176,'Your Accounts'!$AT$6:$AT$185)</f>
        <v>13139476.67</v>
      </c>
      <c r="AW176" s="15" t="n">
        <f aca="false">ROUND($D176*Sensitivity!$C$36+Sensitivity!$D$36,2)</f>
        <v>9980</v>
      </c>
      <c r="AX176" s="15" t="n">
        <f aca="false">ROUND($K176-$BA176,2)</f>
        <v>13755.54</v>
      </c>
      <c r="AY176" s="26" t="n">
        <f aca="false">RANK($AX176,'Your Accounts'!$AX$6:$AX$185)</f>
        <v>133</v>
      </c>
      <c r="AZ176" s="15" t="n">
        <f aca="false">SUMIF('Your Accounts'!$AY$6:$AY$185,"&lt;="&amp;$AY176,'Your Accounts'!$AX$6:$AX$185)</f>
        <v>12835819.36</v>
      </c>
      <c r="BA176" s="15" t="n">
        <f aca="false">ROUND($D176*Sensitivity!$C$37+Sensitivity!$D$37,2)</f>
        <v>12475</v>
      </c>
      <c r="BB176" s="15" t="n">
        <f aca="false">ROUND($K176-$BE176,2)</f>
        <v>11260.54</v>
      </c>
      <c r="BC176" s="26" t="n">
        <f aca="false">RANK($BB176,'Your Accounts'!$BB$6:$BB$185)</f>
        <v>134</v>
      </c>
      <c r="BD176" s="15" t="n">
        <f aca="false">SUMIF('Your Accounts'!$BC$6:$BC$185,"&lt;="&amp;$BC176,'Your Accounts'!$BB$6:$BB$185)</f>
        <v>12528119.08</v>
      </c>
      <c r="BE176" s="15" t="n">
        <f aca="false">ROUND($D176*Sensitivity!$C$38+Sensitivity!$D$38,2)</f>
        <v>14970</v>
      </c>
      <c r="BF176" s="15" t="n">
        <f aca="false">ROUND($K176-$BI176,2)</f>
        <v>6270.54</v>
      </c>
      <c r="BG176" s="26" t="n">
        <f aca="false">RANK($BF176,'Your Accounts'!$BF$6:$BF$185)</f>
        <v>136</v>
      </c>
      <c r="BH176" s="15" t="n">
        <f aca="false">SUMIF('Your Accounts'!$BG$6:$BG$185,"&lt;="&amp;$BG176,'Your Accounts'!$BF$6:$BF$185)</f>
        <v>11899232.34</v>
      </c>
      <c r="BI176" s="15" t="n">
        <f aca="false">ROUND($D176*Sensitivity!$C$39+Sensitivity!$D$39,2)</f>
        <v>19960</v>
      </c>
      <c r="BJ176" s="15" t="n">
        <f aca="false">ROUND($K176-$BM176,2)</f>
        <v>1280.54</v>
      </c>
      <c r="BK176" s="26" t="n">
        <f aca="false">RANK($BJ176,'Your Accounts'!$BJ$6:$BJ$185)</f>
        <v>137</v>
      </c>
      <c r="BL176" s="15" t="n">
        <f aca="false">SUMIF('Your Accounts'!$BK$6:$BK$185,"&lt;="&amp;$BK176,'Your Accounts'!$BJ$6:$BJ$185)</f>
        <v>11250228.26</v>
      </c>
      <c r="BM176" s="15" t="n">
        <f aca="false">ROUND($D176*Sensitivity!$C$40+Sensitivity!$D$40,2)</f>
        <v>24950</v>
      </c>
      <c r="BN176" s="15" t="n">
        <f aca="false">ROUND($K176-$BQ176,2)</f>
        <v>-3709.46</v>
      </c>
      <c r="BO176" s="26" t="n">
        <f aca="false">RANK($BN176,'Your Accounts'!$BN$6:$BN$185)</f>
        <v>144</v>
      </c>
      <c r="BP176" s="15" t="n">
        <f aca="false">SUMIF('Your Accounts'!$BO$6:$BO$185,"&lt;="&amp;$BO176,'Your Accounts'!$BN$6:$BN$185)</f>
        <v>10571724.19</v>
      </c>
      <c r="BQ176" s="15" t="n">
        <f aca="false">ROUND($D176*Sensitivity!$C$41+Sensitivity!$D$41,2)</f>
        <v>29940</v>
      </c>
    </row>
    <row r="177" customFormat="false" ht="15" hidden="false" customHeight="false" outlineLevel="0" collapsed="false">
      <c r="B177" s="18" t="s">
        <v>289</v>
      </c>
      <c r="C177" s="18" t="s">
        <v>218</v>
      </c>
      <c r="D177" s="24" t="n">
        <v>12</v>
      </c>
      <c r="E177" s="26" t="n">
        <f aca="false">SUMIF('Your Lines'!$B$6:$B$463,$B177,'Your Lines'!$E$6:$E$463)</f>
        <v>905</v>
      </c>
      <c r="F177" s="15" t="n">
        <f aca="false">ROUND(SUMIF('Your Lines'!$B$6:$B$463,$B177,'Your Lines'!$J$6:$J$463),2)</f>
        <v>108720</v>
      </c>
      <c r="G177" s="15" t="n">
        <f aca="false">ROUND(SUMIF('Your Lines'!$B$6:$B$463,$B177,'Your Lines'!$G$6:$G$463),2)</f>
        <v>105068.12</v>
      </c>
      <c r="H177" s="25" t="n">
        <f aca="false">$G177/$F177</f>
        <v>0.966410228108904</v>
      </c>
      <c r="I177" s="15" t="n">
        <f aca="false">ROUND(SUMIF('Your Lines'!$B$6:$B$463,$B177,'Your Lines'!$K$6:$K$463),2)</f>
        <v>60890</v>
      </c>
      <c r="J177" s="15" t="n">
        <f aca="false">ROUND(SUMIF('Your Lines'!$B$6:$B$463,$B177,'Your Lines'!$L$6:$L$463),2)</f>
        <v>2122.59</v>
      </c>
      <c r="K177" s="15" t="n">
        <f aca="false">ROUND($G177-$I177-$J177,2)</f>
        <v>42055.53</v>
      </c>
      <c r="L177" s="15" t="n">
        <f aca="false">ROUND($D177*'Your Inputs'!$C$40+'Your Inputs'!$C$41,2)</f>
        <v>8240</v>
      </c>
      <c r="M177" s="15" t="n">
        <f aca="false">ROUND($K177-$L177,2)</f>
        <v>33815.53</v>
      </c>
      <c r="N177" s="26" t="n">
        <f aca="false">RANK($M177,'Your Accounts'!$M$6:$M$185)</f>
        <v>96</v>
      </c>
      <c r="O177" s="15" t="n">
        <f aca="false">SUMIF('Your Accounts'!$N$6:$N$185,"&lt;="&amp;$N177,'Your Accounts'!$M$6:$M$185)</f>
        <v>12240537.72</v>
      </c>
      <c r="P177" s="15"/>
      <c r="Q177" s="26" t="n">
        <f aca="false">COUNTIFS('Your Lines'!$B$6:$B$463,$B177,'Your Lines'!$R$6:$R$463,"below the floor")</f>
        <v>0</v>
      </c>
      <c r="R177" s="15" t="n">
        <f aca="false">IF(Q177&gt;0,$K177,0)</f>
        <v>0</v>
      </c>
      <c r="AN177" s="15" t="n">
        <f aca="false">IF(VLOOKUP($C177,'Your Floors'!$B$53:$F$56,5,FALSE())="yes",0,$R177)</f>
        <v>0</v>
      </c>
      <c r="AP177" s="15" t="n">
        <f aca="false">ROUND($K177-$AS177,2)</f>
        <v>37935.53</v>
      </c>
      <c r="AQ177" s="26" t="n">
        <f aca="false">RANK($AP177,'Your Accounts'!$AP$6:$AP$185)</f>
        <v>96</v>
      </c>
      <c r="AR177" s="15" t="n">
        <f aca="false">SUMIF('Your Accounts'!$AQ$6:$AQ$185,"&lt;="&amp;$AQ177,'Your Accounts'!$AP$6:$AP$185)</f>
        <v>12713342.72</v>
      </c>
      <c r="AS177" s="15" t="n">
        <f aca="false">ROUND($D177*Sensitivity!$C$35+Sensitivity!$D$35,2)</f>
        <v>4120</v>
      </c>
      <c r="AT177" s="15" t="n">
        <f aca="false">ROUND($K177-$AW177,2)</f>
        <v>33815.53</v>
      </c>
      <c r="AU177" s="26" t="n">
        <f aca="false">RANK($AT177,'Your Accounts'!$AT$6:$AT$185)</f>
        <v>96</v>
      </c>
      <c r="AV177" s="15" t="n">
        <f aca="false">SUMIF('Your Accounts'!$AU$6:$AU$185,"&lt;="&amp;$AU177,'Your Accounts'!$AT$6:$AT$185)</f>
        <v>12240537.72</v>
      </c>
      <c r="AW177" s="15" t="n">
        <f aca="false">ROUND($D177*Sensitivity!$C$36+Sensitivity!$D$36,2)</f>
        <v>8240</v>
      </c>
      <c r="AX177" s="15" t="n">
        <f aca="false">ROUND($K177-$BA177,2)</f>
        <v>31755.53</v>
      </c>
      <c r="AY177" s="26" t="n">
        <f aca="false">RANK($AX177,'Your Accounts'!$AX$6:$AX$185)</f>
        <v>96</v>
      </c>
      <c r="AZ177" s="15" t="n">
        <f aca="false">SUMIF('Your Accounts'!$AY$6:$AY$185,"&lt;="&amp;$AY177,'Your Accounts'!$AX$6:$AX$185)</f>
        <v>12004135.22</v>
      </c>
      <c r="BA177" s="15" t="n">
        <f aca="false">ROUND($D177*Sensitivity!$C$37+Sensitivity!$D$37,2)</f>
        <v>10300</v>
      </c>
      <c r="BB177" s="15" t="n">
        <f aca="false">ROUND($K177-$BE177,2)</f>
        <v>29695.53</v>
      </c>
      <c r="BC177" s="26" t="n">
        <f aca="false">RANK($BB177,'Your Accounts'!$BB$6:$BB$185)</f>
        <v>97</v>
      </c>
      <c r="BD177" s="15" t="n">
        <f aca="false">SUMIF('Your Accounts'!$BC$6:$BC$185,"&lt;="&amp;$BC177,'Your Accounts'!$BB$6:$BB$185)</f>
        <v>11797517.75</v>
      </c>
      <c r="BE177" s="15" t="n">
        <f aca="false">ROUND($D177*Sensitivity!$C$38+Sensitivity!$D$38,2)</f>
        <v>12360</v>
      </c>
      <c r="BF177" s="15" t="n">
        <f aca="false">ROUND($K177-$BI177,2)</f>
        <v>25575.53</v>
      </c>
      <c r="BG177" s="26" t="n">
        <f aca="false">RANK($BF177,'Your Accounts'!$BF$6:$BF$185)</f>
        <v>96</v>
      </c>
      <c r="BH177" s="15" t="n">
        <f aca="false">SUMIF('Your Accounts'!$BG$6:$BG$185,"&lt;="&amp;$BG177,'Your Accounts'!$BF$6:$BF$185)</f>
        <v>11297168.31</v>
      </c>
      <c r="BI177" s="15" t="n">
        <f aca="false">ROUND($D177*Sensitivity!$C$39+Sensitivity!$D$39,2)</f>
        <v>16480</v>
      </c>
      <c r="BJ177" s="15" t="n">
        <f aca="false">ROUND($K177-$BM177,2)</f>
        <v>21455.53</v>
      </c>
      <c r="BK177" s="26" t="n">
        <f aca="false">RANK($BJ177,'Your Accounts'!$BJ$6:$BJ$185)</f>
        <v>95</v>
      </c>
      <c r="BL177" s="15" t="n">
        <f aca="false">SUMIF('Your Accounts'!$BK$6:$BK$185,"&lt;="&amp;$BK177,'Your Accounts'!$BJ$6:$BJ$185)</f>
        <v>10806712.79</v>
      </c>
      <c r="BM177" s="15" t="n">
        <f aca="false">ROUND($D177*Sensitivity!$C$40+Sensitivity!$D$40,2)</f>
        <v>20600</v>
      </c>
      <c r="BN177" s="15" t="n">
        <f aca="false">ROUND($K177-$BQ177,2)</f>
        <v>17335.53</v>
      </c>
      <c r="BO177" s="26" t="n">
        <f aca="false">RANK($BN177,'Your Accounts'!$BN$6:$BN$185)</f>
        <v>94</v>
      </c>
      <c r="BP177" s="15" t="n">
        <f aca="false">SUMIF('Your Accounts'!$BO$6:$BO$185,"&lt;="&amp;$BO177,'Your Accounts'!$BN$6:$BN$185)</f>
        <v>10326297.43</v>
      </c>
      <c r="BQ177" s="15" t="n">
        <f aca="false">ROUND($D177*Sensitivity!$C$41+Sensitivity!$D$41,2)</f>
        <v>24720</v>
      </c>
    </row>
    <row r="178" customFormat="false" ht="15" hidden="false" customHeight="false" outlineLevel="0" collapsed="false">
      <c r="B178" s="18" t="s">
        <v>290</v>
      </c>
      <c r="C178" s="18" t="s">
        <v>218</v>
      </c>
      <c r="D178" s="24" t="n">
        <v>20</v>
      </c>
      <c r="E178" s="26" t="n">
        <f aca="false">SUMIF('Your Lines'!$B$6:$B$463,$B178,'Your Lines'!$E$6:$E$463)</f>
        <v>792</v>
      </c>
      <c r="F178" s="15" t="n">
        <f aca="false">ROUND(SUMIF('Your Lines'!$B$6:$B$463,$B178,'Your Lines'!$J$6:$J$463),2)</f>
        <v>68458</v>
      </c>
      <c r="G178" s="15" t="n">
        <f aca="false">ROUND(SUMIF('Your Lines'!$B$6:$B$463,$B178,'Your Lines'!$G$6:$G$463),2)</f>
        <v>67773.42</v>
      </c>
      <c r="H178" s="25" t="n">
        <f aca="false">$G178/$F178</f>
        <v>0.99</v>
      </c>
      <c r="I178" s="15" t="n">
        <f aca="false">ROUND(SUMIF('Your Lines'!$B$6:$B$463,$B178,'Your Lines'!$K$6:$K$463),2)</f>
        <v>38838</v>
      </c>
      <c r="J178" s="15" t="n">
        <f aca="false">ROUND(SUMIF('Your Lines'!$B$6:$B$463,$B178,'Your Lines'!$L$6:$L$463),2)</f>
        <v>1369.16</v>
      </c>
      <c r="K178" s="15" t="n">
        <f aca="false">ROUND($G178-$I178-$J178,2)</f>
        <v>27566.26</v>
      </c>
      <c r="L178" s="15" t="n">
        <f aca="false">ROUND($D178*'Your Inputs'!$C$40+'Your Inputs'!$C$41,2)</f>
        <v>9400</v>
      </c>
      <c r="M178" s="15" t="n">
        <f aca="false">ROUND($K178-$L178,2)</f>
        <v>18166.26</v>
      </c>
      <c r="N178" s="26" t="n">
        <f aca="false">RANK($M178,'Your Accounts'!$M$6:$M$185)</f>
        <v>130</v>
      </c>
      <c r="O178" s="15" t="n">
        <f aca="false">SUMIF('Your Accounts'!$N$6:$N$185,"&lt;="&amp;$N178,'Your Accounts'!$M$6:$M$185)</f>
        <v>13105612.73</v>
      </c>
      <c r="P178" s="15"/>
      <c r="Q178" s="26" t="n">
        <f aca="false">COUNTIFS('Your Lines'!$B$6:$B$463,$B178,'Your Lines'!$R$6:$R$463,"below the floor")</f>
        <v>0</v>
      </c>
      <c r="R178" s="15" t="n">
        <f aca="false">IF(Q178&gt;0,$K178,0)</f>
        <v>0</v>
      </c>
      <c r="AN178" s="15" t="n">
        <f aca="false">IF(VLOOKUP($C178,'Your Floors'!$B$53:$F$56,5,FALSE())="yes",0,$R178)</f>
        <v>0</v>
      </c>
      <c r="AP178" s="15" t="n">
        <f aca="false">ROUND($K178-$AS178,2)</f>
        <v>22866.26</v>
      </c>
      <c r="AQ178" s="26" t="n">
        <f aca="false">RANK($AP178,'Your Accounts'!$AP$6:$AP$185)</f>
        <v>130</v>
      </c>
      <c r="AR178" s="15" t="n">
        <f aca="false">SUMIF('Your Accounts'!$AQ$6:$AQ$185,"&lt;="&amp;$AQ178,'Your Accounts'!$AP$6:$AP$185)</f>
        <v>13732055.23</v>
      </c>
      <c r="AS178" s="15" t="n">
        <f aca="false">ROUND($D178*Sensitivity!$C$35+Sensitivity!$D$35,2)</f>
        <v>4700</v>
      </c>
      <c r="AT178" s="15" t="n">
        <f aca="false">ROUND($K178-$AW178,2)</f>
        <v>18166.26</v>
      </c>
      <c r="AU178" s="26" t="n">
        <f aca="false">RANK($AT178,'Your Accounts'!$AT$6:$AT$185)</f>
        <v>130</v>
      </c>
      <c r="AV178" s="15" t="n">
        <f aca="false">SUMIF('Your Accounts'!$AU$6:$AU$185,"&lt;="&amp;$AU178,'Your Accounts'!$AT$6:$AT$185)</f>
        <v>13105612.73</v>
      </c>
      <c r="AW178" s="15" t="n">
        <f aca="false">ROUND($D178*Sensitivity!$C$36+Sensitivity!$D$36,2)</f>
        <v>9400</v>
      </c>
      <c r="AX178" s="15" t="n">
        <f aca="false">ROUND($K178-$BA178,2)</f>
        <v>15816.26</v>
      </c>
      <c r="AY178" s="26" t="n">
        <f aca="false">RANK($AX178,'Your Accounts'!$AX$6:$AX$185)</f>
        <v>130</v>
      </c>
      <c r="AZ178" s="15" t="n">
        <f aca="false">SUMIF('Your Accounts'!$AY$6:$AY$185,"&lt;="&amp;$AY178,'Your Accounts'!$AX$6:$AX$185)</f>
        <v>12792391.48</v>
      </c>
      <c r="BA178" s="15" t="n">
        <f aca="false">ROUND($D178*Sensitivity!$C$37+Sensitivity!$D$37,2)</f>
        <v>11750</v>
      </c>
      <c r="BB178" s="15" t="n">
        <f aca="false">ROUND($K178-$BE178,2)</f>
        <v>13466.26</v>
      </c>
      <c r="BC178" s="26" t="n">
        <f aca="false">RANK($BB178,'Your Accounts'!$BB$6:$BB$185)</f>
        <v>130</v>
      </c>
      <c r="BD178" s="15" t="n">
        <f aca="false">SUMIF('Your Accounts'!$BC$6:$BC$185,"&lt;="&amp;$BC178,'Your Accounts'!$BB$6:$BB$185)</f>
        <v>12479706.79</v>
      </c>
      <c r="BE178" s="15" t="n">
        <f aca="false">ROUND($D178*Sensitivity!$C$38+Sensitivity!$D$38,2)</f>
        <v>14100</v>
      </c>
      <c r="BF178" s="15" t="n">
        <f aca="false">ROUND($K178-$BI178,2)</f>
        <v>8766.26</v>
      </c>
      <c r="BG178" s="26" t="n">
        <f aca="false">RANK($BF178,'Your Accounts'!$BF$6:$BF$185)</f>
        <v>130</v>
      </c>
      <c r="BH178" s="15" t="n">
        <f aca="false">SUMIF('Your Accounts'!$BG$6:$BG$185,"&lt;="&amp;$BG178,'Your Accounts'!$BF$6:$BF$185)</f>
        <v>11854496.79</v>
      </c>
      <c r="BI178" s="15" t="n">
        <f aca="false">ROUND($D178*Sensitivity!$C$39+Sensitivity!$D$39,2)</f>
        <v>18800</v>
      </c>
      <c r="BJ178" s="15" t="n">
        <f aca="false">ROUND($K178-$BM178,2)</f>
        <v>4066.26</v>
      </c>
      <c r="BK178" s="26" t="n">
        <f aca="false">RANK($BJ178,'Your Accounts'!$BJ$6:$BJ$185)</f>
        <v>132</v>
      </c>
      <c r="BL178" s="15" t="n">
        <f aca="false">SUMIF('Your Accounts'!$BK$6:$BK$185,"&lt;="&amp;$BK178,'Your Accounts'!$BJ$6:$BJ$185)</f>
        <v>11237509.2</v>
      </c>
      <c r="BM178" s="15" t="n">
        <f aca="false">ROUND($D178*Sensitivity!$C$40+Sensitivity!$D$40,2)</f>
        <v>23500</v>
      </c>
      <c r="BN178" s="15" t="n">
        <f aca="false">ROUND($K178-$BQ178,2)</f>
        <v>-633.74</v>
      </c>
      <c r="BO178" s="26" t="n">
        <f aca="false">RANK($BN178,'Your Accounts'!$BN$6:$BN$185)</f>
        <v>133</v>
      </c>
      <c r="BP178" s="15" t="n">
        <f aca="false">SUMIF('Your Accounts'!$BO$6:$BO$185,"&lt;="&amp;$BO178,'Your Accounts'!$BN$6:$BN$185)</f>
        <v>10604069.38</v>
      </c>
      <c r="BQ178" s="15" t="n">
        <f aca="false">ROUND($D178*Sensitivity!$C$41+Sensitivity!$D$41,2)</f>
        <v>28200</v>
      </c>
    </row>
    <row r="179" customFormat="false" ht="15" hidden="false" customHeight="false" outlineLevel="0" collapsed="false">
      <c r="B179" s="18" t="s">
        <v>291</v>
      </c>
      <c r="C179" s="18" t="s">
        <v>218</v>
      </c>
      <c r="D179" s="24" t="n">
        <v>7</v>
      </c>
      <c r="E179" s="26" t="n">
        <f aca="false">SUMIF('Your Lines'!$B$6:$B$463,$B179,'Your Lines'!$E$6:$E$463)</f>
        <v>94</v>
      </c>
      <c r="F179" s="15" t="n">
        <f aca="false">ROUND(SUMIF('Your Lines'!$B$6:$B$463,$B179,'Your Lines'!$J$6:$J$463),2)</f>
        <v>9492</v>
      </c>
      <c r="G179" s="15" t="n">
        <f aca="false">ROUND(SUMIF('Your Lines'!$B$6:$B$463,$B179,'Your Lines'!$G$6:$G$463),2)</f>
        <v>9268.48</v>
      </c>
      <c r="H179" s="25" t="n">
        <f aca="false">$G179/$F179</f>
        <v>0.976451748841129</v>
      </c>
      <c r="I179" s="15" t="n">
        <f aca="false">ROUND(SUMIF('Your Lines'!$B$6:$B$463,$B179,'Your Lines'!$K$6:$K$463),2)</f>
        <v>5632</v>
      </c>
      <c r="J179" s="15" t="n">
        <f aca="false">ROUND(SUMIF('Your Lines'!$B$6:$B$463,$B179,'Your Lines'!$L$6:$L$463),2)</f>
        <v>187.24</v>
      </c>
      <c r="K179" s="15" t="n">
        <f aca="false">ROUND($G179-$I179-$J179,2)</f>
        <v>3449.24</v>
      </c>
      <c r="L179" s="15" t="n">
        <f aca="false">ROUND($D179*'Your Inputs'!$C$40+'Your Inputs'!$C$41,2)</f>
        <v>7515</v>
      </c>
      <c r="M179" s="15" t="n">
        <f aca="false">ROUND($K179-$L179,2)</f>
        <v>-4065.76</v>
      </c>
      <c r="N179" s="26" t="n">
        <f aca="false">RANK($M179,'Your Accounts'!$M$6:$M$185)</f>
        <v>178</v>
      </c>
      <c r="O179" s="15" t="n">
        <f aca="false">SUMIF('Your Accounts'!$N$6:$N$185,"&lt;="&amp;$N179,'Your Accounts'!$M$6:$M$185)</f>
        <v>13491909.67</v>
      </c>
      <c r="P179" s="15"/>
      <c r="Q179" s="26" t="n">
        <f aca="false">COUNTIFS('Your Lines'!$B$6:$B$463,$B179,'Your Lines'!$R$6:$R$463,"below the floor")</f>
        <v>0</v>
      </c>
      <c r="R179" s="15" t="n">
        <f aca="false">IF(Q179&gt;0,$K179,0)</f>
        <v>0</v>
      </c>
      <c r="AN179" s="15" t="n">
        <f aca="false">IF(VLOOKUP($C179,'Your Floors'!$B$53:$F$56,5,FALSE())="yes",0,$R179)</f>
        <v>0</v>
      </c>
      <c r="AP179" s="15" t="n">
        <f aca="false">ROUND($K179-$AS179,2)</f>
        <v>-308.26</v>
      </c>
      <c r="AQ179" s="26" t="n">
        <f aca="false">RANK($AP179,'Your Accounts'!$AP$6:$AP$185)</f>
        <v>178</v>
      </c>
      <c r="AR179" s="15" t="n">
        <f aca="false">SUMIF('Your Accounts'!$AQ$6:$AQ$185,"&lt;="&amp;$AQ179,'Your Accounts'!$AP$6:$AP$185)</f>
        <v>14313429.67</v>
      </c>
      <c r="AS179" s="15" t="n">
        <f aca="false">ROUND($D179*Sensitivity!$C$35+Sensitivity!$D$35,2)</f>
        <v>3757.5</v>
      </c>
      <c r="AT179" s="15" t="n">
        <f aca="false">ROUND($K179-$AW179,2)</f>
        <v>-4065.76</v>
      </c>
      <c r="AU179" s="26" t="n">
        <f aca="false">RANK($AT179,'Your Accounts'!$AT$6:$AT$185)</f>
        <v>178</v>
      </c>
      <c r="AV179" s="15" t="n">
        <f aca="false">SUMIF('Your Accounts'!$AU$6:$AU$185,"&lt;="&amp;$AU179,'Your Accounts'!$AT$6:$AT$185)</f>
        <v>13491909.67</v>
      </c>
      <c r="AW179" s="15" t="n">
        <f aca="false">ROUND($D179*Sensitivity!$C$36+Sensitivity!$D$36,2)</f>
        <v>7515</v>
      </c>
      <c r="AX179" s="15" t="n">
        <f aca="false">ROUND($K179-$BA179,2)</f>
        <v>-5944.51</v>
      </c>
      <c r="AY179" s="26" t="n">
        <f aca="false">RANK($AX179,'Your Accounts'!$AX$6:$AX$185)</f>
        <v>178</v>
      </c>
      <c r="AZ179" s="15" t="n">
        <f aca="false">SUMIF('Your Accounts'!$AY$6:$AY$185,"&lt;="&amp;$AY179,'Your Accounts'!$AX$6:$AX$185)</f>
        <v>13081149.67</v>
      </c>
      <c r="BA179" s="15" t="n">
        <f aca="false">ROUND($D179*Sensitivity!$C$37+Sensitivity!$D$37,2)</f>
        <v>9393.75</v>
      </c>
      <c r="BB179" s="15" t="n">
        <f aca="false">ROUND($K179-$BE179,2)</f>
        <v>-7823.26</v>
      </c>
      <c r="BC179" s="26" t="n">
        <f aca="false">RANK($BB179,'Your Accounts'!$BB$6:$BB$185)</f>
        <v>178</v>
      </c>
      <c r="BD179" s="15" t="n">
        <f aca="false">SUMIF('Your Accounts'!$BC$6:$BC$185,"&lt;="&amp;$BC179,'Your Accounts'!$BB$6:$BB$185)</f>
        <v>12671090</v>
      </c>
      <c r="BE179" s="15" t="n">
        <f aca="false">ROUND($D179*Sensitivity!$C$38+Sensitivity!$D$38,2)</f>
        <v>11272.5</v>
      </c>
      <c r="BF179" s="15" t="n">
        <f aca="false">ROUND($K179-$BI179,2)</f>
        <v>-11580.76</v>
      </c>
      <c r="BG179" s="26" t="n">
        <f aca="false">RANK($BF179,'Your Accounts'!$BF$6:$BF$185)</f>
        <v>179</v>
      </c>
      <c r="BH179" s="15" t="n">
        <f aca="false">SUMIF('Your Accounts'!$BG$6:$BG$185,"&lt;="&amp;$BG179,'Your Accounts'!$BF$6:$BF$185)</f>
        <v>11839584.58</v>
      </c>
      <c r="BI179" s="15" t="n">
        <f aca="false">ROUND($D179*Sensitivity!$C$39+Sensitivity!$D$39,2)</f>
        <v>15030</v>
      </c>
      <c r="BJ179" s="15" t="n">
        <f aca="false">ROUND($K179-$BM179,2)</f>
        <v>-15338.26</v>
      </c>
      <c r="BK179" s="26" t="n">
        <f aca="false">RANK($BJ179,'Your Accounts'!$BJ$6:$BJ$185)</f>
        <v>179</v>
      </c>
      <c r="BL179" s="15" t="n">
        <f aca="false">SUMIF('Your Accounts'!$BK$6:$BK$185,"&lt;="&amp;$BK179,'Your Accounts'!$BJ$6:$BJ$185)</f>
        <v>11016192.08</v>
      </c>
      <c r="BM179" s="15" t="n">
        <f aca="false">ROUND($D179*Sensitivity!$C$40+Sensitivity!$D$40,2)</f>
        <v>18787.5</v>
      </c>
      <c r="BN179" s="15" t="n">
        <f aca="false">ROUND($K179-$BQ179,2)</f>
        <v>-19095.76</v>
      </c>
      <c r="BO179" s="26" t="n">
        <f aca="false">RANK($BN179,'Your Accounts'!$BN$6:$BN$185)</f>
        <v>179</v>
      </c>
      <c r="BP179" s="15" t="n">
        <f aca="false">SUMIF('Your Accounts'!$BO$6:$BO$185,"&lt;="&amp;$BO179,'Your Accounts'!$BN$6:$BN$185)</f>
        <v>10192799.58</v>
      </c>
      <c r="BQ179" s="15" t="n">
        <f aca="false">ROUND($D179*Sensitivity!$C$41+Sensitivity!$D$41,2)</f>
        <v>22545</v>
      </c>
    </row>
    <row r="180" customFormat="false" ht="15" hidden="false" customHeight="false" outlineLevel="0" collapsed="false">
      <c r="B180" s="18" t="s">
        <v>292</v>
      </c>
      <c r="C180" s="18" t="s">
        <v>218</v>
      </c>
      <c r="D180" s="24" t="n">
        <v>25</v>
      </c>
      <c r="E180" s="26" t="n">
        <f aca="false">SUMIF('Your Lines'!$B$6:$B$463,$B180,'Your Lines'!$E$6:$E$463)</f>
        <v>1695</v>
      </c>
      <c r="F180" s="15" t="n">
        <f aca="false">ROUND(SUMIF('Your Lines'!$B$6:$B$463,$B180,'Your Lines'!$J$6:$J$463),2)</f>
        <v>119194</v>
      </c>
      <c r="G180" s="15" t="n">
        <f aca="false">ROUND(SUMIF('Your Lines'!$B$6:$B$463,$B180,'Your Lines'!$G$6:$G$463),2)</f>
        <v>106047.63</v>
      </c>
      <c r="H180" s="25" t="n">
        <f aca="false">$G180/$F180</f>
        <v>0.889706109367921</v>
      </c>
      <c r="I180" s="15" t="n">
        <f aca="false">ROUND(SUMIF('Your Lines'!$B$6:$B$463,$B180,'Your Lines'!$K$6:$K$463),2)</f>
        <v>67908</v>
      </c>
      <c r="J180" s="15" t="n">
        <f aca="false">ROUND(SUMIF('Your Lines'!$B$6:$B$463,$B180,'Your Lines'!$L$6:$L$463),2)</f>
        <v>2142.37</v>
      </c>
      <c r="K180" s="15" t="n">
        <f aca="false">ROUND($G180-$I180-$J180,2)</f>
        <v>35997.26</v>
      </c>
      <c r="L180" s="15" t="n">
        <f aca="false">ROUND($D180*'Your Inputs'!$C$40+'Your Inputs'!$C$41,2)</f>
        <v>10125</v>
      </c>
      <c r="M180" s="15" t="n">
        <f aca="false">ROUND($K180-$L180,2)</f>
        <v>25872.26</v>
      </c>
      <c r="N180" s="26" t="n">
        <f aca="false">RANK($M180,'Your Accounts'!$M$6:$M$185)</f>
        <v>110</v>
      </c>
      <c r="O180" s="15" t="n">
        <f aca="false">SUMIF('Your Accounts'!$N$6:$N$185,"&lt;="&amp;$N180,'Your Accounts'!$M$6:$M$185)</f>
        <v>12658118.69</v>
      </c>
      <c r="P180" s="15"/>
      <c r="Q180" s="26" t="n">
        <f aca="false">COUNTIFS('Your Lines'!$B$6:$B$463,$B180,'Your Lines'!$R$6:$R$463,"below the floor")</f>
        <v>2</v>
      </c>
      <c r="R180" s="15" t="n">
        <f aca="false">IF(Q180&gt;0,$K180,0)</f>
        <v>35997.26</v>
      </c>
      <c r="AN180" s="15" t="n">
        <f aca="false">IF(VLOOKUP($C180,'Your Floors'!$B$53:$F$56,5,FALSE())="yes",0,$R180)</f>
        <v>35997.26</v>
      </c>
      <c r="AP180" s="15" t="n">
        <f aca="false">ROUND($K180-$AS180,2)</f>
        <v>30934.76</v>
      </c>
      <c r="AQ180" s="26" t="n">
        <f aca="false">RANK($AP180,'Your Accounts'!$AP$6:$AP$185)</f>
        <v>111</v>
      </c>
      <c r="AR180" s="15" t="n">
        <f aca="false">SUMIF('Your Accounts'!$AQ$6:$AQ$185,"&lt;="&amp;$AQ180,'Your Accounts'!$AP$6:$AP$185)</f>
        <v>13228809.95</v>
      </c>
      <c r="AS180" s="15" t="n">
        <f aca="false">ROUND($D180*Sensitivity!$C$35+Sensitivity!$D$35,2)</f>
        <v>5062.5</v>
      </c>
      <c r="AT180" s="15" t="n">
        <f aca="false">ROUND($K180-$AW180,2)</f>
        <v>25872.26</v>
      </c>
      <c r="AU180" s="26" t="n">
        <f aca="false">RANK($AT180,'Your Accounts'!$AT$6:$AT$185)</f>
        <v>110</v>
      </c>
      <c r="AV180" s="15" t="n">
        <f aca="false">SUMIF('Your Accounts'!$AU$6:$AU$185,"&lt;="&amp;$AU180,'Your Accounts'!$AT$6:$AT$185)</f>
        <v>12658118.69</v>
      </c>
      <c r="AW180" s="15" t="n">
        <f aca="false">ROUND($D180*Sensitivity!$C$36+Sensitivity!$D$36,2)</f>
        <v>10125</v>
      </c>
      <c r="AX180" s="15" t="n">
        <f aca="false">ROUND($K180-$BA180,2)</f>
        <v>23341.01</v>
      </c>
      <c r="AY180" s="26" t="n">
        <f aca="false">RANK($AX180,'Your Accounts'!$AX$6:$AX$185)</f>
        <v>113</v>
      </c>
      <c r="AZ180" s="15" t="n">
        <f aca="false">SUMIF('Your Accounts'!$AY$6:$AY$185,"&lt;="&amp;$AY180,'Your Accounts'!$AX$6:$AX$185)</f>
        <v>12458840.62</v>
      </c>
      <c r="BA180" s="15" t="n">
        <f aca="false">ROUND($D180*Sensitivity!$C$37+Sensitivity!$D$37,2)</f>
        <v>12656.25</v>
      </c>
      <c r="BB180" s="15" t="n">
        <f aca="false">ROUND($K180-$BE180,2)</f>
        <v>20809.76</v>
      </c>
      <c r="BC180" s="26" t="n">
        <f aca="false">RANK($BB180,'Your Accounts'!$BB$6:$BB$185)</f>
        <v>113</v>
      </c>
      <c r="BD180" s="15" t="n">
        <f aca="false">SUMIF('Your Accounts'!$BC$6:$BC$185,"&lt;="&amp;$BC180,'Your Accounts'!$BB$6:$BB$185)</f>
        <v>12183394.37</v>
      </c>
      <c r="BE180" s="15" t="n">
        <f aca="false">ROUND($D180*Sensitivity!$C$38+Sensitivity!$D$38,2)</f>
        <v>15187.5</v>
      </c>
      <c r="BF180" s="15" t="n">
        <f aca="false">ROUND($K180-$BI180,2)</f>
        <v>15747.26</v>
      </c>
      <c r="BG180" s="26" t="n">
        <f aca="false">RANK($BF180,'Your Accounts'!$BF$6:$BF$185)</f>
        <v>117</v>
      </c>
      <c r="BH180" s="15" t="n">
        <f aca="false">SUMIF('Your Accounts'!$BG$6:$BG$185,"&lt;="&amp;$BG180,'Your Accounts'!$BF$6:$BF$185)</f>
        <v>11696002.25</v>
      </c>
      <c r="BI180" s="15" t="n">
        <f aca="false">ROUND($D180*Sensitivity!$C$39+Sensitivity!$D$39,2)</f>
        <v>20250</v>
      </c>
      <c r="BJ180" s="15" t="n">
        <f aca="false">ROUND($K180-$BM180,2)</f>
        <v>10684.76</v>
      </c>
      <c r="BK180" s="26" t="n">
        <f aca="false">RANK($BJ180,'Your Accounts'!$BJ$6:$BJ$185)</f>
        <v>119</v>
      </c>
      <c r="BL180" s="15" t="n">
        <f aca="false">SUMIF('Your Accounts'!$BK$6:$BK$185,"&lt;="&amp;$BK180,'Your Accounts'!$BJ$6:$BJ$185)</f>
        <v>11151082.48</v>
      </c>
      <c r="BM180" s="15" t="n">
        <f aca="false">ROUND($D180*Sensitivity!$C$40+Sensitivity!$D$40,2)</f>
        <v>25312.5</v>
      </c>
      <c r="BN180" s="15" t="n">
        <f aca="false">ROUND($K180-$BQ180,2)</f>
        <v>5622.26</v>
      </c>
      <c r="BO180" s="26" t="n">
        <f aca="false">RANK($BN180,'Your Accounts'!$BN$6:$BN$185)</f>
        <v>120</v>
      </c>
      <c r="BP180" s="15" t="n">
        <f aca="false">SUMIF('Your Accounts'!$BO$6:$BO$185,"&lt;="&amp;$BO180,'Your Accounts'!$BN$6:$BN$185)</f>
        <v>10581027.3</v>
      </c>
      <c r="BQ180" s="15" t="n">
        <f aca="false">ROUND($D180*Sensitivity!$C$41+Sensitivity!$D$41,2)</f>
        <v>30375</v>
      </c>
    </row>
    <row r="181" customFormat="false" ht="15" hidden="false" customHeight="false" outlineLevel="0" collapsed="false">
      <c r="B181" s="18" t="s">
        <v>293</v>
      </c>
      <c r="C181" s="18" t="s">
        <v>218</v>
      </c>
      <c r="D181" s="24" t="n">
        <v>9</v>
      </c>
      <c r="E181" s="26" t="n">
        <f aca="false">SUMIF('Your Lines'!$B$6:$B$463,$B181,'Your Lines'!$E$6:$E$463)</f>
        <v>329</v>
      </c>
      <c r="F181" s="15" t="n">
        <f aca="false">ROUND(SUMIF('Your Lines'!$B$6:$B$463,$B181,'Your Lines'!$J$6:$J$463),2)</f>
        <v>24754</v>
      </c>
      <c r="G181" s="15" t="n">
        <f aca="false">ROUND(SUMIF('Your Lines'!$B$6:$B$463,$B181,'Your Lines'!$G$6:$G$463),2)</f>
        <v>24233.03</v>
      </c>
      <c r="H181" s="25" t="n">
        <f aca="false">$G181/$F181</f>
        <v>0.978954108426921</v>
      </c>
      <c r="I181" s="15" t="n">
        <f aca="false">ROUND(SUMIF('Your Lines'!$B$6:$B$463,$B181,'Your Lines'!$K$6:$K$463),2)</f>
        <v>14376</v>
      </c>
      <c r="J181" s="15" t="n">
        <f aca="false">ROUND(SUMIF('Your Lines'!$B$6:$B$463,$B181,'Your Lines'!$L$6:$L$463),2)</f>
        <v>489.55</v>
      </c>
      <c r="K181" s="15" t="n">
        <f aca="false">ROUND($G181-$I181-$J181,2)</f>
        <v>9367.48</v>
      </c>
      <c r="L181" s="15" t="n">
        <f aca="false">ROUND($D181*'Your Inputs'!$C$40+'Your Inputs'!$C$41,2)</f>
        <v>7805</v>
      </c>
      <c r="M181" s="15" t="n">
        <f aca="false">ROUND($K181-$L181,2)</f>
        <v>1562.48</v>
      </c>
      <c r="N181" s="26" t="n">
        <f aca="false">RANK($M181,'Your Accounts'!$M$6:$M$185)</f>
        <v>168</v>
      </c>
      <c r="O181" s="15" t="n">
        <f aca="false">SUMIF('Your Accounts'!$N$6:$N$185,"&lt;="&amp;$N181,'Your Accounts'!$M$6:$M$185)</f>
        <v>13507210.02</v>
      </c>
      <c r="P181" s="15"/>
      <c r="Q181" s="26" t="n">
        <f aca="false">COUNTIFS('Your Lines'!$B$6:$B$463,$B181,'Your Lines'!$R$6:$R$463,"below the floor")</f>
        <v>0</v>
      </c>
      <c r="R181" s="15" t="n">
        <f aca="false">IF(Q181&gt;0,$K181,0)</f>
        <v>0</v>
      </c>
      <c r="AN181" s="15" t="n">
        <f aca="false">IF(VLOOKUP($C181,'Your Floors'!$B$53:$F$56,5,FALSE())="yes",0,$R181)</f>
        <v>0</v>
      </c>
      <c r="AP181" s="15" t="n">
        <f aca="false">ROUND($K181-$AS181,2)</f>
        <v>5464.98</v>
      </c>
      <c r="AQ181" s="26" t="n">
        <f aca="false">RANK($AP181,'Your Accounts'!$AP$6:$AP$185)</f>
        <v>167</v>
      </c>
      <c r="AR181" s="15" t="n">
        <f aca="false">SUMIF('Your Accounts'!$AQ$6:$AQ$185,"&lt;="&amp;$AQ181,'Your Accounts'!$AP$6:$AP$185)</f>
        <v>14285978.21</v>
      </c>
      <c r="AS181" s="15" t="n">
        <f aca="false">ROUND($D181*Sensitivity!$C$35+Sensitivity!$D$35,2)</f>
        <v>3902.5</v>
      </c>
      <c r="AT181" s="15" t="n">
        <f aca="false">ROUND($K181-$AW181,2)</f>
        <v>1562.48</v>
      </c>
      <c r="AU181" s="26" t="n">
        <f aca="false">RANK($AT181,'Your Accounts'!$AT$6:$AT$185)</f>
        <v>168</v>
      </c>
      <c r="AV181" s="15" t="n">
        <f aca="false">SUMIF('Your Accounts'!$AU$6:$AU$185,"&lt;="&amp;$AU181,'Your Accounts'!$AT$6:$AT$185)</f>
        <v>13507210.02</v>
      </c>
      <c r="AW181" s="15" t="n">
        <f aca="false">ROUND($D181*Sensitivity!$C$36+Sensitivity!$D$36,2)</f>
        <v>7805</v>
      </c>
      <c r="AX181" s="15" t="n">
        <f aca="false">ROUND($K181-$BA181,2)</f>
        <v>-388.77</v>
      </c>
      <c r="AY181" s="26" t="n">
        <f aca="false">RANK($AX181,'Your Accounts'!$AX$6:$AX$185)</f>
        <v>168</v>
      </c>
      <c r="AZ181" s="15" t="n">
        <f aca="false">SUMIF('Your Accounts'!$AY$6:$AY$185,"&lt;="&amp;$AY181,'Your Accounts'!$AX$6:$AX$185)</f>
        <v>13115165.02</v>
      </c>
      <c r="BA181" s="15" t="n">
        <f aca="false">ROUND($D181*Sensitivity!$C$37+Sensitivity!$D$37,2)</f>
        <v>9756.25</v>
      </c>
      <c r="BB181" s="15" t="n">
        <f aca="false">ROUND($K181-$BE181,2)</f>
        <v>-2340.02</v>
      </c>
      <c r="BC181" s="26" t="n">
        <f aca="false">RANK($BB181,'Your Accounts'!$BB$6:$BB$185)</f>
        <v>168</v>
      </c>
      <c r="BD181" s="15" t="n">
        <f aca="false">SUMIF('Your Accounts'!$BC$6:$BC$185,"&lt;="&amp;$BC181,'Your Accounts'!$BB$6:$BB$185)</f>
        <v>12723120.02</v>
      </c>
      <c r="BE181" s="15" t="n">
        <f aca="false">ROUND($D181*Sensitivity!$C$38+Sensitivity!$D$38,2)</f>
        <v>11707.5</v>
      </c>
      <c r="BF181" s="15" t="n">
        <f aca="false">ROUND($K181-$BI181,2)</f>
        <v>-6242.52</v>
      </c>
      <c r="BG181" s="26" t="n">
        <f aca="false">RANK($BF181,'Your Accounts'!$BF$6:$BF$185)</f>
        <v>168</v>
      </c>
      <c r="BH181" s="15" t="n">
        <f aca="false">SUMIF('Your Accounts'!$BG$6:$BG$185,"&lt;="&amp;$BG181,'Your Accounts'!$BF$6:$BF$185)</f>
        <v>11939030.02</v>
      </c>
      <c r="BI181" s="15" t="n">
        <f aca="false">ROUND($D181*Sensitivity!$C$39+Sensitivity!$D$39,2)</f>
        <v>15610</v>
      </c>
      <c r="BJ181" s="15" t="n">
        <f aca="false">ROUND($K181-$BM181,2)</f>
        <v>-10145.02</v>
      </c>
      <c r="BK181" s="26" t="n">
        <f aca="false">RANK($BJ181,'Your Accounts'!$BJ$6:$BJ$185)</f>
        <v>168</v>
      </c>
      <c r="BL181" s="15" t="n">
        <f aca="false">SUMIF('Your Accounts'!$BK$6:$BK$185,"&lt;="&amp;$BK181,'Your Accounts'!$BJ$6:$BJ$185)</f>
        <v>11154940.02</v>
      </c>
      <c r="BM181" s="15" t="n">
        <f aca="false">ROUND($D181*Sensitivity!$C$40+Sensitivity!$D$40,2)</f>
        <v>19512.5</v>
      </c>
      <c r="BN181" s="15" t="n">
        <f aca="false">ROUND($K181-$BQ181,2)</f>
        <v>-14047.52</v>
      </c>
      <c r="BO181" s="26" t="n">
        <f aca="false">RANK($BN181,'Your Accounts'!$BN$6:$BN$185)</f>
        <v>168</v>
      </c>
      <c r="BP181" s="15" t="n">
        <f aca="false">SUMIF('Your Accounts'!$BO$6:$BO$185,"&lt;="&amp;$BO181,'Your Accounts'!$BN$6:$BN$185)</f>
        <v>10370850.02</v>
      </c>
      <c r="BQ181" s="15" t="n">
        <f aca="false">ROUND($D181*Sensitivity!$C$41+Sensitivity!$D$41,2)</f>
        <v>23415</v>
      </c>
    </row>
    <row r="182" customFormat="false" ht="15" hidden="false" customHeight="false" outlineLevel="0" collapsed="false">
      <c r="B182" s="18" t="s">
        <v>294</v>
      </c>
      <c r="C182" s="18" t="s">
        <v>218</v>
      </c>
      <c r="D182" s="24" t="n">
        <v>17</v>
      </c>
      <c r="E182" s="26" t="n">
        <f aca="false">SUMIF('Your Lines'!$B$6:$B$463,$B182,'Your Lines'!$E$6:$E$463)</f>
        <v>1108</v>
      </c>
      <c r="F182" s="15" t="n">
        <f aca="false">ROUND(SUMIF('Your Lines'!$B$6:$B$463,$B182,'Your Lines'!$J$6:$J$463),2)</f>
        <v>88204</v>
      </c>
      <c r="G182" s="15" t="n">
        <f aca="false">ROUND(SUMIF('Your Lines'!$B$6:$B$463,$B182,'Your Lines'!$G$6:$G$463),2)</f>
        <v>81418.3</v>
      </c>
      <c r="H182" s="25" t="n">
        <f aca="false">$G182/$F182</f>
        <v>0.923068114824725</v>
      </c>
      <c r="I182" s="15" t="n">
        <f aca="false">ROUND(SUMIF('Your Lines'!$B$6:$B$463,$B182,'Your Lines'!$K$6:$K$463),2)</f>
        <v>50532</v>
      </c>
      <c r="J182" s="15" t="n">
        <f aca="false">ROUND(SUMIF('Your Lines'!$B$6:$B$463,$B182,'Your Lines'!$L$6:$L$463),2)</f>
        <v>1644.81</v>
      </c>
      <c r="K182" s="15" t="n">
        <f aca="false">ROUND($G182-$I182-$J182,2)</f>
        <v>29241.49</v>
      </c>
      <c r="L182" s="15" t="n">
        <f aca="false">ROUND($D182*'Your Inputs'!$C$40+'Your Inputs'!$C$41,2)</f>
        <v>8965</v>
      </c>
      <c r="M182" s="15" t="n">
        <f aca="false">ROUND($K182-$L182,2)</f>
        <v>20276.49</v>
      </c>
      <c r="N182" s="26" t="n">
        <f aca="false">RANK($M182,'Your Accounts'!$M$6:$M$185)</f>
        <v>125</v>
      </c>
      <c r="O182" s="15" t="n">
        <f aca="false">SUMIF('Your Accounts'!$N$6:$N$185,"&lt;="&amp;$N182,'Your Accounts'!$M$6:$M$185)</f>
        <v>13011111.59</v>
      </c>
      <c r="P182" s="15"/>
      <c r="Q182" s="26" t="n">
        <f aca="false">COUNTIFS('Your Lines'!$B$6:$B$463,$B182,'Your Lines'!$R$6:$R$463,"below the floor")</f>
        <v>0</v>
      </c>
      <c r="R182" s="15" t="n">
        <f aca="false">IF(Q182&gt;0,$K182,0)</f>
        <v>0</v>
      </c>
      <c r="AN182" s="15" t="n">
        <f aca="false">IF(VLOOKUP($C182,'Your Floors'!$B$53:$F$56,5,FALSE())="yes",0,$R182)</f>
        <v>0</v>
      </c>
      <c r="AP182" s="15" t="n">
        <f aca="false">ROUND($K182-$AS182,2)</f>
        <v>24758.99</v>
      </c>
      <c r="AQ182" s="26" t="n">
        <f aca="false">RANK($AP182,'Your Accounts'!$AP$6:$AP$185)</f>
        <v>124</v>
      </c>
      <c r="AR182" s="15" t="n">
        <f aca="false">SUMIF('Your Accounts'!$AQ$6:$AQ$185,"&lt;="&amp;$AQ182,'Your Accounts'!$AP$6:$AP$185)</f>
        <v>13590659.59</v>
      </c>
      <c r="AS182" s="15" t="n">
        <f aca="false">ROUND($D182*Sensitivity!$C$35+Sensitivity!$D$35,2)</f>
        <v>4482.5</v>
      </c>
      <c r="AT182" s="15" t="n">
        <f aca="false">ROUND($K182-$AW182,2)</f>
        <v>20276.49</v>
      </c>
      <c r="AU182" s="26" t="n">
        <f aca="false">RANK($AT182,'Your Accounts'!$AT$6:$AT$185)</f>
        <v>125</v>
      </c>
      <c r="AV182" s="15" t="n">
        <f aca="false">SUMIF('Your Accounts'!$AU$6:$AU$185,"&lt;="&amp;$AU182,'Your Accounts'!$AT$6:$AT$185)</f>
        <v>13011111.59</v>
      </c>
      <c r="AW182" s="15" t="n">
        <f aca="false">ROUND($D182*Sensitivity!$C$36+Sensitivity!$D$36,2)</f>
        <v>8965</v>
      </c>
      <c r="AX182" s="15" t="n">
        <f aca="false">ROUND($K182-$BA182,2)</f>
        <v>18035.24</v>
      </c>
      <c r="AY182" s="26" t="n">
        <f aca="false">RANK($AX182,'Your Accounts'!$AX$6:$AX$185)</f>
        <v>125</v>
      </c>
      <c r="AZ182" s="15" t="n">
        <f aca="false">SUMIF('Your Accounts'!$AY$6:$AY$185,"&lt;="&amp;$AY182,'Your Accounts'!$AX$6:$AX$185)</f>
        <v>12709241.59</v>
      </c>
      <c r="BA182" s="15" t="n">
        <f aca="false">ROUND($D182*Sensitivity!$C$37+Sensitivity!$D$37,2)</f>
        <v>11206.25</v>
      </c>
      <c r="BB182" s="15" t="n">
        <f aca="false">ROUND($K182-$BE182,2)</f>
        <v>15793.99</v>
      </c>
      <c r="BC182" s="26" t="n">
        <f aca="false">RANK($BB182,'Your Accounts'!$BB$6:$BB$185)</f>
        <v>125</v>
      </c>
      <c r="BD182" s="15" t="n">
        <f aca="false">SUMIF('Your Accounts'!$BC$6:$BC$185,"&lt;="&amp;$BC182,'Your Accounts'!$BB$6:$BB$185)</f>
        <v>12407371.59</v>
      </c>
      <c r="BE182" s="15" t="n">
        <f aca="false">ROUND($D182*Sensitivity!$C$38+Sensitivity!$D$38,2)</f>
        <v>13447.5</v>
      </c>
      <c r="BF182" s="15" t="n">
        <f aca="false">ROUND($K182-$BI182,2)</f>
        <v>11311.49</v>
      </c>
      <c r="BG182" s="26" t="n">
        <f aca="false">RANK($BF182,'Your Accounts'!$BF$6:$BF$185)</f>
        <v>125</v>
      </c>
      <c r="BH182" s="15" t="n">
        <f aca="false">SUMIF('Your Accounts'!$BG$6:$BG$185,"&lt;="&amp;$BG182,'Your Accounts'!$BF$6:$BF$185)</f>
        <v>11803631.59</v>
      </c>
      <c r="BI182" s="15" t="n">
        <f aca="false">ROUND($D182*Sensitivity!$C$39+Sensitivity!$D$39,2)</f>
        <v>17930</v>
      </c>
      <c r="BJ182" s="15" t="n">
        <f aca="false">ROUND($K182-$BM182,2)</f>
        <v>6828.99</v>
      </c>
      <c r="BK182" s="26" t="n">
        <f aca="false">RANK($BJ182,'Your Accounts'!$BJ$6:$BJ$185)</f>
        <v>126</v>
      </c>
      <c r="BL182" s="15" t="n">
        <f aca="false">SUMIF('Your Accounts'!$BK$6:$BK$185,"&lt;="&amp;$BK182,'Your Accounts'!$BJ$6:$BJ$185)</f>
        <v>11206894.85</v>
      </c>
      <c r="BM182" s="15" t="n">
        <f aca="false">ROUND($D182*Sensitivity!$C$40+Sensitivity!$D$40,2)</f>
        <v>22412.5</v>
      </c>
      <c r="BN182" s="15" t="n">
        <f aca="false">ROUND($K182-$BQ182,2)</f>
        <v>2346.49</v>
      </c>
      <c r="BO182" s="26" t="n">
        <f aca="false">RANK($BN182,'Your Accounts'!$BN$6:$BN$185)</f>
        <v>125</v>
      </c>
      <c r="BP182" s="15" t="n">
        <f aca="false">SUMIF('Your Accounts'!$BO$6:$BO$185,"&lt;="&amp;$BO182,'Your Accounts'!$BN$6:$BN$185)</f>
        <v>10597810.91</v>
      </c>
      <c r="BQ182" s="15" t="n">
        <f aca="false">ROUND($D182*Sensitivity!$C$41+Sensitivity!$D$41,2)</f>
        <v>26895</v>
      </c>
    </row>
    <row r="183" customFormat="false" ht="15" hidden="false" customHeight="false" outlineLevel="0" collapsed="false">
      <c r="B183" s="18" t="s">
        <v>295</v>
      </c>
      <c r="C183" s="18" t="s">
        <v>218</v>
      </c>
      <c r="D183" s="24" t="n">
        <v>43</v>
      </c>
      <c r="E183" s="26" t="n">
        <f aca="false">SUMIF('Your Lines'!$B$6:$B$463,$B183,'Your Lines'!$E$6:$E$463)</f>
        <v>1743</v>
      </c>
      <c r="F183" s="15" t="n">
        <f aca="false">ROUND(SUMIF('Your Lines'!$B$6:$B$463,$B183,'Your Lines'!$J$6:$J$463),2)</f>
        <v>130302</v>
      </c>
      <c r="G183" s="15" t="n">
        <f aca="false">ROUND(SUMIF('Your Lines'!$B$6:$B$463,$B183,'Your Lines'!$G$6:$G$463),2)</f>
        <v>128998.98</v>
      </c>
      <c r="H183" s="25" t="n">
        <f aca="false">$G183/$F183</f>
        <v>0.99</v>
      </c>
      <c r="I183" s="15" t="n">
        <f aca="false">ROUND(SUMIF('Your Lines'!$B$6:$B$463,$B183,'Your Lines'!$K$6:$K$463),2)</f>
        <v>77136</v>
      </c>
      <c r="J183" s="15" t="n">
        <f aca="false">ROUND(SUMIF('Your Lines'!$B$6:$B$463,$B183,'Your Lines'!$L$6:$L$463),2)</f>
        <v>2606.04</v>
      </c>
      <c r="K183" s="15" t="n">
        <f aca="false">ROUND($G183-$I183-$J183,2)</f>
        <v>49256.94</v>
      </c>
      <c r="L183" s="15" t="n">
        <f aca="false">ROUND($D183*'Your Inputs'!$C$40+'Your Inputs'!$C$41,2)</f>
        <v>12735</v>
      </c>
      <c r="M183" s="15" t="n">
        <f aca="false">ROUND($K183-$L183,2)</f>
        <v>36521.94</v>
      </c>
      <c r="N183" s="26" t="n">
        <f aca="false">RANK($M183,'Your Accounts'!$M$6:$M$185)</f>
        <v>92</v>
      </c>
      <c r="O183" s="15" t="n">
        <f aca="false">SUMIF('Your Accounts'!$N$6:$N$185,"&lt;="&amp;$N183,'Your Accounts'!$M$6:$M$185)</f>
        <v>12099685.34</v>
      </c>
      <c r="P183" s="15"/>
      <c r="Q183" s="26" t="n">
        <f aca="false">COUNTIFS('Your Lines'!$B$6:$B$463,$B183,'Your Lines'!$R$6:$R$463,"below the floor")</f>
        <v>0</v>
      </c>
      <c r="R183" s="15" t="n">
        <f aca="false">IF(Q183&gt;0,$K183,0)</f>
        <v>0</v>
      </c>
      <c r="AN183" s="15" t="n">
        <f aca="false">IF(VLOOKUP($C183,'Your Floors'!$B$53:$F$56,5,FALSE())="yes",0,$R183)</f>
        <v>0</v>
      </c>
      <c r="AP183" s="15" t="n">
        <f aca="false">ROUND($K183-$AS183,2)</f>
        <v>42889.44</v>
      </c>
      <c r="AQ183" s="26" t="n">
        <f aca="false">RANK($AP183,'Your Accounts'!$AP$6:$AP$185)</f>
        <v>89</v>
      </c>
      <c r="AR183" s="15" t="n">
        <f aca="false">SUMIF('Your Accounts'!$AQ$6:$AQ$185,"&lt;="&amp;$AQ183,'Your Accounts'!$AP$6:$AP$185)</f>
        <v>12430689.37</v>
      </c>
      <c r="AS183" s="15" t="n">
        <f aca="false">ROUND($D183*Sensitivity!$C$35+Sensitivity!$D$35,2)</f>
        <v>6367.5</v>
      </c>
      <c r="AT183" s="15" t="n">
        <f aca="false">ROUND($K183-$AW183,2)</f>
        <v>36521.94</v>
      </c>
      <c r="AU183" s="26" t="n">
        <f aca="false">RANK($AT183,'Your Accounts'!$AT$6:$AT$185)</f>
        <v>92</v>
      </c>
      <c r="AV183" s="15" t="n">
        <f aca="false">SUMIF('Your Accounts'!$AU$6:$AU$185,"&lt;="&amp;$AU183,'Your Accounts'!$AT$6:$AT$185)</f>
        <v>12099685.34</v>
      </c>
      <c r="AW183" s="15" t="n">
        <f aca="false">ROUND($D183*Sensitivity!$C$36+Sensitivity!$D$36,2)</f>
        <v>12735</v>
      </c>
      <c r="AX183" s="15" t="n">
        <f aca="false">ROUND($K183-$BA183,2)</f>
        <v>33338.19</v>
      </c>
      <c r="AY183" s="26" t="n">
        <f aca="false">RANK($AX183,'Your Accounts'!$AX$6:$AX$185)</f>
        <v>94</v>
      </c>
      <c r="AZ183" s="15" t="n">
        <f aca="false">SUMIF('Your Accounts'!$AY$6:$AY$185,"&lt;="&amp;$AY183,'Your Accounts'!$AX$6:$AX$185)</f>
        <v>11939642.79</v>
      </c>
      <c r="BA183" s="15" t="n">
        <f aca="false">ROUND($D183*Sensitivity!$C$37+Sensitivity!$D$37,2)</f>
        <v>15918.75</v>
      </c>
      <c r="BB183" s="15" t="n">
        <f aca="false">ROUND($K183-$BE183,2)</f>
        <v>30154.44</v>
      </c>
      <c r="BC183" s="26" t="n">
        <f aca="false">RANK($BB183,'Your Accounts'!$BB$6:$BB$185)</f>
        <v>95</v>
      </c>
      <c r="BD183" s="15" t="n">
        <f aca="false">SUMIF('Your Accounts'!$BC$6:$BC$185,"&lt;="&amp;$BC183,'Your Accounts'!$BB$6:$BB$185)</f>
        <v>11738037.19</v>
      </c>
      <c r="BE183" s="15" t="n">
        <f aca="false">ROUND($D183*Sensitivity!$C$38+Sensitivity!$D$38,2)</f>
        <v>19102.5</v>
      </c>
      <c r="BF183" s="15" t="n">
        <f aca="false">ROUND($K183-$BI183,2)</f>
        <v>23786.94</v>
      </c>
      <c r="BG183" s="26" t="n">
        <f aca="false">RANK($BF183,'Your Accounts'!$BF$6:$BF$185)</f>
        <v>98</v>
      </c>
      <c r="BH183" s="15" t="n">
        <f aca="false">SUMIF('Your Accounts'!$BG$6:$BG$185,"&lt;="&amp;$BG183,'Your Accounts'!$BF$6:$BF$185)</f>
        <v>11345924.68</v>
      </c>
      <c r="BI183" s="15" t="n">
        <f aca="false">ROUND($D183*Sensitivity!$C$39+Sensitivity!$D$39,2)</f>
        <v>25470</v>
      </c>
      <c r="BJ183" s="15" t="n">
        <f aca="false">ROUND($K183-$BM183,2)</f>
        <v>17419.44</v>
      </c>
      <c r="BK183" s="26" t="n">
        <f aca="false">RANK($BJ183,'Your Accounts'!$BJ$6:$BJ$185)</f>
        <v>101</v>
      </c>
      <c r="BL183" s="15" t="n">
        <f aca="false">SUMIF('Your Accounts'!$BK$6:$BK$185,"&lt;="&amp;$BK183,'Your Accounts'!$BJ$6:$BJ$185)</f>
        <v>10919582.17</v>
      </c>
      <c r="BM183" s="15" t="n">
        <f aca="false">ROUND($D183*Sensitivity!$C$40+Sensitivity!$D$40,2)</f>
        <v>31837.5</v>
      </c>
      <c r="BN183" s="15" t="n">
        <f aca="false">ROUND($K183-$BQ183,2)</f>
        <v>11051.94</v>
      </c>
      <c r="BO183" s="26" t="n">
        <f aca="false">RANK($BN183,'Your Accounts'!$BN$6:$BN$185)</f>
        <v>102</v>
      </c>
      <c r="BP183" s="15" t="n">
        <f aca="false">SUMIF('Your Accounts'!$BO$6:$BO$185,"&lt;="&amp;$BO183,'Your Accounts'!$BN$6:$BN$185)</f>
        <v>10438657.84</v>
      </c>
      <c r="BQ183" s="15" t="n">
        <f aca="false">ROUND($D183*Sensitivity!$C$41+Sensitivity!$D$41,2)</f>
        <v>38205</v>
      </c>
    </row>
    <row r="184" customFormat="false" ht="15" hidden="false" customHeight="false" outlineLevel="0" collapsed="false">
      <c r="B184" s="18" t="s">
        <v>296</v>
      </c>
      <c r="C184" s="18" t="s">
        <v>218</v>
      </c>
      <c r="D184" s="24" t="n">
        <v>8</v>
      </c>
      <c r="E184" s="26" t="n">
        <f aca="false">SUMIF('Your Lines'!$B$6:$B$463,$B184,'Your Lines'!$E$6:$E$463)</f>
        <v>413</v>
      </c>
      <c r="F184" s="15" t="n">
        <f aca="false">ROUND(SUMIF('Your Lines'!$B$6:$B$463,$B184,'Your Lines'!$J$6:$J$463),2)</f>
        <v>28632</v>
      </c>
      <c r="G184" s="15" t="n">
        <f aca="false">ROUND(SUMIF('Your Lines'!$B$6:$B$463,$B184,'Your Lines'!$G$6:$G$463),2)</f>
        <v>26080.09</v>
      </c>
      <c r="H184" s="25" t="n">
        <f aca="false">$G184/$F184</f>
        <v>0.910872101145571</v>
      </c>
      <c r="I184" s="15" t="n">
        <f aca="false">ROUND(SUMIF('Your Lines'!$B$6:$B$463,$B184,'Your Lines'!$K$6:$K$463),2)</f>
        <v>16826</v>
      </c>
      <c r="J184" s="15" t="n">
        <f aca="false">ROUND(SUMIF('Your Lines'!$B$6:$B$463,$B184,'Your Lines'!$L$6:$L$463),2)</f>
        <v>526.87</v>
      </c>
      <c r="K184" s="15" t="n">
        <f aca="false">ROUND($G184-$I184-$J184,2)</f>
        <v>8727.22</v>
      </c>
      <c r="L184" s="15" t="n">
        <f aca="false">ROUND($D184*'Your Inputs'!$C$40+'Your Inputs'!$C$41,2)</f>
        <v>7660</v>
      </c>
      <c r="M184" s="15" t="n">
        <f aca="false">ROUND($K184-$L184,2)</f>
        <v>1067.22</v>
      </c>
      <c r="N184" s="26" t="n">
        <f aca="false">RANK($M184,'Your Accounts'!$M$6:$M$185)</f>
        <v>169</v>
      </c>
      <c r="O184" s="15" t="n">
        <f aca="false">SUMIF('Your Accounts'!$N$6:$N$185,"&lt;="&amp;$N184,'Your Accounts'!$M$6:$M$185)</f>
        <v>13508277.24</v>
      </c>
      <c r="P184" s="15"/>
      <c r="Q184" s="26" t="n">
        <f aca="false">COUNTIFS('Your Lines'!$B$6:$B$463,$B184,'Your Lines'!$R$6:$R$463,"below the floor")</f>
        <v>1</v>
      </c>
      <c r="R184" s="15" t="n">
        <f aca="false">IF(Q184&gt;0,$K184,0)</f>
        <v>8727.22</v>
      </c>
      <c r="AN184" s="15" t="n">
        <f aca="false">IF(VLOOKUP($C184,'Your Floors'!$B$53:$F$56,5,FALSE())="yes",0,$R184)</f>
        <v>8727.22</v>
      </c>
      <c r="AP184" s="15" t="n">
        <f aca="false">ROUND($K184-$AS184,2)</f>
        <v>4897.22</v>
      </c>
      <c r="AQ184" s="26" t="n">
        <f aca="false">RANK($AP184,'Your Accounts'!$AP$6:$AP$185)</f>
        <v>169</v>
      </c>
      <c r="AR184" s="15" t="n">
        <f aca="false">SUMIF('Your Accounts'!$AQ$6:$AQ$185,"&lt;="&amp;$AQ184,'Your Accounts'!$AP$6:$AP$185)</f>
        <v>14296197.24</v>
      </c>
      <c r="AS184" s="15" t="n">
        <f aca="false">ROUND($D184*Sensitivity!$C$35+Sensitivity!$D$35,2)</f>
        <v>3830</v>
      </c>
      <c r="AT184" s="15" t="n">
        <f aca="false">ROUND($K184-$AW184,2)</f>
        <v>1067.22</v>
      </c>
      <c r="AU184" s="26" t="n">
        <f aca="false">RANK($AT184,'Your Accounts'!$AT$6:$AT$185)</f>
        <v>169</v>
      </c>
      <c r="AV184" s="15" t="n">
        <f aca="false">SUMIF('Your Accounts'!$AU$6:$AU$185,"&lt;="&amp;$AU184,'Your Accounts'!$AT$6:$AT$185)</f>
        <v>13508277.24</v>
      </c>
      <c r="AW184" s="15" t="n">
        <f aca="false">ROUND($D184*Sensitivity!$C$36+Sensitivity!$D$36,2)</f>
        <v>7660</v>
      </c>
      <c r="AX184" s="15" t="n">
        <f aca="false">ROUND($K184-$BA184,2)</f>
        <v>-847.78</v>
      </c>
      <c r="AY184" s="26" t="n">
        <f aca="false">RANK($AX184,'Your Accounts'!$AX$6:$AX$185)</f>
        <v>169</v>
      </c>
      <c r="AZ184" s="15" t="n">
        <f aca="false">SUMIF('Your Accounts'!$AY$6:$AY$185,"&lt;="&amp;$AY184,'Your Accounts'!$AX$6:$AX$185)</f>
        <v>13114317.24</v>
      </c>
      <c r="BA184" s="15" t="n">
        <f aca="false">ROUND($D184*Sensitivity!$C$37+Sensitivity!$D$37,2)</f>
        <v>9575</v>
      </c>
      <c r="BB184" s="15" t="n">
        <f aca="false">ROUND($K184-$BE184,2)</f>
        <v>-2762.78</v>
      </c>
      <c r="BC184" s="26" t="n">
        <f aca="false">RANK($BB184,'Your Accounts'!$BB$6:$BB$185)</f>
        <v>169</v>
      </c>
      <c r="BD184" s="15" t="n">
        <f aca="false">SUMIF('Your Accounts'!$BC$6:$BC$185,"&lt;="&amp;$BC184,'Your Accounts'!$BB$6:$BB$185)</f>
        <v>12720357.24</v>
      </c>
      <c r="BE184" s="15" t="n">
        <f aca="false">ROUND($D184*Sensitivity!$C$38+Sensitivity!$D$38,2)</f>
        <v>11490</v>
      </c>
      <c r="BF184" s="15" t="n">
        <f aca="false">ROUND($K184-$BI184,2)</f>
        <v>-6592.78</v>
      </c>
      <c r="BG184" s="26" t="n">
        <f aca="false">RANK($BF184,'Your Accounts'!$BF$6:$BF$185)</f>
        <v>169</v>
      </c>
      <c r="BH184" s="15" t="n">
        <f aca="false">SUMIF('Your Accounts'!$BG$6:$BG$185,"&lt;="&amp;$BG184,'Your Accounts'!$BF$6:$BF$185)</f>
        <v>11932437.24</v>
      </c>
      <c r="BI184" s="15" t="n">
        <f aca="false">ROUND($D184*Sensitivity!$C$39+Sensitivity!$D$39,2)</f>
        <v>15320</v>
      </c>
      <c r="BJ184" s="15" t="n">
        <f aca="false">ROUND($K184-$BM184,2)</f>
        <v>-10422.78</v>
      </c>
      <c r="BK184" s="26" t="n">
        <f aca="false">RANK($BJ184,'Your Accounts'!$BJ$6:$BJ$185)</f>
        <v>169</v>
      </c>
      <c r="BL184" s="15" t="n">
        <f aca="false">SUMIF('Your Accounts'!$BK$6:$BK$185,"&lt;="&amp;$BK184,'Your Accounts'!$BJ$6:$BJ$185)</f>
        <v>11144517.24</v>
      </c>
      <c r="BM184" s="15" t="n">
        <f aca="false">ROUND($D184*Sensitivity!$C$40+Sensitivity!$D$40,2)</f>
        <v>19150</v>
      </c>
      <c r="BN184" s="15" t="n">
        <f aca="false">ROUND($K184-$BQ184,2)</f>
        <v>-14252.78</v>
      </c>
      <c r="BO184" s="26" t="n">
        <f aca="false">RANK($BN184,'Your Accounts'!$BN$6:$BN$185)</f>
        <v>171</v>
      </c>
      <c r="BP184" s="15" t="n">
        <f aca="false">SUMIF('Your Accounts'!$BO$6:$BO$185,"&lt;="&amp;$BO184,'Your Accounts'!$BN$6:$BN$185)</f>
        <v>10328310.02</v>
      </c>
      <c r="BQ184" s="15" t="n">
        <f aca="false">ROUND($D184*Sensitivity!$C$41+Sensitivity!$D$41,2)</f>
        <v>22980</v>
      </c>
    </row>
    <row r="185" customFormat="false" ht="15" hidden="false" customHeight="false" outlineLevel="0" collapsed="false">
      <c r="B185" s="18" t="s">
        <v>297</v>
      </c>
      <c r="C185" s="18" t="s">
        <v>218</v>
      </c>
      <c r="D185" s="24" t="n">
        <v>17</v>
      </c>
      <c r="E185" s="26" t="n">
        <f aca="false">SUMIF('Your Lines'!$B$6:$B$463,$B185,'Your Lines'!$E$6:$E$463)</f>
        <v>1286</v>
      </c>
      <c r="F185" s="15" t="n">
        <f aca="false">ROUND(SUMIF('Your Lines'!$B$6:$B$463,$B185,'Your Lines'!$J$6:$J$463),2)</f>
        <v>141656</v>
      </c>
      <c r="G185" s="15" t="n">
        <f aca="false">ROUND(SUMIF('Your Lines'!$B$6:$B$463,$B185,'Your Lines'!$G$6:$G$463),2)</f>
        <v>130988.98</v>
      </c>
      <c r="H185" s="25" t="n">
        <f aca="false">$G185/$F185</f>
        <v>0.924697718416445</v>
      </c>
      <c r="I185" s="15" t="n">
        <f aca="false">ROUND(SUMIF('Your Lines'!$B$6:$B$463,$B185,'Your Lines'!$K$6:$K$463),2)</f>
        <v>81588</v>
      </c>
      <c r="J185" s="15" t="n">
        <f aca="false">ROUND(SUMIF('Your Lines'!$B$6:$B$463,$B185,'Your Lines'!$L$6:$L$463),2)</f>
        <v>2646.24</v>
      </c>
      <c r="K185" s="15" t="n">
        <f aca="false">ROUND($G185-$I185-$J185,2)</f>
        <v>46754.74</v>
      </c>
      <c r="L185" s="15" t="n">
        <f aca="false">ROUND($D185*'Your Inputs'!$C$40+'Your Inputs'!$C$41,2)</f>
        <v>8965</v>
      </c>
      <c r="M185" s="15" t="n">
        <f aca="false">ROUND($K185-$L185,2)</f>
        <v>37789.74</v>
      </c>
      <c r="N185" s="26" t="n">
        <f aca="false">RANK($M185,'Your Accounts'!$M$6:$M$185)</f>
        <v>89</v>
      </c>
      <c r="O185" s="15" t="n">
        <f aca="false">SUMIF('Your Accounts'!$N$6:$N$185,"&lt;="&amp;$N185,'Your Accounts'!$M$6:$M$185)</f>
        <v>11988789.67</v>
      </c>
      <c r="P185" s="15"/>
      <c r="Q185" s="26" t="n">
        <f aca="false">COUNTIFS('Your Lines'!$B$6:$B$463,$B185,'Your Lines'!$R$6:$R$463,"below the floor")</f>
        <v>2</v>
      </c>
      <c r="R185" s="15" t="n">
        <f aca="false">IF(Q185&gt;0,$K185,0)</f>
        <v>46754.74</v>
      </c>
      <c r="AN185" s="15" t="n">
        <f aca="false">IF(VLOOKUP($C185,'Your Floors'!$B$53:$F$56,5,FALSE())="yes",0,$R185)</f>
        <v>46754.74</v>
      </c>
      <c r="AP185" s="15" t="n">
        <f aca="false">ROUND($K185-$AS185,2)</f>
        <v>42272.24</v>
      </c>
      <c r="AQ185" s="26" t="n">
        <f aca="false">RANK($AP185,'Your Accounts'!$AP$6:$AP$185)</f>
        <v>90</v>
      </c>
      <c r="AR185" s="15" t="n">
        <f aca="false">SUMIF('Your Accounts'!$AQ$6:$AQ$185,"&lt;="&amp;$AQ185,'Your Accounts'!$AP$6:$AP$185)</f>
        <v>12472961.61</v>
      </c>
      <c r="AS185" s="15" t="n">
        <f aca="false">ROUND($D185*Sensitivity!$C$35+Sensitivity!$D$35,2)</f>
        <v>4482.5</v>
      </c>
      <c r="AT185" s="15" t="n">
        <f aca="false">ROUND($K185-$AW185,2)</f>
        <v>37789.74</v>
      </c>
      <c r="AU185" s="26" t="n">
        <f aca="false">RANK($AT185,'Your Accounts'!$AT$6:$AT$185)</f>
        <v>89</v>
      </c>
      <c r="AV185" s="15" t="n">
        <f aca="false">SUMIF('Your Accounts'!$AU$6:$AU$185,"&lt;="&amp;$AU185,'Your Accounts'!$AT$6:$AT$185)</f>
        <v>11988789.67</v>
      </c>
      <c r="AW185" s="15" t="n">
        <f aca="false">ROUND($D185*Sensitivity!$C$36+Sensitivity!$D$36,2)</f>
        <v>8965</v>
      </c>
      <c r="AX185" s="15" t="n">
        <f aca="false">ROUND($K185-$BA185,2)</f>
        <v>35548.49</v>
      </c>
      <c r="AY185" s="26" t="n">
        <f aca="false">RANK($AX185,'Your Accounts'!$AX$6:$AX$185)</f>
        <v>89</v>
      </c>
      <c r="AZ185" s="15" t="n">
        <f aca="false">SUMIF('Your Accounts'!$AY$6:$AY$185,"&lt;="&amp;$AY185,'Your Accounts'!$AX$6:$AX$185)</f>
        <v>11768148.42</v>
      </c>
      <c r="BA185" s="15" t="n">
        <f aca="false">ROUND($D185*Sensitivity!$C$37+Sensitivity!$D$37,2)</f>
        <v>11206.25</v>
      </c>
      <c r="BB185" s="15" t="n">
        <f aca="false">ROUND($K185-$BE185,2)</f>
        <v>33307.24</v>
      </c>
      <c r="BC185" s="26" t="n">
        <f aca="false">RANK($BB185,'Your Accounts'!$BB$6:$BB$185)</f>
        <v>89</v>
      </c>
      <c r="BD185" s="15" t="n">
        <f aca="false">SUMIF('Your Accounts'!$BC$6:$BC$185,"&lt;="&amp;$BC185,'Your Accounts'!$BB$6:$BB$185)</f>
        <v>11548290.02</v>
      </c>
      <c r="BE185" s="15" t="n">
        <f aca="false">ROUND($D185*Sensitivity!$C$38+Sensitivity!$D$38,2)</f>
        <v>13447.5</v>
      </c>
      <c r="BF185" s="15" t="n">
        <f aca="false">ROUND($K185-$BI185,2)</f>
        <v>28824.74</v>
      </c>
      <c r="BG185" s="26" t="n">
        <f aca="false">RANK($BF185,'Your Accounts'!$BF$6:$BF$185)</f>
        <v>88</v>
      </c>
      <c r="BH185" s="15" t="n">
        <f aca="false">SUMIF('Your Accounts'!$BG$6:$BG$185,"&lt;="&amp;$BG185,'Your Accounts'!$BF$6:$BF$185)</f>
        <v>11080684.56</v>
      </c>
      <c r="BI185" s="15" t="n">
        <f aca="false">ROUND($D185*Sensitivity!$C$39+Sensitivity!$D$39,2)</f>
        <v>17930</v>
      </c>
      <c r="BJ185" s="15" t="n">
        <f aca="false">ROUND($K185-$BM185,2)</f>
        <v>24342.24</v>
      </c>
      <c r="BK185" s="26" t="n">
        <f aca="false">RANK($BJ185,'Your Accounts'!$BJ$6:$BJ$185)</f>
        <v>89</v>
      </c>
      <c r="BL185" s="15" t="n">
        <f aca="false">SUMIF('Your Accounts'!$BK$6:$BK$185,"&lt;="&amp;$BK185,'Your Accounts'!$BJ$6:$BJ$185)</f>
        <v>10671469.45</v>
      </c>
      <c r="BM185" s="15" t="n">
        <f aca="false">ROUND($D185*Sensitivity!$C$40+Sensitivity!$D$40,2)</f>
        <v>22412.5</v>
      </c>
      <c r="BN185" s="15" t="n">
        <f aca="false">ROUND($K185-$BQ185,2)</f>
        <v>19859.74</v>
      </c>
      <c r="BO185" s="26" t="n">
        <f aca="false">RANK($BN185,'Your Accounts'!$BN$6:$BN$185)</f>
        <v>88</v>
      </c>
      <c r="BP185" s="15" t="n">
        <f aca="false">SUMIF('Your Accounts'!$BO$6:$BO$185,"&lt;="&amp;$BO185,'Your Accounts'!$BN$6:$BN$185)</f>
        <v>10214097.4</v>
      </c>
      <c r="BQ185" s="15" t="n">
        <f aca="false">ROUND($D185*Sensitivity!$C$41+Sensitivity!$D$41,2)</f>
        <v>26895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G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48"/>
    <col collapsed="false" customWidth="true" hidden="false" outlineLevel="0" max="4" min="3" style="0" width="22"/>
    <col collapsed="false" customWidth="true" hidden="false" outlineLevel="0" max="6" min="5" style="0" width="18"/>
    <col collapsed="false" customWidth="true" hidden="false" outlineLevel="0" max="7" min="7" style="0" width="46"/>
  </cols>
  <sheetData>
    <row r="2" customFormat="false" ht="16.15" hidden="false" customHeight="false" outlineLevel="0" collapsed="false">
      <c r="B2" s="11" t="s">
        <v>318</v>
      </c>
    </row>
    <row r="3" customFormat="false" ht="15" hidden="false" customHeight="false" outlineLevel="0" collapsed="false">
      <c r="B3" s="2" t="s">
        <v>319</v>
      </c>
    </row>
    <row r="5" customFormat="false" ht="30" hidden="false" customHeight="true" outlineLevel="0" collapsed="false">
      <c r="B5" s="12" t="s">
        <v>320</v>
      </c>
      <c r="C5" s="12" t="s">
        <v>321</v>
      </c>
      <c r="D5" s="12" t="s">
        <v>322</v>
      </c>
      <c r="E5" s="12" t="s">
        <v>323</v>
      </c>
      <c r="F5" s="12" t="s">
        <v>324</v>
      </c>
      <c r="G5" s="12" t="s">
        <v>61</v>
      </c>
    </row>
    <row r="6" customFormat="false" ht="15" hidden="false" customHeight="false" outlineLevel="0" collapsed="false">
      <c r="B6" s="18" t="s">
        <v>101</v>
      </c>
      <c r="C6" s="15" t="n">
        <f aca="false">ROUND(SUM('Your Lines'!$J$6:$J$463),2)</f>
        <v>69880000</v>
      </c>
      <c r="D6" s="15" t="n">
        <f aca="false">ROUND(SUM('Your Lines'!$J$6:$J$463),2)</f>
        <v>69880000</v>
      </c>
      <c r="E6" s="15" t="n">
        <f aca="false">ROUND(C6-D6,2)</f>
        <v>0</v>
      </c>
      <c r="F6" s="25" t="n">
        <f aca="false">ABS(D6)/$D$6</f>
        <v>1</v>
      </c>
      <c r="G6" s="17"/>
    </row>
    <row r="7" customFormat="false" ht="15" hidden="false" customHeight="false" outlineLevel="0" collapsed="false">
      <c r="B7" s="18" t="s">
        <v>62</v>
      </c>
      <c r="C7" s="15" t="n">
        <f aca="false">-ROUND($C$6*'Your Inputs'!$C$15,2)</f>
        <v>-3157170.36</v>
      </c>
      <c r="D7" s="15" t="n">
        <f aca="false">-ROUND($D$6*'Your Inputs'!$C$15,2)</f>
        <v>-3157170.36</v>
      </c>
      <c r="E7" s="15" t="n">
        <f aca="false">ROUND(C7-D7,2)</f>
        <v>0</v>
      </c>
      <c r="F7" s="25" t="n">
        <f aca="false">ABS(D7)/$D$6</f>
        <v>0.0451798849456211</v>
      </c>
      <c r="G7" s="17" t="s">
        <v>63</v>
      </c>
    </row>
    <row r="8" customFormat="false" ht="15" hidden="false" customHeight="false" outlineLevel="0" collapsed="false">
      <c r="B8" s="18" t="s">
        <v>65</v>
      </c>
      <c r="C8" s="15" t="n">
        <f aca="false">-ROUND($C$6*'Your Inputs'!$C$16,2)</f>
        <v>-6469304.71</v>
      </c>
      <c r="D8" s="15" t="n">
        <f aca="false">-ROUND($D$6*'Your Inputs'!$C$16,2)</f>
        <v>-6469304.71</v>
      </c>
      <c r="E8" s="15" t="n">
        <f aca="false">ROUND(C8-D8,2)</f>
        <v>0</v>
      </c>
      <c r="F8" s="25" t="n">
        <f aca="false">ABS(D8)/$D$6</f>
        <v>0.092577342730395</v>
      </c>
      <c r="G8" s="17" t="s">
        <v>63</v>
      </c>
    </row>
    <row r="9" customFormat="false" ht="15" hidden="false" customHeight="false" outlineLevel="0" collapsed="false">
      <c r="B9" s="27" t="s">
        <v>99</v>
      </c>
      <c r="C9" s="22" t="n">
        <f aca="false">ROUND($C$6+C7+C8,2)</f>
        <v>60253524.93</v>
      </c>
      <c r="D9" s="22" t="n">
        <f aca="false">ROUND(SUM('Your Lines'!$F$6:$F$463),2)</f>
        <v>60253524.93</v>
      </c>
      <c r="E9" s="28" t="n">
        <f aca="false">ROUND(C9-D9,2)</f>
        <v>0</v>
      </c>
      <c r="F9" s="29" t="n">
        <f aca="false">ABS(D9)/$D$6</f>
        <v>0.862242772323984</v>
      </c>
      <c r="G9" s="17" t="s">
        <v>325</v>
      </c>
    </row>
    <row r="10" customFormat="false" ht="15" hidden="false" customHeight="false" outlineLevel="0" collapsed="false">
      <c r="B10" s="18" t="s">
        <v>66</v>
      </c>
      <c r="C10" s="15" t="n">
        <f aca="false">-ROUND($C$9*'Your Inputs'!$C$17,2)</f>
        <v>-1604149.89</v>
      </c>
      <c r="D10" s="15" t="n">
        <f aca="false">-ROUND($D$9*'Your Inputs'!$C$17,2)</f>
        <v>-1604149.89</v>
      </c>
      <c r="E10" s="15" t="n">
        <f aca="false">ROUND(C10-D10,2)</f>
        <v>0</v>
      </c>
      <c r="F10" s="25" t="n">
        <f aca="false">ABS(D10)/$D$6</f>
        <v>0.022955779765312</v>
      </c>
      <c r="G10" s="17" t="s">
        <v>326</v>
      </c>
    </row>
    <row r="11" customFormat="false" ht="15" hidden="false" customHeight="false" outlineLevel="0" collapsed="false">
      <c r="B11" s="18" t="s">
        <v>68</v>
      </c>
      <c r="C11" s="15" t="n">
        <f aca="false">-ROUND($C$9*'Your Inputs'!$C$18,2)</f>
        <v>-406079.9</v>
      </c>
      <c r="D11" s="15" t="n">
        <f aca="false">-ROUND($D$9*'Your Inputs'!$C$18,2)</f>
        <v>-406079.9</v>
      </c>
      <c r="E11" s="15" t="n">
        <f aca="false">ROUND(C11-D11,2)</f>
        <v>0</v>
      </c>
      <c r="F11" s="25" t="n">
        <f aca="false">ABS(D11)/$D$6</f>
        <v>0.0058111033199771</v>
      </c>
      <c r="G11" s="17" t="s">
        <v>326</v>
      </c>
    </row>
    <row r="12" customFormat="false" ht="15" hidden="false" customHeight="false" outlineLevel="0" collapsed="false">
      <c r="B12" s="18" t="s">
        <v>69</v>
      </c>
      <c r="C12" s="15" t="n">
        <f aca="false">-ROUND($C$9*'Your Inputs'!$C$19,2)</f>
        <v>-995978.76</v>
      </c>
      <c r="D12" s="15" t="n">
        <f aca="false">-ROUND($D$9*'Your Inputs'!$C$19,2)</f>
        <v>-995978.76</v>
      </c>
      <c r="E12" s="15" t="n">
        <f aca="false">ROUND(C12-D12,2)</f>
        <v>0</v>
      </c>
      <c r="F12" s="25" t="n">
        <f aca="false">ABS(D12)/$D$6</f>
        <v>0.0142527012020607</v>
      </c>
      <c r="G12" s="17" t="s">
        <v>326</v>
      </c>
    </row>
    <row r="13" customFormat="false" ht="15" hidden="false" customHeight="false" outlineLevel="0" collapsed="false">
      <c r="B13" s="18" t="s">
        <v>70</v>
      </c>
      <c r="C13" s="15" t="n">
        <f aca="false">-ROUND($C$9*'Your Inputs'!$C$20,2)</f>
        <v>-396764.49</v>
      </c>
      <c r="D13" s="15" t="n">
        <f aca="false">-ROUND($D$9*'Your Inputs'!$C$20,2)</f>
        <v>-396764.49</v>
      </c>
      <c r="E13" s="15" t="n">
        <f aca="false">ROUND(C13-D13,2)</f>
        <v>0</v>
      </c>
      <c r="F13" s="25" t="n">
        <f aca="false">ABS(D13)/$D$6</f>
        <v>0.00567779751001717</v>
      </c>
      <c r="G13" s="17" t="s">
        <v>326</v>
      </c>
    </row>
    <row r="14" customFormat="false" ht="15" hidden="false" customHeight="false" outlineLevel="0" collapsed="false">
      <c r="B14" s="18" t="s">
        <v>71</v>
      </c>
      <c r="C14" s="15" t="n">
        <f aca="false">-ROUND($C$9*'Your Inputs'!$C$21,2)</f>
        <v>-176231.2</v>
      </c>
      <c r="D14" s="15" t="n">
        <f aca="false">-ROUND($D$9*'Your Inputs'!$C$21,2)</f>
        <v>-176231.2</v>
      </c>
      <c r="E14" s="15" t="n">
        <f aca="false">ROUND(C14-D14,2)</f>
        <v>0</v>
      </c>
      <c r="F14" s="25" t="n">
        <f aca="false">ABS(D14)/$D$6</f>
        <v>0.0025219118488838</v>
      </c>
      <c r="G14" s="17" t="s">
        <v>326</v>
      </c>
    </row>
    <row r="15" customFormat="false" ht="15" hidden="false" customHeight="false" outlineLevel="0" collapsed="false">
      <c r="B15" s="18" t="s">
        <v>72</v>
      </c>
      <c r="C15" s="15" t="n">
        <f aca="false">-ROUND($C$9*'Your Inputs'!$C$22,2)</f>
        <v>-398570.84</v>
      </c>
      <c r="D15" s="15" t="n">
        <f aca="false">-ROUND($D$9*'Your Inputs'!$C$22,2)</f>
        <v>-398570.84</v>
      </c>
      <c r="E15" s="15" t="n">
        <f aca="false">ROUND(C15-D15,2)</f>
        <v>0</v>
      </c>
      <c r="F15" s="25" t="n">
        <f aca="false">ABS(D15)/$D$6</f>
        <v>0.00570364682312536</v>
      </c>
      <c r="G15" s="17" t="s">
        <v>326</v>
      </c>
    </row>
    <row r="16" customFormat="false" ht="15" hidden="false" customHeight="false" outlineLevel="0" collapsed="false">
      <c r="B16" s="18" t="s">
        <v>73</v>
      </c>
      <c r="C16" s="15" t="n">
        <f aca="false">-ROUND($C$9*'Your Inputs'!$C$23,2)</f>
        <v>-151316.72</v>
      </c>
      <c r="D16" s="15" t="n">
        <f aca="false">-ROUND($D$9*'Your Inputs'!$C$23,2)</f>
        <v>-151316.72</v>
      </c>
      <c r="E16" s="15" t="n">
        <f aca="false">ROUND(C16-D16,2)</f>
        <v>0</v>
      </c>
      <c r="F16" s="25" t="n">
        <f aca="false">ABS(D16)/$D$6</f>
        <v>0.00216537950772753</v>
      </c>
      <c r="G16" s="17" t="s">
        <v>326</v>
      </c>
    </row>
    <row r="17" customFormat="false" ht="15" hidden="false" customHeight="false" outlineLevel="0" collapsed="false">
      <c r="B17" s="27" t="s">
        <v>100</v>
      </c>
      <c r="C17" s="22" t="n">
        <f aca="false">ROUND($C$9+SUM(C10:C16),2)</f>
        <v>56124433.13</v>
      </c>
      <c r="D17" s="22" t="n">
        <f aca="false">ROUND(SUM('Your Lines'!$G$6:$G$463),2)</f>
        <v>56124433.13</v>
      </c>
      <c r="E17" s="28" t="n">
        <f aca="false">ROUND(C17-D17,2)</f>
        <v>0</v>
      </c>
      <c r="F17" s="29" t="n">
        <f aca="false">ABS(D17)/$D$6</f>
        <v>0.80315445234688</v>
      </c>
      <c r="G17" s="17" t="s">
        <v>327</v>
      </c>
    </row>
    <row r="18" customFormat="false" ht="15" hidden="false" customHeight="false" outlineLevel="0" collapsed="false">
      <c r="B18" s="18" t="s">
        <v>328</v>
      </c>
      <c r="C18" s="15" t="n">
        <f aca="false">-ROUND(SUM('Your Lines'!$K$6:$K$463),2)</f>
        <v>-39780000</v>
      </c>
      <c r="D18" s="15" t="n">
        <f aca="false">-ROUND(SUM('Your Lines'!$K$6:$K$463),2)</f>
        <v>-39780000</v>
      </c>
      <c r="E18" s="15" t="n">
        <f aca="false">ROUND(C18-D18,2)</f>
        <v>0</v>
      </c>
      <c r="F18" s="25" t="n">
        <f aca="false">ABS(D18)/$D$6</f>
        <v>0.56926159129937</v>
      </c>
      <c r="G18" s="17"/>
    </row>
    <row r="19" customFormat="false" ht="15" hidden="false" customHeight="false" outlineLevel="0" collapsed="false">
      <c r="B19" s="18" t="s">
        <v>329</v>
      </c>
      <c r="C19" s="15" t="n">
        <f aca="false">-ROUND($C$9*'Your Inputs'!$C$31,2)</f>
        <v>-1205070.5</v>
      </c>
      <c r="D19" s="15" t="n">
        <f aca="false">-ROUND(SUM('Your Lines'!$L$6:$L$463),2)</f>
        <v>-1205070.54</v>
      </c>
      <c r="E19" s="15" t="n">
        <f aca="false">ROUND(C19-D19,2)</f>
        <v>0.04</v>
      </c>
      <c r="F19" s="25" t="n">
        <f aca="false">ABS(D19)/$D$6</f>
        <v>0.0172448560389239</v>
      </c>
      <c r="G19" s="17" t="s">
        <v>330</v>
      </c>
    </row>
    <row r="20" customFormat="false" ht="15" hidden="false" customHeight="false" outlineLevel="0" collapsed="false">
      <c r="B20" s="27" t="s">
        <v>104</v>
      </c>
      <c r="C20" s="22" t="n">
        <f aca="false">ROUND(C17+C18+C19,2)</f>
        <v>15139362.63</v>
      </c>
      <c r="D20" s="22" t="n">
        <f aca="false">ROUND(D17+D18+D19,2)</f>
        <v>15139362.59</v>
      </c>
      <c r="E20" s="28" t="n">
        <f aca="false">ROUND(C20-D20,2)</f>
        <v>0.04</v>
      </c>
      <c r="F20" s="29" t="n">
        <f aca="false">ABS(D20)/$D$6</f>
        <v>0.216648005008586</v>
      </c>
      <c r="G20" s="17"/>
    </row>
    <row r="21" customFormat="false" ht="15" hidden="false" customHeight="false" outlineLevel="0" collapsed="false">
      <c r="B21" s="18" t="s">
        <v>331</v>
      </c>
      <c r="C21" s="15" t="n">
        <f aca="false">-'Your Inputs'!$C$36</f>
        <v>-9400000</v>
      </c>
      <c r="D21" s="15" t="n">
        <f aca="false">-'Your Inputs'!$C$36</f>
        <v>-9400000</v>
      </c>
      <c r="E21" s="15" t="n">
        <f aca="false">ROUND(C21-D21,2)</f>
        <v>0</v>
      </c>
      <c r="F21" s="25" t="n">
        <f aca="false">ABS(D21)/$D$6</f>
        <v>0.134516313680595</v>
      </c>
      <c r="G21" s="17"/>
    </row>
    <row r="22" customFormat="false" ht="15" hidden="false" customHeight="false" outlineLevel="0" collapsed="false">
      <c r="B22" s="27" t="s">
        <v>332</v>
      </c>
      <c r="C22" s="22" t="n">
        <f aca="false">ROUND(C20+C21,2)</f>
        <v>5739362.63</v>
      </c>
      <c r="D22" s="22" t="n">
        <f aca="false">ROUND(D20+D21,2)</f>
        <v>5739362.59</v>
      </c>
      <c r="E22" s="22" t="n">
        <f aca="false">ROUND(C22-D22,2)</f>
        <v>0.04</v>
      </c>
      <c r="F22" s="29" t="n">
        <f aca="false">ABS(D22)/$D$6</f>
        <v>0.0821316913279908</v>
      </c>
      <c r="G22" s="17"/>
    </row>
    <row r="25" customFormat="false" ht="15" hidden="false" customHeight="false" outlineLevel="0" collapsed="false">
      <c r="B25" s="6" t="s">
        <v>333</v>
      </c>
      <c r="C25" s="7"/>
      <c r="D25" s="7"/>
      <c r="E25" s="7"/>
      <c r="F25" s="7"/>
      <c r="G25" s="7"/>
    </row>
    <row r="26" customFormat="false" ht="15" hidden="false" customHeight="false" outlineLevel="0" collapsed="false">
      <c r="B26" s="4" t="s">
        <v>334</v>
      </c>
      <c r="C26" s="22" t="n">
        <f aca="false">IF('Your Inputs'!$C$51=1,D17,C17)</f>
        <v>56124433.13</v>
      </c>
    </row>
    <row r="27" customFormat="false" ht="15" hidden="false" customHeight="false" outlineLevel="0" collapsed="false">
      <c r="B27" s="4" t="s">
        <v>335</v>
      </c>
      <c r="C27" s="22" t="n">
        <f aca="false">IF('Your Inputs'!$C$51=1,D9,C9)</f>
        <v>60253524.93</v>
      </c>
    </row>
    <row r="28" customFormat="false" ht="15" hidden="false" customHeight="false" outlineLevel="0" collapsed="false">
      <c r="B28" s="4" t="s">
        <v>336</v>
      </c>
      <c r="C28" s="22" t="n">
        <f aca="false">IF('Your Inputs'!$C$51=1,D6,C6)</f>
        <v>69880000</v>
      </c>
    </row>
    <row r="29" customFormat="false" ht="15" hidden="false" customHeight="false" outlineLevel="0" collapsed="false">
      <c r="B29" s="4" t="s">
        <v>337</v>
      </c>
      <c r="C29" s="22" t="n">
        <f aca="false">IF('Your Inputs'!$C$51=1,-D18,-C18)</f>
        <v>39780000</v>
      </c>
    </row>
    <row r="30" customFormat="false" ht="15" hidden="false" customHeight="false" outlineLevel="0" collapsed="false">
      <c r="B30" s="4" t="s">
        <v>338</v>
      </c>
      <c r="C30" s="22" t="n">
        <f aca="false">IF('Your Inputs'!$C$51=1,-D19,-C19)</f>
        <v>1205070.54</v>
      </c>
    </row>
    <row r="31" customFormat="false" ht="15" hidden="false" customHeight="false" outlineLevel="0" collapsed="false">
      <c r="B31" s="4" t="s">
        <v>339</v>
      </c>
      <c r="C31" s="22" t="n">
        <f aca="false">IF('Your Inputs'!$C$51=1,D20,C20)</f>
        <v>15139362.59</v>
      </c>
    </row>
    <row r="32" customFormat="false" ht="15" hidden="false" customHeight="false" outlineLevel="0" collapsed="false">
      <c r="B32" s="4" t="s">
        <v>340</v>
      </c>
      <c r="C32" s="22" t="n">
        <f aca="false">IF('Your Inputs'!$C$51=1,D22,C22)</f>
        <v>5739362.59</v>
      </c>
    </row>
    <row r="33" customFormat="false" ht="15" hidden="false" customHeight="false" outlineLevel="0" collapsed="false">
      <c r="B33" s="4" t="s">
        <v>341</v>
      </c>
      <c r="C33" s="30" t="n">
        <f aca="false">$C$31/$C$26</f>
        <v>0.269746378639281</v>
      </c>
    </row>
    <row r="34" customFormat="false" ht="15" hidden="false" customHeight="false" outlineLevel="0" collapsed="false">
      <c r="B34" s="4" t="s">
        <v>342</v>
      </c>
      <c r="C34" s="31" t="n">
        <f aca="false">$C$26/$C$28</f>
        <v>0.80315445234688</v>
      </c>
    </row>
    <row r="35" customFormat="false" ht="15" hidden="false" customHeight="false" outlineLevel="0" collapsed="false">
      <c r="B35" s="4" t="s">
        <v>343</v>
      </c>
      <c r="C35" s="31" t="n">
        <f aca="false">1-$C$34</f>
        <v>0.19684554765312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F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56"/>
    <col collapsed="false" customWidth="true" hidden="false" outlineLevel="0" max="5" min="3" style="0" width="20"/>
    <col collapsed="false" customWidth="true" hidden="false" outlineLevel="0" max="6" min="6" style="0" width="46"/>
  </cols>
  <sheetData>
    <row r="2" customFormat="false" ht="16.15" hidden="false" customHeight="false" outlineLevel="0" collapsed="false">
      <c r="B2" s="11" t="s">
        <v>344</v>
      </c>
    </row>
    <row r="3" customFormat="false" ht="15" hidden="false" customHeight="false" outlineLevel="0" collapsed="false">
      <c r="B3" s="2" t="s">
        <v>345</v>
      </c>
    </row>
    <row r="5" customFormat="false" ht="15" hidden="false" customHeight="false" outlineLevel="0" collapsed="false">
      <c r="B5" s="3" t="s">
        <v>346</v>
      </c>
      <c r="C5" s="32" t="n">
        <f aca="false">'Your Margin'!$C$33</f>
        <v>0.269746378639281</v>
      </c>
    </row>
    <row r="6" customFormat="false" ht="15" hidden="false" customHeight="false" outlineLevel="0" collapsed="false">
      <c r="B6" s="3" t="s">
        <v>334</v>
      </c>
      <c r="C6" s="33" t="n">
        <f aca="false">'Your Margin'!$C$26</f>
        <v>56124433.13</v>
      </c>
    </row>
    <row r="7" customFormat="false" ht="15" hidden="false" customHeight="false" outlineLevel="0" collapsed="false">
      <c r="B7" s="3" t="s">
        <v>338</v>
      </c>
      <c r="C7" s="33" t="n">
        <f aca="false">'Your Margin'!$C$30</f>
        <v>1205070.54</v>
      </c>
    </row>
    <row r="8" customFormat="false" ht="15" hidden="false" customHeight="false" outlineLevel="0" collapsed="false">
      <c r="B8" s="3" t="s">
        <v>339</v>
      </c>
      <c r="C8" s="33" t="n">
        <f aca="false">'Your Margin'!$C$31</f>
        <v>15139362.59</v>
      </c>
    </row>
    <row r="9" customFormat="false" ht="15" hidden="false" customHeight="false" outlineLevel="0" collapsed="false">
      <c r="B9" s="3" t="s">
        <v>340</v>
      </c>
      <c r="C9" s="33" t="n">
        <f aca="false">'Your Margin'!$C$32</f>
        <v>5739362.59</v>
      </c>
    </row>
    <row r="12" customFormat="false" ht="15" hidden="false" customHeight="false" outlineLevel="0" collapsed="false">
      <c r="B12" s="6" t="s">
        <v>347</v>
      </c>
      <c r="C12" s="7"/>
      <c r="D12" s="7"/>
      <c r="E12" s="7"/>
      <c r="F12" s="7"/>
    </row>
    <row r="13" customFormat="false" ht="15" hidden="false" customHeight="false" outlineLevel="0" collapsed="false">
      <c r="B13" s="3" t="s">
        <v>348</v>
      </c>
      <c r="C13" s="20" t="n">
        <v>0.01</v>
      </c>
    </row>
    <row r="14" customFormat="false" ht="15" hidden="false" customHeight="false" outlineLevel="0" collapsed="false">
      <c r="B14" s="4" t="s">
        <v>349</v>
      </c>
      <c r="C14" s="22" t="n">
        <f aca="false">ROUND($C$13*$C$6-$C$13*$C$7,2)</f>
        <v>549193.63</v>
      </c>
    </row>
    <row r="15" customFormat="false" ht="15" hidden="false" customHeight="false" outlineLevel="0" collapsed="false">
      <c r="B15" s="4" t="s">
        <v>350</v>
      </c>
      <c r="C15" s="22" t="n">
        <f aca="false">ROUND($C$13*$C$8,2)</f>
        <v>151393.63</v>
      </c>
    </row>
    <row r="16" customFormat="false" ht="15" hidden="false" customHeight="false" outlineLevel="0" collapsed="false">
      <c r="B16" s="4" t="s">
        <v>351</v>
      </c>
      <c r="C16" s="34" t="n">
        <f aca="false">$C$14/$C$15</f>
        <v>3.62758743548193</v>
      </c>
    </row>
    <row r="17" customFormat="false" ht="15" hidden="false" customHeight="false" outlineLevel="0" collapsed="false">
      <c r="B17" s="4" t="s">
        <v>352</v>
      </c>
      <c r="C17" s="34" t="n">
        <f aca="false">1/$C$5</f>
        <v>3.7071860057749</v>
      </c>
    </row>
    <row r="18" customFormat="false" ht="15" hidden="false" customHeight="false" outlineLevel="0" collapsed="false">
      <c r="B18" s="4" t="s">
        <v>353</v>
      </c>
      <c r="C18" s="31" t="n">
        <f aca="false">$C$14/$C$9</f>
        <v>0.0956889587280806</v>
      </c>
    </row>
    <row r="21" customFormat="false" ht="15" hidden="false" customHeight="false" outlineLevel="0" collapsed="false">
      <c r="B21" s="6" t="s">
        <v>354</v>
      </c>
      <c r="C21" s="7"/>
      <c r="D21" s="7"/>
      <c r="E21" s="7"/>
      <c r="F21" s="7"/>
    </row>
    <row r="22" customFormat="false" ht="15" hidden="false" customHeight="false" outlineLevel="0" collapsed="false">
      <c r="B22" s="3" t="s">
        <v>355</v>
      </c>
      <c r="C22" s="35" t="n">
        <f aca="false">'Your Inputs'!$C$47</f>
        <v>0.05</v>
      </c>
    </row>
    <row r="23" customFormat="false" ht="15" hidden="false" customHeight="false" outlineLevel="0" collapsed="false">
      <c r="B23" s="4" t="s">
        <v>356</v>
      </c>
      <c r="C23" s="31" t="n">
        <f aca="false">IF($C$5&lt;=$C$22,"no volume is enough",$C$22/($C$5-$C$22))</f>
        <v>0.227535035205637</v>
      </c>
    </row>
    <row r="24" customFormat="false" ht="15" hidden="false" customHeight="false" outlineLevel="0" collapsed="false">
      <c r="B24" s="4" t="s">
        <v>357</v>
      </c>
      <c r="C24" s="31" t="n">
        <f aca="false">$C$22/($C$5+$C$22)</f>
        <v>0.156373936783212</v>
      </c>
    </row>
    <row r="27" customFormat="false" ht="15" hidden="false" customHeight="false" outlineLevel="0" collapsed="false">
      <c r="B27" s="6" t="s">
        <v>358</v>
      </c>
      <c r="C27" s="7"/>
      <c r="D27" s="7"/>
      <c r="E27" s="7"/>
      <c r="F27" s="7"/>
    </row>
    <row r="28" customFormat="false" ht="30" hidden="false" customHeight="true" outlineLevel="0" collapsed="false">
      <c r="B28" s="12" t="s">
        <v>359</v>
      </c>
      <c r="C28" s="12" t="s">
        <v>360</v>
      </c>
      <c r="D28" s="12" t="s">
        <v>361</v>
      </c>
      <c r="E28" s="12" t="s">
        <v>362</v>
      </c>
      <c r="F28" s="12"/>
    </row>
    <row r="29" customFormat="false" ht="15" hidden="false" customHeight="false" outlineLevel="0" collapsed="false">
      <c r="B29" s="23" t="n">
        <v>0.2</v>
      </c>
      <c r="C29" s="36" t="n">
        <f aca="false">$C$13/$B29</f>
        <v>0.05</v>
      </c>
      <c r="D29" s="25" t="n">
        <f aca="false">IF($B29&lt;=0.05,"no volume is enough",0.05/($B29-0.05))</f>
        <v>0.333333333333333</v>
      </c>
      <c r="E29" s="25" t="n">
        <f aca="false">0.05/($B29+0.05)</f>
        <v>0.2</v>
      </c>
    </row>
    <row r="30" customFormat="false" ht="15" hidden="false" customHeight="false" outlineLevel="0" collapsed="false">
      <c r="B30" s="23" t="n">
        <v>0.25</v>
      </c>
      <c r="C30" s="36" t="n">
        <f aca="false">$C$13/$B30</f>
        <v>0.04</v>
      </c>
      <c r="D30" s="25" t="n">
        <f aca="false">IF($B30&lt;=0.05,"no volume is enough",0.05/($B30-0.05))</f>
        <v>0.25</v>
      </c>
      <c r="E30" s="25" t="n">
        <f aca="false">0.05/($B30+0.05)</f>
        <v>0.166666666666667</v>
      </c>
    </row>
    <row r="31" customFormat="false" ht="15" hidden="false" customHeight="false" outlineLevel="0" collapsed="false">
      <c r="B31" s="23" t="n">
        <v>0.3</v>
      </c>
      <c r="C31" s="36" t="n">
        <f aca="false">$C$13/$B31</f>
        <v>0.0333333333333333</v>
      </c>
      <c r="D31" s="25" t="n">
        <f aca="false">IF($B31&lt;=0.05,"no volume is enough",0.05/($B31-0.05))</f>
        <v>0.2</v>
      </c>
      <c r="E31" s="25" t="n">
        <f aca="false">0.05/($B31+0.05)</f>
        <v>0.142857142857143</v>
      </c>
    </row>
    <row r="32" customFormat="false" ht="15" hidden="false" customHeight="false" outlineLevel="0" collapsed="false">
      <c r="B32" s="23" t="n">
        <v>0.35</v>
      </c>
      <c r="C32" s="36" t="n">
        <f aca="false">$C$13/$B32</f>
        <v>0.0285714285714286</v>
      </c>
      <c r="D32" s="25" t="n">
        <f aca="false">IF($B32&lt;=0.05,"no volume is enough",0.05/($B32-0.05))</f>
        <v>0.166666666666667</v>
      </c>
      <c r="E32" s="25" t="n">
        <f aca="false">0.05/($B32+0.05)</f>
        <v>0.125</v>
      </c>
    </row>
    <row r="33" customFormat="false" ht="15" hidden="false" customHeight="false" outlineLevel="0" collapsed="false">
      <c r="B33" s="23" t="n">
        <v>0.4</v>
      </c>
      <c r="C33" s="36" t="n">
        <f aca="false">$C$13/$B33</f>
        <v>0.025</v>
      </c>
      <c r="D33" s="25" t="n">
        <f aca="false">IF($B33&lt;=0.05,"no volume is enough",0.05/($B33-0.05))</f>
        <v>0.142857142857143</v>
      </c>
      <c r="E33" s="25" t="n">
        <f aca="false">0.05/($B33+0.05)</f>
        <v>0.111111111111111</v>
      </c>
    </row>
    <row r="34" customFormat="false" ht="15" hidden="false" customHeight="false" outlineLevel="0" collapsed="false">
      <c r="B34" s="23" t="n">
        <v>0.5</v>
      </c>
      <c r="C34" s="36" t="n">
        <f aca="false">$C$13/$B34</f>
        <v>0.02</v>
      </c>
      <c r="D34" s="25" t="n">
        <f aca="false">IF($B34&lt;=0.05,"no volume is enough",0.05/($B34-0.05))</f>
        <v>0.111111111111111</v>
      </c>
      <c r="E34" s="25" t="n">
        <f aca="false">0.05/($B34+0.05)</f>
        <v>0.0909090909090909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AV1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3" min="2" style="0" width="22"/>
    <col collapsed="false" customWidth="true" hidden="false" outlineLevel="0" max="4" min="4" style="0" width="30"/>
    <col collapsed="false" customWidth="true" hidden="false" outlineLevel="0" max="5" min="5" style="0" width="9"/>
    <col collapsed="false" customWidth="true" hidden="false" outlineLevel="0" max="7" min="6" style="0" width="13"/>
    <col collapsed="false" customWidth="true" hidden="false" outlineLevel="0" max="8" min="8" style="0" width="16"/>
    <col collapsed="false" customWidth="true" hidden="false" outlineLevel="0" max="9" min="9" style="0" width="18"/>
    <col collapsed="false" customWidth="true" hidden="false" outlineLevel="0" max="10" min="10" style="0" width="16"/>
    <col collapsed="false" customWidth="true" hidden="false" outlineLevel="0" max="12" min="11" style="0" width="11"/>
    <col collapsed="false" customWidth="true" hidden="false" outlineLevel="0" max="16" min="13" style="0" width="16"/>
    <col collapsed="false" customWidth="true" hidden="false" outlineLevel="0" max="34" min="32" style="0" width="20"/>
    <col collapsed="false" customWidth="true" hidden="false" outlineLevel="0" max="46" min="35" style="0" width="16"/>
    <col collapsed="false" customWidth="true" hidden="false" outlineLevel="0" max="48" min="48" style="0" width="14"/>
  </cols>
  <sheetData>
    <row r="2" customFormat="false" ht="16.15" hidden="false" customHeight="false" outlineLevel="0" collapsed="false">
      <c r="B2" s="11" t="s">
        <v>363</v>
      </c>
    </row>
    <row r="3" customFormat="false" ht="15" hidden="false" customHeight="false" outlineLevel="0" collapsed="false">
      <c r="B3" s="2" t="s">
        <v>364</v>
      </c>
    </row>
    <row r="6" customFormat="false" ht="15" hidden="false" customHeight="false" outlineLevel="0" collapsed="false">
      <c r="B6" s="6" t="s">
        <v>365</v>
      </c>
      <c r="C6" s="7"/>
      <c r="D6" s="7"/>
      <c r="E6" s="7"/>
      <c r="F6" s="7"/>
      <c r="G6" s="7"/>
      <c r="H6" s="7"/>
      <c r="I6" s="7"/>
      <c r="J6" s="7"/>
      <c r="K6" s="7"/>
      <c r="L6" s="7"/>
      <c r="M6" s="7"/>
      <c r="N6" s="7"/>
      <c r="O6" s="7"/>
      <c r="P6" s="7"/>
    </row>
    <row r="7" customFormat="false" ht="15" hidden="false" customHeight="false" outlineLevel="0" collapsed="false">
      <c r="B7" s="2" t="s">
        <v>366</v>
      </c>
    </row>
    <row r="8" customFormat="false" ht="15" hidden="false" customHeight="false" outlineLevel="0" collapsed="false">
      <c r="B8" s="2" t="s">
        <v>367</v>
      </c>
    </row>
    <row r="9" customFormat="false" ht="15" hidden="false" customHeight="false" outlineLevel="0" collapsed="false">
      <c r="B9" s="2" t="s">
        <v>368</v>
      </c>
    </row>
    <row r="10" customFormat="false" ht="15" hidden="false" customHeight="false" outlineLevel="0" collapsed="false">
      <c r="B10" s="2" t="s">
        <v>369</v>
      </c>
    </row>
    <row r="11" customFormat="false" ht="15" hidden="false" customHeight="false" outlineLevel="0" collapsed="false">
      <c r="B11" s="2" t="s">
        <v>370</v>
      </c>
    </row>
    <row r="12" customFormat="false" ht="15" hidden="false" customHeight="false" outlineLevel="0" collapsed="false">
      <c r="B12" s="2" t="s">
        <v>371</v>
      </c>
    </row>
    <row r="13" customFormat="false" ht="15" hidden="false" customHeight="false" outlineLevel="0" collapsed="false">
      <c r="B13" s="2" t="s">
        <v>372</v>
      </c>
    </row>
    <row r="15" customFormat="false" ht="15" hidden="false" customHeight="false" outlineLevel="0" collapsed="false">
      <c r="B15" s="3" t="s">
        <v>373</v>
      </c>
      <c r="C15" s="37" t="n">
        <f aca="false">'Your Inputs'!$C$46</f>
        <v>0.25</v>
      </c>
    </row>
    <row r="18" customFormat="false" ht="15" hidden="false" customHeight="false" outlineLevel="0" collapsed="false">
      <c r="B18" s="6" t="s">
        <v>374</v>
      </c>
      <c r="C18" s="7"/>
      <c r="D18" s="7"/>
      <c r="E18" s="7"/>
      <c r="F18" s="7"/>
      <c r="G18" s="7"/>
      <c r="H18" s="7"/>
      <c r="I18" s="7"/>
      <c r="J18" s="7"/>
      <c r="K18" s="7"/>
      <c r="L18" s="7"/>
      <c r="M18" s="7"/>
      <c r="N18" s="7"/>
      <c r="O18" s="7"/>
      <c r="P18" s="7"/>
    </row>
    <row r="19" customFormat="false" ht="30" hidden="false" customHeight="true" outlineLevel="0" collapsed="false">
      <c r="B19" s="12" t="s">
        <v>97</v>
      </c>
      <c r="C19" s="12" t="s">
        <v>46</v>
      </c>
      <c r="D19" s="12" t="s">
        <v>107</v>
      </c>
      <c r="E19" s="12" t="s">
        <v>375</v>
      </c>
      <c r="F19" s="12" t="s">
        <v>376</v>
      </c>
      <c r="G19" s="12" t="s">
        <v>377</v>
      </c>
      <c r="H19" s="12" t="s">
        <v>378</v>
      </c>
      <c r="I19" s="12" t="s">
        <v>379</v>
      </c>
      <c r="J19" s="12" t="s">
        <v>380</v>
      </c>
      <c r="K19" s="12" t="s">
        <v>381</v>
      </c>
      <c r="L19" s="12" t="s">
        <v>382</v>
      </c>
      <c r="M19" s="12" t="s">
        <v>383</v>
      </c>
      <c r="N19" s="12" t="s">
        <v>384</v>
      </c>
      <c r="O19" s="12" t="s">
        <v>385</v>
      </c>
      <c r="P19" s="12" t="s">
        <v>113</v>
      </c>
      <c r="AF19" s="12" t="s">
        <v>386</v>
      </c>
      <c r="AG19" s="12" t="s">
        <v>387</v>
      </c>
      <c r="AH19" s="12" t="s">
        <v>388</v>
      </c>
      <c r="AI19" s="12" t="s">
        <v>389</v>
      </c>
      <c r="AJ19" s="12" t="s">
        <v>390</v>
      </c>
      <c r="AK19" s="12" t="s">
        <v>391</v>
      </c>
      <c r="AL19" s="12" t="s">
        <v>392</v>
      </c>
      <c r="AM19" s="12" t="s">
        <v>393</v>
      </c>
      <c r="AN19" s="12" t="s">
        <v>394</v>
      </c>
      <c r="AO19" s="12" t="s">
        <v>395</v>
      </c>
      <c r="AP19" s="12" t="s">
        <v>396</v>
      </c>
      <c r="AQ19" s="12" t="s">
        <v>397</v>
      </c>
      <c r="AR19" s="12" t="s">
        <v>398</v>
      </c>
      <c r="AS19" s="12" t="s">
        <v>399</v>
      </c>
      <c r="AT19" s="12" t="s">
        <v>400</v>
      </c>
      <c r="AV19" s="12" t="s">
        <v>401</v>
      </c>
    </row>
    <row r="20" customFormat="false" ht="15" hidden="false" customHeight="false" outlineLevel="0" collapsed="false">
      <c r="B20" s="18" t="s">
        <v>115</v>
      </c>
      <c r="C20" s="18" t="s">
        <v>52</v>
      </c>
      <c r="D20" s="18" t="str">
        <f aca="false">$B20&amp;" | "&amp;$C20</f>
        <v>OEM key accounts | Structural adhesives</v>
      </c>
      <c r="E20" s="26" t="n">
        <f aca="false" t="array" ref="E20:E20">COUNT(IF(('Your Lines'!$P$6:$P$463=$D20),'Your Lines'!$O$6:$O$463,""))</f>
        <v>12</v>
      </c>
      <c r="F20" s="25" t="n">
        <f aca="false" t="array" ref="F20:F20">MIN(IF(('Your Lines'!$P$6:$P$463=$D20),'Your Lines'!$O$6:$O$463,""))</f>
        <v>0.761762995944528</v>
      </c>
      <c r="G20" s="25" t="n">
        <f aca="false" t="array" ref="G20:G20">PERCENTILE(IF(('Your Lines'!$P$6:$P$463=$D20),'Your Lines'!$O$6:$O$463,""),0.25)</f>
        <v>0.778791003638182</v>
      </c>
      <c r="H20" s="25" t="n">
        <f aca="false" t="array" ref="H20:H20">MEDIAN(IF(('Your Lines'!$P$6:$P$463=$D20),'Your Lines'!$O$6:$O$463,""))</f>
        <v>0.791331752608328</v>
      </c>
      <c r="I20" s="25" t="n">
        <f aca="false" t="array" ref="I20:I20">PERCENTILE(IF(('Your Lines'!$P$6:$P$463=$D20),'Your Lines'!$O$6:$O$463,""),0.75)</f>
        <v>0.797800499012623</v>
      </c>
      <c r="J20" s="25" t="n">
        <f aca="false" t="array" ref="J20:J20">MAX(IF(('Your Lines'!$P$6:$P$463=$D20),'Your Lines'!$O$6:$O$463,""))</f>
        <v>0.833837996287745</v>
      </c>
      <c r="K20" s="38" t="n">
        <f aca="false" t="array" ref="K20:K20">PERCENTILE(IF(('Your Lines'!$P$6:$P$463=$D20),'Your Lines'!$O$6:$O$463,""),$C$15)</f>
        <v>0.778791003638182</v>
      </c>
      <c r="L20" s="26" t="n">
        <f aca="false" t="array" ref="L20:L20">SUM(IF(('Your Lines'!$P$6:$P$463=$D20)*('Your Lines'!$O$6:$O$463&lt;$K20),1,0))</f>
        <v>3</v>
      </c>
      <c r="M20" s="26" t="n">
        <f aca="false" t="array" ref="M20:M20">SUM(IF(('Your Lines'!$P$6:$P$463=$D20)*('Your Lines'!$O$6:$O$463&lt;$K20),'Your Lines'!$E$6:$E$463,0))</f>
        <v>30658</v>
      </c>
      <c r="N20" s="15" t="n">
        <f aca="false" t="array" ref="N20:N20">ROUND(SUM(IF(('Your Lines'!$P$6:$P$463=$D20)*('Your Lines'!$O$6:$O$463&lt;$K20),'Your Lines'!$G$6:$G$463,0)),2)</f>
        <v>3481037.51</v>
      </c>
      <c r="O20" s="15" t="n">
        <f aca="false" t="array" ref="O20:O20">ROUND(SUM(IF(('Your Lines'!$P$6:$P$463=$D20)*('Your Lines'!$O$6:$O$463&lt;$K20),('Your Lines'!$E$6:$E$463*ROUND($K20*'Your Lines'!$H$6:$H$463,2)-'Your Lines'!$G$6:$G$463)-('Your Lines'!$L$6:$L$463*'Your Lines'!$E$6:$E$463*ROUND($K20*'Your Lines'!$H$6:$H$463,2)/'Your Lines'!$G$6:$G$463-'Your Lines'!$L$6:$L$463),0)),2)</f>
        <v>51458</v>
      </c>
      <c r="P20" s="15" t="n">
        <f aca="false" t="array" ref="P20:P20">ROUND(SUM(IF(('Your Lines'!$P$6:$P$463=$D20)*('Your Lines'!$O$6:$O$463&lt;$K20),'Your Lines'!$E$6:$E$463*ROUND($K20*'Your Lines'!$H$6:$H$463,2)-'Your Lines'!$K$6:$K$463-'Your Lines'!$L$6:$L$463*'Your Lines'!$E$6:$E$463*ROUND($K20*'Your Lines'!$H$6:$H$463,2)/'Your Lines'!$G$6:$G$463,0)),2)</f>
        <v>1065272.66</v>
      </c>
      <c r="AF20" s="36" t="n">
        <f aca="false" t="array" ref="AF20:AF20">SUM(IF(('Your Lines'!$P$6:$P$463=$D20)*('Your Lines'!$O$6:$O$463&lt;$K20),('Your Lines'!$E$6:$E$463*ROUND($K20*'Your Lines'!$H$6:$H$463,2)-'Your Lines'!$G$6:$G$463)-('Your Lines'!$L$6:$L$463*'Your Lines'!$E$6:$E$463*ROUND($K20*'Your Lines'!$H$6:$H$463,2)/'Your Lines'!$G$6:$G$463-'Your Lines'!$L$6:$L$463),0))</f>
        <v>51457.9971266389</v>
      </c>
      <c r="AG20" s="36" t="n">
        <f aca="false" t="array" ref="AG20:AG20">SUM(IF(('Your Lines'!$P$6:$P$463=$D20)*('Your Lines'!$O$6:$O$463&lt;$K20),'Your Lines'!$E$6:$E$463*ROUND($K20*'Your Lines'!$H$6:$H$463,2)-'Your Lines'!$K$6:$K$463-'Your Lines'!$L$6:$L$463*'Your Lines'!$E$6:$E$463*ROUND($K20*'Your Lines'!$H$6:$H$463,2)/'Your Lines'!$G$6:$G$463,0))</f>
        <v>1065272.65712664</v>
      </c>
      <c r="AH20" s="36" t="n">
        <f aca="false" t="array" ref="AH20:AH20">SUM(IF(('Your Lines'!$P$6:$P$463=$D20)*('Your Lines'!$O$6:$O$463&lt;$K20),'Your Lines'!$E$6:$E$463*ROUND($K20*'Your Lines'!$H$6:$H$463,2)-'Your Lines'!$G$6:$G$463,0))</f>
        <v>52603.5700000002</v>
      </c>
      <c r="AI20" s="26" t="n">
        <f aca="false" t="array" ref="AI20:AI20">SUM(IF(('Your Lines'!$P$6:$P$463=$D20)*('Your Lines'!$O$6:$O$463&lt;PERCENTILE(IF(('Your Lines'!$P$6:$P$463=$D20),'Your Lines'!$O$6:$O$463,""),Sensitivity!$B$85)),1,0))</f>
        <v>2</v>
      </c>
      <c r="AJ20" s="36" t="n">
        <f aca="false" t="array" ref="AJ20:AJ20">SUM(IF(('Your Lines'!$P$6:$P$463=$D20)*('Your Lines'!$O$6:$O$463&lt;PERCENTILE(IF(('Your Lines'!$P$6:$P$463=$D20),'Your Lines'!$O$6:$O$463,""),Sensitivity!$B$85)),('Your Lines'!$E$6:$E$463*ROUND(PERCENTILE(IF(('Your Lines'!$P$6:$P$463=$D20),'Your Lines'!$O$6:$O$463,""),Sensitivity!$B$85)*'Your Lines'!$H$6:$H$463,2)-'Your Lines'!$G$6:$G$463)-('Your Lines'!$L$6:$L$463*'Your Lines'!$E$6:$E$463*ROUND(PERCENTILE(IF(('Your Lines'!$P$6:$P$463=$D20),'Your Lines'!$O$6:$O$463,""),Sensitivity!$B$85)*'Your Lines'!$H$6:$H$463,2)/'Your Lines'!$G$6:$G$463-'Your Lines'!$L$6:$L$463),0))</f>
        <v>3840.51771283856</v>
      </c>
      <c r="AK20" s="36" t="n">
        <f aca="false" t="array" ref="AK20:AK20">SUM(IF(('Your Lines'!$P$6:$P$463=$D20)*('Your Lines'!$O$6:$O$463&lt;PERCENTILE(IF(('Your Lines'!$P$6:$P$463=$D20),'Your Lines'!$O$6:$O$463,""),Sensitivity!$B$85)),'Your Lines'!$E$6:$E$463*ROUND(PERCENTILE(IF(('Your Lines'!$P$6:$P$463=$D20),'Your Lines'!$O$6:$O$463,""),Sensitivity!$B$85)*'Your Lines'!$H$6:$H$463,2)-'Your Lines'!$K$6:$K$463-'Your Lines'!$L$6:$L$463*'Your Lines'!$E$6:$E$463*ROUND(PERCENTILE(IF(('Your Lines'!$P$6:$P$463=$D20),'Your Lines'!$O$6:$O$463,""),Sensitivity!$B$85)*'Your Lines'!$H$6:$H$463,2)/'Your Lines'!$G$6:$G$463,0))</f>
        <v>501684.997712839</v>
      </c>
      <c r="AL20" s="26" t="n">
        <f aca="false" t="array" ref="AL20:AL20">SUM(IF(('Your Lines'!$P$6:$P$463=$D20)*('Your Lines'!$O$6:$O$463&lt;PERCENTILE(IF(('Your Lines'!$P$6:$P$463=$D20),'Your Lines'!$O$6:$O$463,""),Sensitivity!$B$86)),1,0))</f>
        <v>3</v>
      </c>
      <c r="AM20" s="36" t="n">
        <f aca="false" t="array" ref="AM20:AM20">SUM(IF(('Your Lines'!$P$6:$P$463=$D20)*('Your Lines'!$O$6:$O$463&lt;PERCENTILE(IF(('Your Lines'!$P$6:$P$463=$D20),'Your Lines'!$O$6:$O$463,""),Sensitivity!$B$86)),('Your Lines'!$E$6:$E$463*ROUND(PERCENTILE(IF(('Your Lines'!$P$6:$P$463=$D20),'Your Lines'!$O$6:$O$463,""),Sensitivity!$B$86)*'Your Lines'!$H$6:$H$463,2)-'Your Lines'!$G$6:$G$463)-('Your Lines'!$L$6:$L$463*'Your Lines'!$E$6:$E$463*ROUND(PERCENTILE(IF(('Your Lines'!$P$6:$P$463=$D20),'Your Lines'!$O$6:$O$463,""),Sensitivity!$B$86)*'Your Lines'!$H$6:$H$463,2)/'Your Lines'!$G$6:$G$463-'Your Lines'!$L$6:$L$463),0))</f>
        <v>51457.9971266389</v>
      </c>
      <c r="AN20" s="36" t="n">
        <f aca="false" t="array" ref="AN20:AN20">SUM(IF(('Your Lines'!$P$6:$P$463=$D20)*('Your Lines'!$O$6:$O$463&lt;PERCENTILE(IF(('Your Lines'!$P$6:$P$463=$D20),'Your Lines'!$O$6:$O$463,""),Sensitivity!$B$86)),'Your Lines'!$E$6:$E$463*ROUND(PERCENTILE(IF(('Your Lines'!$P$6:$P$463=$D20),'Your Lines'!$O$6:$O$463,""),Sensitivity!$B$86)*'Your Lines'!$H$6:$H$463,2)-'Your Lines'!$K$6:$K$463-'Your Lines'!$L$6:$L$463*'Your Lines'!$E$6:$E$463*ROUND(PERCENTILE(IF(('Your Lines'!$P$6:$P$463=$D20),'Your Lines'!$O$6:$O$463,""),Sensitivity!$B$86)*'Your Lines'!$H$6:$H$463,2)/'Your Lines'!$G$6:$G$463,0))</f>
        <v>1065272.65712664</v>
      </c>
      <c r="AO20" s="26" t="n">
        <f aca="false" t="array" ref="AO20:AO20">SUM(IF(('Your Lines'!$P$6:$P$463=$D20)*('Your Lines'!$O$6:$O$463&lt;PERCENTILE(IF(('Your Lines'!$P$6:$P$463=$D20),'Your Lines'!$O$6:$O$463,""),Sensitivity!$B$87)),1,0))</f>
        <v>5</v>
      </c>
      <c r="AP20" s="36" t="n">
        <f aca="false" t="array" ref="AP20:AP20">SUM(IF(('Your Lines'!$P$6:$P$463=$D20)*('Your Lines'!$O$6:$O$463&lt;PERCENTILE(IF(('Your Lines'!$P$6:$P$463=$D20),'Your Lines'!$O$6:$O$463,""),Sensitivity!$B$87)),('Your Lines'!$E$6:$E$463*ROUND(PERCENTILE(IF(('Your Lines'!$P$6:$P$463=$D20),'Your Lines'!$O$6:$O$463,""),Sensitivity!$B$87)*'Your Lines'!$H$6:$H$463,2)-'Your Lines'!$G$6:$G$463)-('Your Lines'!$L$6:$L$463*'Your Lines'!$E$6:$E$463*ROUND(PERCENTILE(IF(('Your Lines'!$P$6:$P$463=$D20),'Your Lines'!$O$6:$O$463,""),Sensitivity!$B$87)*'Your Lines'!$H$6:$H$463,2)/'Your Lines'!$G$6:$G$463-'Your Lines'!$L$6:$L$463),0))</f>
        <v>93077.2498759391</v>
      </c>
      <c r="AQ20" s="36" t="n">
        <f aca="false" t="array" ref="AQ20:AQ20">SUM(IF(('Your Lines'!$P$6:$P$463=$D20)*('Your Lines'!$O$6:$O$463&lt;PERCENTILE(IF(('Your Lines'!$P$6:$P$463=$D20),'Your Lines'!$O$6:$O$463,""),Sensitivity!$B$87)),'Your Lines'!$E$6:$E$463*ROUND(PERCENTILE(IF(('Your Lines'!$P$6:$P$463=$D20),'Your Lines'!$O$6:$O$463,""),Sensitivity!$B$87)*'Your Lines'!$H$6:$H$463,2)-'Your Lines'!$K$6:$K$463-'Your Lines'!$L$6:$L$463*'Your Lines'!$E$6:$E$463*ROUND(PERCENTILE(IF(('Your Lines'!$P$6:$P$463=$D20),'Your Lines'!$O$6:$O$463,""),Sensitivity!$B$87)*'Your Lines'!$H$6:$H$463,2)/'Your Lines'!$G$6:$G$463,0))</f>
        <v>1720764.58987594</v>
      </c>
      <c r="AR20" s="26" t="n">
        <f aca="false" t="array" ref="AR20:AR20">SUM(IF(('Your Lines'!$P$6:$P$463=$D20)*('Your Lines'!$O$6:$O$463&lt;PERCENTILE(IF(('Your Lines'!$P$6:$P$463=$D20),'Your Lines'!$O$6:$O$463,""),Sensitivity!$B$88)),1,0))</f>
        <v>6</v>
      </c>
      <c r="AS20" s="36" t="n">
        <f aca="false" t="array" ref="AS20:AS20">SUM(IF(('Your Lines'!$P$6:$P$463=$D20)*('Your Lines'!$O$6:$O$463&lt;PERCENTILE(IF(('Your Lines'!$P$6:$P$463=$D20),'Your Lines'!$O$6:$O$463,""),Sensitivity!$B$88)),('Your Lines'!$E$6:$E$463*ROUND(PERCENTILE(IF(('Your Lines'!$P$6:$P$463=$D20),'Your Lines'!$O$6:$O$463,""),Sensitivity!$B$88)*'Your Lines'!$H$6:$H$463,2)-'Your Lines'!$G$6:$G$463)-('Your Lines'!$L$6:$L$463*'Your Lines'!$E$6:$E$463*ROUND(PERCENTILE(IF(('Your Lines'!$P$6:$P$463=$D20),'Your Lines'!$O$6:$O$463,""),Sensitivity!$B$88)*'Your Lines'!$H$6:$H$463,2)/'Your Lines'!$G$6:$G$463-'Your Lines'!$L$6:$L$463),0))</f>
        <v>129436.576222427</v>
      </c>
      <c r="AT20" s="36" t="n">
        <f aca="false" t="array" ref="AT20:AT20">SUM(IF(('Your Lines'!$P$6:$P$463=$D20)*('Your Lines'!$O$6:$O$463&lt;PERCENTILE(IF(('Your Lines'!$P$6:$P$463=$D20),'Your Lines'!$O$6:$O$463,""),Sensitivity!$B$88)),'Your Lines'!$E$6:$E$463*ROUND(PERCENTILE(IF(('Your Lines'!$P$6:$P$463=$D20),'Your Lines'!$O$6:$O$463,""),Sensitivity!$B$88)*'Your Lines'!$H$6:$H$463,2)-'Your Lines'!$K$6:$K$463-'Your Lines'!$L$6:$L$463*'Your Lines'!$E$6:$E$463*ROUND(PERCENTILE(IF(('Your Lines'!$P$6:$P$463=$D20),'Your Lines'!$O$6:$O$463,""),Sensitivity!$B$88)*'Your Lines'!$H$6:$H$463,2)/'Your Lines'!$G$6:$G$463,0))</f>
        <v>2110203.51622243</v>
      </c>
      <c r="AV20" s="18" t="str">
        <f aca="false">VLOOKUP($B20,$B$53:$F$56,5,FALSE())</f>
        <v>yes</v>
      </c>
    </row>
    <row r="21" customFormat="false" ht="15" hidden="false" customHeight="false" outlineLevel="0" collapsed="false">
      <c r="B21" s="18" t="s">
        <v>115</v>
      </c>
      <c r="C21" s="18" t="s">
        <v>54</v>
      </c>
      <c r="D21" s="18" t="str">
        <f aca="false">$B21&amp;" | "&amp;$C21</f>
        <v>OEM key accounts | Sealants</v>
      </c>
      <c r="E21" s="26" t="n">
        <f aca="false" t="array" ref="E21:E21">COUNT(IF(('Your Lines'!$P$6:$P$463=$D21),'Your Lines'!$O$6:$O$463,""))</f>
        <v>12</v>
      </c>
      <c r="F21" s="25" t="n">
        <f aca="false" t="array" ref="F21:F21">MIN(IF(('Your Lines'!$P$6:$P$463=$D21),'Your Lines'!$O$6:$O$463,""))</f>
        <v>0.650999958376691</v>
      </c>
      <c r="G21" s="25" t="n">
        <f aca="false" t="array" ref="G21:G21">PERCENTILE(IF(('Your Lines'!$P$6:$P$463=$D21),'Your Lines'!$O$6:$O$463,""),0.25)</f>
        <v>0.678015003945501</v>
      </c>
      <c r="H21" s="25" t="n">
        <f aca="false" t="array" ref="H21:H21">MEDIAN(IF(('Your Lines'!$P$6:$P$463=$D21),'Your Lines'!$O$6:$O$463,""))</f>
        <v>0.707962505373852</v>
      </c>
      <c r="I21" s="25" t="n">
        <f aca="false" t="array" ref="I21:I21">PERCENTILE(IF(('Your Lines'!$P$6:$P$463=$D21),'Your Lines'!$O$6:$O$463,""),0.75)</f>
        <v>0.714328120477559</v>
      </c>
      <c r="J21" s="25" t="n">
        <f aca="false" t="array" ref="J21:J21">MAX(IF(('Your Lines'!$P$6:$P$463=$D21),'Your Lines'!$O$6:$O$463,""))</f>
        <v>0.789570012213521</v>
      </c>
      <c r="K21" s="38" t="n">
        <f aca="false" t="array" ref="K21:K21">PERCENTILE(IF(('Your Lines'!$P$6:$P$463=$D21),'Your Lines'!$O$6:$O$463,""),$C$15)</f>
        <v>0.678015003945501</v>
      </c>
      <c r="L21" s="26" t="n">
        <f aca="false" t="array" ref="L21:L21">SUM(IF(('Your Lines'!$P$6:$P$463=$D21)*('Your Lines'!$O$6:$O$463&lt;$K21),1,0))</f>
        <v>3</v>
      </c>
      <c r="M21" s="26" t="n">
        <f aca="false" t="array" ref="M21:M21">SUM(IF(('Your Lines'!$P$6:$P$463=$D21)*('Your Lines'!$O$6:$O$463&lt;$K21),'Your Lines'!$E$6:$E$463,0))</f>
        <v>28623</v>
      </c>
      <c r="N21" s="15" t="n">
        <f aca="false" t="array" ref="N21:N21">ROUND(SUM(IF(('Your Lines'!$P$6:$P$463=$D21)*('Your Lines'!$O$6:$O$463&lt;$K21),'Your Lines'!$G$6:$G$463,0)),2)</f>
        <v>1181051.26</v>
      </c>
      <c r="O21" s="15" t="n">
        <f aca="false" t="array" ref="O21:O21">ROUND(SUM(IF(('Your Lines'!$P$6:$P$463=$D21)*('Your Lines'!$O$6:$O$463&lt;$K21),('Your Lines'!$E$6:$E$463*ROUND($K21*'Your Lines'!$H$6:$H$463,2)-'Your Lines'!$G$6:$G$463)-('Your Lines'!$L$6:$L$463*'Your Lines'!$E$6:$E$463*ROUND($K21*'Your Lines'!$H$6:$H$463,2)/'Your Lines'!$G$6:$G$463-'Your Lines'!$L$6:$L$463),0)),2)</f>
        <v>21775.4</v>
      </c>
      <c r="P21" s="15" t="n">
        <f aca="false" t="array" ref="P21:P21">ROUND(SUM(IF(('Your Lines'!$P$6:$P$463=$D21)*('Your Lines'!$O$6:$O$463&lt;$K21),'Your Lines'!$E$6:$E$463*ROUND($K21*'Your Lines'!$H$6:$H$463,2)-'Your Lines'!$K$6:$K$463-'Your Lines'!$L$6:$L$463*'Your Lines'!$E$6:$E$463*ROUND($K21*'Your Lines'!$H$6:$H$463,2)/'Your Lines'!$G$6:$G$463,0)),2)</f>
        <v>146638.47</v>
      </c>
      <c r="AF21" s="36" t="n">
        <f aca="false" t="array" ref="AF21:AF21">SUM(IF(('Your Lines'!$P$6:$P$463=$D21)*('Your Lines'!$O$6:$O$463&lt;$K21),('Your Lines'!$E$6:$E$463*ROUND($K21*'Your Lines'!$H$6:$H$463,2)-'Your Lines'!$G$6:$G$463)-('Your Lines'!$L$6:$L$463*'Your Lines'!$E$6:$E$463*ROUND($K21*'Your Lines'!$H$6:$H$463,2)/'Your Lines'!$G$6:$G$463-'Your Lines'!$L$6:$L$463),0))</f>
        <v>21775.4023970183</v>
      </c>
      <c r="AG21" s="36" t="n">
        <f aca="false" t="array" ref="AG21:AG21">SUM(IF(('Your Lines'!$P$6:$P$463=$D21)*('Your Lines'!$O$6:$O$463&lt;$K21),'Your Lines'!$E$6:$E$463*ROUND($K21*'Your Lines'!$H$6:$H$463,2)-'Your Lines'!$K$6:$K$463-'Your Lines'!$L$6:$L$463*'Your Lines'!$E$6:$E$463*ROUND($K21*'Your Lines'!$H$6:$H$463,2)/'Your Lines'!$G$6:$G$463,0))</f>
        <v>146638.472397018</v>
      </c>
      <c r="AH21" s="36" t="n">
        <f aca="false" t="array" ref="AH21:AH21">SUM(IF(('Your Lines'!$P$6:$P$463=$D21)*('Your Lines'!$O$6:$O$463&lt;$K21),'Your Lines'!$E$6:$E$463*ROUND($K21*'Your Lines'!$H$6:$H$463,2)-'Your Lines'!$G$6:$G$463,0))</f>
        <v>22259.66</v>
      </c>
      <c r="AI21" s="26" t="n">
        <f aca="false" t="array" ref="AI21:AI21">SUM(IF(('Your Lines'!$P$6:$P$463=$D21)*('Your Lines'!$O$6:$O$463&lt;PERCENTILE(IF(('Your Lines'!$P$6:$P$463=$D21),'Your Lines'!$O$6:$O$463,""),Sensitivity!$B$85)),1,0))</f>
        <v>2</v>
      </c>
      <c r="AJ21" s="36" t="n">
        <f aca="false" t="array" ref="AJ21:AJ21">SUM(IF(('Your Lines'!$P$6:$P$463=$D21)*('Your Lines'!$O$6:$O$463&lt;PERCENTILE(IF(('Your Lines'!$P$6:$P$463=$D21),'Your Lines'!$O$6:$O$463,""),Sensitivity!$B$85)),('Your Lines'!$E$6:$E$463*ROUND(PERCENTILE(IF(('Your Lines'!$P$6:$P$463=$D21),'Your Lines'!$O$6:$O$463,""),Sensitivity!$B$85)*'Your Lines'!$H$6:$H$463,2)-'Your Lines'!$G$6:$G$463)-('Your Lines'!$L$6:$L$463*'Your Lines'!$E$6:$E$463*ROUND(PERCENTILE(IF(('Your Lines'!$P$6:$P$463=$D21),'Your Lines'!$O$6:$O$463,""),Sensitivity!$B$85)*'Your Lines'!$H$6:$H$463,2)/'Your Lines'!$G$6:$G$463-'Your Lines'!$L$6:$L$463),0))</f>
        <v>3401.16278694491</v>
      </c>
      <c r="AK21" s="36" t="n">
        <f aca="false" t="array" ref="AK21:AK21">SUM(IF(('Your Lines'!$P$6:$P$463=$D21)*('Your Lines'!$O$6:$O$463&lt;PERCENTILE(IF(('Your Lines'!$P$6:$P$463=$D21),'Your Lines'!$O$6:$O$463,""),Sensitivity!$B$85)),'Your Lines'!$E$6:$E$463*ROUND(PERCENTILE(IF(('Your Lines'!$P$6:$P$463=$D21),'Your Lines'!$O$6:$O$463,""),Sensitivity!$B$85)*'Your Lines'!$H$6:$H$463,2)-'Your Lines'!$K$6:$K$463-'Your Lines'!$L$6:$L$463*'Your Lines'!$E$6:$E$463*ROUND(PERCENTILE(IF(('Your Lines'!$P$6:$P$463=$D21),'Your Lines'!$O$6:$O$463,""),Sensitivity!$B$85)*'Your Lines'!$H$6:$H$463,2)/'Your Lines'!$G$6:$G$463,0))</f>
        <v>52111.4427869449</v>
      </c>
      <c r="AL21" s="26" t="n">
        <f aca="false" t="array" ref="AL21:AL21">SUM(IF(('Your Lines'!$P$6:$P$463=$D21)*('Your Lines'!$O$6:$O$463&lt;PERCENTILE(IF(('Your Lines'!$P$6:$P$463=$D21),'Your Lines'!$O$6:$O$463,""),Sensitivity!$B$86)),1,0))</f>
        <v>3</v>
      </c>
      <c r="AM21" s="36" t="n">
        <f aca="false" t="array" ref="AM21:AM21">SUM(IF(('Your Lines'!$P$6:$P$463=$D21)*('Your Lines'!$O$6:$O$463&lt;PERCENTILE(IF(('Your Lines'!$P$6:$P$463=$D21),'Your Lines'!$O$6:$O$463,""),Sensitivity!$B$86)),('Your Lines'!$E$6:$E$463*ROUND(PERCENTILE(IF(('Your Lines'!$P$6:$P$463=$D21),'Your Lines'!$O$6:$O$463,""),Sensitivity!$B$86)*'Your Lines'!$H$6:$H$463,2)-'Your Lines'!$G$6:$G$463)-('Your Lines'!$L$6:$L$463*'Your Lines'!$E$6:$E$463*ROUND(PERCENTILE(IF(('Your Lines'!$P$6:$P$463=$D21),'Your Lines'!$O$6:$O$463,""),Sensitivity!$B$86)*'Your Lines'!$H$6:$H$463,2)/'Your Lines'!$G$6:$G$463-'Your Lines'!$L$6:$L$463),0))</f>
        <v>21775.4023970183</v>
      </c>
      <c r="AN21" s="36" t="n">
        <f aca="false" t="array" ref="AN21:AN21">SUM(IF(('Your Lines'!$P$6:$P$463=$D21)*('Your Lines'!$O$6:$O$463&lt;PERCENTILE(IF(('Your Lines'!$P$6:$P$463=$D21),'Your Lines'!$O$6:$O$463,""),Sensitivity!$B$86)),'Your Lines'!$E$6:$E$463*ROUND(PERCENTILE(IF(('Your Lines'!$P$6:$P$463=$D21),'Your Lines'!$O$6:$O$463,""),Sensitivity!$B$86)*'Your Lines'!$H$6:$H$463,2)-'Your Lines'!$K$6:$K$463-'Your Lines'!$L$6:$L$463*'Your Lines'!$E$6:$E$463*ROUND(PERCENTILE(IF(('Your Lines'!$P$6:$P$463=$D21),'Your Lines'!$O$6:$O$463,""),Sensitivity!$B$86)*'Your Lines'!$H$6:$H$463,2)/'Your Lines'!$G$6:$G$463,0))</f>
        <v>146638.472397018</v>
      </c>
      <c r="AO21" s="26" t="n">
        <f aca="false" t="array" ref="AO21:AO21">SUM(IF(('Your Lines'!$P$6:$P$463=$D21)*('Your Lines'!$O$6:$O$463&lt;PERCENTILE(IF(('Your Lines'!$P$6:$P$463=$D21),'Your Lines'!$O$6:$O$463,""),Sensitivity!$B$87)),1,0))</f>
        <v>5</v>
      </c>
      <c r="AP21" s="36" t="n">
        <f aca="false" t="array" ref="AP21:AP21">SUM(IF(('Your Lines'!$P$6:$P$463=$D21)*('Your Lines'!$O$6:$O$463&lt;PERCENTILE(IF(('Your Lines'!$P$6:$P$463=$D21),'Your Lines'!$O$6:$O$463,""),Sensitivity!$B$87)),('Your Lines'!$E$6:$E$463*ROUND(PERCENTILE(IF(('Your Lines'!$P$6:$P$463=$D21),'Your Lines'!$O$6:$O$463,""),Sensitivity!$B$87)*'Your Lines'!$H$6:$H$463,2)-'Your Lines'!$G$6:$G$463)-('Your Lines'!$L$6:$L$463*'Your Lines'!$E$6:$E$463*ROUND(PERCENTILE(IF(('Your Lines'!$P$6:$P$463=$D21),'Your Lines'!$O$6:$O$463,""),Sensitivity!$B$87)*'Your Lines'!$H$6:$H$463,2)/'Your Lines'!$G$6:$G$463-'Your Lines'!$L$6:$L$463),0))</f>
        <v>61188.1994958525</v>
      </c>
      <c r="AQ21" s="36" t="n">
        <f aca="false" t="array" ref="AQ21:AQ21">SUM(IF(('Your Lines'!$P$6:$P$463=$D21)*('Your Lines'!$O$6:$O$463&lt;PERCENTILE(IF(('Your Lines'!$P$6:$P$463=$D21),'Your Lines'!$O$6:$O$463,""),Sensitivity!$B$87)),'Your Lines'!$E$6:$E$463*ROUND(PERCENTILE(IF(('Your Lines'!$P$6:$P$463=$D21),'Your Lines'!$O$6:$O$463,""),Sensitivity!$B$87)*'Your Lines'!$H$6:$H$463,2)-'Your Lines'!$K$6:$K$463-'Your Lines'!$L$6:$L$463*'Your Lines'!$E$6:$E$463*ROUND(PERCENTILE(IF(('Your Lines'!$P$6:$P$463=$D21),'Your Lines'!$O$6:$O$463,""),Sensitivity!$B$87)*'Your Lines'!$H$6:$H$463,2)/'Your Lines'!$G$6:$G$463,0))</f>
        <v>293324.109495853</v>
      </c>
      <c r="AR21" s="26" t="n">
        <f aca="false" t="array" ref="AR21:AR21">SUM(IF(('Your Lines'!$P$6:$P$463=$D21)*('Your Lines'!$O$6:$O$463&lt;PERCENTILE(IF(('Your Lines'!$P$6:$P$463=$D21),'Your Lines'!$O$6:$O$463,""),Sensitivity!$B$88)),1,0))</f>
        <v>6</v>
      </c>
      <c r="AS21" s="36" t="n">
        <f aca="false" t="array" ref="AS21:AS21">SUM(IF(('Your Lines'!$P$6:$P$463=$D21)*('Your Lines'!$O$6:$O$463&lt;PERCENTILE(IF(('Your Lines'!$P$6:$P$463=$D21),'Your Lines'!$O$6:$O$463,""),Sensitivity!$B$88)),('Your Lines'!$E$6:$E$463*ROUND(PERCENTILE(IF(('Your Lines'!$P$6:$P$463=$D21),'Your Lines'!$O$6:$O$463,""),Sensitivity!$B$88)*'Your Lines'!$H$6:$H$463,2)-'Your Lines'!$G$6:$G$463)-('Your Lines'!$L$6:$L$463*'Your Lines'!$E$6:$E$463*ROUND(PERCENTILE(IF(('Your Lines'!$P$6:$P$463=$D21),'Your Lines'!$O$6:$O$463,""),Sensitivity!$B$88)*'Your Lines'!$H$6:$H$463,2)/'Your Lines'!$G$6:$G$463-'Your Lines'!$L$6:$L$463),0))</f>
        <v>102962.67079888</v>
      </c>
      <c r="AT21" s="36" t="n">
        <f aca="false" t="array" ref="AT21:AT21">SUM(IF(('Your Lines'!$P$6:$P$463=$D21)*('Your Lines'!$O$6:$O$463&lt;PERCENTILE(IF(('Your Lines'!$P$6:$P$463=$D21),'Your Lines'!$O$6:$O$463,""),Sensitivity!$B$88)),'Your Lines'!$E$6:$E$463*ROUND(PERCENTILE(IF(('Your Lines'!$P$6:$P$463=$D21),'Your Lines'!$O$6:$O$463,""),Sensitivity!$B$88)*'Your Lines'!$H$6:$H$463,2)-'Your Lines'!$K$6:$K$463-'Your Lines'!$L$6:$L$463*'Your Lines'!$E$6:$E$463*ROUND(PERCENTILE(IF(('Your Lines'!$P$6:$P$463=$D21),'Your Lines'!$O$6:$O$463,""),Sensitivity!$B$88)*'Your Lines'!$H$6:$H$463,2)/'Your Lines'!$G$6:$G$463,0))</f>
        <v>383890.81079888</v>
      </c>
      <c r="AV21" s="18" t="str">
        <f aca="false">VLOOKUP($B21,$B$53:$F$56,5,FALSE())</f>
        <v>yes</v>
      </c>
    </row>
    <row r="22" customFormat="false" ht="15" hidden="false" customHeight="false" outlineLevel="0" collapsed="false">
      <c r="B22" s="18" t="s">
        <v>115</v>
      </c>
      <c r="C22" s="18" t="s">
        <v>56</v>
      </c>
      <c r="D22" s="18" t="str">
        <f aca="false">$B22&amp;" | "&amp;$C22</f>
        <v>OEM key accounts | Protective coatings</v>
      </c>
      <c r="E22" s="26" t="n">
        <f aca="false" t="array" ref="E22:E22">COUNT(IF(('Your Lines'!$P$6:$P$463=$D22),'Your Lines'!$O$6:$O$463,""))</f>
        <v>12</v>
      </c>
      <c r="F22" s="25" t="n">
        <f aca="false" t="array" ref="F22:F22">MIN(IF(('Your Lines'!$P$6:$P$463=$D22),'Your Lines'!$O$6:$O$463,""))</f>
        <v>0.700103978597758</v>
      </c>
      <c r="G22" s="25" t="n">
        <f aca="false" t="array" ref="G22:G22">PERCENTILE(IF(('Your Lines'!$P$6:$P$463=$D22),'Your Lines'!$O$6:$O$463,""),0.25)</f>
        <v>0.7284029857742</v>
      </c>
      <c r="H22" s="25" t="n">
        <f aca="false" t="array" ref="H22:H22">MEDIAN(IF(('Your Lines'!$P$6:$P$463=$D22),'Your Lines'!$O$6:$O$463,""))</f>
        <v>0.749754003517342</v>
      </c>
      <c r="I22" s="25" t="n">
        <f aca="false" t="array" ref="I22:I22">PERCENTILE(IF(('Your Lines'!$P$6:$P$463=$D22),'Your Lines'!$O$6:$O$463,""),0.75)</f>
        <v>0.755903997783175</v>
      </c>
      <c r="J22" s="25" t="n">
        <f aca="false" t="array" ref="J22:J22">MAX(IF(('Your Lines'!$P$6:$P$463=$D22),'Your Lines'!$O$6:$O$463,""))</f>
        <v>0.811703987890176</v>
      </c>
      <c r="K22" s="38" t="n">
        <f aca="false" t="array" ref="K22:K22">PERCENTILE(IF(('Your Lines'!$P$6:$P$463=$D22),'Your Lines'!$O$6:$O$463,""),$C$15)</f>
        <v>0.7284029857742</v>
      </c>
      <c r="L22" s="26" t="n">
        <f aca="false" t="array" ref="L22:L22">SUM(IF(('Your Lines'!$P$6:$P$463=$D22)*('Your Lines'!$O$6:$O$463&lt;$K22),1,0))</f>
        <v>3</v>
      </c>
      <c r="M22" s="26" t="n">
        <f aca="false" t="array" ref="M22:M22">SUM(IF(('Your Lines'!$P$6:$P$463=$D22)*('Your Lines'!$O$6:$O$463&lt;$K22),'Your Lines'!$E$6:$E$463,0))</f>
        <v>26597</v>
      </c>
      <c r="N22" s="15" t="n">
        <f aca="false" t="array" ref="N22:N22">ROUND(SUM(IF(('Your Lines'!$P$6:$P$463=$D22)*('Your Lines'!$O$6:$O$463&lt;$K22),'Your Lines'!$G$6:$G$463,0)),2)</f>
        <v>1826225.39</v>
      </c>
      <c r="O22" s="15" t="n">
        <f aca="false" t="array" ref="O22:O22">ROUND(SUM(IF(('Your Lines'!$P$6:$P$463=$D22)*('Your Lines'!$O$6:$O$463&lt;$K22),('Your Lines'!$E$6:$E$463*ROUND($K22*'Your Lines'!$H$6:$H$463,2)-'Your Lines'!$G$6:$G$463)-('Your Lines'!$L$6:$L$463*'Your Lines'!$E$6:$E$463*ROUND($K22*'Your Lines'!$H$6:$H$463,2)/'Your Lines'!$G$6:$G$463-'Your Lines'!$L$6:$L$463),0)),2)</f>
        <v>32970.4</v>
      </c>
      <c r="P22" s="15" t="n">
        <f aca="false" t="array" ref="P22:P22">ROUND(SUM(IF(('Your Lines'!$P$6:$P$463=$D22)*('Your Lines'!$O$6:$O$463&lt;$K22),'Your Lines'!$E$6:$E$463*ROUND($K22*'Your Lines'!$H$6:$H$463,2)-'Your Lines'!$K$6:$K$463-'Your Lines'!$L$6:$L$463*'Your Lines'!$E$6:$E$463*ROUND($K22*'Your Lines'!$H$6:$H$463,2)/'Your Lines'!$G$6:$G$463,0)),2)</f>
        <v>276757.29</v>
      </c>
      <c r="AF22" s="36" t="n">
        <f aca="false" t="array" ref="AF22:AF22">SUM(IF(('Your Lines'!$P$6:$P$463=$D22)*('Your Lines'!$O$6:$O$463&lt;$K22),('Your Lines'!$E$6:$E$463*ROUND($K22*'Your Lines'!$H$6:$H$463,2)-'Your Lines'!$G$6:$G$463)-('Your Lines'!$L$6:$L$463*'Your Lines'!$E$6:$E$463*ROUND($K22*'Your Lines'!$H$6:$H$463,2)/'Your Lines'!$G$6:$G$463-'Your Lines'!$L$6:$L$463),0))</f>
        <v>32970.3954778896</v>
      </c>
      <c r="AG22" s="36" t="n">
        <f aca="false" t="array" ref="AG22:AG22">SUM(IF(('Your Lines'!$P$6:$P$463=$D22)*('Your Lines'!$O$6:$O$463&lt;$K22),'Your Lines'!$E$6:$E$463*ROUND($K22*'Your Lines'!$H$6:$H$463,2)-'Your Lines'!$K$6:$K$463-'Your Lines'!$L$6:$L$463*'Your Lines'!$E$6:$E$463*ROUND($K22*'Your Lines'!$H$6:$H$463,2)/'Your Lines'!$G$6:$G$463,0))</f>
        <v>276757.28547789</v>
      </c>
      <c r="AH22" s="36" t="n">
        <f aca="false" t="array" ref="AH22:AH22">SUM(IF(('Your Lines'!$P$6:$P$463=$D22)*('Your Lines'!$O$6:$O$463&lt;$K22),'Your Lines'!$E$6:$E$463*ROUND($K22*'Your Lines'!$H$6:$H$463,2)-'Your Lines'!$G$6:$G$463,0))</f>
        <v>33702.8200000002</v>
      </c>
      <c r="AI22" s="26" t="n">
        <f aca="false" t="array" ref="AI22:AI22">SUM(IF(('Your Lines'!$P$6:$P$463=$D22)*('Your Lines'!$O$6:$O$463&lt;PERCENTILE(IF(('Your Lines'!$P$6:$P$463=$D22),'Your Lines'!$O$6:$O$463,""),Sensitivity!$B$85)),1,0))</f>
        <v>2</v>
      </c>
      <c r="AJ22" s="36" t="n">
        <f aca="false" t="array" ref="AJ22:AJ22">SUM(IF(('Your Lines'!$P$6:$P$463=$D22)*('Your Lines'!$O$6:$O$463&lt;PERCENTILE(IF(('Your Lines'!$P$6:$P$463=$D22),'Your Lines'!$O$6:$O$463,""),Sensitivity!$B$85)),('Your Lines'!$E$6:$E$463*ROUND(PERCENTILE(IF(('Your Lines'!$P$6:$P$463=$D22),'Your Lines'!$O$6:$O$463,""),Sensitivity!$B$85)*'Your Lines'!$H$6:$H$463,2)-'Your Lines'!$G$6:$G$463)-('Your Lines'!$L$6:$L$463*'Your Lines'!$E$6:$E$463*ROUND(PERCENTILE(IF(('Your Lines'!$P$6:$P$463=$D22),'Your Lines'!$O$6:$O$463,""),Sensitivity!$B$85)*'Your Lines'!$H$6:$H$463,2)/'Your Lines'!$G$6:$G$463-'Your Lines'!$L$6:$L$463),0))</f>
        <v>6742.74380852683</v>
      </c>
      <c r="AK22" s="36" t="n">
        <f aca="false" t="array" ref="AK22:AK22">SUM(IF(('Your Lines'!$P$6:$P$463=$D22)*('Your Lines'!$O$6:$O$463&lt;PERCENTILE(IF(('Your Lines'!$P$6:$P$463=$D22),'Your Lines'!$O$6:$O$463,""),Sensitivity!$B$85)),'Your Lines'!$E$6:$E$463*ROUND(PERCENTILE(IF(('Your Lines'!$P$6:$P$463=$D22),'Your Lines'!$O$6:$O$463,""),Sensitivity!$B$85)*'Your Lines'!$H$6:$H$463,2)-'Your Lines'!$K$6:$K$463-'Your Lines'!$L$6:$L$463*'Your Lines'!$E$6:$E$463*ROUND(PERCENTILE(IF(('Your Lines'!$P$6:$P$463=$D22),'Your Lines'!$O$6:$O$463,""),Sensitivity!$B$85)*'Your Lines'!$H$6:$H$463,2)/'Your Lines'!$G$6:$G$463,0))</f>
        <v>100884.563808527</v>
      </c>
      <c r="AL22" s="26" t="n">
        <f aca="false" t="array" ref="AL22:AL22">SUM(IF(('Your Lines'!$P$6:$P$463=$D22)*('Your Lines'!$O$6:$O$463&lt;PERCENTILE(IF(('Your Lines'!$P$6:$P$463=$D22),'Your Lines'!$O$6:$O$463,""),Sensitivity!$B$86)),1,0))</f>
        <v>3</v>
      </c>
      <c r="AM22" s="36" t="n">
        <f aca="false" t="array" ref="AM22:AM22">SUM(IF(('Your Lines'!$P$6:$P$463=$D22)*('Your Lines'!$O$6:$O$463&lt;PERCENTILE(IF(('Your Lines'!$P$6:$P$463=$D22),'Your Lines'!$O$6:$O$463,""),Sensitivity!$B$86)),('Your Lines'!$E$6:$E$463*ROUND(PERCENTILE(IF(('Your Lines'!$P$6:$P$463=$D22),'Your Lines'!$O$6:$O$463,""),Sensitivity!$B$86)*'Your Lines'!$H$6:$H$463,2)-'Your Lines'!$G$6:$G$463)-('Your Lines'!$L$6:$L$463*'Your Lines'!$E$6:$E$463*ROUND(PERCENTILE(IF(('Your Lines'!$P$6:$P$463=$D22),'Your Lines'!$O$6:$O$463,""),Sensitivity!$B$86)*'Your Lines'!$H$6:$H$463,2)/'Your Lines'!$G$6:$G$463-'Your Lines'!$L$6:$L$463),0))</f>
        <v>32970.3954778896</v>
      </c>
      <c r="AN22" s="36" t="n">
        <f aca="false" t="array" ref="AN22:AN22">SUM(IF(('Your Lines'!$P$6:$P$463=$D22)*('Your Lines'!$O$6:$O$463&lt;PERCENTILE(IF(('Your Lines'!$P$6:$P$463=$D22),'Your Lines'!$O$6:$O$463,""),Sensitivity!$B$86)),'Your Lines'!$E$6:$E$463*ROUND(PERCENTILE(IF(('Your Lines'!$P$6:$P$463=$D22),'Your Lines'!$O$6:$O$463,""),Sensitivity!$B$86)*'Your Lines'!$H$6:$H$463,2)-'Your Lines'!$K$6:$K$463-'Your Lines'!$L$6:$L$463*'Your Lines'!$E$6:$E$463*ROUND(PERCENTILE(IF(('Your Lines'!$P$6:$P$463=$D22),'Your Lines'!$O$6:$O$463,""),Sensitivity!$B$86)*'Your Lines'!$H$6:$H$463,2)/'Your Lines'!$G$6:$G$463,0))</f>
        <v>276757.28547789</v>
      </c>
      <c r="AO22" s="26" t="n">
        <f aca="false" t="array" ref="AO22:AO22">SUM(IF(('Your Lines'!$P$6:$P$463=$D22)*('Your Lines'!$O$6:$O$463&lt;PERCENTILE(IF(('Your Lines'!$P$6:$P$463=$D22),'Your Lines'!$O$6:$O$463,""),Sensitivity!$B$87)),1,0))</f>
        <v>5</v>
      </c>
      <c r="AP22" s="36" t="n">
        <f aca="false" t="array" ref="AP22:AP22">SUM(IF(('Your Lines'!$P$6:$P$463=$D22)*('Your Lines'!$O$6:$O$463&lt;PERCENTILE(IF(('Your Lines'!$P$6:$P$463=$D22),'Your Lines'!$O$6:$O$463,""),Sensitivity!$B$87)),('Your Lines'!$E$6:$E$463*ROUND(PERCENTILE(IF(('Your Lines'!$P$6:$P$463=$D22),'Your Lines'!$O$6:$O$463,""),Sensitivity!$B$87)*'Your Lines'!$H$6:$H$463,2)-'Your Lines'!$G$6:$G$463)-('Your Lines'!$L$6:$L$463*'Your Lines'!$E$6:$E$463*ROUND(PERCENTILE(IF(('Your Lines'!$P$6:$P$463=$D22),'Your Lines'!$O$6:$O$463,""),Sensitivity!$B$87)*'Your Lines'!$H$6:$H$463,2)/'Your Lines'!$G$6:$G$463-'Your Lines'!$L$6:$L$463),0))</f>
        <v>72270.9733394702</v>
      </c>
      <c r="AQ22" s="36" t="n">
        <f aca="false" t="array" ref="AQ22:AQ22">SUM(IF(('Your Lines'!$P$6:$P$463=$D22)*('Your Lines'!$O$6:$O$463&lt;PERCENTILE(IF(('Your Lines'!$P$6:$P$463=$D22),'Your Lines'!$O$6:$O$463,""),Sensitivity!$B$87)),'Your Lines'!$E$6:$E$463*ROUND(PERCENTILE(IF(('Your Lines'!$P$6:$P$463=$D22),'Your Lines'!$O$6:$O$463,""),Sensitivity!$B$87)*'Your Lines'!$H$6:$H$463,2)-'Your Lines'!$K$6:$K$463-'Your Lines'!$L$6:$L$463*'Your Lines'!$E$6:$E$463*ROUND(PERCENTILE(IF(('Your Lines'!$P$6:$P$463=$D22),'Your Lines'!$O$6:$O$463,""),Sensitivity!$B$87)*'Your Lines'!$H$6:$H$463,2)/'Your Lines'!$G$6:$G$463,0))</f>
        <v>420816.16333947</v>
      </c>
      <c r="AR22" s="26" t="n">
        <f aca="false" t="array" ref="AR22:AR22">SUM(IF(('Your Lines'!$P$6:$P$463=$D22)*('Your Lines'!$O$6:$O$463&lt;PERCENTILE(IF(('Your Lines'!$P$6:$P$463=$D22),'Your Lines'!$O$6:$O$463,""),Sensitivity!$B$88)),1,0))</f>
        <v>6</v>
      </c>
      <c r="AS22" s="36" t="n">
        <f aca="false" t="array" ref="AS22:AS22">SUM(IF(('Your Lines'!$P$6:$P$463=$D22)*('Your Lines'!$O$6:$O$463&lt;PERCENTILE(IF(('Your Lines'!$P$6:$P$463=$D22),'Your Lines'!$O$6:$O$463,""),Sensitivity!$B$88)),('Your Lines'!$E$6:$E$463*ROUND(PERCENTILE(IF(('Your Lines'!$P$6:$P$463=$D22),'Your Lines'!$O$6:$O$463,""),Sensitivity!$B$88)*'Your Lines'!$H$6:$H$463,2)-'Your Lines'!$G$6:$G$463)-('Your Lines'!$L$6:$L$463*'Your Lines'!$E$6:$E$463*ROUND(PERCENTILE(IF(('Your Lines'!$P$6:$P$463=$D22),'Your Lines'!$O$6:$O$463,""),Sensitivity!$B$88)*'Your Lines'!$H$6:$H$463,2)/'Your Lines'!$G$6:$G$463-'Your Lines'!$L$6:$L$463),0))</f>
        <v>102077.467029092</v>
      </c>
      <c r="AT22" s="36" t="n">
        <f aca="false" t="array" ref="AT22:AT22">SUM(IF(('Your Lines'!$P$6:$P$463=$D22)*('Your Lines'!$O$6:$O$463&lt;PERCENTILE(IF(('Your Lines'!$P$6:$P$463=$D22),'Your Lines'!$O$6:$O$463,""),Sensitivity!$B$88)),'Your Lines'!$E$6:$E$463*ROUND(PERCENTILE(IF(('Your Lines'!$P$6:$P$463=$D22),'Your Lines'!$O$6:$O$463,""),Sensitivity!$B$88)*'Your Lines'!$H$6:$H$463,2)-'Your Lines'!$K$6:$K$463-'Your Lines'!$L$6:$L$463*'Your Lines'!$E$6:$E$463*ROUND(PERCENTILE(IF(('Your Lines'!$P$6:$P$463=$D22),'Your Lines'!$O$6:$O$463,""),Sensitivity!$B$88)*'Your Lines'!$H$6:$H$463,2)/'Your Lines'!$G$6:$G$463,0))</f>
        <v>532337.037029092</v>
      </c>
      <c r="AV22" s="18" t="str">
        <f aca="false">VLOOKUP($B22,$B$53:$F$56,5,FALSE())</f>
        <v>yes</v>
      </c>
    </row>
    <row r="23" customFormat="false" ht="15" hidden="false" customHeight="false" outlineLevel="0" collapsed="false">
      <c r="B23" s="18" t="s">
        <v>128</v>
      </c>
      <c r="C23" s="18" t="s">
        <v>52</v>
      </c>
      <c r="D23" s="18" t="str">
        <f aca="false">$B23&amp;" | "&amp;$C23</f>
        <v>Distributors | Structural adhesives</v>
      </c>
      <c r="E23" s="26" t="n">
        <f aca="false" t="array" ref="E23:E23">COUNT(IF(('Your Lines'!$P$6:$P$463=$D23),'Your Lines'!$O$6:$O$463,""))</f>
        <v>28</v>
      </c>
      <c r="F23" s="25" t="n">
        <f aca="false" t="array" ref="F23:F23">MIN(IF(('Your Lines'!$P$6:$P$463=$D23),'Your Lines'!$O$6:$O$463,""))</f>
        <v>0.74828880565098</v>
      </c>
      <c r="G23" s="25" t="n">
        <f aca="false" t="array" ref="G23:G23">PERCENTILE(IF(('Your Lines'!$P$6:$P$463=$D23),'Your Lines'!$O$6:$O$463,""),0.25)</f>
        <v>0.781507876109447</v>
      </c>
      <c r="H23" s="25" t="n">
        <f aca="false" t="array" ref="H23:H23">MEDIAN(IF(('Your Lines'!$P$6:$P$463=$D23),'Your Lines'!$O$6:$O$463,""))</f>
        <v>0.799621166697094</v>
      </c>
      <c r="I23" s="25" t="n">
        <f aca="false" t="array" ref="I23:I23">PERCENTILE(IF(('Your Lines'!$P$6:$P$463=$D23),'Your Lines'!$O$6:$O$463,""),0.75)</f>
        <v>0.820403074171457</v>
      </c>
      <c r="J23" s="25" t="n">
        <f aca="false" t="array" ref="J23:J23">MAX(IF(('Your Lines'!$P$6:$P$463=$D23),'Your Lines'!$O$6:$O$463,""))</f>
        <v>0.873687086321015</v>
      </c>
      <c r="K23" s="38" t="n">
        <f aca="false" t="array" ref="K23:K23">PERCENTILE(IF(('Your Lines'!$P$6:$P$463=$D23),'Your Lines'!$O$6:$O$463,""),$C$15)</f>
        <v>0.781507876109447</v>
      </c>
      <c r="L23" s="26" t="n">
        <f aca="false" t="array" ref="L23:L23">SUM(IF(('Your Lines'!$P$6:$P$463=$D23)*('Your Lines'!$O$6:$O$463&lt;$K23),1,0))</f>
        <v>7</v>
      </c>
      <c r="M23" s="26" t="n">
        <f aca="false" t="array" ref="M23:M23">SUM(IF(('Your Lines'!$P$6:$P$463=$D23)*('Your Lines'!$O$6:$O$463&lt;$K23),'Your Lines'!$E$6:$E$463,0))</f>
        <v>5278</v>
      </c>
      <c r="N23" s="15" t="n">
        <f aca="false" t="array" ref="N23:N23">ROUND(SUM(IF(('Your Lines'!$P$6:$P$463=$D23)*('Your Lines'!$O$6:$O$463&lt;$K23),'Your Lines'!$G$6:$G$463,0)),2)</f>
        <v>592839.99</v>
      </c>
      <c r="O23" s="15" t="n">
        <f aca="false" t="array" ref="O23:O23">ROUND(SUM(IF(('Your Lines'!$P$6:$P$463=$D23)*('Your Lines'!$O$6:$O$463&lt;$K23),('Your Lines'!$E$6:$E$463*ROUND($K23*'Your Lines'!$H$6:$H$463,2)-'Your Lines'!$G$6:$G$463)-('Your Lines'!$L$6:$L$463*'Your Lines'!$E$6:$E$463*ROUND($K23*'Your Lines'!$H$6:$H$463,2)/'Your Lines'!$G$6:$G$463-'Your Lines'!$L$6:$L$463),0)),2)</f>
        <v>17212.67</v>
      </c>
      <c r="P23" s="15" t="n">
        <f aca="false" t="array" ref="P23:P23">ROUND(SUM(IF(('Your Lines'!$P$6:$P$463=$D23)*('Your Lines'!$O$6:$O$463&lt;$K23),'Your Lines'!$E$6:$E$463*ROUND($K23*'Your Lines'!$H$6:$H$463,2)-'Your Lines'!$K$6:$K$463-'Your Lines'!$L$6:$L$463*'Your Lines'!$E$6:$E$463*ROUND($K23*'Your Lines'!$H$6:$H$463,2)/'Your Lines'!$G$6:$G$463,0)),2)</f>
        <v>184908.69</v>
      </c>
      <c r="AF23" s="36" t="n">
        <f aca="false" t="array" ref="AF23:AF23">SUM(IF(('Your Lines'!$P$6:$P$463=$D23)*('Your Lines'!$O$6:$O$463&lt;$K23),('Your Lines'!$E$6:$E$463*ROUND($K23*'Your Lines'!$H$6:$H$463,2)-'Your Lines'!$G$6:$G$463)-('Your Lines'!$L$6:$L$463*'Your Lines'!$E$6:$E$463*ROUND($K23*'Your Lines'!$H$6:$H$463,2)/'Your Lines'!$G$6:$G$463-'Your Lines'!$L$6:$L$463),0))</f>
        <v>17212.6667070128</v>
      </c>
      <c r="AG23" s="36" t="n">
        <f aca="false" t="array" ref="AG23:AG23">SUM(IF(('Your Lines'!$P$6:$P$463=$D23)*('Your Lines'!$O$6:$O$463&lt;$K23),'Your Lines'!$E$6:$E$463*ROUND($K23*'Your Lines'!$H$6:$H$463,2)-'Your Lines'!$K$6:$K$463-'Your Lines'!$L$6:$L$463*'Your Lines'!$E$6:$E$463*ROUND($K23*'Your Lines'!$H$6:$H$463,2)/'Your Lines'!$G$6:$G$463,0))</f>
        <v>184908.686707013</v>
      </c>
      <c r="AH23" s="36" t="n">
        <f aca="false" t="array" ref="AH23:AH23">SUM(IF(('Your Lines'!$P$6:$P$463=$D23)*('Your Lines'!$O$6:$O$463&lt;$K23),'Your Lines'!$E$6:$E$463*ROUND($K23*'Your Lines'!$H$6:$H$463,2)-'Your Lines'!$G$6:$G$463,0))</f>
        <v>17613.49</v>
      </c>
      <c r="AI23" s="26" t="n">
        <f aca="false" t="array" ref="AI23:AI23">SUM(IF(('Your Lines'!$P$6:$P$463=$D23)*('Your Lines'!$O$6:$O$463&lt;PERCENTILE(IF(('Your Lines'!$P$6:$P$463=$D23),'Your Lines'!$O$6:$O$463,""),Sensitivity!$B$85)),1,0))</f>
        <v>3</v>
      </c>
      <c r="AJ23" s="36" t="n">
        <f aca="false" t="array" ref="AJ23:AJ23">SUM(IF(('Your Lines'!$P$6:$P$463=$D23)*('Your Lines'!$O$6:$O$463&lt;PERCENTILE(IF(('Your Lines'!$P$6:$P$463=$D23),'Your Lines'!$O$6:$O$463,""),Sensitivity!$B$85)),('Your Lines'!$E$6:$E$463*ROUND(PERCENTILE(IF(('Your Lines'!$P$6:$P$463=$D23),'Your Lines'!$O$6:$O$463,""),Sensitivity!$B$85)*'Your Lines'!$H$6:$H$463,2)-'Your Lines'!$G$6:$G$463)-('Your Lines'!$L$6:$L$463*'Your Lines'!$E$6:$E$463*ROUND(PERCENTILE(IF(('Your Lines'!$P$6:$P$463=$D23),'Your Lines'!$O$6:$O$463,""),Sensitivity!$B$85)*'Your Lines'!$H$6:$H$463,2)/'Your Lines'!$G$6:$G$463-'Your Lines'!$L$6:$L$463),0))</f>
        <v>3791.90861275277</v>
      </c>
      <c r="AK23" s="36" t="n">
        <f aca="false" t="array" ref="AK23:AK23">SUM(IF(('Your Lines'!$P$6:$P$463=$D23)*('Your Lines'!$O$6:$O$463&lt;PERCENTILE(IF(('Your Lines'!$P$6:$P$463=$D23),'Your Lines'!$O$6:$O$463,""),Sensitivity!$B$85)),'Your Lines'!$E$6:$E$463*ROUND(PERCENTILE(IF(('Your Lines'!$P$6:$P$463=$D23),'Your Lines'!$O$6:$O$463,""),Sensitivity!$B$85)*'Your Lines'!$H$6:$H$463,2)-'Your Lines'!$K$6:$K$463-'Your Lines'!$L$6:$L$463*'Your Lines'!$E$6:$E$463*ROUND(PERCENTILE(IF(('Your Lines'!$P$6:$P$463=$D23),'Your Lines'!$O$6:$O$463,""),Sensitivity!$B$85)*'Your Lines'!$H$6:$H$463,2)/'Your Lines'!$G$6:$G$463,0))</f>
        <v>127913.858612753</v>
      </c>
      <c r="AL23" s="26" t="n">
        <f aca="false" t="array" ref="AL23:AL23">SUM(IF(('Your Lines'!$P$6:$P$463=$D23)*('Your Lines'!$O$6:$O$463&lt;PERCENTILE(IF(('Your Lines'!$P$6:$P$463=$D23),'Your Lines'!$O$6:$O$463,""),Sensitivity!$B$86)),1,0))</f>
        <v>7</v>
      </c>
      <c r="AM23" s="36" t="n">
        <f aca="false" t="array" ref="AM23:AM23">SUM(IF(('Your Lines'!$P$6:$P$463=$D23)*('Your Lines'!$O$6:$O$463&lt;PERCENTILE(IF(('Your Lines'!$P$6:$P$463=$D23),'Your Lines'!$O$6:$O$463,""),Sensitivity!$B$86)),('Your Lines'!$E$6:$E$463*ROUND(PERCENTILE(IF(('Your Lines'!$P$6:$P$463=$D23),'Your Lines'!$O$6:$O$463,""),Sensitivity!$B$86)*'Your Lines'!$H$6:$H$463,2)-'Your Lines'!$G$6:$G$463)-('Your Lines'!$L$6:$L$463*'Your Lines'!$E$6:$E$463*ROUND(PERCENTILE(IF(('Your Lines'!$P$6:$P$463=$D23),'Your Lines'!$O$6:$O$463,""),Sensitivity!$B$86)*'Your Lines'!$H$6:$H$463,2)/'Your Lines'!$G$6:$G$463-'Your Lines'!$L$6:$L$463),0))</f>
        <v>17212.6667070128</v>
      </c>
      <c r="AN23" s="36" t="n">
        <f aca="false" t="array" ref="AN23:AN23">SUM(IF(('Your Lines'!$P$6:$P$463=$D23)*('Your Lines'!$O$6:$O$463&lt;PERCENTILE(IF(('Your Lines'!$P$6:$P$463=$D23),'Your Lines'!$O$6:$O$463,""),Sensitivity!$B$86)),'Your Lines'!$E$6:$E$463*ROUND(PERCENTILE(IF(('Your Lines'!$P$6:$P$463=$D23),'Your Lines'!$O$6:$O$463,""),Sensitivity!$B$86)*'Your Lines'!$H$6:$H$463,2)-'Your Lines'!$K$6:$K$463-'Your Lines'!$L$6:$L$463*'Your Lines'!$E$6:$E$463*ROUND(PERCENTILE(IF(('Your Lines'!$P$6:$P$463=$D23),'Your Lines'!$O$6:$O$463,""),Sensitivity!$B$86)*'Your Lines'!$H$6:$H$463,2)/'Your Lines'!$G$6:$G$463,0))</f>
        <v>184908.686707013</v>
      </c>
      <c r="AO23" s="26" t="n">
        <f aca="false" t="array" ref="AO23:AO23">SUM(IF(('Your Lines'!$P$6:$P$463=$D23)*('Your Lines'!$O$6:$O$463&lt;PERCENTILE(IF(('Your Lines'!$P$6:$P$463=$D23),'Your Lines'!$O$6:$O$463,""),Sensitivity!$B$87)),1,0))</f>
        <v>11</v>
      </c>
      <c r="AP23" s="36" t="n">
        <f aca="false" t="array" ref="AP23:AP23">SUM(IF(('Your Lines'!$P$6:$P$463=$D23)*('Your Lines'!$O$6:$O$463&lt;PERCENTILE(IF(('Your Lines'!$P$6:$P$463=$D23),'Your Lines'!$O$6:$O$463,""),Sensitivity!$B$87)),('Your Lines'!$E$6:$E$463*ROUND(PERCENTILE(IF(('Your Lines'!$P$6:$P$463=$D23),'Your Lines'!$O$6:$O$463,""),Sensitivity!$B$87)*'Your Lines'!$H$6:$H$463,2)-'Your Lines'!$G$6:$G$463)-('Your Lines'!$L$6:$L$463*'Your Lines'!$E$6:$E$463*ROUND(PERCENTILE(IF(('Your Lines'!$P$6:$P$463=$D23),'Your Lines'!$O$6:$O$463,""),Sensitivity!$B$87)*'Your Lines'!$H$6:$H$463,2)/'Your Lines'!$G$6:$G$463-'Your Lines'!$L$6:$L$463),0))</f>
        <v>30183.5253656055</v>
      </c>
      <c r="AQ23" s="36" t="n">
        <f aca="false" t="array" ref="AQ23:AQ23">SUM(IF(('Your Lines'!$P$6:$P$463=$D23)*('Your Lines'!$O$6:$O$463&lt;PERCENTILE(IF(('Your Lines'!$P$6:$P$463=$D23),'Your Lines'!$O$6:$O$463,""),Sensitivity!$B$87)),'Your Lines'!$E$6:$E$463*ROUND(PERCENTILE(IF(('Your Lines'!$P$6:$P$463=$D23),'Your Lines'!$O$6:$O$463,""),Sensitivity!$B$87)*'Your Lines'!$H$6:$H$463,2)-'Your Lines'!$K$6:$K$463-'Your Lines'!$L$6:$L$463*'Your Lines'!$E$6:$E$463*ROUND(PERCENTILE(IF(('Your Lines'!$P$6:$P$463=$D23),'Your Lines'!$O$6:$O$463,""),Sensitivity!$B$87)*'Your Lines'!$H$6:$H$463,2)/'Your Lines'!$G$6:$G$463,0))</f>
        <v>286869.495365605</v>
      </c>
      <c r="AR23" s="26" t="n">
        <f aca="false" t="array" ref="AR23:AR23">SUM(IF(('Your Lines'!$P$6:$P$463=$D23)*('Your Lines'!$O$6:$O$463&lt;PERCENTILE(IF(('Your Lines'!$P$6:$P$463=$D23),'Your Lines'!$O$6:$O$463,""),Sensitivity!$B$88)),1,0))</f>
        <v>14</v>
      </c>
      <c r="AS23" s="36" t="n">
        <f aca="false" t="array" ref="AS23:AS23">SUM(IF(('Your Lines'!$P$6:$P$463=$D23)*('Your Lines'!$O$6:$O$463&lt;PERCENTILE(IF(('Your Lines'!$P$6:$P$463=$D23),'Your Lines'!$O$6:$O$463,""),Sensitivity!$B$88)),('Your Lines'!$E$6:$E$463*ROUND(PERCENTILE(IF(('Your Lines'!$P$6:$P$463=$D23),'Your Lines'!$O$6:$O$463,""),Sensitivity!$B$88)*'Your Lines'!$H$6:$H$463,2)-'Your Lines'!$G$6:$G$463)-('Your Lines'!$L$6:$L$463*'Your Lines'!$E$6:$E$463*ROUND(PERCENTILE(IF(('Your Lines'!$P$6:$P$463=$D23),'Your Lines'!$O$6:$O$463,""),Sensitivity!$B$88)*'Your Lines'!$H$6:$H$463,2)/'Your Lines'!$G$6:$G$463-'Your Lines'!$L$6:$L$463),0))</f>
        <v>35590.2438109012</v>
      </c>
      <c r="AT23" s="36" t="n">
        <f aca="false" t="array" ref="AT23:AT23">SUM(IF(('Your Lines'!$P$6:$P$463=$D23)*('Your Lines'!$O$6:$O$463&lt;PERCENTILE(IF(('Your Lines'!$P$6:$P$463=$D23),'Your Lines'!$O$6:$O$463,""),Sensitivity!$B$88)),'Your Lines'!$E$6:$E$463*ROUND(PERCENTILE(IF(('Your Lines'!$P$6:$P$463=$D23),'Your Lines'!$O$6:$O$463,""),Sensitivity!$B$88)*'Your Lines'!$H$6:$H$463,2)-'Your Lines'!$K$6:$K$463-'Your Lines'!$L$6:$L$463*'Your Lines'!$E$6:$E$463*ROUND(PERCENTILE(IF(('Your Lines'!$P$6:$P$463=$D23),'Your Lines'!$O$6:$O$463,""),Sensitivity!$B$88)*'Your Lines'!$H$6:$H$463,2)/'Your Lines'!$G$6:$G$463,0))</f>
        <v>429994.113810901</v>
      </c>
      <c r="AV23" s="18" t="str">
        <f aca="false">VLOOKUP($B23,$B$53:$F$56,5,FALSE())</f>
        <v>no</v>
      </c>
    </row>
    <row r="24" customFormat="false" ht="15" hidden="false" customHeight="false" outlineLevel="0" collapsed="false">
      <c r="B24" s="18" t="s">
        <v>128</v>
      </c>
      <c r="C24" s="18" t="s">
        <v>54</v>
      </c>
      <c r="D24" s="18" t="str">
        <f aca="false">$B24&amp;" | "&amp;$C24</f>
        <v>Distributors | Sealants</v>
      </c>
      <c r="E24" s="26" t="n">
        <f aca="false" t="array" ref="E24:E24">COUNT(IF(('Your Lines'!$P$6:$P$463=$D24),'Your Lines'!$O$6:$O$463,""))</f>
        <v>28</v>
      </c>
      <c r="F24" s="25" t="n">
        <f aca="false" t="array" ref="F24:F24">MIN(IF(('Your Lines'!$P$6:$P$463=$D24),'Your Lines'!$O$6:$O$463,""))</f>
        <v>0.640331987682602</v>
      </c>
      <c r="G24" s="25" t="n">
        <f aca="false" t="array" ref="G24:G24">PERCENTILE(IF(('Your Lines'!$P$6:$P$463=$D24),'Your Lines'!$O$6:$O$463,""),0.25)</f>
        <v>0.704282831281691</v>
      </c>
      <c r="H24" s="25" t="n">
        <f aca="false" t="array" ref="H24:H24">MEDIAN(IF(('Your Lines'!$P$6:$P$463=$D24),'Your Lines'!$O$6:$O$463,""))</f>
        <v>0.74827002752866</v>
      </c>
      <c r="I24" s="25" t="n">
        <f aca="false" t="array" ref="I24:I24">PERCENTILE(IF(('Your Lines'!$P$6:$P$463=$D24),'Your Lines'!$O$6:$O$463,""),0.75)</f>
        <v>0.773754010967336</v>
      </c>
      <c r="J24" s="25" t="n">
        <f aca="false" t="array" ref="J24:J24">MAX(IF(('Your Lines'!$P$6:$P$463=$D24),'Your Lines'!$O$6:$O$463,""))</f>
        <v>0.861147908645759</v>
      </c>
      <c r="K24" s="38" t="n">
        <f aca="false" t="array" ref="K24:K24">PERCENTILE(IF(('Your Lines'!$P$6:$P$463=$D24),'Your Lines'!$O$6:$O$463,""),$C$15)</f>
        <v>0.704282831281691</v>
      </c>
      <c r="L24" s="26" t="n">
        <f aca="false" t="array" ref="L24:L24">SUM(IF(('Your Lines'!$P$6:$P$463=$D24)*('Your Lines'!$O$6:$O$463&lt;$K24),1,0))</f>
        <v>7</v>
      </c>
      <c r="M24" s="26" t="n">
        <f aca="false" t="array" ref="M24:M24">SUM(IF(('Your Lines'!$P$6:$P$463=$D24)*('Your Lines'!$O$6:$O$463&lt;$K24),'Your Lines'!$E$6:$E$463,0))</f>
        <v>42216</v>
      </c>
      <c r="N24" s="15" t="n">
        <f aca="false" t="array" ref="N24:N24">ROUND(SUM(IF(('Your Lines'!$P$6:$P$463=$D24)*('Your Lines'!$O$6:$O$463&lt;$K24),'Your Lines'!$G$6:$G$463,0)),2)</f>
        <v>1762779.4</v>
      </c>
      <c r="O24" s="15" t="n">
        <f aca="false" t="array" ref="O24:O24">ROUND(SUM(IF(('Your Lines'!$P$6:$P$463=$D24)*('Your Lines'!$O$6:$O$463&lt;$K24),('Your Lines'!$E$6:$E$463*ROUND($K24*'Your Lines'!$H$6:$H$463,2)-'Your Lines'!$G$6:$G$463)-('Your Lines'!$L$6:$L$463*'Your Lines'!$E$6:$E$463*ROUND($K24*'Your Lines'!$H$6:$H$463,2)/'Your Lines'!$G$6:$G$463-'Your Lines'!$L$6:$L$463),0)),2)</f>
        <v>78960.86</v>
      </c>
      <c r="P24" s="15" t="n">
        <f aca="false" t="array" ref="P24:P24">ROUND(SUM(IF(('Your Lines'!$P$6:$P$463=$D24)*('Your Lines'!$O$6:$O$463&lt;$K24),'Your Lines'!$E$6:$E$463*ROUND($K24*'Your Lines'!$H$6:$H$463,2)-'Your Lines'!$K$6:$K$463-'Your Lines'!$L$6:$L$463*'Your Lines'!$E$6:$E$463*ROUND($K24*'Your Lines'!$H$6:$H$463,2)/'Your Lines'!$G$6:$G$463,0)),2)</f>
        <v>281973.93</v>
      </c>
      <c r="AF24" s="36" t="n">
        <f aca="false" t="array" ref="AF24:AF24">SUM(IF(('Your Lines'!$P$6:$P$463=$D24)*('Your Lines'!$O$6:$O$463&lt;$K24),('Your Lines'!$E$6:$E$463*ROUND($K24*'Your Lines'!$H$6:$H$463,2)-'Your Lines'!$G$6:$G$463)-('Your Lines'!$L$6:$L$463*'Your Lines'!$E$6:$E$463*ROUND($K24*'Your Lines'!$H$6:$H$463,2)/'Your Lines'!$G$6:$G$463-'Your Lines'!$L$6:$L$463),0))</f>
        <v>78960.8621809203</v>
      </c>
      <c r="AG24" s="36" t="n">
        <f aca="false" t="array" ref="AG24:AG24">SUM(IF(('Your Lines'!$P$6:$P$463=$D24)*('Your Lines'!$O$6:$O$463&lt;$K24),'Your Lines'!$E$6:$E$463*ROUND($K24*'Your Lines'!$H$6:$H$463,2)-'Your Lines'!$K$6:$K$463-'Your Lines'!$L$6:$L$463*'Your Lines'!$E$6:$E$463*ROUND($K24*'Your Lines'!$H$6:$H$463,2)/'Your Lines'!$G$6:$G$463,0))</f>
        <v>281973.93218092</v>
      </c>
      <c r="AH24" s="36" t="n">
        <f aca="false" t="array" ref="AH24:AH24">SUM(IF(('Your Lines'!$P$6:$P$463=$D24)*('Your Lines'!$O$6:$O$463&lt;$K24),'Your Lines'!$E$6:$E$463*ROUND($K24*'Your Lines'!$H$6:$H$463,2)-'Your Lines'!$G$6:$G$463,0))</f>
        <v>80793.3200000001</v>
      </c>
      <c r="AI24" s="26" t="n">
        <f aca="false" t="array" ref="AI24:AI24">SUM(IF(('Your Lines'!$P$6:$P$463=$D24)*('Your Lines'!$O$6:$O$463&lt;PERCENTILE(IF(('Your Lines'!$P$6:$P$463=$D24),'Your Lines'!$O$6:$O$463,""),Sensitivity!$B$85)),1,0))</f>
        <v>3</v>
      </c>
      <c r="AJ24" s="36" t="n">
        <f aca="false" t="array" ref="AJ24:AJ24">SUM(IF(('Your Lines'!$P$6:$P$463=$D24)*('Your Lines'!$O$6:$O$463&lt;PERCENTILE(IF(('Your Lines'!$P$6:$P$463=$D24),'Your Lines'!$O$6:$O$463,""),Sensitivity!$B$85)),('Your Lines'!$E$6:$E$463*ROUND(PERCENTILE(IF(('Your Lines'!$P$6:$P$463=$D24),'Your Lines'!$O$6:$O$463,""),Sensitivity!$B$85)*'Your Lines'!$H$6:$H$463,2)-'Your Lines'!$G$6:$G$463)-('Your Lines'!$L$6:$L$463*'Your Lines'!$E$6:$E$463*ROUND(PERCENTILE(IF(('Your Lines'!$P$6:$P$463=$D24),'Your Lines'!$O$6:$O$463,""),Sensitivity!$B$85)*'Your Lines'!$H$6:$H$463,2)/'Your Lines'!$G$6:$G$463-'Your Lines'!$L$6:$L$463),0))</f>
        <v>28454.7338192279</v>
      </c>
      <c r="AK24" s="36" t="n">
        <f aca="false" t="array" ref="AK24:AK24">SUM(IF(('Your Lines'!$P$6:$P$463=$D24)*('Your Lines'!$O$6:$O$463&lt;PERCENTILE(IF(('Your Lines'!$P$6:$P$463=$D24),'Your Lines'!$O$6:$O$463,""),Sensitivity!$B$85)),'Your Lines'!$E$6:$E$463*ROUND(PERCENTILE(IF(('Your Lines'!$P$6:$P$463=$D24),'Your Lines'!$O$6:$O$463,""),Sensitivity!$B$85)*'Your Lines'!$H$6:$H$463,2)-'Your Lines'!$K$6:$K$463-'Your Lines'!$L$6:$L$463*'Your Lines'!$E$6:$E$463*ROUND(PERCENTILE(IF(('Your Lines'!$P$6:$P$463=$D24),'Your Lines'!$O$6:$O$463,""),Sensitivity!$B$85)*'Your Lines'!$H$6:$H$463,2)/'Your Lines'!$G$6:$G$463,0))</f>
        <v>101831.153819228</v>
      </c>
      <c r="AL24" s="26" t="n">
        <f aca="false" t="array" ref="AL24:AL24">SUM(IF(('Your Lines'!$P$6:$P$463=$D24)*('Your Lines'!$O$6:$O$463&lt;PERCENTILE(IF(('Your Lines'!$P$6:$P$463=$D24),'Your Lines'!$O$6:$O$463,""),Sensitivity!$B$86)),1,0))</f>
        <v>7</v>
      </c>
      <c r="AM24" s="36" t="n">
        <f aca="false" t="array" ref="AM24:AM24">SUM(IF(('Your Lines'!$P$6:$P$463=$D24)*('Your Lines'!$O$6:$O$463&lt;PERCENTILE(IF(('Your Lines'!$P$6:$P$463=$D24),'Your Lines'!$O$6:$O$463,""),Sensitivity!$B$86)),('Your Lines'!$E$6:$E$463*ROUND(PERCENTILE(IF(('Your Lines'!$P$6:$P$463=$D24),'Your Lines'!$O$6:$O$463,""),Sensitivity!$B$86)*'Your Lines'!$H$6:$H$463,2)-'Your Lines'!$G$6:$G$463)-('Your Lines'!$L$6:$L$463*'Your Lines'!$E$6:$E$463*ROUND(PERCENTILE(IF(('Your Lines'!$P$6:$P$463=$D24),'Your Lines'!$O$6:$O$463,""),Sensitivity!$B$86)*'Your Lines'!$H$6:$H$463,2)/'Your Lines'!$G$6:$G$463-'Your Lines'!$L$6:$L$463),0))</f>
        <v>78960.8621809203</v>
      </c>
      <c r="AN24" s="36" t="n">
        <f aca="false" t="array" ref="AN24:AN24">SUM(IF(('Your Lines'!$P$6:$P$463=$D24)*('Your Lines'!$O$6:$O$463&lt;PERCENTILE(IF(('Your Lines'!$P$6:$P$463=$D24),'Your Lines'!$O$6:$O$463,""),Sensitivity!$B$86)),'Your Lines'!$E$6:$E$463*ROUND(PERCENTILE(IF(('Your Lines'!$P$6:$P$463=$D24),'Your Lines'!$O$6:$O$463,""),Sensitivity!$B$86)*'Your Lines'!$H$6:$H$463,2)-'Your Lines'!$K$6:$K$463-'Your Lines'!$L$6:$L$463*'Your Lines'!$E$6:$E$463*ROUND(PERCENTILE(IF(('Your Lines'!$P$6:$P$463=$D24),'Your Lines'!$O$6:$O$463,""),Sensitivity!$B$86)*'Your Lines'!$H$6:$H$463,2)/'Your Lines'!$G$6:$G$463,0))</f>
        <v>281973.93218092</v>
      </c>
      <c r="AO24" s="26" t="n">
        <f aca="false" t="array" ref="AO24:AO24">SUM(IF(('Your Lines'!$P$6:$P$463=$D24)*('Your Lines'!$O$6:$O$463&lt;PERCENTILE(IF(('Your Lines'!$P$6:$P$463=$D24),'Your Lines'!$O$6:$O$463,""),Sensitivity!$B$87)),1,0))</f>
        <v>11</v>
      </c>
      <c r="AP24" s="36" t="n">
        <f aca="false" t="array" ref="AP24:AP24">SUM(IF(('Your Lines'!$P$6:$P$463=$D24)*('Your Lines'!$O$6:$O$463&lt;PERCENTILE(IF(('Your Lines'!$P$6:$P$463=$D24),'Your Lines'!$O$6:$O$463,""),Sensitivity!$B$87)),('Your Lines'!$E$6:$E$463*ROUND(PERCENTILE(IF(('Your Lines'!$P$6:$P$463=$D24),'Your Lines'!$O$6:$O$463,""),Sensitivity!$B$87)*'Your Lines'!$H$6:$H$463,2)-'Your Lines'!$G$6:$G$463)-('Your Lines'!$L$6:$L$463*'Your Lines'!$E$6:$E$463*ROUND(PERCENTILE(IF(('Your Lines'!$P$6:$P$463=$D24),'Your Lines'!$O$6:$O$463,""),Sensitivity!$B$87)*'Your Lines'!$H$6:$H$463,2)/'Your Lines'!$G$6:$G$463-'Your Lines'!$L$6:$L$463),0))</f>
        <v>183903.945153494</v>
      </c>
      <c r="AQ24" s="36" t="n">
        <f aca="false" t="array" ref="AQ24:AQ24">SUM(IF(('Your Lines'!$P$6:$P$463=$D24)*('Your Lines'!$O$6:$O$463&lt;PERCENTILE(IF(('Your Lines'!$P$6:$P$463=$D24),'Your Lines'!$O$6:$O$463,""),Sensitivity!$B$87)),'Your Lines'!$E$6:$E$463*ROUND(PERCENTILE(IF(('Your Lines'!$P$6:$P$463=$D24),'Your Lines'!$O$6:$O$463,""),Sensitivity!$B$87)*'Your Lines'!$H$6:$H$463,2)-'Your Lines'!$K$6:$K$463-'Your Lines'!$L$6:$L$463*'Your Lines'!$E$6:$E$463*ROUND(PERCENTILE(IF(('Your Lines'!$P$6:$P$463=$D24),'Your Lines'!$O$6:$O$463,""),Sensitivity!$B$87)*'Your Lines'!$H$6:$H$463,2)/'Your Lines'!$G$6:$G$463,0))</f>
        <v>591859.385153494</v>
      </c>
      <c r="AR24" s="26" t="n">
        <f aca="false" t="array" ref="AR24:AR24">SUM(IF(('Your Lines'!$P$6:$P$463=$D24)*('Your Lines'!$O$6:$O$463&lt;PERCENTILE(IF(('Your Lines'!$P$6:$P$463=$D24),'Your Lines'!$O$6:$O$463,""),Sensitivity!$B$88)),1,0))</f>
        <v>14</v>
      </c>
      <c r="AS24" s="36" t="n">
        <f aca="false" t="array" ref="AS24:AS24">SUM(IF(('Your Lines'!$P$6:$P$463=$D24)*('Your Lines'!$O$6:$O$463&lt;PERCENTILE(IF(('Your Lines'!$P$6:$P$463=$D24),'Your Lines'!$O$6:$O$463,""),Sensitivity!$B$88)),('Your Lines'!$E$6:$E$463*ROUND(PERCENTILE(IF(('Your Lines'!$P$6:$P$463=$D24),'Your Lines'!$O$6:$O$463,""),Sensitivity!$B$88)*'Your Lines'!$H$6:$H$463,2)-'Your Lines'!$G$6:$G$463)-('Your Lines'!$L$6:$L$463*'Your Lines'!$E$6:$E$463*ROUND(PERCENTILE(IF(('Your Lines'!$P$6:$P$463=$D24),'Your Lines'!$O$6:$O$463,""),Sensitivity!$B$88)*'Your Lines'!$H$6:$H$463,2)/'Your Lines'!$G$6:$G$463-'Your Lines'!$L$6:$L$463),0))</f>
        <v>222409.305727138</v>
      </c>
      <c r="AT24" s="36" t="n">
        <f aca="false" t="array" ref="AT24:AT24">SUM(IF(('Your Lines'!$P$6:$P$463=$D24)*('Your Lines'!$O$6:$O$463&lt;PERCENTILE(IF(('Your Lines'!$P$6:$P$463=$D24),'Your Lines'!$O$6:$O$463,""),Sensitivity!$B$88)),'Your Lines'!$E$6:$E$463*ROUND(PERCENTILE(IF(('Your Lines'!$P$6:$P$463=$D24),'Your Lines'!$O$6:$O$463,""),Sensitivity!$B$88)*'Your Lines'!$H$6:$H$463,2)-'Your Lines'!$K$6:$K$463-'Your Lines'!$L$6:$L$463*'Your Lines'!$E$6:$E$463*ROUND(PERCENTILE(IF(('Your Lines'!$P$6:$P$463=$D24),'Your Lines'!$O$6:$O$463,""),Sensitivity!$B$88)*'Your Lines'!$H$6:$H$463,2)/'Your Lines'!$G$6:$G$463,0))</f>
        <v>756262.565727138</v>
      </c>
      <c r="AV24" s="18" t="str">
        <f aca="false">VLOOKUP($B24,$B$53:$F$56,5,FALSE())</f>
        <v>no</v>
      </c>
    </row>
    <row r="25" customFormat="false" ht="15" hidden="false" customHeight="false" outlineLevel="0" collapsed="false">
      <c r="B25" s="18" t="s">
        <v>128</v>
      </c>
      <c r="C25" s="18" t="s">
        <v>56</v>
      </c>
      <c r="D25" s="18" t="str">
        <f aca="false">$B25&amp;" | "&amp;$C25</f>
        <v>Distributors | Protective coatings</v>
      </c>
      <c r="E25" s="26" t="n">
        <f aca="false" t="array" ref="E25:E25">COUNT(IF(('Your Lines'!$P$6:$P$463=$D25),'Your Lines'!$O$6:$O$463,""))</f>
        <v>28</v>
      </c>
      <c r="F25" s="25" t="n">
        <f aca="false" t="array" ref="F25:F25">MIN(IF(('Your Lines'!$P$6:$P$463=$D25),'Your Lines'!$O$6:$O$463,""))</f>
        <v>0.694310376538256</v>
      </c>
      <c r="G25" s="25" t="n">
        <f aca="false" t="array" ref="G25:G25">PERCENTILE(IF(('Your Lines'!$P$6:$P$463=$D25),'Your Lines'!$O$6:$O$463,""),0.25)</f>
        <v>0.741797996122263</v>
      </c>
      <c r="H25" s="25" t="n">
        <f aca="false" t="array" ref="H25:H25">MEDIAN(IF(('Your Lines'!$P$6:$P$463=$D25),'Your Lines'!$O$6:$O$463,""))</f>
        <v>0.779217525421627</v>
      </c>
      <c r="I25" s="25" t="n">
        <f aca="false" t="array" ref="I25:I25">PERCENTILE(IF(('Your Lines'!$P$6:$P$463=$D25),'Your Lines'!$O$6:$O$463,""),0.75)</f>
        <v>0.794322865426658</v>
      </c>
      <c r="J25" s="25" t="n">
        <f aca="false" t="array" ref="J25:J25">MAX(IF(('Your Lines'!$P$6:$P$463=$D25),'Your Lines'!$O$6:$O$463,""))</f>
        <v>0.867417611541298</v>
      </c>
      <c r="K25" s="38" t="n">
        <f aca="false" t="array" ref="K25:K25">PERCENTILE(IF(('Your Lines'!$P$6:$P$463=$D25),'Your Lines'!$O$6:$O$463,""),$C$15)</f>
        <v>0.741797996122263</v>
      </c>
      <c r="L25" s="26" t="n">
        <f aca="false" t="array" ref="L25:L25">SUM(IF(('Your Lines'!$P$6:$P$463=$D25)*('Your Lines'!$O$6:$O$463&lt;$K25),1,0))</f>
        <v>7</v>
      </c>
      <c r="M25" s="26" t="n">
        <f aca="false" t="array" ref="M25:M25">SUM(IF(('Your Lines'!$P$6:$P$463=$D25)*('Your Lines'!$O$6:$O$463&lt;$K25),'Your Lines'!$E$6:$E$463,0))</f>
        <v>15649</v>
      </c>
      <c r="N25" s="15" t="n">
        <f aca="false" t="array" ref="N25:N25">ROUND(SUM(IF(('Your Lines'!$P$6:$P$463=$D25)*('Your Lines'!$O$6:$O$463&lt;$K25),'Your Lines'!$G$6:$G$463,0)),2)</f>
        <v>1080364.33</v>
      </c>
      <c r="O25" s="15" t="n">
        <f aca="false" t="array" ref="O25:O25">ROUND(SUM(IF(('Your Lines'!$P$6:$P$463=$D25)*('Your Lines'!$O$6:$O$463&lt;$K25),('Your Lines'!$E$6:$E$463*ROUND($K25*'Your Lines'!$H$6:$H$463,2)-'Your Lines'!$G$6:$G$463)-('Your Lines'!$L$6:$L$463*'Your Lines'!$E$6:$E$463*ROUND($K25*'Your Lines'!$H$6:$H$463,2)/'Your Lines'!$G$6:$G$463-'Your Lines'!$L$6:$L$463),0)),2)</f>
        <v>33228.82</v>
      </c>
      <c r="P25" s="15" t="n">
        <f aca="false" t="array" ref="P25:P25">ROUND(SUM(IF(('Your Lines'!$P$6:$P$463=$D25)*('Your Lines'!$O$6:$O$463&lt;$K25),'Your Lines'!$E$6:$E$463*ROUND($K25*'Your Lines'!$H$6:$H$463,2)-'Your Lines'!$K$6:$K$463-'Your Lines'!$L$6:$L$463*'Your Lines'!$E$6:$E$463*ROUND($K25*'Your Lines'!$H$6:$H$463,2)/'Your Lines'!$G$6:$G$463,0)),2)</f>
        <v>181444.53</v>
      </c>
      <c r="AF25" s="36" t="n">
        <f aca="false" t="array" ref="AF25:AF25">SUM(IF(('Your Lines'!$P$6:$P$463=$D25)*('Your Lines'!$O$6:$O$463&lt;$K25),('Your Lines'!$E$6:$E$463*ROUND($K25*'Your Lines'!$H$6:$H$463,2)-'Your Lines'!$G$6:$G$463)-('Your Lines'!$L$6:$L$463*'Your Lines'!$E$6:$E$463*ROUND($K25*'Your Lines'!$H$6:$H$463,2)/'Your Lines'!$G$6:$G$463-'Your Lines'!$L$6:$L$463),0))</f>
        <v>33228.8235780338</v>
      </c>
      <c r="AG25" s="36" t="n">
        <f aca="false" t="array" ref="AG25:AG25">SUM(IF(('Your Lines'!$P$6:$P$463=$D25)*('Your Lines'!$O$6:$O$463&lt;$K25),'Your Lines'!$E$6:$E$463*ROUND($K25*'Your Lines'!$H$6:$H$463,2)-'Your Lines'!$K$6:$K$463-'Your Lines'!$L$6:$L$463*'Your Lines'!$E$6:$E$463*ROUND($K25*'Your Lines'!$H$6:$H$463,2)/'Your Lines'!$G$6:$G$463,0))</f>
        <v>181444.533578034</v>
      </c>
      <c r="AH25" s="36" t="n">
        <f aca="false" t="array" ref="AH25:AH25">SUM(IF(('Your Lines'!$P$6:$P$463=$D25)*('Your Lines'!$O$6:$O$463&lt;$K25),'Your Lines'!$E$6:$E$463*ROUND($K25*'Your Lines'!$H$6:$H$463,2)-'Your Lines'!$G$6:$G$463,0))</f>
        <v>34000.9599999999</v>
      </c>
      <c r="AI25" s="26" t="n">
        <f aca="false" t="array" ref="AI25:AI25">SUM(IF(('Your Lines'!$P$6:$P$463=$D25)*('Your Lines'!$O$6:$O$463&lt;PERCENTILE(IF(('Your Lines'!$P$6:$P$463=$D25),'Your Lines'!$O$6:$O$463,""),Sensitivity!$B$85)),1,0))</f>
        <v>3</v>
      </c>
      <c r="AJ25" s="36" t="n">
        <f aca="false" t="array" ref="AJ25:AJ25">SUM(IF(('Your Lines'!$P$6:$P$463=$D25)*('Your Lines'!$O$6:$O$463&lt;PERCENTILE(IF(('Your Lines'!$P$6:$P$463=$D25),'Your Lines'!$O$6:$O$463,""),Sensitivity!$B$85)),('Your Lines'!$E$6:$E$463*ROUND(PERCENTILE(IF(('Your Lines'!$P$6:$P$463=$D25),'Your Lines'!$O$6:$O$463,""),Sensitivity!$B$85)*'Your Lines'!$H$6:$H$463,2)-'Your Lines'!$G$6:$G$463)-('Your Lines'!$L$6:$L$463*'Your Lines'!$E$6:$E$463*ROUND(PERCENTILE(IF(('Your Lines'!$P$6:$P$463=$D25),'Your Lines'!$O$6:$O$463,""),Sensitivity!$B$85)*'Your Lines'!$H$6:$H$463,2)/'Your Lines'!$G$6:$G$463-'Your Lines'!$L$6:$L$463),0))</f>
        <v>10833.8747418536</v>
      </c>
      <c r="AK25" s="36" t="n">
        <f aca="false" t="array" ref="AK25:AK25">SUM(IF(('Your Lines'!$P$6:$P$463=$D25)*('Your Lines'!$O$6:$O$463&lt;PERCENTILE(IF(('Your Lines'!$P$6:$P$463=$D25),'Your Lines'!$O$6:$O$463,""),Sensitivity!$B$85)),'Your Lines'!$E$6:$E$463*ROUND(PERCENTILE(IF(('Your Lines'!$P$6:$P$463=$D25),'Your Lines'!$O$6:$O$463,""),Sensitivity!$B$85)*'Your Lines'!$H$6:$H$463,2)-'Your Lines'!$K$6:$K$463-'Your Lines'!$L$6:$L$463*'Your Lines'!$E$6:$E$463*ROUND(PERCENTILE(IF(('Your Lines'!$P$6:$P$463=$D25),'Your Lines'!$O$6:$O$463,""),Sensitivity!$B$85)*'Your Lines'!$H$6:$H$463,2)/'Your Lines'!$G$6:$G$463,0))</f>
        <v>67947.3547418537</v>
      </c>
      <c r="AL25" s="26" t="n">
        <f aca="false" t="array" ref="AL25:AL25">SUM(IF(('Your Lines'!$P$6:$P$463=$D25)*('Your Lines'!$O$6:$O$463&lt;PERCENTILE(IF(('Your Lines'!$P$6:$P$463=$D25),'Your Lines'!$O$6:$O$463,""),Sensitivity!$B$86)),1,0))</f>
        <v>7</v>
      </c>
      <c r="AM25" s="36" t="n">
        <f aca="false" t="array" ref="AM25:AM25">SUM(IF(('Your Lines'!$P$6:$P$463=$D25)*('Your Lines'!$O$6:$O$463&lt;PERCENTILE(IF(('Your Lines'!$P$6:$P$463=$D25),'Your Lines'!$O$6:$O$463,""),Sensitivity!$B$86)),('Your Lines'!$E$6:$E$463*ROUND(PERCENTILE(IF(('Your Lines'!$P$6:$P$463=$D25),'Your Lines'!$O$6:$O$463,""),Sensitivity!$B$86)*'Your Lines'!$H$6:$H$463,2)-'Your Lines'!$G$6:$G$463)-('Your Lines'!$L$6:$L$463*'Your Lines'!$E$6:$E$463*ROUND(PERCENTILE(IF(('Your Lines'!$P$6:$P$463=$D25),'Your Lines'!$O$6:$O$463,""),Sensitivity!$B$86)*'Your Lines'!$H$6:$H$463,2)/'Your Lines'!$G$6:$G$463-'Your Lines'!$L$6:$L$463),0))</f>
        <v>33228.8235780338</v>
      </c>
      <c r="AN25" s="36" t="n">
        <f aca="false" t="array" ref="AN25:AN25">SUM(IF(('Your Lines'!$P$6:$P$463=$D25)*('Your Lines'!$O$6:$O$463&lt;PERCENTILE(IF(('Your Lines'!$P$6:$P$463=$D25),'Your Lines'!$O$6:$O$463,""),Sensitivity!$B$86)),'Your Lines'!$E$6:$E$463*ROUND(PERCENTILE(IF(('Your Lines'!$P$6:$P$463=$D25),'Your Lines'!$O$6:$O$463,""),Sensitivity!$B$86)*'Your Lines'!$H$6:$H$463,2)-'Your Lines'!$K$6:$K$463-'Your Lines'!$L$6:$L$463*'Your Lines'!$E$6:$E$463*ROUND(PERCENTILE(IF(('Your Lines'!$P$6:$P$463=$D25),'Your Lines'!$O$6:$O$463,""),Sensitivity!$B$86)*'Your Lines'!$H$6:$H$463,2)/'Your Lines'!$G$6:$G$463,0))</f>
        <v>181444.533578034</v>
      </c>
      <c r="AO25" s="26" t="n">
        <f aca="false" t="array" ref="AO25:AO25">SUM(IF(('Your Lines'!$P$6:$P$463=$D25)*('Your Lines'!$O$6:$O$463&lt;PERCENTILE(IF(('Your Lines'!$P$6:$P$463=$D25),'Your Lines'!$O$6:$O$463,""),Sensitivity!$B$87)),1,0))</f>
        <v>11</v>
      </c>
      <c r="AP25" s="36" t="n">
        <f aca="false" t="array" ref="AP25:AP25">SUM(IF(('Your Lines'!$P$6:$P$463=$D25)*('Your Lines'!$O$6:$O$463&lt;PERCENTILE(IF(('Your Lines'!$P$6:$P$463=$D25),'Your Lines'!$O$6:$O$463,""),Sensitivity!$B$87)),('Your Lines'!$E$6:$E$463*ROUND(PERCENTILE(IF(('Your Lines'!$P$6:$P$463=$D25),'Your Lines'!$O$6:$O$463,""),Sensitivity!$B$87)*'Your Lines'!$H$6:$H$463,2)-'Your Lines'!$G$6:$G$463)-('Your Lines'!$L$6:$L$463*'Your Lines'!$E$6:$E$463*ROUND(PERCENTILE(IF(('Your Lines'!$P$6:$P$463=$D25),'Your Lines'!$O$6:$O$463,""),Sensitivity!$B$87)*'Your Lines'!$H$6:$H$463,2)/'Your Lines'!$G$6:$G$463-'Your Lines'!$L$6:$L$463),0))</f>
        <v>74097.513580802</v>
      </c>
      <c r="AQ25" s="36" t="n">
        <f aca="false" t="array" ref="AQ25:AQ25">SUM(IF(('Your Lines'!$P$6:$P$463=$D25)*('Your Lines'!$O$6:$O$463&lt;PERCENTILE(IF(('Your Lines'!$P$6:$P$463=$D25),'Your Lines'!$O$6:$O$463,""),Sensitivity!$B$87)),'Your Lines'!$E$6:$E$463*ROUND(PERCENTILE(IF(('Your Lines'!$P$6:$P$463=$D25),'Your Lines'!$O$6:$O$463,""),Sensitivity!$B$87)*'Your Lines'!$H$6:$H$463,2)-'Your Lines'!$K$6:$K$463-'Your Lines'!$L$6:$L$463*'Your Lines'!$E$6:$E$463*ROUND(PERCENTILE(IF(('Your Lines'!$P$6:$P$463=$D25),'Your Lines'!$O$6:$O$463,""),Sensitivity!$B$87)*'Your Lines'!$H$6:$H$463,2)/'Your Lines'!$G$6:$G$463,0))</f>
        <v>337505.963580802</v>
      </c>
      <c r="AR25" s="26" t="n">
        <f aca="false" t="array" ref="AR25:AR25">SUM(IF(('Your Lines'!$P$6:$P$463=$D25)*('Your Lines'!$O$6:$O$463&lt;PERCENTILE(IF(('Your Lines'!$P$6:$P$463=$D25),'Your Lines'!$O$6:$O$463,""),Sensitivity!$B$88)),1,0))</f>
        <v>14</v>
      </c>
      <c r="AS25" s="36" t="n">
        <f aca="false" t="array" ref="AS25:AS25">SUM(IF(('Your Lines'!$P$6:$P$463=$D25)*('Your Lines'!$O$6:$O$463&lt;PERCENTILE(IF(('Your Lines'!$P$6:$P$463=$D25),'Your Lines'!$O$6:$O$463,""),Sensitivity!$B$88)),('Your Lines'!$E$6:$E$463*ROUND(PERCENTILE(IF(('Your Lines'!$P$6:$P$463=$D25),'Your Lines'!$O$6:$O$463,""),Sensitivity!$B$88)*'Your Lines'!$H$6:$H$463,2)-'Your Lines'!$G$6:$G$463)-('Your Lines'!$L$6:$L$463*'Your Lines'!$E$6:$E$463*ROUND(PERCENTILE(IF(('Your Lines'!$P$6:$P$463=$D25),'Your Lines'!$O$6:$O$463,""),Sensitivity!$B$88)*'Your Lines'!$H$6:$H$463,2)/'Your Lines'!$G$6:$G$463-'Your Lines'!$L$6:$L$463),0))</f>
        <v>105987.911848045</v>
      </c>
      <c r="AT25" s="36" t="n">
        <f aca="false" t="array" ref="AT25:AT25">SUM(IF(('Your Lines'!$P$6:$P$463=$D25)*('Your Lines'!$O$6:$O$463&lt;PERCENTILE(IF(('Your Lines'!$P$6:$P$463=$D25),'Your Lines'!$O$6:$O$463,""),Sensitivity!$B$88)),'Your Lines'!$E$6:$E$463*ROUND(PERCENTILE(IF(('Your Lines'!$P$6:$P$463=$D25),'Your Lines'!$O$6:$O$463,""),Sensitivity!$B$88)*'Your Lines'!$H$6:$H$463,2)-'Your Lines'!$K$6:$K$463-'Your Lines'!$L$6:$L$463*'Your Lines'!$E$6:$E$463*ROUND(PERCENTILE(IF(('Your Lines'!$P$6:$P$463=$D25),'Your Lines'!$O$6:$O$463,""),Sensitivity!$B$88)*'Your Lines'!$H$6:$H$463,2)/'Your Lines'!$G$6:$G$463,0))</f>
        <v>446232.231848045</v>
      </c>
      <c r="AV25" s="18" t="str">
        <f aca="false">VLOOKUP($B25,$B$53:$F$56,5,FALSE())</f>
        <v>no</v>
      </c>
    </row>
    <row r="26" customFormat="false" ht="15" hidden="false" customHeight="false" outlineLevel="0" collapsed="false">
      <c r="B26" s="18" t="s">
        <v>157</v>
      </c>
      <c r="C26" s="18" t="s">
        <v>52</v>
      </c>
      <c r="D26" s="18" t="str">
        <f aca="false">$B26&amp;" | "&amp;$C26</f>
        <v>Direct industrial | Structural adhesives</v>
      </c>
      <c r="E26" s="26" t="n">
        <f aca="false" t="array" ref="E26:E26">COUNT(IF(('Your Lines'!$P$6:$P$463=$D26),'Your Lines'!$O$6:$O$463,""))</f>
        <v>50</v>
      </c>
      <c r="F26" s="25" t="n">
        <f aca="false" t="array" ref="F26:F26">MIN(IF(('Your Lines'!$P$6:$P$463=$D26),'Your Lines'!$O$6:$O$463,""))</f>
        <v>0.827118001775117</v>
      </c>
      <c r="G26" s="25" t="n">
        <f aca="false" t="array" ref="G26:G26">PERCENTILE(IF(('Your Lines'!$P$6:$P$463=$D26),'Your Lines'!$O$6:$O$463,""),0.25)</f>
        <v>0.874622624783014</v>
      </c>
      <c r="H26" s="25" t="n">
        <f aca="false" t="array" ref="H26:H26">MEDIAN(IF(('Your Lines'!$P$6:$P$463=$D26),'Your Lines'!$O$6:$O$463,""))</f>
        <v>0.902595571565237</v>
      </c>
      <c r="I26" s="25" t="n">
        <f aca="false" t="array" ref="I26:I26">PERCENTILE(IF(('Your Lines'!$P$6:$P$463=$D26),'Your Lines'!$O$6:$O$463,""),0.75)</f>
        <v>0.926218471407565</v>
      </c>
      <c r="J26" s="25" t="n">
        <f aca="false" t="array" ref="J26:J26">MAX(IF(('Your Lines'!$P$6:$P$463=$D26),'Your Lines'!$O$6:$O$463,""))</f>
        <v>0.969220157657658</v>
      </c>
      <c r="K26" s="38" t="n">
        <f aca="false" t="array" ref="K26:K26">PERCENTILE(IF(('Your Lines'!$P$6:$P$463=$D26),'Your Lines'!$O$6:$O$463,""),$C$15)</f>
        <v>0.874622624783014</v>
      </c>
      <c r="L26" s="26" t="n">
        <f aca="false" t="array" ref="L26:L26">SUM(IF(('Your Lines'!$P$6:$P$463=$D26)*('Your Lines'!$O$6:$O$463&lt;$K26),1,0))</f>
        <v>13</v>
      </c>
      <c r="M26" s="26" t="n">
        <f aca="false" t="array" ref="M26:M26">SUM(IF(('Your Lines'!$P$6:$P$463=$D26)*('Your Lines'!$O$6:$O$463&lt;$K26),'Your Lines'!$E$6:$E$463,0))</f>
        <v>10859</v>
      </c>
      <c r="N26" s="15" t="n">
        <f aca="false" t="array" ref="N26:N26">ROUND(SUM(IF(('Your Lines'!$P$6:$P$463=$D26)*('Your Lines'!$O$6:$O$463&lt;$K26),'Your Lines'!$G$6:$G$463,0)),2)</f>
        <v>1379488.74</v>
      </c>
      <c r="O26" s="15" t="n">
        <f aca="false" t="array" ref="O26:O26">ROUND(SUM(IF(('Your Lines'!$P$6:$P$463=$D26)*('Your Lines'!$O$6:$O$463&lt;$K26),('Your Lines'!$E$6:$E$463*ROUND($K26*'Your Lines'!$H$6:$H$463,2)-'Your Lines'!$G$6:$G$463)-('Your Lines'!$L$6:$L$463*'Your Lines'!$E$6:$E$463*ROUND($K26*'Your Lines'!$H$6:$H$463,2)/'Your Lines'!$G$6:$G$463-'Your Lines'!$L$6:$L$463),0)),2)</f>
        <v>25555.55</v>
      </c>
      <c r="P26" s="15" t="n">
        <f aca="false" t="array" ref="P26:P26">ROUND(SUM(IF(('Your Lines'!$P$6:$P$463=$D26)*('Your Lines'!$O$6:$O$463&lt;$K26),'Your Lines'!$E$6:$E$463*ROUND($K26*'Your Lines'!$H$6:$H$463,2)-'Your Lines'!$K$6:$K$463-'Your Lines'!$L$6:$L$463*'Your Lines'!$E$6:$E$463*ROUND($K26*'Your Lines'!$H$6:$H$463,2)/'Your Lines'!$G$6:$G$463,0)),2)</f>
        <v>529311.87</v>
      </c>
      <c r="AF26" s="36" t="n">
        <f aca="false" t="array" ref="AF26:AF26">SUM(IF(('Your Lines'!$P$6:$P$463=$D26)*('Your Lines'!$O$6:$O$463&lt;$K26),('Your Lines'!$E$6:$E$463*ROUND($K26*'Your Lines'!$H$6:$H$463,2)-'Your Lines'!$G$6:$G$463)-('Your Lines'!$L$6:$L$463*'Your Lines'!$E$6:$E$463*ROUND($K26*'Your Lines'!$H$6:$H$463,2)/'Your Lines'!$G$6:$G$463-'Your Lines'!$L$6:$L$463),0))</f>
        <v>25555.5488776287</v>
      </c>
      <c r="AG26" s="36" t="n">
        <f aca="false" t="array" ref="AG26:AG26">SUM(IF(('Your Lines'!$P$6:$P$463=$D26)*('Your Lines'!$O$6:$O$463&lt;$K26),'Your Lines'!$E$6:$E$463*ROUND($K26*'Your Lines'!$H$6:$H$463,2)-'Your Lines'!$K$6:$K$463-'Your Lines'!$L$6:$L$463*'Your Lines'!$E$6:$E$463*ROUND($K26*'Your Lines'!$H$6:$H$463,2)/'Your Lines'!$G$6:$G$463,0))</f>
        <v>529311.868877629</v>
      </c>
      <c r="AH26" s="36" t="n">
        <f aca="false" t="array" ref="AH26:AH26">SUM(IF(('Your Lines'!$P$6:$P$463=$D26)*('Your Lines'!$O$6:$O$463&lt;$K26),'Your Lines'!$E$6:$E$463*ROUND($K26*'Your Lines'!$H$6:$H$463,2)-'Your Lines'!$G$6:$G$463,0))</f>
        <v>26100.2200000001</v>
      </c>
      <c r="AI26" s="26" t="n">
        <f aca="false" t="array" ref="AI26:AI26">SUM(IF(('Your Lines'!$P$6:$P$463=$D26)*('Your Lines'!$O$6:$O$463&lt;PERCENTILE(IF(('Your Lines'!$P$6:$P$463=$D26),'Your Lines'!$O$6:$O$463,""),Sensitivity!$B$85)),1,0))</f>
        <v>5</v>
      </c>
      <c r="AJ26" s="36" t="n">
        <f aca="false" t="array" ref="AJ26:AJ26">SUM(IF(('Your Lines'!$P$6:$P$463=$D26)*('Your Lines'!$O$6:$O$463&lt;PERCENTILE(IF(('Your Lines'!$P$6:$P$463=$D26),'Your Lines'!$O$6:$O$463,""),Sensitivity!$B$85)),('Your Lines'!$E$6:$E$463*ROUND(PERCENTILE(IF(('Your Lines'!$P$6:$P$463=$D26),'Your Lines'!$O$6:$O$463,""),Sensitivity!$B$85)*'Your Lines'!$H$6:$H$463,2)-'Your Lines'!$G$6:$G$463)-('Your Lines'!$L$6:$L$463*'Your Lines'!$E$6:$E$463*ROUND(PERCENTILE(IF(('Your Lines'!$P$6:$P$463=$D26),'Your Lines'!$O$6:$O$463,""),Sensitivity!$B$85)*'Your Lines'!$H$6:$H$463,2)/'Your Lines'!$G$6:$G$463-'Your Lines'!$L$6:$L$463),0))</f>
        <v>10730.9013659461</v>
      </c>
      <c r="AK26" s="36" t="n">
        <f aca="false" t="array" ref="AK26:AK26">SUM(IF(('Your Lines'!$P$6:$P$463=$D26)*('Your Lines'!$O$6:$O$463&lt;PERCENTILE(IF(('Your Lines'!$P$6:$P$463=$D26),'Your Lines'!$O$6:$O$463,""),Sensitivity!$B$85)),'Your Lines'!$E$6:$E$463*ROUND(PERCENTILE(IF(('Your Lines'!$P$6:$P$463=$D26),'Your Lines'!$O$6:$O$463,""),Sensitivity!$B$85)*'Your Lines'!$H$6:$H$463,2)-'Your Lines'!$K$6:$K$463-'Your Lines'!$L$6:$L$463*'Your Lines'!$E$6:$E$463*ROUND(PERCENTILE(IF(('Your Lines'!$P$6:$P$463=$D26),'Your Lines'!$O$6:$O$463,""),Sensitivity!$B$85)*'Your Lines'!$H$6:$H$463,2)/'Your Lines'!$G$6:$G$463,0))</f>
        <v>181576.521365946</v>
      </c>
      <c r="AL26" s="26" t="n">
        <f aca="false" t="array" ref="AL26:AL26">SUM(IF(('Your Lines'!$P$6:$P$463=$D26)*('Your Lines'!$O$6:$O$463&lt;PERCENTILE(IF(('Your Lines'!$P$6:$P$463=$D26),'Your Lines'!$O$6:$O$463,""),Sensitivity!$B$86)),1,0))</f>
        <v>13</v>
      </c>
      <c r="AM26" s="36" t="n">
        <f aca="false" t="array" ref="AM26:AM26">SUM(IF(('Your Lines'!$P$6:$P$463=$D26)*('Your Lines'!$O$6:$O$463&lt;PERCENTILE(IF(('Your Lines'!$P$6:$P$463=$D26),'Your Lines'!$O$6:$O$463,""),Sensitivity!$B$86)),('Your Lines'!$E$6:$E$463*ROUND(PERCENTILE(IF(('Your Lines'!$P$6:$P$463=$D26),'Your Lines'!$O$6:$O$463,""),Sensitivity!$B$86)*'Your Lines'!$H$6:$H$463,2)-'Your Lines'!$G$6:$G$463)-('Your Lines'!$L$6:$L$463*'Your Lines'!$E$6:$E$463*ROUND(PERCENTILE(IF(('Your Lines'!$P$6:$P$463=$D26),'Your Lines'!$O$6:$O$463,""),Sensitivity!$B$86)*'Your Lines'!$H$6:$H$463,2)/'Your Lines'!$G$6:$G$463-'Your Lines'!$L$6:$L$463),0))</f>
        <v>25555.5488776287</v>
      </c>
      <c r="AN26" s="36" t="n">
        <f aca="false" t="array" ref="AN26:AN26">SUM(IF(('Your Lines'!$P$6:$P$463=$D26)*('Your Lines'!$O$6:$O$463&lt;PERCENTILE(IF(('Your Lines'!$P$6:$P$463=$D26),'Your Lines'!$O$6:$O$463,""),Sensitivity!$B$86)),'Your Lines'!$E$6:$E$463*ROUND(PERCENTILE(IF(('Your Lines'!$P$6:$P$463=$D26),'Your Lines'!$O$6:$O$463,""),Sensitivity!$B$86)*'Your Lines'!$H$6:$H$463,2)-'Your Lines'!$K$6:$K$463-'Your Lines'!$L$6:$L$463*'Your Lines'!$E$6:$E$463*ROUND(PERCENTILE(IF(('Your Lines'!$P$6:$P$463=$D26),'Your Lines'!$O$6:$O$463,""),Sensitivity!$B$86)*'Your Lines'!$H$6:$H$463,2)/'Your Lines'!$G$6:$G$463,0))</f>
        <v>529311.868877629</v>
      </c>
      <c r="AO26" s="26" t="n">
        <f aca="false" t="array" ref="AO26:AO26">SUM(IF(('Your Lines'!$P$6:$P$463=$D26)*('Your Lines'!$O$6:$O$463&lt;PERCENTILE(IF(('Your Lines'!$P$6:$P$463=$D26),'Your Lines'!$O$6:$O$463,""),Sensitivity!$B$87)),1,0))</f>
        <v>20</v>
      </c>
      <c r="AP26" s="36" t="n">
        <f aca="false" t="array" ref="AP26:AP26">SUM(IF(('Your Lines'!$P$6:$P$463=$D26)*('Your Lines'!$O$6:$O$463&lt;PERCENTILE(IF(('Your Lines'!$P$6:$P$463=$D26),'Your Lines'!$O$6:$O$463,""),Sensitivity!$B$87)),('Your Lines'!$E$6:$E$463*ROUND(PERCENTILE(IF(('Your Lines'!$P$6:$P$463=$D26),'Your Lines'!$O$6:$O$463,""),Sensitivity!$B$87)*'Your Lines'!$H$6:$H$463,2)-'Your Lines'!$G$6:$G$463)-('Your Lines'!$L$6:$L$463*'Your Lines'!$E$6:$E$463*ROUND(PERCENTILE(IF(('Your Lines'!$P$6:$P$463=$D26),'Your Lines'!$O$6:$O$463,""),Sensitivity!$B$87)*'Your Lines'!$H$6:$H$463,2)/'Your Lines'!$G$6:$G$463-'Your Lines'!$L$6:$L$463),0))</f>
        <v>64029.4980323684</v>
      </c>
      <c r="AQ26" s="36" t="n">
        <f aca="false" t="array" ref="AQ26:AQ26">SUM(IF(('Your Lines'!$P$6:$P$463=$D26)*('Your Lines'!$O$6:$O$463&lt;PERCENTILE(IF(('Your Lines'!$P$6:$P$463=$D26),'Your Lines'!$O$6:$O$463,""),Sensitivity!$B$87)),'Your Lines'!$E$6:$E$463*ROUND(PERCENTILE(IF(('Your Lines'!$P$6:$P$463=$D26),'Your Lines'!$O$6:$O$463,""),Sensitivity!$B$87)*'Your Lines'!$H$6:$H$463,2)-'Your Lines'!$K$6:$K$463-'Your Lines'!$L$6:$L$463*'Your Lines'!$E$6:$E$463*ROUND(PERCENTILE(IF(('Your Lines'!$P$6:$P$463=$D26),'Your Lines'!$O$6:$O$463,""),Sensitivity!$B$87)*'Your Lines'!$H$6:$H$463,2)/'Your Lines'!$G$6:$G$463,0))</f>
        <v>864212.448032368</v>
      </c>
      <c r="AR26" s="26" t="n">
        <f aca="false" t="array" ref="AR26:AR26">SUM(IF(('Your Lines'!$P$6:$P$463=$D26)*('Your Lines'!$O$6:$O$463&lt;PERCENTILE(IF(('Your Lines'!$P$6:$P$463=$D26),'Your Lines'!$O$6:$O$463,""),Sensitivity!$B$88)),1,0))</f>
        <v>25</v>
      </c>
      <c r="AS26" s="36" t="n">
        <f aca="false" t="array" ref="AS26:AS26">SUM(IF(('Your Lines'!$P$6:$P$463=$D26)*('Your Lines'!$O$6:$O$463&lt;PERCENTILE(IF(('Your Lines'!$P$6:$P$463=$D26),'Your Lines'!$O$6:$O$463,""),Sensitivity!$B$88)),('Your Lines'!$E$6:$E$463*ROUND(PERCENTILE(IF(('Your Lines'!$P$6:$P$463=$D26),'Your Lines'!$O$6:$O$463,""),Sensitivity!$B$88)*'Your Lines'!$H$6:$H$463,2)-'Your Lines'!$G$6:$G$463)-('Your Lines'!$L$6:$L$463*'Your Lines'!$E$6:$E$463*ROUND(PERCENTILE(IF(('Your Lines'!$P$6:$P$463=$D26),'Your Lines'!$O$6:$O$463,""),Sensitivity!$B$88)*'Your Lines'!$H$6:$H$463,2)/'Your Lines'!$G$6:$G$463-'Your Lines'!$L$6:$L$463),0))</f>
        <v>90192.2004764643</v>
      </c>
      <c r="AT26" s="36" t="n">
        <f aca="false" t="array" ref="AT26:AT26">SUM(IF(('Your Lines'!$P$6:$P$463=$D26)*('Your Lines'!$O$6:$O$463&lt;PERCENTILE(IF(('Your Lines'!$P$6:$P$463=$D26),'Your Lines'!$O$6:$O$463,""),Sensitivity!$B$88)),'Your Lines'!$E$6:$E$463*ROUND(PERCENTILE(IF(('Your Lines'!$P$6:$P$463=$D26),'Your Lines'!$O$6:$O$463,""),Sensitivity!$B$88)*'Your Lines'!$H$6:$H$463,2)-'Your Lines'!$K$6:$K$463-'Your Lines'!$L$6:$L$463*'Your Lines'!$E$6:$E$463*ROUND(PERCENTILE(IF(('Your Lines'!$P$6:$P$463=$D26),'Your Lines'!$O$6:$O$463,""),Sensitivity!$B$88)*'Your Lines'!$H$6:$H$463,2)/'Your Lines'!$G$6:$G$463,0))</f>
        <v>1087854.83047646</v>
      </c>
      <c r="AV26" s="18" t="str">
        <f aca="false">VLOOKUP($B26,$B$53:$F$56,5,FALSE())</f>
        <v>no</v>
      </c>
    </row>
    <row r="27" customFormat="false" ht="15" hidden="false" customHeight="false" outlineLevel="0" collapsed="false">
      <c r="B27" s="18" t="s">
        <v>157</v>
      </c>
      <c r="C27" s="18" t="s">
        <v>54</v>
      </c>
      <c r="D27" s="18" t="str">
        <f aca="false">$B27&amp;" | "&amp;$C27</f>
        <v>Direct industrial | Sealants</v>
      </c>
      <c r="E27" s="26" t="n">
        <f aca="false" t="array" ref="E27:E27">COUNT(IF(('Your Lines'!$P$6:$P$463=$D27),'Your Lines'!$O$6:$O$463,""))</f>
        <v>51</v>
      </c>
      <c r="F27" s="25" t="n">
        <f aca="false" t="array" ref="F27:F27">MIN(IF(('Your Lines'!$P$6:$P$463=$D27),'Your Lines'!$O$6:$O$463,""))</f>
        <v>0.728687970249935</v>
      </c>
      <c r="G27" s="25" t="n">
        <f aca="false" t="array" ref="G27:G27">PERCENTILE(IF(('Your Lines'!$P$6:$P$463=$D27),'Your Lines'!$O$6:$O$463,""),0.25)</f>
        <v>0.834035886176071</v>
      </c>
      <c r="H27" s="25" t="n">
        <f aca="false" t="array" ref="H27:H27">MEDIAN(IF(('Your Lines'!$P$6:$P$463=$D27),'Your Lines'!$O$6:$O$463,""))</f>
        <v>0.878547896355428</v>
      </c>
      <c r="I27" s="25" t="n">
        <f aca="false" t="array" ref="I27:I27">PERCENTILE(IF(('Your Lines'!$P$6:$P$463=$D27),'Your Lines'!$O$6:$O$463,""),0.75)</f>
        <v>0.910492454439175</v>
      </c>
      <c r="J27" s="25" t="n">
        <f aca="false" t="array" ref="J27:J27">MAX(IF(('Your Lines'!$P$6:$P$463=$D27),'Your Lines'!$O$6:$O$463,""))</f>
        <v>0.96921999195868</v>
      </c>
      <c r="K27" s="38" t="n">
        <f aca="false" t="array" ref="K27:K27">PERCENTILE(IF(('Your Lines'!$P$6:$P$463=$D27),'Your Lines'!$O$6:$O$463,""),$C$15)</f>
        <v>0.834035886176071</v>
      </c>
      <c r="L27" s="26" t="n">
        <f aca="false" t="array" ref="L27:L27">SUM(IF(('Your Lines'!$P$6:$P$463=$D27)*('Your Lines'!$O$6:$O$463&lt;$K27),1,0))</f>
        <v>13</v>
      </c>
      <c r="M27" s="26" t="n">
        <f aca="false" t="array" ref="M27:M27">SUM(IF(('Your Lines'!$P$6:$P$463=$D27)*('Your Lines'!$O$6:$O$463&lt;$K27),'Your Lines'!$E$6:$E$463,0))</f>
        <v>29117</v>
      </c>
      <c r="N27" s="15" t="n">
        <f aca="false" t="array" ref="N27:N27">ROUND(SUM(IF(('Your Lines'!$P$6:$P$463=$D27)*('Your Lines'!$O$6:$O$463&lt;$K27),'Your Lines'!$G$6:$G$463,0)),2)</f>
        <v>1429862.43</v>
      </c>
      <c r="O27" s="15" t="n">
        <f aca="false" t="array" ref="O27:O27">ROUND(SUM(IF(('Your Lines'!$P$6:$P$463=$D27)*('Your Lines'!$O$6:$O$463&lt;$K27),('Your Lines'!$E$6:$E$463*ROUND($K27*'Your Lines'!$H$6:$H$463,2)-'Your Lines'!$G$6:$G$463)-('Your Lines'!$L$6:$L$463*'Your Lines'!$E$6:$E$463*ROUND($K27*'Your Lines'!$H$6:$H$463,2)/'Your Lines'!$G$6:$G$463-'Your Lines'!$L$6:$L$463),0)),2)</f>
        <v>74207.98</v>
      </c>
      <c r="P27" s="15" t="n">
        <f aca="false" t="array" ref="P27:P27">ROUND(SUM(IF(('Your Lines'!$P$6:$P$463=$D27)*('Your Lines'!$O$6:$O$463&lt;$K27),'Your Lines'!$E$6:$E$463*ROUND($K27*'Your Lines'!$H$6:$H$463,2)-'Your Lines'!$K$6:$K$463-'Your Lines'!$L$6:$L$463*'Your Lines'!$E$6:$E$463*ROUND($K27*'Your Lines'!$H$6:$H$463,2)/'Your Lines'!$G$6:$G$463,0)),2)</f>
        <v>426260.75</v>
      </c>
      <c r="AF27" s="36" t="n">
        <f aca="false" t="array" ref="AF27:AF27">SUM(IF(('Your Lines'!$P$6:$P$463=$D27)*('Your Lines'!$O$6:$O$463&lt;$K27),('Your Lines'!$E$6:$E$463*ROUND($K27*'Your Lines'!$H$6:$H$463,2)-'Your Lines'!$G$6:$G$463)-('Your Lines'!$L$6:$L$463*'Your Lines'!$E$6:$E$463*ROUND($K27*'Your Lines'!$H$6:$H$463,2)/'Your Lines'!$G$6:$G$463-'Your Lines'!$L$6:$L$463),0))</f>
        <v>74207.9806372396</v>
      </c>
      <c r="AG27" s="36" t="n">
        <f aca="false" t="array" ref="AG27:AG27">SUM(IF(('Your Lines'!$P$6:$P$463=$D27)*('Your Lines'!$O$6:$O$463&lt;$K27),'Your Lines'!$E$6:$E$463*ROUND($K27*'Your Lines'!$H$6:$H$463,2)-'Your Lines'!$K$6:$K$463-'Your Lines'!$L$6:$L$463*'Your Lines'!$E$6:$E$463*ROUND($K27*'Your Lines'!$H$6:$H$463,2)/'Your Lines'!$G$6:$G$463,0))</f>
        <v>426260.75063724</v>
      </c>
      <c r="AH27" s="36" t="n">
        <f aca="false" t="array" ref="AH27:AH27">SUM(IF(('Your Lines'!$P$6:$P$463=$D27)*('Your Lines'!$O$6:$O$463&lt;$K27),'Your Lines'!$E$6:$E$463*ROUND($K27*'Your Lines'!$H$6:$H$463,2)-'Your Lines'!$G$6:$G$463,0))</f>
        <v>75777.6400000001</v>
      </c>
      <c r="AI27" s="26" t="n">
        <f aca="false" t="array" ref="AI27:AI27">SUM(IF(('Your Lines'!$P$6:$P$463=$D27)*('Your Lines'!$O$6:$O$463&lt;PERCENTILE(IF(('Your Lines'!$P$6:$P$463=$D27),'Your Lines'!$O$6:$O$463,""),Sensitivity!$B$85)),1,0))</f>
        <v>5</v>
      </c>
      <c r="AJ27" s="36" t="n">
        <f aca="false" t="array" ref="AJ27:AJ27">SUM(IF(('Your Lines'!$P$6:$P$463=$D27)*('Your Lines'!$O$6:$O$463&lt;PERCENTILE(IF(('Your Lines'!$P$6:$P$463=$D27),'Your Lines'!$O$6:$O$463,""),Sensitivity!$B$85)),('Your Lines'!$E$6:$E$463*ROUND(PERCENTILE(IF(('Your Lines'!$P$6:$P$463=$D27),'Your Lines'!$O$6:$O$463,""),Sensitivity!$B$85)*'Your Lines'!$H$6:$H$463,2)-'Your Lines'!$G$6:$G$463)-('Your Lines'!$L$6:$L$463*'Your Lines'!$E$6:$E$463*ROUND(PERCENTILE(IF(('Your Lines'!$P$6:$P$463=$D27),'Your Lines'!$O$6:$O$463,""),Sensitivity!$B$85)*'Your Lines'!$H$6:$H$463,2)/'Your Lines'!$G$6:$G$463-'Your Lines'!$L$6:$L$463),0))</f>
        <v>16072.7161481154</v>
      </c>
      <c r="AK27" s="36" t="n">
        <f aca="false" t="array" ref="AK27:AK27">SUM(IF(('Your Lines'!$P$6:$P$463=$D27)*('Your Lines'!$O$6:$O$463&lt;PERCENTILE(IF(('Your Lines'!$P$6:$P$463=$D27),'Your Lines'!$O$6:$O$463,""),Sensitivity!$B$85)),'Your Lines'!$E$6:$E$463*ROUND(PERCENTILE(IF(('Your Lines'!$P$6:$P$463=$D27),'Your Lines'!$O$6:$O$463,""),Sensitivity!$B$85)*'Your Lines'!$H$6:$H$463,2)-'Your Lines'!$K$6:$K$463-'Your Lines'!$L$6:$L$463*'Your Lines'!$E$6:$E$463*ROUND(PERCENTILE(IF(('Your Lines'!$P$6:$P$463=$D27),'Your Lines'!$O$6:$O$463,""),Sensitivity!$B$85)*'Your Lines'!$H$6:$H$463,2)/'Your Lines'!$G$6:$G$463,0))</f>
        <v>121616.996148115</v>
      </c>
      <c r="AL27" s="26" t="n">
        <f aca="false" t="array" ref="AL27:AL27">SUM(IF(('Your Lines'!$P$6:$P$463=$D27)*('Your Lines'!$O$6:$O$463&lt;PERCENTILE(IF(('Your Lines'!$P$6:$P$463=$D27),'Your Lines'!$O$6:$O$463,""),Sensitivity!$B$86)),1,0))</f>
        <v>13</v>
      </c>
      <c r="AM27" s="36" t="n">
        <f aca="false" t="array" ref="AM27:AM27">SUM(IF(('Your Lines'!$P$6:$P$463=$D27)*('Your Lines'!$O$6:$O$463&lt;PERCENTILE(IF(('Your Lines'!$P$6:$P$463=$D27),'Your Lines'!$O$6:$O$463,""),Sensitivity!$B$86)),('Your Lines'!$E$6:$E$463*ROUND(PERCENTILE(IF(('Your Lines'!$P$6:$P$463=$D27),'Your Lines'!$O$6:$O$463,""),Sensitivity!$B$86)*'Your Lines'!$H$6:$H$463,2)-'Your Lines'!$G$6:$G$463)-('Your Lines'!$L$6:$L$463*'Your Lines'!$E$6:$E$463*ROUND(PERCENTILE(IF(('Your Lines'!$P$6:$P$463=$D27),'Your Lines'!$O$6:$O$463,""),Sensitivity!$B$86)*'Your Lines'!$H$6:$H$463,2)/'Your Lines'!$G$6:$G$463-'Your Lines'!$L$6:$L$463),0))</f>
        <v>74207.9806372396</v>
      </c>
      <c r="AN27" s="36" t="n">
        <f aca="false" t="array" ref="AN27:AN27">SUM(IF(('Your Lines'!$P$6:$P$463=$D27)*('Your Lines'!$O$6:$O$463&lt;PERCENTILE(IF(('Your Lines'!$P$6:$P$463=$D27),'Your Lines'!$O$6:$O$463,""),Sensitivity!$B$86)),'Your Lines'!$E$6:$E$463*ROUND(PERCENTILE(IF(('Your Lines'!$P$6:$P$463=$D27),'Your Lines'!$O$6:$O$463,""),Sensitivity!$B$86)*'Your Lines'!$H$6:$H$463,2)-'Your Lines'!$K$6:$K$463-'Your Lines'!$L$6:$L$463*'Your Lines'!$E$6:$E$463*ROUND(PERCENTILE(IF(('Your Lines'!$P$6:$P$463=$D27),'Your Lines'!$O$6:$O$463,""),Sensitivity!$B$86)*'Your Lines'!$H$6:$H$463,2)/'Your Lines'!$G$6:$G$463,0))</f>
        <v>426260.75063724</v>
      </c>
      <c r="AO27" s="26" t="n">
        <f aca="false" t="array" ref="AO27:AO27">SUM(IF(('Your Lines'!$P$6:$P$463=$D27)*('Your Lines'!$O$6:$O$463&lt;PERCENTILE(IF(('Your Lines'!$P$6:$P$463=$D27),'Your Lines'!$O$6:$O$463,""),Sensitivity!$B$87)),1,0))</f>
        <v>20</v>
      </c>
      <c r="AP27" s="36" t="n">
        <f aca="false" t="array" ref="AP27:AP27">SUM(IF(('Your Lines'!$P$6:$P$463=$D27)*('Your Lines'!$O$6:$O$463&lt;PERCENTILE(IF(('Your Lines'!$P$6:$P$463=$D27),'Your Lines'!$O$6:$O$463,""),Sensitivity!$B$87)),('Your Lines'!$E$6:$E$463*ROUND(PERCENTILE(IF(('Your Lines'!$P$6:$P$463=$D27),'Your Lines'!$O$6:$O$463,""),Sensitivity!$B$87)*'Your Lines'!$H$6:$H$463,2)-'Your Lines'!$G$6:$G$463)-('Your Lines'!$L$6:$L$463*'Your Lines'!$E$6:$E$463*ROUND(PERCENTILE(IF(('Your Lines'!$P$6:$P$463=$D27),'Your Lines'!$O$6:$O$463,""),Sensitivity!$B$87)*'Your Lines'!$H$6:$H$463,2)/'Your Lines'!$G$6:$G$463-'Your Lines'!$L$6:$L$463),0))</f>
        <v>149017.970329657</v>
      </c>
      <c r="AQ27" s="36" t="n">
        <f aca="false" t="array" ref="AQ27:AQ27">SUM(IF(('Your Lines'!$P$6:$P$463=$D27)*('Your Lines'!$O$6:$O$463&lt;PERCENTILE(IF(('Your Lines'!$P$6:$P$463=$D27),'Your Lines'!$O$6:$O$463,""),Sensitivity!$B$87)),'Your Lines'!$E$6:$E$463*ROUND(PERCENTILE(IF(('Your Lines'!$P$6:$P$463=$D27),'Your Lines'!$O$6:$O$463,""),Sensitivity!$B$87)*'Your Lines'!$H$6:$H$463,2)-'Your Lines'!$K$6:$K$463-'Your Lines'!$L$6:$L$463*'Your Lines'!$E$6:$E$463*ROUND(PERCENTILE(IF(('Your Lines'!$P$6:$P$463=$D27),'Your Lines'!$O$6:$O$463,""),Sensitivity!$B$87)*'Your Lines'!$H$6:$H$463,2)/'Your Lines'!$G$6:$G$463,0))</f>
        <v>704306.990329657</v>
      </c>
      <c r="AR27" s="26" t="n">
        <f aca="false" t="array" ref="AR27:AR27">SUM(IF(('Your Lines'!$P$6:$P$463=$D27)*('Your Lines'!$O$6:$O$463&lt;PERCENTILE(IF(('Your Lines'!$P$6:$P$463=$D27),'Your Lines'!$O$6:$O$463,""),Sensitivity!$B$88)),1,0))</f>
        <v>25</v>
      </c>
      <c r="AS27" s="36" t="n">
        <f aca="false" t="array" ref="AS27:AS27">SUM(IF(('Your Lines'!$P$6:$P$463=$D27)*('Your Lines'!$O$6:$O$463&lt;PERCENTILE(IF(('Your Lines'!$P$6:$P$463=$D27),'Your Lines'!$O$6:$O$463,""),Sensitivity!$B$88)),('Your Lines'!$E$6:$E$463*ROUND(PERCENTILE(IF(('Your Lines'!$P$6:$P$463=$D27),'Your Lines'!$O$6:$O$463,""),Sensitivity!$B$88)*'Your Lines'!$H$6:$H$463,2)-'Your Lines'!$G$6:$G$463)-('Your Lines'!$L$6:$L$463*'Your Lines'!$E$6:$E$463*ROUND(PERCENTILE(IF(('Your Lines'!$P$6:$P$463=$D27),'Your Lines'!$O$6:$O$463,""),Sensitivity!$B$88)*'Your Lines'!$H$6:$H$463,2)/'Your Lines'!$G$6:$G$463-'Your Lines'!$L$6:$L$463),0))</f>
        <v>184944.584729345</v>
      </c>
      <c r="AT27" s="36" t="n">
        <f aca="false" t="array" ref="AT27:AT27">SUM(IF(('Your Lines'!$P$6:$P$463=$D27)*('Your Lines'!$O$6:$O$463&lt;PERCENTILE(IF(('Your Lines'!$P$6:$P$463=$D27),'Your Lines'!$O$6:$O$463,""),Sensitivity!$B$88)),'Your Lines'!$E$6:$E$463*ROUND(PERCENTILE(IF(('Your Lines'!$P$6:$P$463=$D27),'Your Lines'!$O$6:$O$463,""),Sensitivity!$B$88)*'Your Lines'!$H$6:$H$463,2)-'Your Lines'!$K$6:$K$463-'Your Lines'!$L$6:$L$463*'Your Lines'!$E$6:$E$463*ROUND(PERCENTILE(IF(('Your Lines'!$P$6:$P$463=$D27),'Your Lines'!$O$6:$O$463,""),Sensitivity!$B$88)*'Your Lines'!$H$6:$H$463,2)/'Your Lines'!$G$6:$G$463,0))</f>
        <v>904776.004729345</v>
      </c>
      <c r="AV27" s="18" t="str">
        <f aca="false">VLOOKUP($B27,$B$53:$F$56,5,FALSE())</f>
        <v>no</v>
      </c>
    </row>
    <row r="28" customFormat="false" ht="15" hidden="false" customHeight="false" outlineLevel="0" collapsed="false">
      <c r="B28" s="18" t="s">
        <v>157</v>
      </c>
      <c r="C28" s="18" t="s">
        <v>56</v>
      </c>
      <c r="D28" s="18" t="str">
        <f aca="false">$B28&amp;" | "&amp;$C28</f>
        <v>Direct industrial | Protective coatings</v>
      </c>
      <c r="E28" s="26" t="n">
        <f aca="false" t="array" ref="E28:E28">COUNT(IF(('Your Lines'!$P$6:$P$463=$D28),'Your Lines'!$O$6:$O$463,""))</f>
        <v>51</v>
      </c>
      <c r="F28" s="25" t="n">
        <f aca="false" t="array" ref="F28:F28">MIN(IF(('Your Lines'!$P$6:$P$463=$D28),'Your Lines'!$O$6:$O$463,""))</f>
        <v>0.778464066651039</v>
      </c>
      <c r="G28" s="25" t="n">
        <f aca="false" t="array" ref="G28:G28">PERCENTILE(IF(('Your Lines'!$P$6:$P$463=$D28),'Your Lines'!$O$6:$O$463,""),0.25)</f>
        <v>0.853768804407086</v>
      </c>
      <c r="H28" s="25" t="n">
        <f aca="false" t="array" ref="H28:H28">MEDIAN(IF(('Your Lines'!$P$6:$P$463=$D28),'Your Lines'!$O$6:$O$463,""))</f>
        <v>0.893020794158205</v>
      </c>
      <c r="I28" s="25" t="n">
        <f aca="false" t="array" ref="I28:I28">PERCENTILE(IF(('Your Lines'!$P$6:$P$463=$D28),'Your Lines'!$O$6:$O$463,""),0.75)</f>
        <v>0.916221673304965</v>
      </c>
      <c r="J28" s="25" t="n">
        <f aca="false" t="array" ref="J28:J28">MAX(IF(('Your Lines'!$P$6:$P$463=$D28),'Your Lines'!$O$6:$O$463,""))</f>
        <v>0.96921996996997</v>
      </c>
      <c r="K28" s="38" t="n">
        <f aca="false" t="array" ref="K28:K28">PERCENTILE(IF(('Your Lines'!$P$6:$P$463=$D28),'Your Lines'!$O$6:$O$463,""),$C$15)</f>
        <v>0.853768804407086</v>
      </c>
      <c r="L28" s="26" t="n">
        <f aca="false" t="array" ref="L28:L28">SUM(IF(('Your Lines'!$P$6:$P$463=$D28)*('Your Lines'!$O$6:$O$463&lt;$K28),1,0))</f>
        <v>13</v>
      </c>
      <c r="M28" s="26" t="n">
        <f aca="false" t="array" ref="M28:M28">SUM(IF(('Your Lines'!$P$6:$P$463=$D28)*('Your Lines'!$O$6:$O$463&lt;$K28),'Your Lines'!$E$6:$E$463,0))</f>
        <v>20874</v>
      </c>
      <c r="N28" s="15" t="n">
        <f aca="false" t="array" ref="N28:N28">ROUND(SUM(IF(('Your Lines'!$P$6:$P$463=$D28)*('Your Lines'!$O$6:$O$463&lt;$K28),'Your Lines'!$G$6:$G$463,0)),2)</f>
        <v>1655226.86</v>
      </c>
      <c r="O28" s="15" t="n">
        <f aca="false" t="array" ref="O28:O28">ROUND(SUM(IF(('Your Lines'!$P$6:$P$463=$D28)*('Your Lines'!$O$6:$O$463&lt;$K28),('Your Lines'!$E$6:$E$463*ROUND($K28*'Your Lines'!$H$6:$H$463,2)-'Your Lines'!$G$6:$G$463)-('Your Lines'!$L$6:$L$463*'Your Lines'!$E$6:$E$463*ROUND($K28*'Your Lines'!$H$6:$H$463,2)/'Your Lines'!$G$6:$G$463-'Your Lines'!$L$6:$L$463),0)),2)</f>
        <v>54449.11</v>
      </c>
      <c r="P28" s="15" t="n">
        <f aca="false" t="array" ref="P28:P28">ROUND(SUM(IF(('Your Lines'!$P$6:$P$463=$D28)*('Your Lines'!$O$6:$O$463&lt;$K28),'Your Lines'!$E$6:$E$463*ROUND($K28*'Your Lines'!$H$6:$H$463,2)-'Your Lines'!$K$6:$K$463-'Your Lines'!$L$6:$L$463*'Your Lines'!$E$6:$E$463*ROUND($K28*'Your Lines'!$H$6:$H$463,2)/'Your Lines'!$G$6:$G$463,0)),2)</f>
        <v>464616</v>
      </c>
      <c r="AF28" s="36" t="n">
        <f aca="false" t="array" ref="AF28:AF28">SUM(IF(('Your Lines'!$P$6:$P$463=$D28)*('Your Lines'!$O$6:$O$463&lt;$K28),('Your Lines'!$E$6:$E$463*ROUND($K28*'Your Lines'!$H$6:$H$463,2)-'Your Lines'!$G$6:$G$463)-('Your Lines'!$L$6:$L$463*'Your Lines'!$E$6:$E$463*ROUND($K28*'Your Lines'!$H$6:$H$463,2)/'Your Lines'!$G$6:$G$463-'Your Lines'!$L$6:$L$463),0))</f>
        <v>54449.107407364</v>
      </c>
      <c r="AG28" s="36" t="n">
        <f aca="false" t="array" ref="AG28:AG28">SUM(IF(('Your Lines'!$P$6:$P$463=$D28)*('Your Lines'!$O$6:$O$463&lt;$K28),'Your Lines'!$E$6:$E$463*ROUND($K28*'Your Lines'!$H$6:$H$463,2)-'Your Lines'!$K$6:$K$463-'Your Lines'!$L$6:$L$463*'Your Lines'!$E$6:$E$463*ROUND($K28*'Your Lines'!$H$6:$H$463,2)/'Your Lines'!$G$6:$G$463,0))</f>
        <v>464615.997407364</v>
      </c>
      <c r="AH28" s="36" t="n">
        <f aca="false" t="array" ref="AH28:AH28">SUM(IF(('Your Lines'!$P$6:$P$463=$D28)*('Your Lines'!$O$6:$O$463&lt;$K28),'Your Lines'!$E$6:$E$463*ROUND($K28*'Your Lines'!$H$6:$H$463,2)-'Your Lines'!$G$6:$G$463,0))</f>
        <v>55606.1799999998</v>
      </c>
      <c r="AI28" s="26" t="n">
        <f aca="false" t="array" ref="AI28:AI28">SUM(IF(('Your Lines'!$P$6:$P$463=$D28)*('Your Lines'!$O$6:$O$463&lt;PERCENTILE(IF(('Your Lines'!$P$6:$P$463=$D28),'Your Lines'!$O$6:$O$463,""),Sensitivity!$B$85)),1,0))</f>
        <v>5</v>
      </c>
      <c r="AJ28" s="36" t="n">
        <f aca="false" t="array" ref="AJ28:AJ28">SUM(IF(('Your Lines'!$P$6:$P$463=$D28)*('Your Lines'!$O$6:$O$463&lt;PERCENTILE(IF(('Your Lines'!$P$6:$P$463=$D28),'Your Lines'!$O$6:$O$463,""),Sensitivity!$B$85)),('Your Lines'!$E$6:$E$463*ROUND(PERCENTILE(IF(('Your Lines'!$P$6:$P$463=$D28),'Your Lines'!$O$6:$O$463,""),Sensitivity!$B$85)*'Your Lines'!$H$6:$H$463,2)-'Your Lines'!$G$6:$G$463)-('Your Lines'!$L$6:$L$463*'Your Lines'!$E$6:$E$463*ROUND(PERCENTILE(IF(('Your Lines'!$P$6:$P$463=$D28),'Your Lines'!$O$6:$O$463,""),Sensitivity!$B$85)*'Your Lines'!$H$6:$H$463,2)/'Your Lines'!$G$6:$G$463-'Your Lines'!$L$6:$L$463),0))</f>
        <v>18935.4838551955</v>
      </c>
      <c r="AK28" s="36" t="n">
        <f aca="false" t="array" ref="AK28:AK28">SUM(IF(('Your Lines'!$P$6:$P$463=$D28)*('Your Lines'!$O$6:$O$463&lt;PERCENTILE(IF(('Your Lines'!$P$6:$P$463=$D28),'Your Lines'!$O$6:$O$463,""),Sensitivity!$B$85)),'Your Lines'!$E$6:$E$463*ROUND(PERCENTILE(IF(('Your Lines'!$P$6:$P$463=$D28),'Your Lines'!$O$6:$O$463,""),Sensitivity!$B$85)*'Your Lines'!$H$6:$H$463,2)-'Your Lines'!$K$6:$K$463-'Your Lines'!$L$6:$L$463*'Your Lines'!$E$6:$E$463*ROUND(PERCENTILE(IF(('Your Lines'!$P$6:$P$463=$D28),'Your Lines'!$O$6:$O$463,""),Sensitivity!$B$85)*'Your Lines'!$H$6:$H$463,2)/'Your Lines'!$G$6:$G$463,0))</f>
        <v>132095.603855195</v>
      </c>
      <c r="AL28" s="26" t="n">
        <f aca="false" t="array" ref="AL28:AL28">SUM(IF(('Your Lines'!$P$6:$P$463=$D28)*('Your Lines'!$O$6:$O$463&lt;PERCENTILE(IF(('Your Lines'!$P$6:$P$463=$D28),'Your Lines'!$O$6:$O$463,""),Sensitivity!$B$86)),1,0))</f>
        <v>13</v>
      </c>
      <c r="AM28" s="36" t="n">
        <f aca="false" t="array" ref="AM28:AM28">SUM(IF(('Your Lines'!$P$6:$P$463=$D28)*('Your Lines'!$O$6:$O$463&lt;PERCENTILE(IF(('Your Lines'!$P$6:$P$463=$D28),'Your Lines'!$O$6:$O$463,""),Sensitivity!$B$86)),('Your Lines'!$E$6:$E$463*ROUND(PERCENTILE(IF(('Your Lines'!$P$6:$P$463=$D28),'Your Lines'!$O$6:$O$463,""),Sensitivity!$B$86)*'Your Lines'!$H$6:$H$463,2)-'Your Lines'!$G$6:$G$463)-('Your Lines'!$L$6:$L$463*'Your Lines'!$E$6:$E$463*ROUND(PERCENTILE(IF(('Your Lines'!$P$6:$P$463=$D28),'Your Lines'!$O$6:$O$463,""),Sensitivity!$B$86)*'Your Lines'!$H$6:$H$463,2)/'Your Lines'!$G$6:$G$463-'Your Lines'!$L$6:$L$463),0))</f>
        <v>54449.107407364</v>
      </c>
      <c r="AN28" s="36" t="n">
        <f aca="false" t="array" ref="AN28:AN28">SUM(IF(('Your Lines'!$P$6:$P$463=$D28)*('Your Lines'!$O$6:$O$463&lt;PERCENTILE(IF(('Your Lines'!$P$6:$P$463=$D28),'Your Lines'!$O$6:$O$463,""),Sensitivity!$B$86)),'Your Lines'!$E$6:$E$463*ROUND(PERCENTILE(IF(('Your Lines'!$P$6:$P$463=$D28),'Your Lines'!$O$6:$O$463,""),Sensitivity!$B$86)*'Your Lines'!$H$6:$H$463,2)-'Your Lines'!$K$6:$K$463-'Your Lines'!$L$6:$L$463*'Your Lines'!$E$6:$E$463*ROUND(PERCENTILE(IF(('Your Lines'!$P$6:$P$463=$D28),'Your Lines'!$O$6:$O$463,""),Sensitivity!$B$86)*'Your Lines'!$H$6:$H$463,2)/'Your Lines'!$G$6:$G$463,0))</f>
        <v>464615.997407364</v>
      </c>
      <c r="AO28" s="26" t="n">
        <f aca="false" t="array" ref="AO28:AO28">SUM(IF(('Your Lines'!$P$6:$P$463=$D28)*('Your Lines'!$O$6:$O$463&lt;PERCENTILE(IF(('Your Lines'!$P$6:$P$463=$D28),'Your Lines'!$O$6:$O$463,""),Sensitivity!$B$87)),1,0))</f>
        <v>20</v>
      </c>
      <c r="AP28" s="36" t="n">
        <f aca="false" t="array" ref="AP28:AP28">SUM(IF(('Your Lines'!$P$6:$P$463=$D28)*('Your Lines'!$O$6:$O$463&lt;PERCENTILE(IF(('Your Lines'!$P$6:$P$463=$D28),'Your Lines'!$O$6:$O$463,""),Sensitivity!$B$87)),('Your Lines'!$E$6:$E$463*ROUND(PERCENTILE(IF(('Your Lines'!$P$6:$P$463=$D28),'Your Lines'!$O$6:$O$463,""),Sensitivity!$B$87)*'Your Lines'!$H$6:$H$463,2)-'Your Lines'!$G$6:$G$463)-('Your Lines'!$L$6:$L$463*'Your Lines'!$E$6:$E$463*ROUND(PERCENTILE(IF(('Your Lines'!$P$6:$P$463=$D28),'Your Lines'!$O$6:$O$463,""),Sensitivity!$B$87)*'Your Lines'!$H$6:$H$463,2)/'Your Lines'!$G$6:$G$463-'Your Lines'!$L$6:$L$463),0))</f>
        <v>115021.943174461</v>
      </c>
      <c r="AQ28" s="36" t="n">
        <f aca="false" t="array" ref="AQ28:AQ28">SUM(IF(('Your Lines'!$P$6:$P$463=$D28)*('Your Lines'!$O$6:$O$463&lt;PERCENTILE(IF(('Your Lines'!$P$6:$P$463=$D28),'Your Lines'!$O$6:$O$463,""),Sensitivity!$B$87)),'Your Lines'!$E$6:$E$463*ROUND(PERCENTILE(IF(('Your Lines'!$P$6:$P$463=$D28),'Your Lines'!$O$6:$O$463,""),Sensitivity!$B$87)*'Your Lines'!$H$6:$H$463,2)-'Your Lines'!$K$6:$K$463-'Your Lines'!$L$6:$L$463*'Your Lines'!$E$6:$E$463*ROUND(PERCENTILE(IF(('Your Lines'!$P$6:$P$463=$D28),'Your Lines'!$O$6:$O$463,""),Sensitivity!$B$87)*'Your Lines'!$H$6:$H$463,2)/'Your Lines'!$G$6:$G$463,0))</f>
        <v>707405.693174461</v>
      </c>
      <c r="AR28" s="26" t="n">
        <f aca="false" t="array" ref="AR28:AR28">SUM(IF(('Your Lines'!$P$6:$P$463=$D28)*('Your Lines'!$O$6:$O$463&lt;PERCENTILE(IF(('Your Lines'!$P$6:$P$463=$D28),'Your Lines'!$O$6:$O$463,""),Sensitivity!$B$88)),1,0))</f>
        <v>25</v>
      </c>
      <c r="AS28" s="36" t="n">
        <f aca="false" t="array" ref="AS28:AS28">SUM(IF(('Your Lines'!$P$6:$P$463=$D28)*('Your Lines'!$O$6:$O$463&lt;PERCENTILE(IF(('Your Lines'!$P$6:$P$463=$D28),'Your Lines'!$O$6:$O$463,""),Sensitivity!$B$88)),('Your Lines'!$E$6:$E$463*ROUND(PERCENTILE(IF(('Your Lines'!$P$6:$P$463=$D28),'Your Lines'!$O$6:$O$463,""),Sensitivity!$B$88)*'Your Lines'!$H$6:$H$463,2)-'Your Lines'!$G$6:$G$463)-('Your Lines'!$L$6:$L$463*'Your Lines'!$E$6:$E$463*ROUND(PERCENTILE(IF(('Your Lines'!$P$6:$P$463=$D28),'Your Lines'!$O$6:$O$463,""),Sensitivity!$B$88)*'Your Lines'!$H$6:$H$463,2)/'Your Lines'!$G$6:$G$463-'Your Lines'!$L$6:$L$463),0))</f>
        <v>157054.055346929</v>
      </c>
      <c r="AT28" s="36" t="n">
        <f aca="false" t="array" ref="AT28:AT28">SUM(IF(('Your Lines'!$P$6:$P$463=$D28)*('Your Lines'!$O$6:$O$463&lt;PERCENTILE(IF(('Your Lines'!$P$6:$P$463=$D28),'Your Lines'!$O$6:$O$463,""),Sensitivity!$B$88)),'Your Lines'!$E$6:$E$463*ROUND(PERCENTILE(IF(('Your Lines'!$P$6:$P$463=$D28),'Your Lines'!$O$6:$O$463,""),Sensitivity!$B$88)*'Your Lines'!$H$6:$H$463,2)-'Your Lines'!$K$6:$K$463-'Your Lines'!$L$6:$L$463*'Your Lines'!$E$6:$E$463*ROUND(PERCENTILE(IF(('Your Lines'!$P$6:$P$463=$D28),'Your Lines'!$O$6:$O$463,""),Sensitivity!$B$88)*'Your Lines'!$H$6:$H$463,2)/'Your Lines'!$G$6:$G$463,0))</f>
        <v>883555.485346929</v>
      </c>
      <c r="AV28" s="18" t="str">
        <f aca="false">VLOOKUP($B28,$B$53:$F$56,5,FALSE())</f>
        <v>no</v>
      </c>
    </row>
    <row r="29" customFormat="false" ht="15" hidden="false" customHeight="false" outlineLevel="0" collapsed="false">
      <c r="B29" s="18" t="s">
        <v>218</v>
      </c>
      <c r="C29" s="18" t="s">
        <v>52</v>
      </c>
      <c r="D29" s="18" t="str">
        <f aca="false">$B29&amp;" | "&amp;$C29</f>
        <v>Small direct | Structural adhesives</v>
      </c>
      <c r="E29" s="26" t="n">
        <f aca="false" t="array" ref="E29:E29">COUNT(IF(('Your Lines'!$P$6:$P$463=$D29),'Your Lines'!$O$6:$O$463,""))</f>
        <v>63</v>
      </c>
      <c r="F29" s="25" t="n">
        <f aca="false" t="array" ref="F29:F29">MIN(IF(('Your Lines'!$P$6:$P$463=$D29),'Your Lines'!$O$6:$O$463,""))</f>
        <v>0.887452996474736</v>
      </c>
      <c r="G29" s="25" t="n">
        <f aca="false" t="array" ref="G29:G29">PERCENTILE(IF(('Your Lines'!$P$6:$P$463=$D29),'Your Lines'!$O$6:$O$463,""),0.25)</f>
        <v>0.939509972168612</v>
      </c>
      <c r="H29" s="25" t="n">
        <f aca="false" t="array" ref="H29:H29">MEDIAN(IF(('Your Lines'!$P$6:$P$463=$D29),'Your Lines'!$O$6:$O$463,""))</f>
        <v>0.960993243243243</v>
      </c>
      <c r="I29" s="25" t="n">
        <f aca="false" t="array" ref="I29:I29">PERCENTILE(IF(('Your Lines'!$P$6:$P$463=$D29),'Your Lines'!$O$6:$O$463,""),0.75)</f>
        <v>0.976189363357001</v>
      </c>
      <c r="J29" s="25" t="n">
        <f aca="false" t="array" ref="J29:J29">MAX(IF(('Your Lines'!$P$6:$P$463=$D29),'Your Lines'!$O$6:$O$463,""))</f>
        <v>0.99</v>
      </c>
      <c r="K29" s="38" t="n">
        <f aca="false" t="array" ref="K29:K29">PERCENTILE(IF(('Your Lines'!$P$6:$P$463=$D29),'Your Lines'!$O$6:$O$463,""),$C$15)</f>
        <v>0.939509972168612</v>
      </c>
      <c r="L29" s="26" t="n">
        <f aca="false" t="array" ref="L29:L29">SUM(IF(('Your Lines'!$P$6:$P$463=$D29)*('Your Lines'!$O$6:$O$463&lt;$K29),1,0))</f>
        <v>16</v>
      </c>
      <c r="M29" s="26" t="n">
        <f aca="false" t="array" ref="M29:M29">SUM(IF(('Your Lines'!$P$6:$P$463=$D29)*('Your Lines'!$O$6:$O$463&lt;$K29),'Your Lines'!$E$6:$E$463,0))</f>
        <v>5577</v>
      </c>
      <c r="N29" s="15" t="n">
        <f aca="false" t="array" ref="N29:N29">ROUND(SUM(IF(('Your Lines'!$P$6:$P$463=$D29)*('Your Lines'!$O$6:$O$463&lt;$K29),'Your Lines'!$G$6:$G$463,0)),2)</f>
        <v>762744.2</v>
      </c>
      <c r="O29" s="15" t="n">
        <f aca="false" t="array" ref="O29:O29">ROUND(SUM(IF(('Your Lines'!$P$6:$P$463=$D29)*('Your Lines'!$O$6:$O$463&lt;$K29),('Your Lines'!$E$6:$E$463*ROUND($K29*'Your Lines'!$H$6:$H$463,2)-'Your Lines'!$G$6:$G$463)-('Your Lines'!$L$6:$L$463*'Your Lines'!$E$6:$E$463*ROUND($K29*'Your Lines'!$H$6:$H$463,2)/'Your Lines'!$G$6:$G$463-'Your Lines'!$L$6:$L$463),0)),2)</f>
        <v>12477.48</v>
      </c>
      <c r="P29" s="15" t="n">
        <f aca="false" t="array" ref="P29:P29">ROUND(SUM(IF(('Your Lines'!$P$6:$P$463=$D29)*('Your Lines'!$O$6:$O$463&lt;$K29),'Your Lines'!$E$6:$E$463*ROUND($K29*'Your Lines'!$H$6:$H$463,2)-'Your Lines'!$K$6:$K$463-'Your Lines'!$L$6:$L$463*'Your Lines'!$E$6:$E$463*ROUND($K29*'Your Lines'!$H$6:$H$463,2)/'Your Lines'!$G$6:$G$463,0)),2)</f>
        <v>324674.94</v>
      </c>
      <c r="AF29" s="36" t="n">
        <f aca="false" t="array" ref="AF29:AF29">SUM(IF(('Your Lines'!$P$6:$P$463=$D29)*('Your Lines'!$O$6:$O$463&lt;$K29),('Your Lines'!$E$6:$E$463*ROUND($K29*'Your Lines'!$H$6:$H$463,2)-'Your Lines'!$G$6:$G$463)-('Your Lines'!$L$6:$L$463*'Your Lines'!$E$6:$E$463*ROUND($K29*'Your Lines'!$H$6:$H$463,2)/'Your Lines'!$G$6:$G$463-'Your Lines'!$L$6:$L$463),0))</f>
        <v>12477.4827481557</v>
      </c>
      <c r="AG29" s="36" t="n">
        <f aca="false" t="array" ref="AG29:AG29">SUM(IF(('Your Lines'!$P$6:$P$463=$D29)*('Your Lines'!$O$6:$O$463&lt;$K29),'Your Lines'!$E$6:$E$463*ROUND($K29*'Your Lines'!$H$6:$H$463,2)-'Your Lines'!$K$6:$K$463-'Your Lines'!$L$6:$L$463*'Your Lines'!$E$6:$E$463*ROUND($K29*'Your Lines'!$H$6:$H$463,2)/'Your Lines'!$G$6:$G$463,0))</f>
        <v>324674.942748156</v>
      </c>
      <c r="AH29" s="36" t="n">
        <f aca="false" t="array" ref="AH29:AH29">SUM(IF(('Your Lines'!$P$6:$P$463=$D29)*('Your Lines'!$O$6:$O$463&lt;$K29),'Your Lines'!$E$6:$E$463*ROUND($K29*'Your Lines'!$H$6:$H$463,2)-'Your Lines'!$G$6:$G$463,0))</f>
        <v>12737.65</v>
      </c>
      <c r="AI29" s="26" t="n">
        <f aca="false" t="array" ref="AI29:AI29">SUM(IF(('Your Lines'!$P$6:$P$463=$D29)*('Your Lines'!$O$6:$O$463&lt;PERCENTILE(IF(('Your Lines'!$P$6:$P$463=$D29),'Your Lines'!$O$6:$O$463,""),Sensitivity!$B$85)),1,0))</f>
        <v>7</v>
      </c>
      <c r="AJ29" s="36" t="n">
        <f aca="false" t="array" ref="AJ29:AJ29">SUM(IF(('Your Lines'!$P$6:$P$463=$D29)*('Your Lines'!$O$6:$O$463&lt;PERCENTILE(IF(('Your Lines'!$P$6:$P$463=$D29),'Your Lines'!$O$6:$O$463,""),Sensitivity!$B$85)),('Your Lines'!$E$6:$E$463*ROUND(PERCENTILE(IF(('Your Lines'!$P$6:$P$463=$D29),'Your Lines'!$O$6:$O$463,""),Sensitivity!$B$85)*'Your Lines'!$H$6:$H$463,2)-'Your Lines'!$G$6:$G$463)-('Your Lines'!$L$6:$L$463*'Your Lines'!$E$6:$E$463*ROUND(PERCENTILE(IF(('Your Lines'!$P$6:$P$463=$D29),'Your Lines'!$O$6:$O$463,""),Sensitivity!$B$85)*'Your Lines'!$H$6:$H$463,2)/'Your Lines'!$G$6:$G$463-'Your Lines'!$L$6:$L$463),0))</f>
        <v>7307.87282996575</v>
      </c>
      <c r="AK29" s="36" t="n">
        <f aca="false" t="array" ref="AK29:AK29">SUM(IF(('Your Lines'!$P$6:$P$463=$D29)*('Your Lines'!$O$6:$O$463&lt;PERCENTILE(IF(('Your Lines'!$P$6:$P$463=$D29),'Your Lines'!$O$6:$O$463,""),Sensitivity!$B$85)),'Your Lines'!$E$6:$E$463*ROUND(PERCENTILE(IF(('Your Lines'!$P$6:$P$463=$D29),'Your Lines'!$O$6:$O$463,""),Sensitivity!$B$85)*'Your Lines'!$H$6:$H$463,2)-'Your Lines'!$K$6:$K$463-'Your Lines'!$L$6:$L$463*'Your Lines'!$E$6:$E$463*ROUND(PERCENTILE(IF(('Your Lines'!$P$6:$P$463=$D29),'Your Lines'!$O$6:$O$463,""),Sensitivity!$B$85)*'Your Lines'!$H$6:$H$463,2)/'Your Lines'!$G$6:$G$463,0))</f>
        <v>146335.542829966</v>
      </c>
      <c r="AL29" s="26" t="n">
        <f aca="false" t="array" ref="AL29:AL29">SUM(IF(('Your Lines'!$P$6:$P$463=$D29)*('Your Lines'!$O$6:$O$463&lt;PERCENTILE(IF(('Your Lines'!$P$6:$P$463=$D29),'Your Lines'!$O$6:$O$463,""),Sensitivity!$B$86)),1,0))</f>
        <v>16</v>
      </c>
      <c r="AM29" s="36" t="n">
        <f aca="false" t="array" ref="AM29:AM29">SUM(IF(('Your Lines'!$P$6:$P$463=$D29)*('Your Lines'!$O$6:$O$463&lt;PERCENTILE(IF(('Your Lines'!$P$6:$P$463=$D29),'Your Lines'!$O$6:$O$463,""),Sensitivity!$B$86)),('Your Lines'!$E$6:$E$463*ROUND(PERCENTILE(IF(('Your Lines'!$P$6:$P$463=$D29),'Your Lines'!$O$6:$O$463,""),Sensitivity!$B$86)*'Your Lines'!$H$6:$H$463,2)-'Your Lines'!$G$6:$G$463)-('Your Lines'!$L$6:$L$463*'Your Lines'!$E$6:$E$463*ROUND(PERCENTILE(IF(('Your Lines'!$P$6:$P$463=$D29),'Your Lines'!$O$6:$O$463,""),Sensitivity!$B$86)*'Your Lines'!$H$6:$H$463,2)/'Your Lines'!$G$6:$G$463-'Your Lines'!$L$6:$L$463),0))</f>
        <v>12477.4827481557</v>
      </c>
      <c r="AN29" s="36" t="n">
        <f aca="false" t="array" ref="AN29:AN29">SUM(IF(('Your Lines'!$P$6:$P$463=$D29)*('Your Lines'!$O$6:$O$463&lt;PERCENTILE(IF(('Your Lines'!$P$6:$P$463=$D29),'Your Lines'!$O$6:$O$463,""),Sensitivity!$B$86)),'Your Lines'!$E$6:$E$463*ROUND(PERCENTILE(IF(('Your Lines'!$P$6:$P$463=$D29),'Your Lines'!$O$6:$O$463,""),Sensitivity!$B$86)*'Your Lines'!$H$6:$H$463,2)-'Your Lines'!$K$6:$K$463-'Your Lines'!$L$6:$L$463*'Your Lines'!$E$6:$E$463*ROUND(PERCENTILE(IF(('Your Lines'!$P$6:$P$463=$D29),'Your Lines'!$O$6:$O$463,""),Sensitivity!$B$86)*'Your Lines'!$H$6:$H$463,2)/'Your Lines'!$G$6:$G$463,0))</f>
        <v>324674.942748156</v>
      </c>
      <c r="AO29" s="26" t="n">
        <f aca="false" t="array" ref="AO29:AO29">SUM(IF(('Your Lines'!$P$6:$P$463=$D29)*('Your Lines'!$O$6:$O$463&lt;PERCENTILE(IF(('Your Lines'!$P$6:$P$463=$D29),'Your Lines'!$O$6:$O$463,""),Sensitivity!$B$87)),1,0))</f>
        <v>25</v>
      </c>
      <c r="AP29" s="36" t="n">
        <f aca="false" t="array" ref="AP29:AP29">SUM(IF(('Your Lines'!$P$6:$P$463=$D29)*('Your Lines'!$O$6:$O$463&lt;PERCENTILE(IF(('Your Lines'!$P$6:$P$463=$D29),'Your Lines'!$O$6:$O$463,""),Sensitivity!$B$87)),('Your Lines'!$E$6:$E$463*ROUND(PERCENTILE(IF(('Your Lines'!$P$6:$P$463=$D29),'Your Lines'!$O$6:$O$463,""),Sensitivity!$B$87)*'Your Lines'!$H$6:$H$463,2)-'Your Lines'!$G$6:$G$463)-('Your Lines'!$L$6:$L$463*'Your Lines'!$E$6:$E$463*ROUND(PERCENTILE(IF(('Your Lines'!$P$6:$P$463=$D29),'Your Lines'!$O$6:$O$463,""),Sensitivity!$B$87)*'Your Lines'!$H$6:$H$463,2)/'Your Lines'!$G$6:$G$463-'Your Lines'!$L$6:$L$463),0))</f>
        <v>24277.8282776563</v>
      </c>
      <c r="AQ29" s="36" t="n">
        <f aca="false" t="array" ref="AQ29:AQ29">SUM(IF(('Your Lines'!$P$6:$P$463=$D29)*('Your Lines'!$O$6:$O$463&lt;PERCENTILE(IF(('Your Lines'!$P$6:$P$463=$D29),'Your Lines'!$O$6:$O$463,""),Sensitivity!$B$87)),'Your Lines'!$E$6:$E$463*ROUND(PERCENTILE(IF(('Your Lines'!$P$6:$P$463=$D29),'Your Lines'!$O$6:$O$463,""),Sensitivity!$B$87)*'Your Lines'!$H$6:$H$463,2)-'Your Lines'!$K$6:$K$463-'Your Lines'!$L$6:$L$463*'Your Lines'!$E$6:$E$463*ROUND(PERCENTILE(IF(('Your Lines'!$P$6:$P$463=$D29),'Your Lines'!$O$6:$O$463,""),Sensitivity!$B$87)*'Your Lines'!$H$6:$H$463,2)/'Your Lines'!$G$6:$G$463,0))</f>
        <v>435687.798277656</v>
      </c>
      <c r="AR29" s="26" t="n">
        <f aca="false" t="array" ref="AR29:AR29">SUM(IF(('Your Lines'!$P$6:$P$463=$D29)*('Your Lines'!$O$6:$O$463&lt;PERCENTILE(IF(('Your Lines'!$P$6:$P$463=$D29),'Your Lines'!$O$6:$O$463,""),Sensitivity!$B$88)),1,0))</f>
        <v>31</v>
      </c>
      <c r="AS29" s="36" t="n">
        <f aca="false" t="array" ref="AS29:AS29">SUM(IF(('Your Lines'!$P$6:$P$463=$D29)*('Your Lines'!$O$6:$O$463&lt;PERCENTILE(IF(('Your Lines'!$P$6:$P$463=$D29),'Your Lines'!$O$6:$O$463,""),Sensitivity!$B$88)),('Your Lines'!$E$6:$E$463*ROUND(PERCENTILE(IF(('Your Lines'!$P$6:$P$463=$D29),'Your Lines'!$O$6:$O$463,""),Sensitivity!$B$88)*'Your Lines'!$H$6:$H$463,2)-'Your Lines'!$G$6:$G$463)-('Your Lines'!$L$6:$L$463*'Your Lines'!$E$6:$E$463*ROUND(PERCENTILE(IF(('Your Lines'!$P$6:$P$463=$D29),'Your Lines'!$O$6:$O$463,""),Sensitivity!$B$88)*'Your Lines'!$H$6:$H$463,2)/'Your Lines'!$G$6:$G$463-'Your Lines'!$L$6:$L$463),0))</f>
        <v>34658.0592537372</v>
      </c>
      <c r="AT29" s="36" t="n">
        <f aca="false" t="array" ref="AT29:AT29">SUM(IF(('Your Lines'!$P$6:$P$463=$D29)*('Your Lines'!$O$6:$O$463&lt;PERCENTILE(IF(('Your Lines'!$P$6:$P$463=$D29),'Your Lines'!$O$6:$O$463,""),Sensitivity!$B$88)),'Your Lines'!$E$6:$E$463*ROUND(PERCENTILE(IF(('Your Lines'!$P$6:$P$463=$D29),'Your Lines'!$O$6:$O$463,""),Sensitivity!$B$88)*'Your Lines'!$H$6:$H$463,2)-'Your Lines'!$K$6:$K$463-'Your Lines'!$L$6:$L$463*'Your Lines'!$E$6:$E$463*ROUND(PERCENTILE(IF(('Your Lines'!$P$6:$P$463=$D29),'Your Lines'!$O$6:$O$463,""),Sensitivity!$B$88)*'Your Lines'!$H$6:$H$463,2)/'Your Lines'!$G$6:$G$463,0))</f>
        <v>485438.969253737</v>
      </c>
      <c r="AV29" s="18" t="str">
        <f aca="false">VLOOKUP($B29,$B$53:$F$56,5,FALSE())</f>
        <v>no</v>
      </c>
    </row>
    <row r="30" customFormat="false" ht="15" hidden="false" customHeight="false" outlineLevel="0" collapsed="false">
      <c r="B30" s="18" t="s">
        <v>218</v>
      </c>
      <c r="C30" s="18" t="s">
        <v>54</v>
      </c>
      <c r="D30" s="18" t="str">
        <f aca="false">$B30&amp;" | "&amp;$C30</f>
        <v>Small direct | Sealants</v>
      </c>
      <c r="E30" s="26" t="n">
        <f aca="false" t="array" ref="E30:E30">COUNT(IF(('Your Lines'!$P$6:$P$463=$D30),'Your Lines'!$O$6:$O$463,""))</f>
        <v>58</v>
      </c>
      <c r="F30" s="25" t="n">
        <f aca="false" t="array" ref="F30:F30">MIN(IF(('Your Lines'!$P$6:$P$463=$D30),'Your Lines'!$O$6:$O$463,""))</f>
        <v>0.818194985361661</v>
      </c>
      <c r="G30" s="25" t="n">
        <f aca="false" t="array" ref="G30:G30">PERCENTILE(IF(('Your Lines'!$P$6:$P$463=$D30),'Your Lines'!$O$6:$O$463,""),0.25)</f>
        <v>0.905849957217107</v>
      </c>
      <c r="H30" s="25" t="n">
        <f aca="false" t="array" ref="H30:H30">MEDIAN(IF(('Your Lines'!$P$6:$P$463=$D30),'Your Lines'!$O$6:$O$463,""))</f>
        <v>0.932084916082157</v>
      </c>
      <c r="I30" s="25" t="n">
        <f aca="false" t="array" ref="I30:I30">PERCENTILE(IF(('Your Lines'!$P$6:$P$463=$D30),'Your Lines'!$O$6:$O$463,""),0.75)</f>
        <v>0.968714936733669</v>
      </c>
      <c r="J30" s="25" t="n">
        <f aca="false" t="array" ref="J30:J30">MAX(IF(('Your Lines'!$P$6:$P$463=$D30),'Your Lines'!$O$6:$O$463,""))</f>
        <v>0.99</v>
      </c>
      <c r="K30" s="38" t="n">
        <f aca="false" t="array" ref="K30:K30">PERCENTILE(IF(('Your Lines'!$P$6:$P$463=$D30),'Your Lines'!$O$6:$O$463,""),$C$15)</f>
        <v>0.905849957217107</v>
      </c>
      <c r="L30" s="26" t="n">
        <f aca="false" t="array" ref="L30:L30">SUM(IF(('Your Lines'!$P$6:$P$463=$D30)*('Your Lines'!$O$6:$O$463&lt;$K30),1,0))</f>
        <v>15</v>
      </c>
      <c r="M30" s="26" t="n">
        <f aca="false" t="array" ref="M30:M30">SUM(IF(('Your Lines'!$P$6:$P$463=$D30)*('Your Lines'!$O$6:$O$463&lt;$K30),'Your Lines'!$E$6:$E$463,0))</f>
        <v>19630</v>
      </c>
      <c r="N30" s="15" t="n">
        <f aca="false" t="array" ref="N30:N30">ROUND(SUM(IF(('Your Lines'!$P$6:$P$463=$D30)*('Your Lines'!$O$6:$O$463&lt;$K30),'Your Lines'!$G$6:$G$463,0)),2)</f>
        <v>1059891.6</v>
      </c>
      <c r="O30" s="15" t="n">
        <f aca="false" t="array" ref="O30:O30">ROUND(SUM(IF(('Your Lines'!$P$6:$P$463=$D30)*('Your Lines'!$O$6:$O$463&lt;$K30),('Your Lines'!$E$6:$E$463*ROUND($K30*'Your Lines'!$H$6:$H$463,2)-'Your Lines'!$G$6:$G$463)-('Your Lines'!$L$6:$L$463*'Your Lines'!$E$6:$E$463*ROUND($K30*'Your Lines'!$H$6:$H$463,2)/'Your Lines'!$G$6:$G$463-'Your Lines'!$L$6:$L$463),0)),2)</f>
        <v>41659.5</v>
      </c>
      <c r="P30" s="15" t="n">
        <f aca="false" t="array" ref="P30:P30">ROUND(SUM(IF(('Your Lines'!$P$6:$P$463=$D30)*('Your Lines'!$O$6:$O$463&lt;$K30),'Your Lines'!$E$6:$E$463*ROUND($K30*'Your Lines'!$H$6:$H$463,2)-'Your Lines'!$K$6:$K$463-'Your Lines'!$L$6:$L$463*'Your Lines'!$E$6:$E$463*ROUND($K30*'Your Lines'!$H$6:$H$463,2)/'Your Lines'!$G$6:$G$463,0)),2)</f>
        <v>373259.86</v>
      </c>
      <c r="AF30" s="36" t="n">
        <f aca="false" t="array" ref="AF30:AF30">SUM(IF(('Your Lines'!$P$6:$P$463=$D30)*('Your Lines'!$O$6:$O$463&lt;$K30),('Your Lines'!$E$6:$E$463*ROUND($K30*'Your Lines'!$H$6:$H$463,2)-'Your Lines'!$G$6:$G$463)-('Your Lines'!$L$6:$L$463*'Your Lines'!$E$6:$E$463*ROUND($K30*'Your Lines'!$H$6:$H$463,2)/'Your Lines'!$G$6:$G$463-'Your Lines'!$L$6:$L$463),0))</f>
        <v>41659.5008253396</v>
      </c>
      <c r="AG30" s="36" t="n">
        <f aca="false" t="array" ref="AG30:AG30">SUM(IF(('Your Lines'!$P$6:$P$463=$D30)*('Your Lines'!$O$6:$O$463&lt;$K30),'Your Lines'!$E$6:$E$463*ROUND($K30*'Your Lines'!$H$6:$H$463,2)-'Your Lines'!$K$6:$K$463-'Your Lines'!$L$6:$L$463*'Your Lines'!$E$6:$E$463*ROUND($K30*'Your Lines'!$H$6:$H$463,2)/'Your Lines'!$G$6:$G$463,0))</f>
        <v>373259.86082534</v>
      </c>
      <c r="AH30" s="36" t="n">
        <f aca="false" t="array" ref="AH30:AH30">SUM(IF(('Your Lines'!$P$6:$P$463=$D30)*('Your Lines'!$O$6:$O$463&lt;$K30),'Your Lines'!$E$6:$E$463*ROUND($K30*'Your Lines'!$H$6:$H$463,2)-'Your Lines'!$G$6:$G$463,0))</f>
        <v>42529.1999999999</v>
      </c>
      <c r="AI30" s="26" t="n">
        <f aca="false" t="array" ref="AI30:AI30">SUM(IF(('Your Lines'!$P$6:$P$463=$D30)*('Your Lines'!$O$6:$O$463&lt;PERCENTILE(IF(('Your Lines'!$P$6:$P$463=$D30),'Your Lines'!$O$6:$O$463,""),Sensitivity!$B$85)),1,0))</f>
        <v>6</v>
      </c>
      <c r="AJ30" s="36" t="n">
        <f aca="false" t="array" ref="AJ30:AJ30">SUM(IF(('Your Lines'!$P$6:$P$463=$D30)*('Your Lines'!$O$6:$O$463&lt;PERCENTILE(IF(('Your Lines'!$P$6:$P$463=$D30),'Your Lines'!$O$6:$O$463,""),Sensitivity!$B$85)),('Your Lines'!$E$6:$E$463*ROUND(PERCENTILE(IF(('Your Lines'!$P$6:$P$463=$D30),'Your Lines'!$O$6:$O$463,""),Sensitivity!$B$85)*'Your Lines'!$H$6:$H$463,2)-'Your Lines'!$G$6:$G$463)-('Your Lines'!$L$6:$L$463*'Your Lines'!$E$6:$E$463*ROUND(PERCENTILE(IF(('Your Lines'!$P$6:$P$463=$D30),'Your Lines'!$O$6:$O$463,""),Sensitivity!$B$85)*'Your Lines'!$H$6:$H$463,2)/'Your Lines'!$G$6:$G$463-'Your Lines'!$L$6:$L$463),0))</f>
        <v>14716.0485005377</v>
      </c>
      <c r="AK30" s="36" t="n">
        <f aca="false" t="array" ref="AK30:AK30">SUM(IF(('Your Lines'!$P$6:$P$463=$D30)*('Your Lines'!$O$6:$O$463&lt;PERCENTILE(IF(('Your Lines'!$P$6:$P$463=$D30),'Your Lines'!$O$6:$O$463,""),Sensitivity!$B$85)),'Your Lines'!$E$6:$E$463*ROUND(PERCENTILE(IF(('Your Lines'!$P$6:$P$463=$D30),'Your Lines'!$O$6:$O$463,""),Sensitivity!$B$85)*'Your Lines'!$H$6:$H$463,2)-'Your Lines'!$K$6:$K$463-'Your Lines'!$L$6:$L$463*'Your Lines'!$E$6:$E$463*ROUND(PERCENTILE(IF(('Your Lines'!$P$6:$P$463=$D30),'Your Lines'!$O$6:$O$463,""),Sensitivity!$B$85)*'Your Lines'!$H$6:$H$463,2)/'Your Lines'!$G$6:$G$463,0))</f>
        <v>172453.888500538</v>
      </c>
      <c r="AL30" s="26" t="n">
        <f aca="false" t="array" ref="AL30:AL30">SUM(IF(('Your Lines'!$P$6:$P$463=$D30)*('Your Lines'!$O$6:$O$463&lt;PERCENTILE(IF(('Your Lines'!$P$6:$P$463=$D30),'Your Lines'!$O$6:$O$463,""),Sensitivity!$B$86)),1,0))</f>
        <v>15</v>
      </c>
      <c r="AM30" s="36" t="n">
        <f aca="false" t="array" ref="AM30:AM30">SUM(IF(('Your Lines'!$P$6:$P$463=$D30)*('Your Lines'!$O$6:$O$463&lt;PERCENTILE(IF(('Your Lines'!$P$6:$P$463=$D30),'Your Lines'!$O$6:$O$463,""),Sensitivity!$B$86)),('Your Lines'!$E$6:$E$463*ROUND(PERCENTILE(IF(('Your Lines'!$P$6:$P$463=$D30),'Your Lines'!$O$6:$O$463,""),Sensitivity!$B$86)*'Your Lines'!$H$6:$H$463,2)-'Your Lines'!$G$6:$G$463)-('Your Lines'!$L$6:$L$463*'Your Lines'!$E$6:$E$463*ROUND(PERCENTILE(IF(('Your Lines'!$P$6:$P$463=$D30),'Your Lines'!$O$6:$O$463,""),Sensitivity!$B$86)*'Your Lines'!$H$6:$H$463,2)/'Your Lines'!$G$6:$G$463-'Your Lines'!$L$6:$L$463),0))</f>
        <v>41659.5008253396</v>
      </c>
      <c r="AN30" s="36" t="n">
        <f aca="false" t="array" ref="AN30:AN30">SUM(IF(('Your Lines'!$P$6:$P$463=$D30)*('Your Lines'!$O$6:$O$463&lt;PERCENTILE(IF(('Your Lines'!$P$6:$P$463=$D30),'Your Lines'!$O$6:$O$463,""),Sensitivity!$B$86)),'Your Lines'!$E$6:$E$463*ROUND(PERCENTILE(IF(('Your Lines'!$P$6:$P$463=$D30),'Your Lines'!$O$6:$O$463,""),Sensitivity!$B$86)*'Your Lines'!$H$6:$H$463,2)-'Your Lines'!$K$6:$K$463-'Your Lines'!$L$6:$L$463*'Your Lines'!$E$6:$E$463*ROUND(PERCENTILE(IF(('Your Lines'!$P$6:$P$463=$D30),'Your Lines'!$O$6:$O$463,""),Sensitivity!$B$86)*'Your Lines'!$H$6:$H$463,2)/'Your Lines'!$G$6:$G$463,0))</f>
        <v>373259.86082534</v>
      </c>
      <c r="AO30" s="26" t="n">
        <f aca="false" t="array" ref="AO30:AO30">SUM(IF(('Your Lines'!$P$6:$P$463=$D30)*('Your Lines'!$O$6:$O$463&lt;PERCENTILE(IF(('Your Lines'!$P$6:$P$463=$D30),'Your Lines'!$O$6:$O$463,""),Sensitivity!$B$87)),1,0))</f>
        <v>23</v>
      </c>
      <c r="AP30" s="36" t="n">
        <f aca="false" t="array" ref="AP30:AP30">SUM(IF(('Your Lines'!$P$6:$P$463=$D30)*('Your Lines'!$O$6:$O$463&lt;PERCENTILE(IF(('Your Lines'!$P$6:$P$463=$D30),'Your Lines'!$O$6:$O$463,""),Sensitivity!$B$87)),('Your Lines'!$E$6:$E$463*ROUND(PERCENTILE(IF(('Your Lines'!$P$6:$P$463=$D30),'Your Lines'!$O$6:$O$463,""),Sensitivity!$B$87)*'Your Lines'!$H$6:$H$463,2)-'Your Lines'!$G$6:$G$463)-('Your Lines'!$L$6:$L$463*'Your Lines'!$E$6:$E$463*ROUND(PERCENTILE(IF(('Your Lines'!$P$6:$P$463=$D30),'Your Lines'!$O$6:$O$463,""),Sensitivity!$B$87)*'Your Lines'!$H$6:$H$463,2)/'Your Lines'!$G$6:$G$463-'Your Lines'!$L$6:$L$463),0))</f>
        <v>59917.3585844475</v>
      </c>
      <c r="AQ30" s="36" t="n">
        <f aca="false" t="array" ref="AQ30:AQ30">SUM(IF(('Your Lines'!$P$6:$P$463=$D30)*('Your Lines'!$O$6:$O$463&lt;PERCENTILE(IF(('Your Lines'!$P$6:$P$463=$D30),'Your Lines'!$O$6:$O$463,""),Sensitivity!$B$87)),'Your Lines'!$E$6:$E$463*ROUND(PERCENTILE(IF(('Your Lines'!$P$6:$P$463=$D30),'Your Lines'!$O$6:$O$463,""),Sensitivity!$B$87)*'Your Lines'!$H$6:$H$463,2)-'Your Lines'!$K$6:$K$463-'Your Lines'!$L$6:$L$463*'Your Lines'!$E$6:$E$463*ROUND(PERCENTILE(IF(('Your Lines'!$P$6:$P$463=$D30),'Your Lines'!$O$6:$O$463,""),Sensitivity!$B$87)*'Your Lines'!$H$6:$H$463,2)/'Your Lines'!$G$6:$G$463,0))</f>
        <v>548890.968584448</v>
      </c>
      <c r="AR30" s="26" t="n">
        <f aca="false" t="array" ref="AR30:AR30">SUM(IF(('Your Lines'!$P$6:$P$463=$D30)*('Your Lines'!$O$6:$O$463&lt;PERCENTILE(IF(('Your Lines'!$P$6:$P$463=$D30),'Your Lines'!$O$6:$O$463,""),Sensitivity!$B$88)),1,0))</f>
        <v>29</v>
      </c>
      <c r="AS30" s="36" t="n">
        <f aca="false" t="array" ref="AS30:AS30">SUM(IF(('Your Lines'!$P$6:$P$463=$D30)*('Your Lines'!$O$6:$O$463&lt;PERCENTILE(IF(('Your Lines'!$P$6:$P$463=$D30),'Your Lines'!$O$6:$O$463,""),Sensitivity!$B$88)),('Your Lines'!$E$6:$E$463*ROUND(PERCENTILE(IF(('Your Lines'!$P$6:$P$463=$D30),'Your Lines'!$O$6:$O$463,""),Sensitivity!$B$88)*'Your Lines'!$H$6:$H$463,2)-'Your Lines'!$G$6:$G$463)-('Your Lines'!$L$6:$L$463*'Your Lines'!$E$6:$E$463*ROUND(PERCENTILE(IF(('Your Lines'!$P$6:$P$463=$D30),'Your Lines'!$O$6:$O$463,""),Sensitivity!$B$88)*'Your Lines'!$H$6:$H$463,2)/'Your Lines'!$G$6:$G$463-'Your Lines'!$L$6:$L$463),0))</f>
        <v>85683.5110191271</v>
      </c>
      <c r="AT30" s="36" t="n">
        <f aca="false" t="array" ref="AT30:AT30">SUM(IF(('Your Lines'!$P$6:$P$463=$D30)*('Your Lines'!$O$6:$O$463&lt;PERCENTILE(IF(('Your Lines'!$P$6:$P$463=$D30),'Your Lines'!$O$6:$O$463,""),Sensitivity!$B$88)),'Your Lines'!$E$6:$E$463*ROUND(PERCENTILE(IF(('Your Lines'!$P$6:$P$463=$D30),'Your Lines'!$O$6:$O$463,""),Sensitivity!$B$88)*'Your Lines'!$H$6:$H$463,2)-'Your Lines'!$K$6:$K$463-'Your Lines'!$L$6:$L$463*'Your Lines'!$E$6:$E$463*ROUND(PERCENTILE(IF(('Your Lines'!$P$6:$P$463=$D30),'Your Lines'!$O$6:$O$463,""),Sensitivity!$B$88)*'Your Lines'!$H$6:$H$463,2)/'Your Lines'!$G$6:$G$463,0))</f>
        <v>737600.511019127</v>
      </c>
      <c r="AV30" s="18" t="str">
        <f aca="false">VLOOKUP($B30,$B$53:$F$56,5,FALSE())</f>
        <v>no</v>
      </c>
    </row>
    <row r="31" customFormat="false" ht="15" hidden="false" customHeight="false" outlineLevel="0" collapsed="false">
      <c r="B31" s="18" t="s">
        <v>218</v>
      </c>
      <c r="C31" s="18" t="s">
        <v>56</v>
      </c>
      <c r="D31" s="18" t="str">
        <f aca="false">$B31&amp;" | "&amp;$C31</f>
        <v>Small direct | Protective coatings</v>
      </c>
      <c r="E31" s="26" t="n">
        <f aca="false" t="array" ref="E31:E31">COUNT(IF(('Your Lines'!$P$6:$P$463=$D31),'Your Lines'!$O$6:$O$463,""))</f>
        <v>65</v>
      </c>
      <c r="F31" s="25" t="n">
        <f aca="false" t="array" ref="F31:F31">MIN(IF(('Your Lines'!$P$6:$P$463=$D31),'Your Lines'!$O$6:$O$463,""))</f>
        <v>0.852824119641295</v>
      </c>
      <c r="G31" s="25" t="n">
        <f aca="false" t="array" ref="G31:G31">PERCENTILE(IF(('Your Lines'!$P$6:$P$463=$D31),'Your Lines'!$O$6:$O$463,""),0.25)</f>
        <v>0.922679993872549</v>
      </c>
      <c r="H31" s="25" t="n">
        <f aca="false" t="array" ref="H31:H31">MEDIAN(IF(('Your Lines'!$P$6:$P$463=$D31),'Your Lines'!$O$6:$O$463,""))</f>
        <v>0.941688070776256</v>
      </c>
      <c r="I31" s="25" t="n">
        <f aca="false" t="array" ref="I31:I31">PERCENTILE(IF(('Your Lines'!$P$6:$P$463=$D31),'Your Lines'!$O$6:$O$463,""),0.75)</f>
        <v>0.970200055187638</v>
      </c>
      <c r="J31" s="25" t="n">
        <f aca="false" t="array" ref="J31:J31">MAX(IF(('Your Lines'!$P$6:$P$463=$D31),'Your Lines'!$O$6:$O$463,""))</f>
        <v>0.99</v>
      </c>
      <c r="K31" s="38" t="n">
        <f aca="false" t="array" ref="K31:K31">PERCENTILE(IF(('Your Lines'!$P$6:$P$463=$D31),'Your Lines'!$O$6:$O$463,""),$C$15)</f>
        <v>0.922679993872549</v>
      </c>
      <c r="L31" s="26" t="n">
        <f aca="false" t="array" ref="L31:L31">SUM(IF(('Your Lines'!$P$6:$P$463=$D31)*('Your Lines'!$O$6:$O$463&lt;$K31),1,0))</f>
        <v>16</v>
      </c>
      <c r="M31" s="26" t="n">
        <f aca="false" t="array" ref="M31:M31">SUM(IF(('Your Lines'!$P$6:$P$463=$D31)*('Your Lines'!$O$6:$O$463&lt;$K31),'Your Lines'!$E$6:$E$463,0))</f>
        <v>8385</v>
      </c>
      <c r="N31" s="15" t="n">
        <f aca="false" t="array" ref="N31:N31">ROUND(SUM(IF(('Your Lines'!$P$6:$P$463=$D31)*('Your Lines'!$O$6:$O$463&lt;$K31),'Your Lines'!$G$6:$G$463,0)),2)</f>
        <v>725909.41</v>
      </c>
      <c r="O31" s="15" t="n">
        <f aca="false" t="array" ref="O31:O31">ROUND(SUM(IF(('Your Lines'!$P$6:$P$463=$D31)*('Your Lines'!$O$6:$O$463&lt;$K31),('Your Lines'!$E$6:$E$463*ROUND($K31*'Your Lines'!$H$6:$H$463,2)-'Your Lines'!$G$6:$G$463)-('Your Lines'!$L$6:$L$463*'Your Lines'!$E$6:$E$463*ROUND($K31*'Your Lines'!$H$6:$H$463,2)/'Your Lines'!$G$6:$G$463-'Your Lines'!$L$6:$L$463),0)),2)</f>
        <v>16488.85</v>
      </c>
      <c r="P31" s="15" t="n">
        <f aca="false" t="array" ref="P31:P31">ROUND(SUM(IF(('Your Lines'!$P$6:$P$463=$D31)*('Your Lines'!$O$6:$O$463&lt;$K31),'Your Lines'!$E$6:$E$463*ROUND($K31*'Your Lines'!$H$6:$H$463,2)-'Your Lines'!$K$6:$K$463-'Your Lines'!$L$6:$L$463*'Your Lines'!$E$6:$E$463*ROUND($K31*'Your Lines'!$H$6:$H$463,2)/'Your Lines'!$G$6:$G$463,0)),2)</f>
        <v>241285.45</v>
      </c>
      <c r="AF31" s="36" t="n">
        <f aca="false" t="array" ref="AF31:AF31">SUM(IF(('Your Lines'!$P$6:$P$463=$D31)*('Your Lines'!$O$6:$O$463&lt;$K31),('Your Lines'!$E$6:$E$463*ROUND($K31*'Your Lines'!$H$6:$H$463,2)-'Your Lines'!$G$6:$G$463)-('Your Lines'!$L$6:$L$463*'Your Lines'!$E$6:$E$463*ROUND($K31*'Your Lines'!$H$6:$H$463,2)/'Your Lines'!$G$6:$G$463-'Your Lines'!$L$6:$L$463),0))</f>
        <v>16488.8515478295</v>
      </c>
      <c r="AG31" s="36" t="n">
        <f aca="false" t="array" ref="AG31:AG31">SUM(IF(('Your Lines'!$P$6:$P$463=$D31)*('Your Lines'!$O$6:$O$463&lt;$K31),'Your Lines'!$E$6:$E$463*ROUND($K31*'Your Lines'!$H$6:$H$463,2)-'Your Lines'!$K$6:$K$463-'Your Lines'!$L$6:$L$463*'Your Lines'!$E$6:$E$463*ROUND($K31*'Your Lines'!$H$6:$H$463,2)/'Your Lines'!$G$6:$G$463,0))</f>
        <v>241285.45154783</v>
      </c>
      <c r="AH31" s="36" t="n">
        <f aca="false" t="array" ref="AH31:AH31">SUM(IF(('Your Lines'!$P$6:$P$463=$D31)*('Your Lines'!$O$6:$O$463&lt;$K31),'Your Lines'!$E$6:$E$463*ROUND($K31*'Your Lines'!$H$6:$H$463,2)-'Your Lines'!$G$6:$G$463,0))</f>
        <v>16833.89</v>
      </c>
      <c r="AI31" s="26" t="n">
        <f aca="false" t="array" ref="AI31:AI31">SUM(IF(('Your Lines'!$P$6:$P$463=$D31)*('Your Lines'!$O$6:$O$463&lt;PERCENTILE(IF(('Your Lines'!$P$6:$P$463=$D31),'Your Lines'!$O$6:$O$463,""),Sensitivity!$B$85)),1,0))</f>
        <v>7</v>
      </c>
      <c r="AJ31" s="36" t="n">
        <f aca="false" t="array" ref="AJ31:AJ31">SUM(IF(('Your Lines'!$P$6:$P$463=$D31)*('Your Lines'!$O$6:$O$463&lt;PERCENTILE(IF(('Your Lines'!$P$6:$P$463=$D31),'Your Lines'!$O$6:$O$463,""),Sensitivity!$B$85)),('Your Lines'!$E$6:$E$463*ROUND(PERCENTILE(IF(('Your Lines'!$P$6:$P$463=$D31),'Your Lines'!$O$6:$O$463,""),Sensitivity!$B$85)*'Your Lines'!$H$6:$H$463,2)-'Your Lines'!$G$6:$G$463)-('Your Lines'!$L$6:$L$463*'Your Lines'!$E$6:$E$463*ROUND(PERCENTILE(IF(('Your Lines'!$P$6:$P$463=$D31),'Your Lines'!$O$6:$O$463,""),Sensitivity!$B$85)*'Your Lines'!$H$6:$H$463,2)/'Your Lines'!$G$6:$G$463-'Your Lines'!$L$6:$L$463),0))</f>
        <v>9457.13472785679</v>
      </c>
      <c r="AK31" s="36" t="n">
        <f aca="false" t="array" ref="AK31:AK31">SUM(IF(('Your Lines'!$P$6:$P$463=$D31)*('Your Lines'!$O$6:$O$463&lt;PERCENTILE(IF(('Your Lines'!$P$6:$P$463=$D31),'Your Lines'!$O$6:$O$463,""),Sensitivity!$B$85)),'Your Lines'!$E$6:$E$463*ROUND(PERCENTILE(IF(('Your Lines'!$P$6:$P$463=$D31),'Your Lines'!$O$6:$O$463,""),Sensitivity!$B$85)*'Your Lines'!$H$6:$H$463,2)-'Your Lines'!$K$6:$K$463-'Your Lines'!$L$6:$L$463*'Your Lines'!$E$6:$E$463*ROUND(PERCENTILE(IF(('Your Lines'!$P$6:$P$463=$D31),'Your Lines'!$O$6:$O$463,""),Sensitivity!$B$85)*'Your Lines'!$H$6:$H$463,2)/'Your Lines'!$G$6:$G$463,0))</f>
        <v>98392.3947278568</v>
      </c>
      <c r="AL31" s="26" t="n">
        <f aca="false" t="array" ref="AL31:AL31">SUM(IF(('Your Lines'!$P$6:$P$463=$D31)*('Your Lines'!$O$6:$O$463&lt;PERCENTILE(IF(('Your Lines'!$P$6:$P$463=$D31),'Your Lines'!$O$6:$O$463,""),Sensitivity!$B$86)),1,0))</f>
        <v>16</v>
      </c>
      <c r="AM31" s="36" t="n">
        <f aca="false" t="array" ref="AM31:AM31">SUM(IF(('Your Lines'!$P$6:$P$463=$D31)*('Your Lines'!$O$6:$O$463&lt;PERCENTILE(IF(('Your Lines'!$P$6:$P$463=$D31),'Your Lines'!$O$6:$O$463,""),Sensitivity!$B$86)),('Your Lines'!$E$6:$E$463*ROUND(PERCENTILE(IF(('Your Lines'!$P$6:$P$463=$D31),'Your Lines'!$O$6:$O$463,""),Sensitivity!$B$86)*'Your Lines'!$H$6:$H$463,2)-'Your Lines'!$G$6:$G$463)-('Your Lines'!$L$6:$L$463*'Your Lines'!$E$6:$E$463*ROUND(PERCENTILE(IF(('Your Lines'!$P$6:$P$463=$D31),'Your Lines'!$O$6:$O$463,""),Sensitivity!$B$86)*'Your Lines'!$H$6:$H$463,2)/'Your Lines'!$G$6:$G$463-'Your Lines'!$L$6:$L$463),0))</f>
        <v>16488.8515478295</v>
      </c>
      <c r="AN31" s="36" t="n">
        <f aca="false" t="array" ref="AN31:AN31">SUM(IF(('Your Lines'!$P$6:$P$463=$D31)*('Your Lines'!$O$6:$O$463&lt;PERCENTILE(IF(('Your Lines'!$P$6:$P$463=$D31),'Your Lines'!$O$6:$O$463,""),Sensitivity!$B$86)),'Your Lines'!$E$6:$E$463*ROUND(PERCENTILE(IF(('Your Lines'!$P$6:$P$463=$D31),'Your Lines'!$O$6:$O$463,""),Sensitivity!$B$86)*'Your Lines'!$H$6:$H$463,2)-'Your Lines'!$K$6:$K$463-'Your Lines'!$L$6:$L$463*'Your Lines'!$E$6:$E$463*ROUND(PERCENTILE(IF(('Your Lines'!$P$6:$P$463=$D31),'Your Lines'!$O$6:$O$463,""),Sensitivity!$B$86)*'Your Lines'!$H$6:$H$463,2)/'Your Lines'!$G$6:$G$463,0))</f>
        <v>241285.45154783</v>
      </c>
      <c r="AO31" s="26" t="n">
        <f aca="false" t="array" ref="AO31:AO31">SUM(IF(('Your Lines'!$P$6:$P$463=$D31)*('Your Lines'!$O$6:$O$463&lt;PERCENTILE(IF(('Your Lines'!$P$6:$P$463=$D31),'Your Lines'!$O$6:$O$463,""),Sensitivity!$B$87)),1,0))</f>
        <v>26</v>
      </c>
      <c r="AP31" s="36" t="n">
        <f aca="false" t="array" ref="AP31:AP31">SUM(IF(('Your Lines'!$P$6:$P$463=$D31)*('Your Lines'!$O$6:$O$463&lt;PERCENTILE(IF(('Your Lines'!$P$6:$P$463=$D31),'Your Lines'!$O$6:$O$463,""),Sensitivity!$B$87)),('Your Lines'!$E$6:$E$463*ROUND(PERCENTILE(IF(('Your Lines'!$P$6:$P$463=$D31),'Your Lines'!$O$6:$O$463,""),Sensitivity!$B$87)*'Your Lines'!$H$6:$H$463,2)-'Your Lines'!$G$6:$G$463)-('Your Lines'!$L$6:$L$463*'Your Lines'!$E$6:$E$463*ROUND(PERCENTILE(IF(('Your Lines'!$P$6:$P$463=$D31),'Your Lines'!$O$6:$O$463,""),Sensitivity!$B$87)*'Your Lines'!$H$6:$H$463,2)/'Your Lines'!$G$6:$G$463-'Your Lines'!$L$6:$L$463),0))</f>
        <v>21285.9387759444</v>
      </c>
      <c r="AQ31" s="36" t="n">
        <f aca="false" t="array" ref="AQ31:AQ31">SUM(IF(('Your Lines'!$P$6:$P$463=$D31)*('Your Lines'!$O$6:$O$463&lt;PERCENTILE(IF(('Your Lines'!$P$6:$P$463=$D31),'Your Lines'!$O$6:$O$463,""),Sensitivity!$B$87)),'Your Lines'!$E$6:$E$463*ROUND(PERCENTILE(IF(('Your Lines'!$P$6:$P$463=$D31),'Your Lines'!$O$6:$O$463,""),Sensitivity!$B$87)*'Your Lines'!$H$6:$H$463,2)-'Your Lines'!$K$6:$K$463-'Your Lines'!$L$6:$L$463*'Your Lines'!$E$6:$E$463*ROUND(PERCENTILE(IF(('Your Lines'!$P$6:$P$463=$D31),'Your Lines'!$O$6:$O$463,""),Sensitivity!$B$87)*'Your Lines'!$H$6:$H$463,2)/'Your Lines'!$G$6:$G$463,0))</f>
        <v>347821.088775944</v>
      </c>
      <c r="AR31" s="26" t="n">
        <f aca="false" t="array" ref="AR31:AR31">SUM(IF(('Your Lines'!$P$6:$P$463=$D31)*('Your Lines'!$O$6:$O$463&lt;PERCENTILE(IF(('Your Lines'!$P$6:$P$463=$D31),'Your Lines'!$O$6:$O$463,""),Sensitivity!$B$88)),1,0))</f>
        <v>32</v>
      </c>
      <c r="AS31" s="36" t="n">
        <f aca="false" t="array" ref="AS31:AS31">SUM(IF(('Your Lines'!$P$6:$P$463=$D31)*('Your Lines'!$O$6:$O$463&lt;PERCENTILE(IF(('Your Lines'!$P$6:$P$463=$D31),'Your Lines'!$O$6:$O$463,""),Sensitivity!$B$88)),('Your Lines'!$E$6:$E$463*ROUND(PERCENTILE(IF(('Your Lines'!$P$6:$P$463=$D31),'Your Lines'!$O$6:$O$463,""),Sensitivity!$B$88)*'Your Lines'!$H$6:$H$463,2)-'Your Lines'!$G$6:$G$463)-('Your Lines'!$L$6:$L$463*'Your Lines'!$E$6:$E$463*ROUND(PERCENTILE(IF(('Your Lines'!$P$6:$P$463=$D31),'Your Lines'!$O$6:$O$463,""),Sensitivity!$B$88)*'Your Lines'!$H$6:$H$463,2)/'Your Lines'!$G$6:$G$463-'Your Lines'!$L$6:$L$463),0))</f>
        <v>37279.2319758534</v>
      </c>
      <c r="AT31" s="36" t="n">
        <f aca="false" t="array" ref="AT31:AT31">SUM(IF(('Your Lines'!$P$6:$P$463=$D31)*('Your Lines'!$O$6:$O$463&lt;PERCENTILE(IF(('Your Lines'!$P$6:$P$463=$D31),'Your Lines'!$O$6:$O$463,""),Sensitivity!$B$88)),'Your Lines'!$E$6:$E$463*ROUND(PERCENTILE(IF(('Your Lines'!$P$6:$P$463=$D31),'Your Lines'!$O$6:$O$463,""),Sensitivity!$B$88)*'Your Lines'!$H$6:$H$463,2)-'Your Lines'!$K$6:$K$463-'Your Lines'!$L$6:$L$463*'Your Lines'!$E$6:$E$463*ROUND(PERCENTILE(IF(('Your Lines'!$P$6:$P$463=$D31),'Your Lines'!$O$6:$O$463,""),Sensitivity!$B$88)*'Your Lines'!$H$6:$H$463,2)/'Your Lines'!$G$6:$G$463,0))</f>
        <v>404561.621975853</v>
      </c>
      <c r="AV31" s="18" t="str">
        <f aca="false">VLOOKUP($B31,$B$53:$F$56,5,FALSE())</f>
        <v>no</v>
      </c>
    </row>
    <row r="34" customFormat="false" ht="15" hidden="false" customHeight="false" outlineLevel="0" collapsed="false">
      <c r="B34" s="6" t="s">
        <v>402</v>
      </c>
      <c r="C34" s="7"/>
      <c r="D34" s="7"/>
      <c r="E34" s="7"/>
      <c r="F34" s="7"/>
      <c r="G34" s="7"/>
      <c r="H34" s="7"/>
      <c r="I34" s="7"/>
      <c r="J34" s="7"/>
      <c r="K34" s="7"/>
      <c r="L34" s="7"/>
      <c r="M34" s="7"/>
      <c r="N34" s="7"/>
      <c r="O34" s="7"/>
      <c r="P34" s="7"/>
    </row>
    <row r="35" customFormat="false" ht="15" hidden="false" customHeight="false" outlineLevel="0" collapsed="false">
      <c r="B35" s="4" t="s">
        <v>403</v>
      </c>
      <c r="C35" s="39" t="n">
        <f aca="false">SUM($L$20:$L$31)</f>
        <v>116</v>
      </c>
    </row>
    <row r="36" customFormat="false" ht="15" hidden="false" customHeight="false" outlineLevel="0" collapsed="false">
      <c r="B36" s="4" t="s">
        <v>404</v>
      </c>
      <c r="C36" s="39" t="n">
        <f aca="false">SUM($M$20:$M$31)</f>
        <v>243463</v>
      </c>
    </row>
    <row r="37" customFormat="false" ht="15" hidden="false" customHeight="false" outlineLevel="0" collapsed="false">
      <c r="B37" s="4" t="s">
        <v>405</v>
      </c>
      <c r="C37" s="22" t="n">
        <f aca="false">ROUND(SUM($N$20:$N$31),2)</f>
        <v>16937421.12</v>
      </c>
    </row>
    <row r="38" customFormat="false" ht="15" hidden="false" customHeight="false" outlineLevel="0" collapsed="false">
      <c r="B38" s="4" t="s">
        <v>406</v>
      </c>
      <c r="C38" s="22" t="n">
        <f aca="false">ROUND(SUM($AF$20:$AF$31),2)</f>
        <v>460444.62</v>
      </c>
    </row>
    <row r="39" customFormat="false" ht="15" hidden="false" customHeight="false" outlineLevel="0" collapsed="false">
      <c r="B39" s="4" t="s">
        <v>407</v>
      </c>
      <c r="C39" s="31" t="n">
        <f aca="false">$C$38/'Your Margin'!$C$32</f>
        <v>0.0802257415836137</v>
      </c>
    </row>
    <row r="40" customFormat="false" ht="15" hidden="false" customHeight="false" outlineLevel="0" collapsed="false">
      <c r="B40" s="4" t="s">
        <v>408</v>
      </c>
      <c r="C40" s="22" t="n">
        <f aca="false">ROUND(SUM($AG$20:$AG$31),2)</f>
        <v>4496404.44</v>
      </c>
    </row>
    <row r="41" customFormat="false" ht="15" hidden="false" customHeight="false" outlineLevel="0" collapsed="false">
      <c r="B41" s="4" t="s">
        <v>409</v>
      </c>
      <c r="C41" s="31" t="n">
        <f aca="false">$C$38/$C$40</f>
        <v>0.102402847907516</v>
      </c>
    </row>
    <row r="42" customFormat="false" ht="15" hidden="false" customHeight="false" outlineLevel="0" collapsed="false">
      <c r="B42" s="4" t="s">
        <v>410</v>
      </c>
      <c r="C42" s="22" t="n">
        <f aca="false">ROUND(SUM($AH$20:$AH$31),2)</f>
        <v>470558.6</v>
      </c>
    </row>
    <row r="43" customFormat="false" ht="15" hidden="false" customHeight="false" outlineLevel="0" collapsed="false">
      <c r="B43" s="2" t="s">
        <v>411</v>
      </c>
    </row>
    <row r="44" customFormat="false" ht="15" hidden="false" customHeight="false" outlineLevel="0" collapsed="false">
      <c r="B44" s="2" t="s">
        <v>412</v>
      </c>
    </row>
    <row r="45" customFormat="false" ht="15" hidden="false" customHeight="false" outlineLevel="0" collapsed="false">
      <c r="B45" s="2" t="s">
        <v>413</v>
      </c>
    </row>
    <row r="46" customFormat="false" ht="15" hidden="false" customHeight="false" outlineLevel="0" collapsed="false">
      <c r="B46" s="2" t="s">
        <v>414</v>
      </c>
    </row>
    <row r="49" customFormat="false" ht="15" hidden="false" customHeight="false" outlineLevel="0" collapsed="false">
      <c r="B49" s="6" t="s">
        <v>415</v>
      </c>
      <c r="C49" s="7"/>
      <c r="D49" s="7"/>
      <c r="E49" s="7"/>
      <c r="F49" s="7"/>
      <c r="G49" s="7"/>
      <c r="H49" s="7"/>
      <c r="I49" s="7"/>
      <c r="J49" s="7"/>
      <c r="K49" s="7"/>
      <c r="L49" s="7"/>
      <c r="M49" s="7"/>
      <c r="N49" s="7"/>
      <c r="O49" s="7"/>
      <c r="P49" s="7"/>
    </row>
    <row r="50" customFormat="false" ht="15" hidden="false" customHeight="false" outlineLevel="0" collapsed="false">
      <c r="B50" s="2" t="s">
        <v>416</v>
      </c>
    </row>
    <row r="51" customFormat="false" ht="15" hidden="false" customHeight="false" outlineLevel="0" collapsed="false">
      <c r="B51" s="2" t="s">
        <v>417</v>
      </c>
    </row>
    <row r="52" customFormat="false" ht="30" hidden="false" customHeight="true" outlineLevel="0" collapsed="false">
      <c r="B52" s="12" t="s">
        <v>97</v>
      </c>
      <c r="C52" s="12" t="s">
        <v>403</v>
      </c>
      <c r="D52" s="12" t="s">
        <v>418</v>
      </c>
      <c r="E52" s="12" t="s">
        <v>419</v>
      </c>
      <c r="F52" s="12" t="s">
        <v>401</v>
      </c>
    </row>
    <row r="53" customFormat="false" ht="15" hidden="false" customHeight="false" outlineLevel="0" collapsed="false">
      <c r="B53" s="18" t="s">
        <v>115</v>
      </c>
      <c r="C53" s="26" t="n">
        <f aca="false">$L$20 + $L$21 + $L$22</f>
        <v>9</v>
      </c>
      <c r="D53" s="15" t="n">
        <f aca="false">ROUND($O$20 + $O$21 + $O$22,2)</f>
        <v>106203.8</v>
      </c>
      <c r="E53" s="25" t="n">
        <f aca="false">$D53/$C$38</f>
        <v>0.230654883099731</v>
      </c>
      <c r="F53" s="13" t="s">
        <v>420</v>
      </c>
    </row>
    <row r="54" customFormat="false" ht="15" hidden="false" customHeight="false" outlineLevel="0" collapsed="false">
      <c r="B54" s="18" t="s">
        <v>128</v>
      </c>
      <c r="C54" s="26" t="n">
        <f aca="false">$L$23 + $L$24 + $L$25</f>
        <v>21</v>
      </c>
      <c r="D54" s="15" t="n">
        <f aca="false">ROUND($O$23 + $O$24 + $O$25,2)</f>
        <v>129402.35</v>
      </c>
      <c r="E54" s="25" t="n">
        <f aca="false">$D54/$C$38</f>
        <v>0.281037815144849</v>
      </c>
      <c r="F54" s="13" t="s">
        <v>421</v>
      </c>
    </row>
    <row r="55" customFormat="false" ht="15" hidden="false" customHeight="false" outlineLevel="0" collapsed="false">
      <c r="B55" s="18" t="s">
        <v>157</v>
      </c>
      <c r="C55" s="26" t="n">
        <f aca="false">$L$26 + $L$27 + $L$28</f>
        <v>39</v>
      </c>
      <c r="D55" s="15" t="n">
        <f aca="false">ROUND($O$26 + $O$27 + $O$28,2)</f>
        <v>154212.64</v>
      </c>
      <c r="E55" s="25" t="n">
        <f aca="false">$D55/$C$38</f>
        <v>0.334921146434505</v>
      </c>
      <c r="F55" s="13" t="s">
        <v>421</v>
      </c>
    </row>
    <row r="56" customFormat="false" ht="15" hidden="false" customHeight="false" outlineLevel="0" collapsed="false">
      <c r="B56" s="18" t="s">
        <v>218</v>
      </c>
      <c r="C56" s="26" t="n">
        <f aca="false">$L$29 + $L$30 + $L$31</f>
        <v>47</v>
      </c>
      <c r="D56" s="15" t="n">
        <f aca="false">ROUND($O$29 + $O$30 + $O$31,2)</f>
        <v>70625.83</v>
      </c>
      <c r="E56" s="25" t="n">
        <f aca="false">$D56/$C$38</f>
        <v>0.153386155320916</v>
      </c>
      <c r="F56" s="13" t="s">
        <v>421</v>
      </c>
    </row>
    <row r="57" customFormat="false" ht="15" hidden="false" customHeight="false" outlineLevel="0" collapsed="false">
      <c r="B57" s="4" t="s">
        <v>422</v>
      </c>
      <c r="C57" s="22" t="n">
        <f aca="false">ROUND(SUMIF($F$53:$F$56,"yes",$D$53:$D$56),2)</f>
        <v>106203.8</v>
      </c>
    </row>
    <row r="58" customFormat="false" ht="15" hidden="false" customHeight="false" outlineLevel="0" collapsed="false">
      <c r="B58" s="4" t="s">
        <v>423</v>
      </c>
      <c r="C58" s="22" t="n">
        <f aca="false">ROUND($C$38-$C$57,2)</f>
        <v>354240.82</v>
      </c>
    </row>
    <row r="59" customFormat="false" ht="15" hidden="false" customHeight="false" outlineLevel="0" collapsed="false">
      <c r="B59" s="4" t="s">
        <v>407</v>
      </c>
      <c r="C59" s="31" t="n">
        <f aca="false">$C$58/'Your Margin'!$C$32</f>
        <v>0.0617212825370561</v>
      </c>
    </row>
    <row r="62" customFormat="false" ht="15" hidden="false" customHeight="false" outlineLevel="0" collapsed="false">
      <c r="B62" s="6" t="s">
        <v>424</v>
      </c>
      <c r="C62" s="7"/>
      <c r="D62" s="7"/>
      <c r="E62" s="7"/>
      <c r="F62" s="7"/>
      <c r="G62" s="7"/>
      <c r="H62" s="7"/>
      <c r="I62" s="7"/>
      <c r="J62" s="7"/>
      <c r="K62" s="7"/>
      <c r="L62" s="7"/>
      <c r="M62" s="7"/>
      <c r="N62" s="7"/>
      <c r="O62" s="7"/>
      <c r="P62" s="7"/>
    </row>
    <row r="63" customFormat="false" ht="15" hidden="false" customHeight="false" outlineLevel="0" collapsed="false">
      <c r="B63" s="2" t="s">
        <v>425</v>
      </c>
    </row>
    <row r="64" customFormat="false" ht="15" hidden="false" customHeight="false" outlineLevel="0" collapsed="false">
      <c r="B64" s="2" t="s">
        <v>426</v>
      </c>
    </row>
    <row r="65" customFormat="false" ht="15" hidden="false" customHeight="false" outlineLevel="0" collapsed="false">
      <c r="B65" s="4" t="s">
        <v>427</v>
      </c>
      <c r="C65" s="39" t="n">
        <f aca="false">SUMIF($AV$20:$AV$31,"no",$L$20:$L$31)</f>
        <v>107</v>
      </c>
    </row>
    <row r="66" customFormat="false" ht="15" hidden="false" customHeight="false" outlineLevel="0" collapsed="false">
      <c r="B66" s="4" t="s">
        <v>405</v>
      </c>
      <c r="C66" s="22" t="n">
        <f aca="false">ROUND(SUMIF($AV$20:$AV$31,"no",$N$20:$N$31),2)</f>
        <v>10449106.96</v>
      </c>
    </row>
    <row r="67" customFormat="false" ht="15" hidden="false" customHeight="false" outlineLevel="0" collapsed="false">
      <c r="B67" s="4" t="s">
        <v>428</v>
      </c>
      <c r="C67" s="22" t="n">
        <f aca="false">ROUND(SUMIF($AV$20:$AV$31,"no",$AG$20:$AG$31),2)</f>
        <v>3007736.02</v>
      </c>
    </row>
    <row r="68" customFormat="false" ht="15" hidden="false" customHeight="false" outlineLevel="0" collapsed="false">
      <c r="B68" s="4" t="s">
        <v>429</v>
      </c>
      <c r="C68" s="31" t="n">
        <f aca="false">$C$58/$C$67</f>
        <v>0.117776566043186</v>
      </c>
    </row>
    <row r="69" customFormat="false" ht="15" hidden="false" customHeight="false" outlineLevel="0" collapsed="false">
      <c r="B69" s="4" t="s">
        <v>430</v>
      </c>
      <c r="C69" s="22" t="n">
        <f aca="false">ROUND(SUMIF($AV$20:$AV$31,"no",$AH$20:$AH$31),2)</f>
        <v>361992.55</v>
      </c>
    </row>
    <row r="70" customFormat="false" ht="15" hidden="false" customHeight="false" outlineLevel="0" collapsed="false">
      <c r="B70" s="4" t="s">
        <v>431</v>
      </c>
      <c r="C70" s="30" t="n">
        <f aca="false">$C$69/$C$66</f>
        <v>0.0346433959749609</v>
      </c>
      <c r="D70" s="2" t="s">
        <v>432</v>
      </c>
    </row>
    <row r="71" customFormat="false" ht="15" hidden="false" customHeight="false" outlineLevel="0" collapsed="false">
      <c r="B71" s="4" t="s">
        <v>433</v>
      </c>
      <c r="C71" s="30" t="n">
        <f aca="false">$C$58/$C$66</f>
        <v>0.0339015402326784</v>
      </c>
    </row>
    <row r="72" customFormat="false" ht="15" hidden="false" customHeight="false" outlineLevel="0" collapsed="false">
      <c r="B72" s="4" t="s">
        <v>434</v>
      </c>
      <c r="C72" s="34" t="n">
        <f aca="false">-$C$68/$C$70</f>
        <v>-3.39968304863389</v>
      </c>
      <c r="D72" s="2" t="s">
        <v>435</v>
      </c>
    </row>
    <row r="73" customFormat="false" ht="15" hidden="false" customHeight="false" outlineLevel="0" collapsed="false">
      <c r="B73" s="4" t="s">
        <v>436</v>
      </c>
      <c r="C73" s="34" t="n">
        <f aca="false">-$C$68/$C$71</f>
        <v>-3.4740771432461</v>
      </c>
      <c r="D73" s="2" t="s">
        <v>437</v>
      </c>
    </row>
    <row r="74" customFormat="false" ht="15" hidden="false" customHeight="false" outlineLevel="0" collapsed="false">
      <c r="B74" s="4" t="s">
        <v>438</v>
      </c>
      <c r="C74" s="34" t="n">
        <f aca="false">-$C$41/($C$42/$C$37)</f>
        <v>-3.68591745830787</v>
      </c>
    </row>
    <row r="75" customFormat="false" ht="15" hidden="false" customHeight="false" outlineLevel="0" collapsed="false">
      <c r="B75" s="2" t="s">
        <v>439</v>
      </c>
    </row>
    <row r="76" customFormat="false" ht="15" hidden="false" customHeight="false" outlineLevel="0" collapsed="false">
      <c r="B76" s="2" t="s">
        <v>440</v>
      </c>
    </row>
    <row r="79" customFormat="false" ht="15" hidden="false" customHeight="false" outlineLevel="0" collapsed="false">
      <c r="B79" s="6" t="s">
        <v>441</v>
      </c>
      <c r="C79" s="7"/>
      <c r="D79" s="7"/>
      <c r="E79" s="7"/>
      <c r="F79" s="7"/>
      <c r="G79" s="7"/>
      <c r="H79" s="7"/>
      <c r="I79" s="7"/>
      <c r="J79" s="7"/>
      <c r="K79" s="7"/>
      <c r="L79" s="7"/>
      <c r="M79" s="7"/>
      <c r="N79" s="7"/>
      <c r="O79" s="7"/>
      <c r="P79" s="7"/>
    </row>
    <row r="80" customFormat="false" ht="15" hidden="false" customHeight="false" outlineLevel="0" collapsed="false">
      <c r="B80" s="2" t="s">
        <v>442</v>
      </c>
    </row>
    <row r="81" customFormat="false" ht="15" hidden="false" customHeight="false" outlineLevel="0" collapsed="false">
      <c r="B81" s="2" t="s">
        <v>443</v>
      </c>
    </row>
    <row r="82" customFormat="false" ht="15" hidden="false" customHeight="false" outlineLevel="0" collapsed="false">
      <c r="B82" s="4" t="s">
        <v>444</v>
      </c>
      <c r="C82" s="39" t="n">
        <f aca="false">COUNTIF('Your Accounts'!$Q$6:$Q$185,"&gt;0")</f>
        <v>51</v>
      </c>
    </row>
    <row r="83" customFormat="false" ht="15" hidden="false" customHeight="false" outlineLevel="0" collapsed="false">
      <c r="B83" s="4" t="s">
        <v>445</v>
      </c>
      <c r="C83" s="39" t="n">
        <f aca="false">SUMPRODUCT(('Your Accounts'!$Q$6:$Q$185&gt;0)*('Your Accounts'!$AN$6:$AN$185&gt;0))</f>
        <v>48</v>
      </c>
    </row>
    <row r="84" customFormat="false" ht="15" hidden="false" customHeight="false" outlineLevel="0" collapsed="false">
      <c r="B84" s="4" t="s">
        <v>446</v>
      </c>
      <c r="C84" s="22" t="n">
        <f aca="false">ROUND(SUM('Your Accounts'!$AN$6:$AN$185),2)</f>
        <v>3047390.11</v>
      </c>
    </row>
    <row r="85" customFormat="false" ht="15" hidden="false" customHeight="false" outlineLevel="0" collapsed="false">
      <c r="B85" s="4" t="s">
        <v>447</v>
      </c>
      <c r="C85" s="27" t="str">
        <f aca="false">INDEX('Your Accounts'!$B$6:$B$185,MATCH(MAX('Your Accounts'!$AN$6:$AN$185),'Your Accounts'!$AN$6:$AN$185,0))</f>
        <v>DIR-079</v>
      </c>
    </row>
    <row r="86" customFormat="false" ht="15" hidden="false" customHeight="false" outlineLevel="0" collapsed="false">
      <c r="B86" s="4" t="s">
        <v>448</v>
      </c>
      <c r="C86" s="22" t="n">
        <f aca="false">MAX('Your Accounts'!$AN$6:$AN$185)</f>
        <v>338894.96</v>
      </c>
    </row>
    <row r="87" customFormat="false" ht="15" hidden="false" customHeight="false" outlineLevel="0" collapsed="false">
      <c r="B87" s="4" t="s">
        <v>449</v>
      </c>
      <c r="C87" s="34" t="n">
        <f aca="false">$C$86/$C$58</f>
        <v>0.956679583115238</v>
      </c>
    </row>
    <row r="88" customFormat="false" ht="15" hidden="false" customHeight="false" outlineLevel="0" collapsed="false">
      <c r="B88" s="4" t="s">
        <v>450</v>
      </c>
      <c r="C88" s="22" t="n">
        <f aca="false">ROUND(LARGE('Your Accounts'!$AN$6:$AN$185,1)+LARGE('Your Accounts'!$AN$6:$AN$185,2)+LARGE('Your Accounts'!$AN$6:$AN$185,3),2)</f>
        <v>595064.91</v>
      </c>
    </row>
    <row r="89" customFormat="false" ht="15" hidden="false" customHeight="false" outlineLevel="0" collapsed="false">
      <c r="B89" s="4" t="s">
        <v>451</v>
      </c>
      <c r="C89" s="31" t="n">
        <f aca="false">$C$88/$C$58</f>
        <v>1.67983156204302</v>
      </c>
    </row>
    <row r="90" customFormat="false" ht="15" hidden="false" customHeight="false" outlineLevel="0" collapsed="false">
      <c r="B90" s="4" t="s">
        <v>452</v>
      </c>
      <c r="C90" s="27" t="str">
        <f aca="false">IF($C$87&gt;0.25,"YES: THE RISK IS CONCENTRATED","no: it is spread across many accounts")</f>
        <v>YES: THE RISK IS CONCENTRATED</v>
      </c>
      <c r="D90" s="2" t="s">
        <v>453</v>
      </c>
    </row>
    <row r="91" customFormat="false" ht="15" hidden="false" customHeight="false" outlineLevel="0" collapsed="false">
      <c r="B91" s="2" t="s">
        <v>454</v>
      </c>
    </row>
    <row r="92" customFormat="false" ht="15" hidden="false" customHeight="false" outlineLevel="0" collapsed="false">
      <c r="B92" s="2" t="s">
        <v>455</v>
      </c>
    </row>
    <row r="93" customFormat="false" ht="15" hidden="false" customHeight="false" outlineLevel="0" collapsed="false">
      <c r="B93" s="2" t="s">
        <v>456</v>
      </c>
    </row>
    <row r="94" customFormat="false" ht="15" hidden="false" customHeight="false" outlineLevel="0" collapsed="false">
      <c r="B94" s="2" t="s">
        <v>457</v>
      </c>
    </row>
    <row r="95" customFormat="false" ht="15" hidden="false" customHeight="false" outlineLevel="0" collapsed="false">
      <c r="B95" s="2" t="s">
        <v>458</v>
      </c>
    </row>
    <row r="96" customFormat="false" ht="15" hidden="false" customHeight="false" outlineLevel="0" collapsed="false">
      <c r="B96" s="2" t="s">
        <v>459</v>
      </c>
    </row>
    <row r="99" customFormat="false" ht="15" hidden="false" customHeight="false" outlineLevel="0" collapsed="false">
      <c r="B99" s="6" t="s">
        <v>460</v>
      </c>
      <c r="C99" s="7"/>
      <c r="D99" s="7"/>
      <c r="E99" s="7"/>
      <c r="F99" s="7"/>
      <c r="G99" s="7"/>
      <c r="H99" s="7"/>
      <c r="I99" s="7"/>
      <c r="J99" s="7"/>
      <c r="K99" s="7"/>
      <c r="L99" s="7"/>
      <c r="M99" s="7"/>
      <c r="N99" s="7"/>
      <c r="O99" s="7"/>
      <c r="P99" s="7"/>
    </row>
    <row r="100" customFormat="false" ht="30" hidden="false" customHeight="true" outlineLevel="0" collapsed="false">
      <c r="B100" s="12" t="s">
        <v>96</v>
      </c>
      <c r="C100" s="12" t="s">
        <v>97</v>
      </c>
      <c r="D100" s="12" t="s">
        <v>46</v>
      </c>
      <c r="E100" s="12" t="s">
        <v>98</v>
      </c>
      <c r="F100" s="12" t="s">
        <v>106</v>
      </c>
      <c r="G100" s="12" t="s">
        <v>381</v>
      </c>
      <c r="H100" s="12" t="s">
        <v>461</v>
      </c>
      <c r="I100" s="12" t="s">
        <v>110</v>
      </c>
      <c r="J100" s="12" t="s">
        <v>418</v>
      </c>
      <c r="K100" s="12"/>
      <c r="L100" s="12"/>
      <c r="M100" s="12"/>
      <c r="N100" s="12"/>
      <c r="O100" s="12"/>
      <c r="P100" s="12"/>
    </row>
    <row r="101" customFormat="false" ht="15" hidden="false" customHeight="false" outlineLevel="0" collapsed="false">
      <c r="B101" s="18" t="str">
        <f aca="false">INDEX('Your Lines'!$B$6:$B$463,MATCH(LARGE('Your Lines'!$U$6:$U$463,1),'Your Lines'!$U$6:$U$463,0))</f>
        <v>DIS-016</v>
      </c>
      <c r="C101" s="18" t="str">
        <f aca="false">INDEX('Your Lines'!$C$6:$C$463,MATCH(LARGE('Your Lines'!$U$6:$U$463,1),'Your Lines'!$U$6:$U$463,0))</f>
        <v>Distributors</v>
      </c>
      <c r="D101" s="18" t="str">
        <f aca="false">INDEX('Your Lines'!$D$6:$D$463,MATCH(LARGE('Your Lines'!$U$6:$U$463,1),'Your Lines'!$U$6:$U$463,0))</f>
        <v>Sealants</v>
      </c>
      <c r="E101" s="26" t="n">
        <f aca="false">INDEX('Your Lines'!$E$6:$E$463,MATCH(LARGE('Your Lines'!$U$6:$U$463,1),'Your Lines'!$U$6:$U$463,0))</f>
        <v>8590</v>
      </c>
      <c r="F101" s="25" t="n">
        <f aca="false">INDEX('Your Lines'!$O$6:$O$463,MATCH(LARGE('Your Lines'!$U$6:$U$463,1),'Your Lines'!$U$6:$U$463,0))</f>
        <v>0.640331987682602</v>
      </c>
      <c r="G101" s="25" t="n">
        <f aca="false">INDEX('Your Lines'!$Q$6:$Q$463,MATCH(LARGE('Your Lines'!$U$6:$U$463,1),'Your Lines'!$U$6:$U$463,0))</f>
        <v>0.704282831281691</v>
      </c>
      <c r="H101" s="15" t="n">
        <f aca="false">INDEX('Your Lines'!$G$6:$G$463,MATCH(LARGE('Your Lines'!$U$6:$U$463,1),'Your Lines'!$U$6:$U$463,0))</f>
        <v>341028.01</v>
      </c>
      <c r="I101" s="15" t="n">
        <f aca="false">INDEX('Your Lines'!$S$6:$S$463,MATCH(LARGE('Your Lines'!$U$6:$U$463,1),'Your Lines'!$U$6:$U$463,0))</f>
        <v>375125.3</v>
      </c>
      <c r="J101" s="15" t="n">
        <f aca="false">LARGE('Your Lines'!$U$6:$U$463,1)</f>
        <v>33324.11</v>
      </c>
    </row>
    <row r="102" customFormat="false" ht="15" hidden="false" customHeight="false" outlineLevel="0" collapsed="false">
      <c r="B102" s="18" t="str">
        <f aca="false">INDEX('Your Lines'!$B$6:$B$463,MATCH(LARGE('Your Lines'!$U$6:$U$463,2),'Your Lines'!$U$6:$U$463,0))</f>
        <v>OEM-005</v>
      </c>
      <c r="C102" s="18" t="str">
        <f aca="false">INDEX('Your Lines'!$C$6:$C$463,MATCH(LARGE('Your Lines'!$U$6:$U$463,2),'Your Lines'!$U$6:$U$463,0))</f>
        <v>OEM key accounts</v>
      </c>
      <c r="D102" s="18" t="str">
        <f aca="false">INDEX('Your Lines'!$D$6:$D$463,MATCH(LARGE('Your Lines'!$U$6:$U$463,2),'Your Lines'!$U$6:$U$463,0))</f>
        <v>Structural adhesives</v>
      </c>
      <c r="E102" s="26" t="n">
        <f aca="false">INDEX('Your Lines'!$E$6:$E$463,MATCH(LARGE('Your Lines'!$U$6:$U$463,2),'Your Lines'!$U$6:$U$463,0))</f>
        <v>15461</v>
      </c>
      <c r="F102" s="25" t="n">
        <f aca="false">INDEX('Your Lines'!$O$6:$O$463,MATCH(LARGE('Your Lines'!$U$6:$U$463,2),'Your Lines'!$U$6:$U$463,0))</f>
        <v>0.769331998384776</v>
      </c>
      <c r="G102" s="25" t="n">
        <f aca="false">INDEX('Your Lines'!$Q$6:$Q$463,MATCH(LARGE('Your Lines'!$U$6:$U$463,2),'Your Lines'!$U$6:$U$463,0))</f>
        <v>0.778791003638182</v>
      </c>
      <c r="H102" s="15" t="n">
        <f aca="false">INDEX('Your Lines'!$G$6:$G$463,MATCH(LARGE('Your Lines'!$U$6:$U$463,2),'Your Lines'!$U$6:$U$463,0))</f>
        <v>1760407.02</v>
      </c>
      <c r="I102" s="15" t="n">
        <f aca="false">INDEX('Your Lines'!$S$6:$S$463,MATCH(LARGE('Your Lines'!$U$6:$U$463,2),'Your Lines'!$U$6:$U$463,0))</f>
        <v>1782034.86</v>
      </c>
      <c r="J102" s="15" t="n">
        <f aca="false">LARGE('Your Lines'!$U$6:$U$463,2)</f>
        <v>21155.1</v>
      </c>
    </row>
    <row r="103" customFormat="false" ht="15" hidden="false" customHeight="false" outlineLevel="0" collapsed="false">
      <c r="B103" s="18" t="str">
        <f aca="false">INDEX('Your Lines'!$B$6:$B$463,MATCH(LARGE('Your Lines'!$U$6:$U$463,3),'Your Lines'!$U$6:$U$463,0))</f>
        <v>OEM-011</v>
      </c>
      <c r="C103" s="18" t="str">
        <f aca="false">INDEX('Your Lines'!$C$6:$C$463,MATCH(LARGE('Your Lines'!$U$6:$U$463,3),'Your Lines'!$U$6:$U$463,0))</f>
        <v>OEM key accounts</v>
      </c>
      <c r="D103" s="18" t="str">
        <f aca="false">INDEX('Your Lines'!$D$6:$D$463,MATCH(LARGE('Your Lines'!$U$6:$U$463,3),'Your Lines'!$U$6:$U$463,0))</f>
        <v>Structural adhesives</v>
      </c>
      <c r="E103" s="26" t="n">
        <f aca="false">INDEX('Your Lines'!$E$6:$E$463,MATCH(LARGE('Your Lines'!$U$6:$U$463,3),'Your Lines'!$U$6:$U$463,0))</f>
        <v>10432</v>
      </c>
      <c r="F103" s="25" t="n">
        <f aca="false">INDEX('Your Lines'!$O$6:$O$463,MATCH(LARGE('Your Lines'!$U$6:$U$463,3),'Your Lines'!$U$6:$U$463,0))</f>
        <v>0.766495495927292</v>
      </c>
      <c r="G103" s="25" t="n">
        <f aca="false">INDEX('Your Lines'!$Q$6:$Q$463,MATCH(LARGE('Your Lines'!$U$6:$U$463,3),'Your Lines'!$U$6:$U$463,0))</f>
        <v>0.778791003638182</v>
      </c>
      <c r="H103" s="15" t="n">
        <f aca="false">INDEX('Your Lines'!$G$6:$G$463,MATCH(LARGE('Your Lines'!$U$6:$U$463,3),'Your Lines'!$U$6:$U$463,0))</f>
        <v>1183419.99</v>
      </c>
      <c r="I103" s="15" t="n">
        <f aca="false">INDEX('Your Lines'!$S$6:$S$463,MATCH(LARGE('Your Lines'!$U$6:$U$463,3),'Your Lines'!$U$6:$U$463,0))</f>
        <v>1202392.32</v>
      </c>
      <c r="J103" s="15" t="n">
        <f aca="false">LARGE('Your Lines'!$U$6:$U$463,3)</f>
        <v>18557.63</v>
      </c>
    </row>
    <row r="104" customFormat="false" ht="15" hidden="false" customHeight="false" outlineLevel="0" collapsed="false">
      <c r="B104" s="18" t="str">
        <f aca="false">INDEX('Your Lines'!$B$6:$B$463,MATCH(LARGE('Your Lines'!$U$6:$U$463,4),'Your Lines'!$U$6:$U$463,0))</f>
        <v>DIR-057</v>
      </c>
      <c r="C104" s="18" t="str">
        <f aca="false">INDEX('Your Lines'!$C$6:$C$463,MATCH(LARGE('Your Lines'!$U$6:$U$463,4),'Your Lines'!$U$6:$U$463,0))</f>
        <v>Direct industrial</v>
      </c>
      <c r="D104" s="18" t="str">
        <f aca="false">INDEX('Your Lines'!$D$6:$D$463,MATCH(LARGE('Your Lines'!$U$6:$U$463,4),'Your Lines'!$U$6:$U$463,0))</f>
        <v>Protective coatings</v>
      </c>
      <c r="E104" s="26" t="n">
        <f aca="false">INDEX('Your Lines'!$E$6:$E$463,MATCH(LARGE('Your Lines'!$U$6:$U$463,4),'Your Lines'!$U$6:$U$463,0))</f>
        <v>2133</v>
      </c>
      <c r="F104" s="25" t="n">
        <f aca="false">INDEX('Your Lines'!$O$6:$O$463,MATCH(LARGE('Your Lines'!$U$6:$U$463,4),'Your Lines'!$U$6:$U$463,0))</f>
        <v>0.778464066651039</v>
      </c>
      <c r="G104" s="25" t="n">
        <f aca="false">INDEX('Your Lines'!$Q$6:$Q$463,MATCH(LARGE('Your Lines'!$U$6:$U$463,4),'Your Lines'!$U$6:$U$463,0))</f>
        <v>0.853768804407086</v>
      </c>
      <c r="H104" s="15" t="n">
        <f aca="false">INDEX('Your Lines'!$G$6:$G$463,MATCH(LARGE('Your Lines'!$U$6:$U$463,4),'Your Lines'!$U$6:$U$463,0))</f>
        <v>159404.53</v>
      </c>
      <c r="I104" s="15" t="n">
        <f aca="false">INDEX('Your Lines'!$S$6:$S$463,MATCH(LARGE('Your Lines'!$U$6:$U$463,4),'Your Lines'!$U$6:$U$463,0))</f>
        <v>174820.68</v>
      </c>
      <c r="J104" s="15" t="n">
        <f aca="false">LARGE('Your Lines'!$U$6:$U$463,4)</f>
        <v>15092.96</v>
      </c>
    </row>
    <row r="105" customFormat="false" ht="15" hidden="false" customHeight="false" outlineLevel="0" collapsed="false">
      <c r="B105" s="18" t="str">
        <f aca="false">INDEX('Your Lines'!$B$6:$B$463,MATCH(LARGE('Your Lines'!$U$6:$U$463,5),'Your Lines'!$U$6:$U$463,0))</f>
        <v>DIS-031</v>
      </c>
      <c r="C105" s="18" t="str">
        <f aca="false">INDEX('Your Lines'!$C$6:$C$463,MATCH(LARGE('Your Lines'!$U$6:$U$463,5),'Your Lines'!$U$6:$U$463,0))</f>
        <v>Distributors</v>
      </c>
      <c r="D105" s="18" t="str">
        <f aca="false">INDEX('Your Lines'!$D$6:$D$463,MATCH(LARGE('Your Lines'!$U$6:$U$463,5),'Your Lines'!$U$6:$U$463,0))</f>
        <v>Sealants</v>
      </c>
      <c r="E105" s="26" t="n">
        <f aca="false">INDEX('Your Lines'!$E$6:$E$463,MATCH(LARGE('Your Lines'!$U$6:$U$463,5),'Your Lines'!$U$6:$U$463,0))</f>
        <v>7778</v>
      </c>
      <c r="F105" s="25" t="n">
        <f aca="false">INDEX('Your Lines'!$O$6:$O$463,MATCH(LARGE('Your Lines'!$U$6:$U$463,5),'Your Lines'!$U$6:$U$463,0))</f>
        <v>0.672747969873672</v>
      </c>
      <c r="G105" s="25" t="n">
        <f aca="false">INDEX('Your Lines'!$Q$6:$Q$463,MATCH(LARGE('Your Lines'!$U$6:$U$463,5),'Your Lines'!$U$6:$U$463,0))</f>
        <v>0.704282831281691</v>
      </c>
      <c r="H105" s="15" t="n">
        <f aca="false">INDEX('Your Lines'!$G$6:$G$463,MATCH(LARGE('Your Lines'!$U$6:$U$463,5),'Your Lines'!$U$6:$U$463,0))</f>
        <v>324423.29</v>
      </c>
      <c r="I105" s="15" t="n">
        <f aca="false">INDEX('Your Lines'!$S$6:$S$463,MATCH(LARGE('Your Lines'!$U$6:$U$463,5),'Your Lines'!$U$6:$U$463,0))</f>
        <v>339665.26</v>
      </c>
      <c r="J105" s="15" t="n">
        <f aca="false">LARGE('Your Lines'!$U$6:$U$463,5)</f>
        <v>14892.38</v>
      </c>
    </row>
    <row r="106" customFormat="false" ht="15" hidden="false" customHeight="false" outlineLevel="0" collapsed="false">
      <c r="B106" s="18" t="str">
        <f aca="false">INDEX('Your Lines'!$B$6:$B$463,MATCH(LARGE('Your Lines'!$U$6:$U$463,6),'Your Lines'!$U$6:$U$463,0))</f>
        <v>DIR-041</v>
      </c>
      <c r="C106" s="18" t="str">
        <f aca="false">INDEX('Your Lines'!$C$6:$C$463,MATCH(LARGE('Your Lines'!$U$6:$U$463,6),'Your Lines'!$U$6:$U$463,0))</f>
        <v>Direct industrial</v>
      </c>
      <c r="D106" s="18" t="str">
        <f aca="false">INDEX('Your Lines'!$D$6:$D$463,MATCH(LARGE('Your Lines'!$U$6:$U$463,6),'Your Lines'!$U$6:$U$463,0))</f>
        <v>Sealants</v>
      </c>
      <c r="E106" s="26" t="n">
        <f aca="false">INDEX('Your Lines'!$E$6:$E$463,MATCH(LARGE('Your Lines'!$U$6:$U$463,6),'Your Lines'!$U$6:$U$463,0))</f>
        <v>3772</v>
      </c>
      <c r="F106" s="25" t="n">
        <f aca="false">INDEX('Your Lines'!$O$6:$O$463,MATCH(LARGE('Your Lines'!$U$6:$U$463,6),'Your Lines'!$U$6:$U$463,0))</f>
        <v>0.773216955153423</v>
      </c>
      <c r="G106" s="25" t="n">
        <f aca="false">INDEX('Your Lines'!$Q$6:$Q$463,MATCH(LARGE('Your Lines'!$U$6:$U$463,6),'Your Lines'!$U$6:$U$463,0))</f>
        <v>0.834035886176071</v>
      </c>
      <c r="H106" s="15" t="n">
        <f aca="false">INDEX('Your Lines'!$G$6:$G$463,MATCH(LARGE('Your Lines'!$U$6:$U$463,6),'Your Lines'!$U$6:$U$463,0))</f>
        <v>180827.61</v>
      </c>
      <c r="I106" s="15" t="n">
        <f aca="false">INDEX('Your Lines'!$S$6:$S$463,MATCH(LARGE('Your Lines'!$U$6:$U$463,6),'Your Lines'!$U$6:$U$463,0))</f>
        <v>195050.12</v>
      </c>
      <c r="J106" s="15" t="n">
        <f aca="false">LARGE('Your Lines'!$U$6:$U$463,6)</f>
        <v>13924.34</v>
      </c>
    </row>
    <row r="107" customFormat="false" ht="15" hidden="false" customHeight="false" outlineLevel="0" collapsed="false">
      <c r="B107" s="18" t="str">
        <f aca="false">INDEX('Your Lines'!$B$6:$B$463,MATCH(LARGE('Your Lines'!$U$6:$U$463,7),'Your Lines'!$U$6:$U$463,0))</f>
        <v>OEM-005</v>
      </c>
      <c r="C107" s="18" t="str">
        <f aca="false">INDEX('Your Lines'!$C$6:$C$463,MATCH(LARGE('Your Lines'!$U$6:$U$463,7),'Your Lines'!$U$6:$U$463,0))</f>
        <v>OEM key accounts</v>
      </c>
      <c r="D107" s="18" t="str">
        <f aca="false">INDEX('Your Lines'!$D$6:$D$463,MATCH(LARGE('Your Lines'!$U$6:$U$463,7),'Your Lines'!$U$6:$U$463,0))</f>
        <v>Protective coatings</v>
      </c>
      <c r="E107" s="26" t="n">
        <f aca="false">INDEX('Your Lines'!$E$6:$E$463,MATCH(LARGE('Your Lines'!$U$6:$U$463,7),'Your Lines'!$U$6:$U$463,0))</f>
        <v>15641</v>
      </c>
      <c r="F107" s="25" t="n">
        <f aca="false">INDEX('Your Lines'!$O$6:$O$463,MATCH(LARGE('Your Lines'!$U$6:$U$463,7),'Your Lines'!$U$6:$U$463,0))</f>
        <v>0.719555994661467</v>
      </c>
      <c r="G107" s="25" t="n">
        <f aca="false">INDEX('Your Lines'!$Q$6:$Q$463,MATCH(LARGE('Your Lines'!$U$6:$U$463,7),'Your Lines'!$U$6:$U$463,0))</f>
        <v>0.7284029857742</v>
      </c>
      <c r="H107" s="15" t="n">
        <f aca="false">INDEX('Your Lines'!$G$6:$G$463,MATCH(LARGE('Your Lines'!$U$6:$U$463,7),'Your Lines'!$U$6:$U$463,0))</f>
        <v>1080439.23</v>
      </c>
      <c r="I107" s="15" t="n">
        <f aca="false">INDEX('Your Lines'!$S$6:$S$463,MATCH(LARGE('Your Lines'!$U$6:$U$463,7),'Your Lines'!$U$6:$U$463,0))</f>
        <v>1093775.13</v>
      </c>
      <c r="J107" s="15" t="n">
        <f aca="false">LARGE('Your Lines'!$U$6:$U$463,7)</f>
        <v>13044.4</v>
      </c>
    </row>
    <row r="108" customFormat="false" ht="15" hidden="false" customHeight="false" outlineLevel="0" collapsed="false">
      <c r="B108" s="18" t="str">
        <f aca="false">INDEX('Your Lines'!$B$6:$B$463,MATCH(LARGE('Your Lines'!$U$6:$U$463,8),'Your Lines'!$U$6:$U$463,0))</f>
        <v>SMA-159</v>
      </c>
      <c r="C108" s="18" t="str">
        <f aca="false">INDEX('Your Lines'!$C$6:$C$463,MATCH(LARGE('Your Lines'!$U$6:$U$463,8),'Your Lines'!$U$6:$U$463,0))</f>
        <v>Small direct</v>
      </c>
      <c r="D108" s="18" t="str">
        <f aca="false">INDEX('Your Lines'!$D$6:$D$463,MATCH(LARGE('Your Lines'!$U$6:$U$463,8),'Your Lines'!$U$6:$U$463,0))</f>
        <v>Sealants</v>
      </c>
      <c r="E108" s="26" t="n">
        <f aca="false">INDEX('Your Lines'!$E$6:$E$463,MATCH(LARGE('Your Lines'!$U$6:$U$463,8),'Your Lines'!$U$6:$U$463,0))</f>
        <v>2402</v>
      </c>
      <c r="F108" s="25" t="n">
        <f aca="false">INDEX('Your Lines'!$O$6:$O$463,MATCH(LARGE('Your Lines'!$U$6:$U$463,8),'Your Lines'!$U$6:$U$463,0))</f>
        <v>0.818194985361661</v>
      </c>
      <c r="G108" s="25" t="n">
        <f aca="false">INDEX('Your Lines'!$Q$6:$Q$463,MATCH(LARGE('Your Lines'!$U$6:$U$463,8),'Your Lines'!$U$6:$U$463,0))</f>
        <v>0.905849957217107</v>
      </c>
      <c r="H108" s="15" t="n">
        <f aca="false">INDEX('Your Lines'!$G$6:$G$463,MATCH(LARGE('Your Lines'!$U$6:$U$463,8),'Your Lines'!$U$6:$U$463,0))</f>
        <v>121848.87</v>
      </c>
      <c r="I108" s="15" t="n">
        <f aca="false">INDEX('Your Lines'!$S$6:$S$463,MATCH(LARGE('Your Lines'!$U$6:$U$463,8),'Your Lines'!$U$6:$U$463,0))</f>
        <v>134896.32</v>
      </c>
      <c r="J108" s="15" t="n">
        <f aca="false">LARGE('Your Lines'!$U$6:$U$463,8)</f>
        <v>12778.43</v>
      </c>
    </row>
    <row r="109" customFormat="false" ht="15" hidden="false" customHeight="false" outlineLevel="0" collapsed="false">
      <c r="B109" s="18" t="str">
        <f aca="false">INDEX('Your Lines'!$B$6:$B$463,MATCH(LARGE('Your Lines'!$U$6:$U$463,9),'Your Lines'!$U$6:$U$463,0))</f>
        <v>DIR-064</v>
      </c>
      <c r="C109" s="18" t="str">
        <f aca="false">INDEX('Your Lines'!$C$6:$C$463,MATCH(LARGE('Your Lines'!$U$6:$U$463,9),'Your Lines'!$U$6:$U$463,0))</f>
        <v>Direct industrial</v>
      </c>
      <c r="D109" s="18" t="str">
        <f aca="false">INDEX('Your Lines'!$D$6:$D$463,MATCH(LARGE('Your Lines'!$U$6:$U$463,9),'Your Lines'!$U$6:$U$463,0))</f>
        <v>Sealants</v>
      </c>
      <c r="E109" s="26" t="n">
        <f aca="false">INDEX('Your Lines'!$E$6:$E$463,MATCH(LARGE('Your Lines'!$U$6:$U$463,9),'Your Lines'!$U$6:$U$463,0))</f>
        <v>1865</v>
      </c>
      <c r="F109" s="25" t="n">
        <f aca="false">INDEX('Your Lines'!$O$6:$O$463,MATCH(LARGE('Your Lines'!$U$6:$U$463,9),'Your Lines'!$U$6:$U$463,0))</f>
        <v>0.728687970249935</v>
      </c>
      <c r="G109" s="25" t="n">
        <f aca="false">INDEX('Your Lines'!$Q$6:$Q$463,MATCH(LARGE('Your Lines'!$U$6:$U$463,9),'Your Lines'!$U$6:$U$463,0))</f>
        <v>0.834035886176071</v>
      </c>
      <c r="H109" s="15" t="n">
        <f aca="false">INDEX('Your Lines'!$G$6:$G$463,MATCH(LARGE('Your Lines'!$U$6:$U$463,9),'Your Lines'!$U$6:$U$463,0))</f>
        <v>84258.19</v>
      </c>
      <c r="I109" s="15" t="n">
        <f aca="false">INDEX('Your Lines'!$S$6:$S$463,MATCH(LARGE('Your Lines'!$U$6:$U$463,9),'Your Lines'!$U$6:$U$463,0))</f>
        <v>96439.15</v>
      </c>
      <c r="J109" s="15" t="n">
        <f aca="false">LARGE('Your Lines'!$U$6:$U$463,9)</f>
        <v>11929.55</v>
      </c>
    </row>
    <row r="110" customFormat="false" ht="15" hidden="false" customHeight="false" outlineLevel="0" collapsed="false">
      <c r="B110" s="18" t="str">
        <f aca="false">INDEX('Your Lines'!$B$6:$B$463,MATCH(LARGE('Your Lines'!$U$6:$U$463,10),'Your Lines'!$U$6:$U$463,0))</f>
        <v>OEM-012</v>
      </c>
      <c r="C110" s="18" t="str">
        <f aca="false">INDEX('Your Lines'!$C$6:$C$463,MATCH(LARGE('Your Lines'!$U$6:$U$463,10),'Your Lines'!$U$6:$U$463,0))</f>
        <v>OEM key accounts</v>
      </c>
      <c r="D110" s="18" t="str">
        <f aca="false">INDEX('Your Lines'!$D$6:$D$463,MATCH(LARGE('Your Lines'!$U$6:$U$463,10),'Your Lines'!$U$6:$U$463,0))</f>
        <v>Protective coatings</v>
      </c>
      <c r="E110" s="26" t="n">
        <f aca="false">INDEX('Your Lines'!$E$6:$E$463,MATCH(LARGE('Your Lines'!$U$6:$U$463,10),'Your Lines'!$U$6:$U$463,0))</f>
        <v>4431</v>
      </c>
      <c r="F110" s="25" t="n">
        <f aca="false">INDEX('Your Lines'!$O$6:$O$463,MATCH(LARGE('Your Lines'!$U$6:$U$463,10),'Your Lines'!$U$6:$U$463,0))</f>
        <v>0.700103978597758</v>
      </c>
      <c r="G110" s="25" t="n">
        <f aca="false">INDEX('Your Lines'!$Q$6:$Q$463,MATCH(LARGE('Your Lines'!$U$6:$U$463,10),'Your Lines'!$U$6:$U$463,0))</f>
        <v>0.7284029857742</v>
      </c>
      <c r="H110" s="15" t="n">
        <f aca="false">INDEX('Your Lines'!$G$6:$G$463,MATCH(LARGE('Your Lines'!$U$6:$U$463,10),'Your Lines'!$U$6:$U$463,0))</f>
        <v>297807.43</v>
      </c>
      <c r="I110" s="15" t="n">
        <f aca="false">INDEX('Your Lines'!$S$6:$S$463,MATCH(LARGE('Your Lines'!$U$6:$U$463,10),'Your Lines'!$U$6:$U$463,0))</f>
        <v>309859.83</v>
      </c>
      <c r="J110" s="15" t="n">
        <f aca="false">LARGE('Your Lines'!$U$6:$U$463,10)</f>
        <v>11793.21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AD8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22"/>
    <col collapsed="false" customWidth="true" hidden="false" outlineLevel="0" max="3" min="3" style="0" width="16"/>
    <col collapsed="false" customWidth="true" hidden="false" outlineLevel="0" max="5" min="4" style="0" width="18"/>
    <col collapsed="false" customWidth="true" hidden="false" outlineLevel="0" max="6" min="6" style="0" width="26"/>
    <col collapsed="false" customWidth="true" hidden="false" outlineLevel="0" max="9" min="7" style="0" width="18"/>
    <col collapsed="false" customWidth="true" hidden="false" outlineLevel="0" max="30" min="10" style="0" width="12"/>
  </cols>
  <sheetData>
    <row r="2" customFormat="false" ht="16.15" hidden="false" customHeight="false" outlineLevel="0" collapsed="false">
      <c r="B2" s="11" t="s">
        <v>462</v>
      </c>
    </row>
    <row r="3" customFormat="false" ht="15" hidden="false" customHeight="false" outlineLevel="0" collapsed="false">
      <c r="B3" s="2" t="s">
        <v>463</v>
      </c>
    </row>
    <row r="6" customFormat="false" ht="15" hidden="false" customHeight="false" outlineLevel="0" collapsed="false">
      <c r="B6" s="6" t="s">
        <v>464</v>
      </c>
      <c r="C6" s="7"/>
      <c r="D6" s="7"/>
      <c r="E6" s="7"/>
      <c r="F6" s="7"/>
      <c r="G6" s="7"/>
      <c r="H6" s="7"/>
      <c r="I6" s="7"/>
    </row>
    <row r="7" customFormat="false" ht="15" hidden="false" customHeight="false" outlineLevel="0" collapsed="false">
      <c r="B7" s="4" t="s">
        <v>465</v>
      </c>
      <c r="C7" s="39" t="n">
        <f aca="false">COUNT('Your Accounts'!$M$6:$M$185)</f>
        <v>180</v>
      </c>
    </row>
    <row r="8" customFormat="false" ht="15" hidden="false" customHeight="false" outlineLevel="0" collapsed="false">
      <c r="B8" s="4" t="s">
        <v>466</v>
      </c>
      <c r="C8" s="22" t="n">
        <f aca="false">ROUND(SUM('Your Accounts'!$L$6:$L$185),2)</f>
        <v>1656475</v>
      </c>
    </row>
    <row r="9" customFormat="false" ht="15" hidden="false" customHeight="false" outlineLevel="0" collapsed="false">
      <c r="B9" s="4" t="s">
        <v>467</v>
      </c>
      <c r="C9" s="22" t="n">
        <f aca="false">ROUND(SUM('Your Accounts'!$M$6:$M$185),2)</f>
        <v>13482887.59</v>
      </c>
    </row>
    <row r="10" customFormat="false" ht="15" hidden="false" customHeight="false" outlineLevel="0" collapsed="false">
      <c r="B10" s="4" t="s">
        <v>468</v>
      </c>
      <c r="C10" s="39" t="n">
        <f aca="false">ROUND($C$7*0.2,0)</f>
        <v>36</v>
      </c>
    </row>
    <row r="11" customFormat="false" ht="15" hidden="false" customHeight="false" outlineLevel="0" collapsed="false">
      <c r="B11" s="4" t="s">
        <v>469</v>
      </c>
      <c r="C11" s="22" t="n">
        <f aca="false">ROUND(SUMIF('Your Accounts'!$N$6:$N$185,"&lt;="&amp;$C$10,'Your Accounts'!$M$6:$M$185),2)</f>
        <v>8696275.89</v>
      </c>
    </row>
    <row r="12" customFormat="false" ht="15" hidden="false" customHeight="false" outlineLevel="0" collapsed="false">
      <c r="B12" s="4" t="s">
        <v>470</v>
      </c>
      <c r="C12" s="31" t="n">
        <f aca="false">$C$11/$C$9</f>
        <v>0.644986159823053</v>
      </c>
    </row>
    <row r="13" customFormat="false" ht="15" hidden="false" customHeight="false" outlineLevel="0" collapsed="false">
      <c r="B13" s="4" t="s">
        <v>471</v>
      </c>
      <c r="C13" s="22" t="n">
        <f aca="false">ROUND(MAX('Your Accounts'!$O$6:$O$185),2)</f>
        <v>13508277.24</v>
      </c>
    </row>
    <row r="14" customFormat="false" ht="15" hidden="false" customHeight="false" outlineLevel="0" collapsed="false">
      <c r="B14" s="4" t="s">
        <v>472</v>
      </c>
      <c r="C14" s="39" t="n">
        <f aca="false">INDEX('Your Accounts'!$N$6:$N$185,MATCH(MAX('Your Accounts'!$O$6:$O$185),'Your Accounts'!$O$6:$O$185,0))</f>
        <v>169</v>
      </c>
    </row>
    <row r="15" customFormat="false" ht="15" hidden="false" customHeight="false" outlineLevel="0" collapsed="false">
      <c r="B15" s="4" t="s">
        <v>473</v>
      </c>
      <c r="C15" s="31" t="n">
        <f aca="false">$C$13/$C$9</f>
        <v>1.00188310180816</v>
      </c>
    </row>
    <row r="16" customFormat="false" ht="15" hidden="false" customHeight="false" outlineLevel="0" collapsed="false">
      <c r="B16" s="4" t="s">
        <v>474</v>
      </c>
      <c r="C16" s="39" t="n">
        <f aca="false">COUNTIF('Your Accounts'!$M$6:$M$185,"&lt;0")</f>
        <v>11</v>
      </c>
    </row>
    <row r="17" customFormat="false" ht="15" hidden="false" customHeight="false" outlineLevel="0" collapsed="false">
      <c r="B17" s="4" t="s">
        <v>475</v>
      </c>
      <c r="C17" s="22" t="n">
        <f aca="false">ROUND(SUMIF('Your Accounts'!$M$6:$M$185,"&lt;0"),2)</f>
        <v>-25389.65</v>
      </c>
    </row>
    <row r="18" customFormat="false" ht="15" hidden="false" customHeight="false" outlineLevel="0" collapsed="false">
      <c r="B18" s="4" t="s">
        <v>476</v>
      </c>
      <c r="C18" s="22" t="n">
        <f aca="false">ROUND(SUMIF('Your Accounts'!$M$6:$M$185,"&lt;0",'Your Accounts'!$G$6:$G$185),2)</f>
        <v>140863.07</v>
      </c>
    </row>
    <row r="19" customFormat="false" ht="15" hidden="false" customHeight="false" outlineLevel="0" collapsed="false">
      <c r="B19" s="2" t="s">
        <v>477</v>
      </c>
    </row>
    <row r="22" customFormat="false" ht="15" hidden="false" customHeight="false" outlineLevel="0" collapsed="false">
      <c r="B22" s="6" t="s">
        <v>478</v>
      </c>
      <c r="C22" s="7"/>
      <c r="D22" s="7"/>
      <c r="E22" s="7"/>
      <c r="F22" s="7"/>
      <c r="G22" s="7"/>
      <c r="H22" s="7"/>
      <c r="I22" s="7"/>
    </row>
    <row r="23" customFormat="false" ht="30" hidden="false" customHeight="true" outlineLevel="0" collapsed="false">
      <c r="B23" s="12" t="s">
        <v>97</v>
      </c>
      <c r="C23" s="12" t="s">
        <v>465</v>
      </c>
      <c r="D23" s="12" t="s">
        <v>100</v>
      </c>
      <c r="E23" s="12" t="s">
        <v>104</v>
      </c>
      <c r="F23" s="12" t="s">
        <v>301</v>
      </c>
      <c r="G23" s="12" t="s">
        <v>302</v>
      </c>
      <c r="H23" s="12" t="s">
        <v>303</v>
      </c>
      <c r="I23" s="12"/>
    </row>
    <row r="24" customFormat="false" ht="15" hidden="false" customHeight="false" outlineLevel="0" collapsed="false">
      <c r="B24" s="18" t="s">
        <v>115</v>
      </c>
      <c r="C24" s="26" t="n">
        <f aca="false">COUNTIF('Your Accounts'!$C$6:$C$185,$B24)</f>
        <v>12</v>
      </c>
      <c r="D24" s="15" t="n">
        <f aca="false">ROUND(SUMIF('Your Accounts'!$C$6:$C$185,$B24,'Your Accounts'!$G$6:$G$185),2)</f>
        <v>20567884.64</v>
      </c>
      <c r="E24" s="15" t="n">
        <f aca="false">ROUND(SUMIF('Your Accounts'!$C$6:$C$185,$B24,'Your Accounts'!$K$6:$K$185),2)</f>
        <v>4837250.62</v>
      </c>
      <c r="F24" s="15" t="n">
        <f aca="false">ROUND(SUMIF('Your Accounts'!$C$6:$C$185,$B24,'Your Accounts'!$L$6:$L$185),2)</f>
        <v>118020</v>
      </c>
      <c r="G24" s="15" t="n">
        <f aca="false">ROUND(SUMIF('Your Accounts'!$C$6:$C$185,$B24,'Your Accounts'!$M$6:$M$185),2)</f>
        <v>4719230.62</v>
      </c>
      <c r="H24" s="25" t="n">
        <f aca="false">$G24/$D24</f>
        <v>0.229446571808466</v>
      </c>
    </row>
    <row r="25" customFormat="false" ht="15" hidden="false" customHeight="false" outlineLevel="0" collapsed="false">
      <c r="B25" s="18" t="s">
        <v>128</v>
      </c>
      <c r="C25" s="26" t="n">
        <f aca="false">COUNTIF('Your Accounts'!$C$6:$C$185,$B25)</f>
        <v>28</v>
      </c>
      <c r="D25" s="15" t="n">
        <f aca="false">ROUND(SUMIF('Your Accounts'!$C$6:$C$185,$B25,'Your Accounts'!$G$6:$G$185),2)</f>
        <v>14361659.44</v>
      </c>
      <c r="E25" s="15" t="n">
        <f aca="false">ROUND(SUMIF('Your Accounts'!$C$6:$C$185,$B25,'Your Accounts'!$K$6:$K$185),2)</f>
        <v>3159768.8</v>
      </c>
      <c r="F25" s="15" t="n">
        <f aca="false">ROUND(SUMIF('Your Accounts'!$C$6:$C$185,$B25,'Your Accounts'!$L$6:$L$185),2)</f>
        <v>268420</v>
      </c>
      <c r="G25" s="15" t="n">
        <f aca="false">ROUND(SUMIF('Your Accounts'!$C$6:$C$185,$B25,'Your Accounts'!$M$6:$M$185),2)</f>
        <v>2891348.8</v>
      </c>
      <c r="H25" s="25" t="n">
        <f aca="false">$G25/$D25</f>
        <v>0.201324144475048</v>
      </c>
    </row>
    <row r="26" customFormat="false" ht="15" hidden="false" customHeight="false" outlineLevel="0" collapsed="false">
      <c r="B26" s="18" t="s">
        <v>157</v>
      </c>
      <c r="C26" s="26" t="n">
        <f aca="false">COUNTIF('Your Accounts'!$C$6:$C$185,$B26)</f>
        <v>60</v>
      </c>
      <c r="D26" s="15" t="n">
        <f aca="false">ROUND(SUMIF('Your Accounts'!$C$6:$C$185,$B26,'Your Accounts'!$G$6:$G$185),2)</f>
        <v>14554871.87</v>
      </c>
      <c r="E26" s="15" t="n">
        <f aca="false">ROUND(SUMIF('Your Accounts'!$C$6:$C$185,$B26,'Your Accounts'!$K$6:$K$185),2)</f>
        <v>4737342.53</v>
      </c>
      <c r="F26" s="15" t="n">
        <f aca="false">ROUND(SUMIF('Your Accounts'!$C$6:$C$185,$B26,'Your Accounts'!$L$6:$L$185),2)</f>
        <v>513975</v>
      </c>
      <c r="G26" s="15" t="n">
        <f aca="false">ROUND(SUMIF('Your Accounts'!$C$6:$C$185,$B26,'Your Accounts'!$M$6:$M$185),2)</f>
        <v>4223367.53</v>
      </c>
      <c r="H26" s="25" t="n">
        <f aca="false">$G26/$D26</f>
        <v>0.290168650588059</v>
      </c>
    </row>
    <row r="27" customFormat="false" ht="15" hidden="false" customHeight="false" outlineLevel="0" collapsed="false">
      <c r="B27" s="18" t="s">
        <v>218</v>
      </c>
      <c r="C27" s="26" t="n">
        <f aca="false">COUNTIF('Your Accounts'!$C$6:$C$185,$B27)</f>
        <v>80</v>
      </c>
      <c r="D27" s="15" t="n">
        <f aca="false">ROUND(SUMIF('Your Accounts'!$C$6:$C$185,$B27,'Your Accounts'!$G$6:$G$185),2)</f>
        <v>6640017.18</v>
      </c>
      <c r="E27" s="15" t="n">
        <f aca="false">ROUND(SUMIF('Your Accounts'!$C$6:$C$185,$B27,'Your Accounts'!$K$6:$K$185),2)</f>
        <v>2405000.64</v>
      </c>
      <c r="F27" s="15" t="n">
        <f aca="false">ROUND(SUMIF('Your Accounts'!$C$6:$C$185,$B27,'Your Accounts'!$L$6:$L$185),2)</f>
        <v>756060</v>
      </c>
      <c r="G27" s="15" t="n">
        <f aca="false">ROUND(SUMIF('Your Accounts'!$C$6:$C$185,$B27,'Your Accounts'!$M$6:$M$185),2)</f>
        <v>1648940.64</v>
      </c>
      <c r="H27" s="25" t="n">
        <f aca="false">$G27/$D27</f>
        <v>0.248333791208655</v>
      </c>
    </row>
    <row r="30" customFormat="false" ht="15" hidden="false" customHeight="false" outlineLevel="0" collapsed="false">
      <c r="B30" s="6" t="s">
        <v>479</v>
      </c>
      <c r="C30" s="7"/>
      <c r="D30" s="7"/>
      <c r="E30" s="7"/>
      <c r="F30" s="7"/>
      <c r="G30" s="7"/>
      <c r="H30" s="7"/>
      <c r="I30" s="7"/>
    </row>
    <row r="31" customFormat="false" ht="15" hidden="false" customHeight="false" outlineLevel="0" collapsed="false">
      <c r="B31" s="2" t="s">
        <v>480</v>
      </c>
    </row>
    <row r="32" customFormat="false" ht="15" hidden="false" customHeight="false" outlineLevel="0" collapsed="false">
      <c r="B32" s="2" t="s">
        <v>481</v>
      </c>
    </row>
    <row r="33" customFormat="false" ht="15" hidden="false" customHeight="false" outlineLevel="0" collapsed="false">
      <c r="B33" s="2" t="s">
        <v>482</v>
      </c>
    </row>
    <row r="34" customFormat="false" ht="30" hidden="false" customHeight="true" outlineLevel="0" collapsed="false">
      <c r="B34" s="12" t="s">
        <v>483</v>
      </c>
      <c r="C34" s="12" t="s">
        <v>484</v>
      </c>
      <c r="D34" s="12" t="s">
        <v>485</v>
      </c>
      <c r="E34" s="12" t="s">
        <v>486</v>
      </c>
      <c r="F34" s="12" t="s">
        <v>487</v>
      </c>
      <c r="G34" s="12" t="s">
        <v>488</v>
      </c>
      <c r="H34" s="12" t="s">
        <v>489</v>
      </c>
      <c r="I34" s="12" t="s">
        <v>490</v>
      </c>
      <c r="J34" s="12" t="s">
        <v>491</v>
      </c>
      <c r="K34" s="12" t="s">
        <v>492</v>
      </c>
      <c r="L34" s="12" t="s">
        <v>493</v>
      </c>
      <c r="M34" s="12" t="s">
        <v>494</v>
      </c>
      <c r="N34" s="12" t="s">
        <v>495</v>
      </c>
      <c r="O34" s="12" t="s">
        <v>496</v>
      </c>
    </row>
    <row r="35" customFormat="false" ht="15" hidden="false" customHeight="false" outlineLevel="0" collapsed="false">
      <c r="B35" s="40" t="n">
        <v>0.5</v>
      </c>
      <c r="C35" s="15" t="n">
        <f aca="false">$B35*'Your Inputs'!$C$40</f>
        <v>72.5</v>
      </c>
      <c r="D35" s="15" t="n">
        <f aca="false">$B35*'Your Inputs'!$C$41</f>
        <v>3250</v>
      </c>
      <c r="E35" s="15" t="n">
        <f aca="false">ROUND(SUM('Your Accounts'!$AS$6:$AS$185),2)</f>
        <v>828237.5</v>
      </c>
      <c r="F35" s="26" t="n">
        <f aca="false">COUNTIF('Your Accounts'!$AP$6:$AP$185,"&lt;0")</f>
        <v>4</v>
      </c>
      <c r="G35" s="15" t="n">
        <f aca="false">ROUND(SUMIF('Your Accounts'!$AP$6:$AP$185,"&lt;0"),2)</f>
        <v>-2632.26</v>
      </c>
      <c r="H35" s="15" t="n">
        <f aca="false">ROUND(MAX('Your Accounts'!$AR$6:$AR$185),2)</f>
        <v>14313757.35</v>
      </c>
      <c r="I35" s="25" t="n">
        <f aca="false">$H35/$J35</f>
        <v>1.00018393103152</v>
      </c>
      <c r="J35" s="15" t="n">
        <f aca="false">ROUND(SUM('Your Accounts'!$AP$6:$AP$185),2)</f>
        <v>14311125.09</v>
      </c>
      <c r="K35" s="25" t="n">
        <f aca="false">SUMIF('Your Accounts'!$C$6:$C$185,"Small direct",'Your Accounts'!$AP$6:$AP$185)/SUMIF('Your Accounts'!$C$6:$C$185,"Small direct",'Your Accounts'!$G$6:$G$185)</f>
        <v>0.30526587282113</v>
      </c>
      <c r="L35" s="25" t="n">
        <f aca="false">SUMIF('Your Accounts'!$C$6:$C$185,"OEM key accounts",'Your Accounts'!$AP$6:$AP$185)/SUMIF('Your Accounts'!$C$6:$C$185,"OEM key accounts",'Your Accounts'!$G$6:$G$185)</f>
        <v>0.232315607736703</v>
      </c>
      <c r="M35" s="25" t="n">
        <f aca="false">SUMIF('Your Accounts'!$C$6:$C$185,"Distributors",'Your Accounts'!$AP$6:$AP$185)/SUMIF('Your Accounts'!$C$6:$C$185,"Distributors",'Your Accounts'!$G$6:$G$185)</f>
        <v>0.210669164844087</v>
      </c>
      <c r="N35" s="25" t="n">
        <f aca="false">SUMIF('Your Accounts'!$C$6:$C$185,"Direct industrial",'Your Accounts'!$AP$6:$AP$185)/SUMIF('Your Accounts'!$C$6:$C$185,"Direct industrial",'Your Accounts'!$G$6:$G$185)</f>
        <v>0.307825109696414</v>
      </c>
      <c r="O35" s="18" t="str">
        <f aca="false">IF($K35&gt;$L35,"yes","no")</f>
        <v>yes</v>
      </c>
    </row>
    <row r="36" customFormat="false" ht="15" hidden="false" customHeight="false" outlineLevel="0" collapsed="false">
      <c r="B36" s="40" t="n">
        <v>1</v>
      </c>
      <c r="C36" s="15" t="n">
        <f aca="false">$B36*'Your Inputs'!$C$40</f>
        <v>145</v>
      </c>
      <c r="D36" s="15" t="n">
        <f aca="false">$B36*'Your Inputs'!$C$41</f>
        <v>6500</v>
      </c>
      <c r="E36" s="15" t="n">
        <f aca="false">ROUND(SUM('Your Accounts'!$AW$6:$AW$185),2)</f>
        <v>1656475</v>
      </c>
      <c r="F36" s="26" t="n">
        <f aca="false">COUNTIF('Your Accounts'!$AT$6:$AT$185,"&lt;0")</f>
        <v>11</v>
      </c>
      <c r="G36" s="15" t="n">
        <f aca="false">ROUND(SUMIF('Your Accounts'!$AT$6:$AT$185,"&lt;0"),2)</f>
        <v>-25389.65</v>
      </c>
      <c r="H36" s="15" t="n">
        <f aca="false">ROUND(MAX('Your Accounts'!$AV$6:$AV$185),2)</f>
        <v>13508277.24</v>
      </c>
      <c r="I36" s="25" t="n">
        <f aca="false">$H36/$J36</f>
        <v>1.00188310180816</v>
      </c>
      <c r="J36" s="15" t="n">
        <f aca="false">ROUND(SUM('Your Accounts'!$AT$6:$AT$185),2)</f>
        <v>13482887.59</v>
      </c>
      <c r="K36" s="25" t="n">
        <f aca="false">SUMIF('Your Accounts'!$C$6:$C$185,"Small direct",'Your Accounts'!$AT$6:$AT$185)/SUMIF('Your Accounts'!$C$6:$C$185,"Small direct",'Your Accounts'!$G$6:$G$185)</f>
        <v>0.248333791208655</v>
      </c>
      <c r="L36" s="25" t="n">
        <f aca="false">SUMIF('Your Accounts'!$C$6:$C$185,"OEM key accounts",'Your Accounts'!$AT$6:$AT$185)/SUMIF('Your Accounts'!$C$6:$C$185,"OEM key accounts",'Your Accounts'!$G$6:$G$185)</f>
        <v>0.229446571808466</v>
      </c>
      <c r="M36" s="25" t="n">
        <f aca="false">SUMIF('Your Accounts'!$C$6:$C$185,"Distributors",'Your Accounts'!$AT$6:$AT$185)/SUMIF('Your Accounts'!$C$6:$C$185,"Distributors",'Your Accounts'!$G$6:$G$185)</f>
        <v>0.201324144475048</v>
      </c>
      <c r="N36" s="25" t="n">
        <f aca="false">SUMIF('Your Accounts'!$C$6:$C$185,"Direct industrial",'Your Accounts'!$AT$6:$AT$185)/SUMIF('Your Accounts'!$C$6:$C$185,"Direct industrial",'Your Accounts'!$G$6:$G$185)</f>
        <v>0.290168650588059</v>
      </c>
      <c r="O36" s="18" t="str">
        <f aca="false">IF($K36&gt;$L36,"yes","no")</f>
        <v>yes</v>
      </c>
    </row>
    <row r="37" customFormat="false" ht="15" hidden="false" customHeight="false" outlineLevel="0" collapsed="false">
      <c r="B37" s="40" t="n">
        <v>1.25</v>
      </c>
      <c r="C37" s="15" t="n">
        <f aca="false">$B37*'Your Inputs'!$C$40</f>
        <v>181.25</v>
      </c>
      <c r="D37" s="15" t="n">
        <f aca="false">$B37*'Your Inputs'!$C$41</f>
        <v>8125</v>
      </c>
      <c r="E37" s="15" t="n">
        <f aca="false">ROUND(SUM('Your Accounts'!$BA$6:$BA$185),2)</f>
        <v>2070593.75</v>
      </c>
      <c r="F37" s="26" t="n">
        <f aca="false">COUNTIF('Your Accounts'!$AX$6:$AX$185,"&lt;0")</f>
        <v>14</v>
      </c>
      <c r="G37" s="15" t="n">
        <f aca="false">ROUND(SUMIF('Your Accounts'!$AX$6:$AX$185,"&lt;0"),2)</f>
        <v>-47099.39</v>
      </c>
      <c r="H37" s="15" t="n">
        <f aca="false">ROUND(MAX('Your Accounts'!$AZ$6:$AZ$185),2)</f>
        <v>13115868.23</v>
      </c>
      <c r="I37" s="25" t="n">
        <f aca="false">$H37/$J37</f>
        <v>1.00360396534491</v>
      </c>
      <c r="J37" s="15" t="n">
        <f aca="false">ROUND(SUM('Your Accounts'!$AX$6:$AX$185),2)</f>
        <v>13068768.84</v>
      </c>
      <c r="K37" s="25" t="n">
        <f aca="false">SUMIF('Your Accounts'!$C$6:$C$185,"Small direct",'Your Accounts'!$AX$6:$AX$185)/SUMIF('Your Accounts'!$C$6:$C$185,"Small direct",'Your Accounts'!$G$6:$G$185)</f>
        <v>0.219867750402417</v>
      </c>
      <c r="L37" s="25" t="n">
        <f aca="false">SUMIF('Your Accounts'!$C$6:$C$185,"OEM key accounts",'Your Accounts'!$AX$6:$AX$185)/SUMIF('Your Accounts'!$C$6:$C$185,"OEM key accounts",'Your Accounts'!$G$6:$G$185)</f>
        <v>0.228012053844347</v>
      </c>
      <c r="M37" s="25" t="n">
        <f aca="false">SUMIF('Your Accounts'!$C$6:$C$185,"Distributors",'Your Accounts'!$AX$6:$AX$185)/SUMIF('Your Accounts'!$C$6:$C$185,"Distributors",'Your Accounts'!$G$6:$G$185)</f>
        <v>0.196651634290529</v>
      </c>
      <c r="N37" s="25" t="n">
        <f aca="false">SUMIF('Your Accounts'!$C$6:$C$185,"Direct industrial",'Your Accounts'!$AX$6:$AX$185)/SUMIF('Your Accounts'!$C$6:$C$185,"Direct industrial",'Your Accounts'!$G$6:$G$185)</f>
        <v>0.281340421033882</v>
      </c>
      <c r="O37" s="18" t="str">
        <f aca="false">IF($K37&gt;$L37,"yes","no")</f>
        <v>no</v>
      </c>
    </row>
    <row r="38" customFormat="false" ht="15" hidden="false" customHeight="false" outlineLevel="0" collapsed="false">
      <c r="B38" s="40" t="n">
        <v>1.5</v>
      </c>
      <c r="C38" s="15" t="n">
        <f aca="false">$B38*'Your Inputs'!$C$40</f>
        <v>217.5</v>
      </c>
      <c r="D38" s="15" t="n">
        <f aca="false">$B38*'Your Inputs'!$C$41</f>
        <v>9750</v>
      </c>
      <c r="E38" s="15" t="n">
        <f aca="false">ROUND(SUM('Your Accounts'!$BE$6:$BE$185),2)</f>
        <v>2484712.5</v>
      </c>
      <c r="F38" s="26" t="n">
        <f aca="false">COUNTIF('Your Accounts'!$BB$6:$BB$185,"&lt;0")</f>
        <v>16</v>
      </c>
      <c r="G38" s="15" t="n">
        <f aca="false">ROUND(SUMIF('Your Accounts'!$BB$6:$BB$185,"&lt;0"),2)</f>
        <v>-75019.31</v>
      </c>
      <c r="H38" s="15" t="n">
        <f aca="false">ROUND(MAX('Your Accounts'!$BD$6:$BD$185),2)</f>
        <v>12729669.4</v>
      </c>
      <c r="I38" s="25" t="n">
        <f aca="false">$H38/$J38</f>
        <v>1.00592820105388</v>
      </c>
      <c r="J38" s="15" t="n">
        <f aca="false">ROUND(SUM('Your Accounts'!$BB$6:$BB$185),2)</f>
        <v>12654650.09</v>
      </c>
      <c r="K38" s="25" t="n">
        <f aca="false">SUMIF('Your Accounts'!$C$6:$C$185,"Small direct",'Your Accounts'!$BB$6:$BB$185)/SUMIF('Your Accounts'!$C$6:$C$185,"Small direct",'Your Accounts'!$G$6:$G$185)</f>
        <v>0.191401709596179</v>
      </c>
      <c r="L38" s="25" t="n">
        <f aca="false">SUMIF('Your Accounts'!$C$6:$C$185,"OEM key accounts",'Your Accounts'!$BB$6:$BB$185)/SUMIF('Your Accounts'!$C$6:$C$185,"OEM key accounts",'Your Accounts'!$G$6:$G$185)</f>
        <v>0.226577535880228</v>
      </c>
      <c r="M38" s="25" t="n">
        <f aca="false">SUMIF('Your Accounts'!$C$6:$C$185,"Distributors",'Your Accounts'!$BB$6:$BB$185)/SUMIF('Your Accounts'!$C$6:$C$185,"Distributors",'Your Accounts'!$G$6:$G$185)</f>
        <v>0.191979124106009</v>
      </c>
      <c r="N38" s="25" t="n">
        <f aca="false">SUMIF('Your Accounts'!$C$6:$C$185,"Direct industrial",'Your Accounts'!$BB$6:$BB$185)/SUMIF('Your Accounts'!$C$6:$C$185,"Direct industrial",'Your Accounts'!$G$6:$G$185)</f>
        <v>0.272512191479704</v>
      </c>
      <c r="O38" s="18" t="str">
        <f aca="false">IF($K38&gt;$L38,"yes","no")</f>
        <v>no</v>
      </c>
    </row>
    <row r="39" customFormat="false" ht="15" hidden="false" customHeight="false" outlineLevel="0" collapsed="false">
      <c r="B39" s="40" t="n">
        <v>2</v>
      </c>
      <c r="C39" s="15" t="n">
        <f aca="false">$B39*'Your Inputs'!$C$40</f>
        <v>290</v>
      </c>
      <c r="D39" s="15" t="n">
        <f aca="false">$B39*'Your Inputs'!$C$41</f>
        <v>13000</v>
      </c>
      <c r="E39" s="15" t="n">
        <f aca="false">ROUND(SUM('Your Accounts'!$BI$6:$BI$185),2)</f>
        <v>3312950</v>
      </c>
      <c r="F39" s="26" t="n">
        <f aca="false">COUNTIF('Your Accounts'!$BF$6:$BF$185,"&lt;0")</f>
        <v>24</v>
      </c>
      <c r="G39" s="15" t="n">
        <f aca="false">ROUND(SUMIF('Your Accounts'!$BF$6:$BF$185,"&lt;0"),2)</f>
        <v>-146824.11</v>
      </c>
      <c r="H39" s="15" t="n">
        <f aca="false">ROUND(MAX('Your Accounts'!$BH$6:$BH$185),2)</f>
        <v>11973236.7</v>
      </c>
      <c r="I39" s="25" t="n">
        <f aca="false">$H39/$J39</f>
        <v>1.01241493215991</v>
      </c>
      <c r="J39" s="15" t="n">
        <f aca="false">ROUND(SUM('Your Accounts'!$BF$6:$BF$185),2)</f>
        <v>11826412.59</v>
      </c>
      <c r="K39" s="25" t="n">
        <f aca="false">SUMIF('Your Accounts'!$C$6:$C$185,"Small direct",'Your Accounts'!$BF$6:$BF$185)/SUMIF('Your Accounts'!$C$6:$C$185,"Small direct",'Your Accounts'!$G$6:$G$185)</f>
        <v>0.134469627983704</v>
      </c>
      <c r="L39" s="25" t="n">
        <f aca="false">SUMIF('Your Accounts'!$C$6:$C$185,"OEM key accounts",'Your Accounts'!$BF$6:$BF$185)/SUMIF('Your Accounts'!$C$6:$C$185,"OEM key accounts",'Your Accounts'!$G$6:$G$185)</f>
        <v>0.223708499951991</v>
      </c>
      <c r="M39" s="25" t="n">
        <f aca="false">SUMIF('Your Accounts'!$C$6:$C$185,"Distributors",'Your Accounts'!$BF$6:$BF$185)/SUMIF('Your Accounts'!$C$6:$C$185,"Distributors",'Your Accounts'!$G$6:$G$185)</f>
        <v>0.18263410373697</v>
      </c>
      <c r="N39" s="25" t="n">
        <f aca="false">SUMIF('Your Accounts'!$C$6:$C$185,"Direct industrial",'Your Accounts'!$BF$6:$BF$185)/SUMIF('Your Accounts'!$C$6:$C$185,"Direct industrial",'Your Accounts'!$G$6:$G$185)</f>
        <v>0.254855732371349</v>
      </c>
      <c r="O39" s="18" t="str">
        <f aca="false">IF($K39&gt;$L39,"yes","no")</f>
        <v>no</v>
      </c>
    </row>
    <row r="40" customFormat="false" ht="15" hidden="false" customHeight="false" outlineLevel="0" collapsed="false">
      <c r="B40" s="40" t="n">
        <v>2.5</v>
      </c>
      <c r="C40" s="15" t="n">
        <f aca="false">$B40*'Your Inputs'!$C$40</f>
        <v>362.5</v>
      </c>
      <c r="D40" s="15" t="n">
        <f aca="false">$B40*'Your Inputs'!$C$41</f>
        <v>16250</v>
      </c>
      <c r="E40" s="15" t="n">
        <f aca="false">ROUND(SUM('Your Accounts'!$BM$6:$BM$185),2)</f>
        <v>4141187.5</v>
      </c>
      <c r="F40" s="26" t="n">
        <f aca="false">COUNTIF('Your Accounts'!$BJ$6:$BJ$185,"&lt;0")</f>
        <v>35</v>
      </c>
      <c r="G40" s="15" t="n">
        <f aca="false">ROUND(SUMIF('Your Accounts'!$BJ$6:$BJ$185,"&lt;0"),2)</f>
        <v>-257451.76</v>
      </c>
      <c r="H40" s="15" t="n">
        <f aca="false">ROUND(MAX('Your Accounts'!$BL$6:$BL$185),2)</f>
        <v>11255626.85</v>
      </c>
      <c r="I40" s="25" t="n">
        <f aca="false">$H40/$J40</f>
        <v>1.02340858896073</v>
      </c>
      <c r="J40" s="15" t="n">
        <f aca="false">ROUND(SUM('Your Accounts'!$BJ$6:$BJ$185),2)</f>
        <v>10998175.09</v>
      </c>
      <c r="K40" s="25" t="n">
        <f aca="false">SUMIF('Your Accounts'!$C$6:$C$185,"Small direct",'Your Accounts'!$BJ$6:$BJ$185)/SUMIF('Your Accounts'!$C$6:$C$185,"Small direct",'Your Accounts'!$G$6:$G$185)</f>
        <v>0.0775375463712279</v>
      </c>
      <c r="L40" s="25" t="n">
        <f aca="false">SUMIF('Your Accounts'!$C$6:$C$185,"OEM key accounts",'Your Accounts'!$BJ$6:$BJ$185)/SUMIF('Your Accounts'!$C$6:$C$185,"OEM key accounts",'Your Accounts'!$G$6:$G$185)</f>
        <v>0.220839464023754</v>
      </c>
      <c r="M40" s="25" t="n">
        <f aca="false">SUMIF('Your Accounts'!$C$6:$C$185,"Distributors",'Your Accounts'!$BJ$6:$BJ$185)/SUMIF('Your Accounts'!$C$6:$C$185,"Distributors",'Your Accounts'!$G$6:$G$185)</f>
        <v>0.173289083367931</v>
      </c>
      <c r="N40" s="25" t="n">
        <f aca="false">SUMIF('Your Accounts'!$C$6:$C$185,"Direct industrial",'Your Accounts'!$BJ$6:$BJ$185)/SUMIF('Your Accounts'!$C$6:$C$185,"Direct industrial",'Your Accounts'!$G$6:$G$185)</f>
        <v>0.237199273262994</v>
      </c>
      <c r="O40" s="18" t="str">
        <f aca="false">IF($K40&gt;$L40,"yes","no")</f>
        <v>no</v>
      </c>
    </row>
    <row r="41" customFormat="false" ht="15" hidden="false" customHeight="false" outlineLevel="0" collapsed="false">
      <c r="B41" s="40" t="n">
        <v>3</v>
      </c>
      <c r="C41" s="15" t="n">
        <f aca="false">$B41*'Your Inputs'!$C$40</f>
        <v>435</v>
      </c>
      <c r="D41" s="15" t="n">
        <f aca="false">$B41*'Your Inputs'!$C$41</f>
        <v>19500</v>
      </c>
      <c r="E41" s="15" t="n">
        <f aca="false">ROUND(SUM('Your Accounts'!$BQ$6:$BQ$185),2)</f>
        <v>4969425</v>
      </c>
      <c r="F41" s="26" t="n">
        <f aca="false">COUNTIF('Your Accounts'!$BN$6:$BN$185,"&lt;0")</f>
        <v>49</v>
      </c>
      <c r="G41" s="15" t="n">
        <f aca="false">ROUND(SUMIF('Your Accounts'!$BN$6:$BN$185,"&lt;0"),2)</f>
        <v>-435262.85</v>
      </c>
      <c r="H41" s="15" t="n">
        <f aca="false">ROUND(MAX('Your Accounts'!$BP$6:$BP$185),2)</f>
        <v>10605200.44</v>
      </c>
      <c r="I41" s="25" t="n">
        <f aca="false">$H41/$J41</f>
        <v>1.04279896962475</v>
      </c>
      <c r="J41" s="15" t="n">
        <f aca="false">ROUND(SUM('Your Accounts'!$BN$6:$BN$185),2)</f>
        <v>10169937.59</v>
      </c>
      <c r="K41" s="25" t="n">
        <f aca="false">SUMIF('Your Accounts'!$C$6:$C$185,"Small direct",'Your Accounts'!$BN$6:$BN$185)/SUMIF('Your Accounts'!$C$6:$C$185,"Small direct",'Your Accounts'!$G$6:$G$185)</f>
        <v>0.0206054647587523</v>
      </c>
      <c r="L41" s="25" t="n">
        <f aca="false">SUMIF('Your Accounts'!$C$6:$C$185,"OEM key accounts",'Your Accounts'!$BN$6:$BN$185)/SUMIF('Your Accounts'!$C$6:$C$185,"OEM key accounts",'Your Accounts'!$G$6:$G$185)</f>
        <v>0.217970428095517</v>
      </c>
      <c r="M41" s="25" t="n">
        <f aca="false">SUMIF('Your Accounts'!$C$6:$C$185,"Distributors",'Your Accounts'!$BN$6:$BN$185)/SUMIF('Your Accounts'!$C$6:$C$185,"Distributors",'Your Accounts'!$G$6:$G$185)</f>
        <v>0.163944062998893</v>
      </c>
      <c r="N41" s="25" t="n">
        <f aca="false">SUMIF('Your Accounts'!$C$6:$C$185,"Direct industrial",'Your Accounts'!$BN$6:$BN$185)/SUMIF('Your Accounts'!$C$6:$C$185,"Direct industrial",'Your Accounts'!$G$6:$G$185)</f>
        <v>0.219542814154639</v>
      </c>
      <c r="O41" s="18" t="str">
        <f aca="false">IF($K41&gt;$L41,"yes","no")</f>
        <v>no</v>
      </c>
    </row>
    <row r="43" customFormat="false" ht="15" hidden="false" customHeight="false" outlineLevel="0" collapsed="false">
      <c r="B43" s="4" t="s">
        <v>497</v>
      </c>
      <c r="C43" s="34" t="n">
        <f aca="false">IF(COUNTIF($O$35:$O$41,"no")=0,"it does not invert in this range",INDEX($B$35:$B$41,MATCH("no",$O$35:$O$41,0)))</f>
        <v>1.25</v>
      </c>
      <c r="D43" s="2" t="s">
        <v>498</v>
      </c>
    </row>
    <row r="44" customFormat="false" ht="15" hidden="false" customHeight="false" outlineLevel="0" collapsed="false">
      <c r="B44" s="4" t="s">
        <v>499</v>
      </c>
      <c r="C44" s="27" t="str">
        <f aca="false">IF(COUNTIF($O$35:$O$41,"yes")&gt;0,"THEY DO, AT THE LOW MULTIPLES","THEY NEVER DO")</f>
        <v>THEY DO, AT THE LOW MULTIPLES</v>
      </c>
    </row>
    <row r="45" customFormat="false" ht="15" hidden="false" customHeight="false" outlineLevel="0" collapsed="false">
      <c r="B45" s="4" t="s">
        <v>500</v>
      </c>
      <c r="C45" s="31" t="n">
        <f aca="false">MIN($I$35:$I$41)</f>
        <v>1.00018393103152</v>
      </c>
    </row>
    <row r="46" customFormat="false" ht="15" hidden="false" customHeight="false" outlineLevel="0" collapsed="false">
      <c r="B46" s="4" t="s">
        <v>501</v>
      </c>
      <c r="C46" s="31" t="n">
        <f aca="false">MAX($I$35:$I$41)</f>
        <v>1.04279896962475</v>
      </c>
    </row>
    <row r="47" customFormat="false" ht="15" hidden="false" customHeight="false" outlineLevel="0" collapsed="false">
      <c r="B47" s="4" t="s">
        <v>502</v>
      </c>
      <c r="C47" s="27" t="str">
        <f aca="false">IF(MAX($I$35:$I$41)&lt;1.25,"NO WHALE AT ANY MULTIPLE TESTED","A TAIL APPEARS")</f>
        <v>NO WHALE AT ANY MULTIPLE TESTED</v>
      </c>
    </row>
    <row r="50" customFormat="false" ht="15" hidden="false" customHeight="false" outlineLevel="0" collapsed="false">
      <c r="B50" s="6" t="s">
        <v>503</v>
      </c>
      <c r="C50" s="7"/>
      <c r="D50" s="7"/>
      <c r="E50" s="7"/>
      <c r="F50" s="7"/>
      <c r="G50" s="7"/>
      <c r="H50" s="7"/>
      <c r="I50" s="7"/>
    </row>
    <row r="51" customFormat="false" ht="15" hidden="false" customHeight="false" outlineLevel="0" collapsed="false">
      <c r="B51" s="3" t="s">
        <v>504</v>
      </c>
      <c r="C51" s="14" t="n">
        <v>3700000</v>
      </c>
    </row>
    <row r="52" customFormat="false" ht="15" hidden="false" customHeight="false" outlineLevel="0" collapsed="false">
      <c r="B52" s="4" t="s">
        <v>505</v>
      </c>
      <c r="C52" s="31" t="n">
        <f aca="false">$C$8/$C$51</f>
        <v>0.447695945945946</v>
      </c>
    </row>
    <row r="53" customFormat="false" ht="15" hidden="false" customHeight="false" outlineLevel="0" collapsed="false">
      <c r="B53" s="2" t="s">
        <v>506</v>
      </c>
    </row>
    <row r="54" customFormat="false" ht="15" hidden="false" customHeight="false" outlineLevel="0" collapsed="false">
      <c r="B54" s="2" t="s">
        <v>507</v>
      </c>
    </row>
    <row r="55" customFormat="false" ht="15" hidden="false" customHeight="false" outlineLevel="0" collapsed="false">
      <c r="B55" s="2" t="s">
        <v>508</v>
      </c>
    </row>
    <row r="56" customFormat="false" ht="15" hidden="false" customHeight="false" outlineLevel="0" collapsed="false">
      <c r="B56" s="2" t="s">
        <v>509</v>
      </c>
    </row>
    <row r="57" customFormat="false" ht="15" hidden="false" customHeight="false" outlineLevel="0" collapsed="false">
      <c r="B57" s="2" t="s">
        <v>510</v>
      </c>
    </row>
    <row r="60" customFormat="false" ht="15" hidden="false" customHeight="false" outlineLevel="0" collapsed="false">
      <c r="B60" s="6" t="s">
        <v>511</v>
      </c>
      <c r="C60" s="7"/>
      <c r="D60" s="7"/>
      <c r="E60" s="7"/>
      <c r="F60" s="7"/>
      <c r="G60" s="7"/>
      <c r="H60" s="7"/>
      <c r="I60" s="7"/>
    </row>
    <row r="61" customFormat="false" ht="15" hidden="false" customHeight="false" outlineLevel="0" collapsed="false">
      <c r="B61" s="2" t="s">
        <v>512</v>
      </c>
    </row>
    <row r="62" customFormat="false" ht="15" hidden="false" customHeight="false" outlineLevel="0" collapsed="false">
      <c r="B62" s="2" t="s">
        <v>513</v>
      </c>
    </row>
    <row r="63" customFormat="false" ht="15" hidden="false" customHeight="false" outlineLevel="0" collapsed="false">
      <c r="B63" s="2" t="s">
        <v>514</v>
      </c>
    </row>
    <row r="64" customFormat="false" ht="15" hidden="false" customHeight="false" outlineLevel="0" collapsed="false">
      <c r="B64" s="2" t="s">
        <v>515</v>
      </c>
    </row>
    <row r="65" customFormat="false" ht="15" hidden="false" customHeight="false" outlineLevel="0" collapsed="false">
      <c r="B65" s="3" t="s">
        <v>516</v>
      </c>
      <c r="C65" s="40" t="n">
        <v>1</v>
      </c>
    </row>
    <row r="66" customFormat="false" ht="15" hidden="false" customHeight="false" outlineLevel="0" collapsed="false">
      <c r="B66" s="3" t="s">
        <v>517</v>
      </c>
      <c r="C66" s="40" t="n">
        <v>2</v>
      </c>
    </row>
    <row r="67" customFormat="false" ht="15" hidden="false" customHeight="false" outlineLevel="0" collapsed="false">
      <c r="B67" s="3" t="s">
        <v>518</v>
      </c>
      <c r="C67" s="41" t="n">
        <v>1E-006</v>
      </c>
    </row>
    <row r="68" customFormat="false" ht="15" hidden="false" customHeight="false" outlineLevel="0" collapsed="false">
      <c r="B68" s="4" t="s">
        <v>519</v>
      </c>
      <c r="C68" s="42" t="n">
        <v>1</v>
      </c>
      <c r="D68" s="42" t="n">
        <v>2</v>
      </c>
      <c r="E68" s="42" t="n">
        <v>3</v>
      </c>
      <c r="F68" s="42" t="n">
        <v>4</v>
      </c>
      <c r="G68" s="42" t="n">
        <v>5</v>
      </c>
      <c r="H68" s="42" t="n">
        <v>6</v>
      </c>
      <c r="I68" s="42" t="n">
        <v>7</v>
      </c>
      <c r="J68" s="42" t="n">
        <v>8</v>
      </c>
      <c r="K68" s="42" t="n">
        <v>9</v>
      </c>
      <c r="L68" s="42" t="n">
        <v>10</v>
      </c>
      <c r="M68" s="42" t="n">
        <v>11</v>
      </c>
      <c r="N68" s="42" t="n">
        <v>12</v>
      </c>
      <c r="O68" s="42" t="n">
        <v>13</v>
      </c>
      <c r="P68" s="42" t="n">
        <v>14</v>
      </c>
      <c r="Q68" s="42" t="n">
        <v>15</v>
      </c>
      <c r="R68" s="42" t="n">
        <v>16</v>
      </c>
      <c r="S68" s="42" t="n">
        <v>17</v>
      </c>
      <c r="T68" s="42" t="n">
        <v>18</v>
      </c>
      <c r="U68" s="42" t="n">
        <v>19</v>
      </c>
      <c r="V68" s="42" t="n">
        <v>20</v>
      </c>
      <c r="W68" s="42" t="n">
        <v>21</v>
      </c>
      <c r="X68" s="42" t="n">
        <v>22</v>
      </c>
      <c r="Y68" s="42" t="n">
        <v>23</v>
      </c>
      <c r="Z68" s="42" t="n">
        <v>24</v>
      </c>
      <c r="AA68" s="42" t="n">
        <v>25</v>
      </c>
      <c r="AB68" s="42" t="n">
        <v>26</v>
      </c>
      <c r="AC68" s="42" t="n">
        <v>27</v>
      </c>
      <c r="AD68" s="42" t="n">
        <v>28</v>
      </c>
    </row>
    <row r="69" customFormat="false" ht="15" hidden="false" customHeight="false" outlineLevel="0" collapsed="false">
      <c r="B69" s="3" t="s">
        <v>520</v>
      </c>
      <c r="C69" s="36" t="n">
        <f aca="false">$C$65</f>
        <v>1</v>
      </c>
      <c r="D69" s="36" t="n">
        <f aca="false">IF(C72&gt;0,C71,C69)</f>
        <v>1</v>
      </c>
      <c r="E69" s="36" t="n">
        <f aca="false">IF(D72&gt;0,D71,D69)</f>
        <v>1</v>
      </c>
      <c r="F69" s="36" t="n">
        <f aca="false">IF(E72&gt;0,E71,E69)</f>
        <v>1.125</v>
      </c>
      <c r="G69" s="36" t="n">
        <f aca="false">IF(F72&gt;0,F71,F69)</f>
        <v>1.125</v>
      </c>
      <c r="H69" s="36" t="n">
        <f aca="false">IF(G72&gt;0,G71,G69)</f>
        <v>1.15625</v>
      </c>
      <c r="I69" s="36" t="n">
        <f aca="false">IF(H72&gt;0,H71,H69)</f>
        <v>1.171875</v>
      </c>
      <c r="J69" s="36" t="n">
        <f aca="false">IF(I72&gt;0,I71,I69)</f>
        <v>1.171875</v>
      </c>
      <c r="K69" s="36" t="n">
        <f aca="false">IF(J72&gt;0,J71,J69)</f>
        <v>1.171875</v>
      </c>
      <c r="L69" s="36" t="n">
        <f aca="false">IF(K72&gt;0,K71,K69)</f>
        <v>1.173828125</v>
      </c>
      <c r="M69" s="36" t="n">
        <f aca="false">IF(L72&gt;0,L71,L69)</f>
        <v>1.173828125</v>
      </c>
      <c r="N69" s="36" t="n">
        <f aca="false">IF(M72&gt;0,M71,M69)</f>
        <v>1.17431640625</v>
      </c>
      <c r="O69" s="36" t="n">
        <f aca="false">IF(N72&gt;0,N71,N69)</f>
        <v>1.174560546875</v>
      </c>
      <c r="P69" s="36" t="n">
        <f aca="false">IF(O72&gt;0,O71,O69)</f>
        <v>1.174560546875</v>
      </c>
      <c r="Q69" s="36" t="n">
        <f aca="false">IF(P72&gt;0,P71,P69)</f>
        <v>1.17462158203125</v>
      </c>
      <c r="R69" s="36" t="n">
        <f aca="false">IF(Q72&gt;0,Q71,Q69)</f>
        <v>1.17465209960938</v>
      </c>
      <c r="S69" s="36" t="n">
        <f aca="false">IF(R72&gt;0,R71,R69)</f>
        <v>1.17466735839844</v>
      </c>
      <c r="T69" s="36" t="n">
        <f aca="false">IF(S72&gt;0,S71,S69)</f>
        <v>1.17467498779297</v>
      </c>
      <c r="U69" s="36" t="n">
        <f aca="false">IF(T72&gt;0,T71,T69)</f>
        <v>1.17467498779297</v>
      </c>
      <c r="V69" s="36" t="n">
        <f aca="false">IF(U72&gt;0,U71,U69)</f>
        <v>1.1746768951416</v>
      </c>
      <c r="W69" s="36" t="n">
        <f aca="false">IF(V72&gt;0,V71,V69)</f>
        <v>1.1746768951416</v>
      </c>
      <c r="X69" s="36" t="n">
        <f aca="false">IF(W72&gt;0,W71,W69)</f>
        <v>1.17467737197876</v>
      </c>
      <c r="Y69" s="36" t="n">
        <f aca="false">IF(X72&gt;0,X71,X69)</f>
        <v>1.17467761039734</v>
      </c>
      <c r="Z69" s="36" t="n">
        <f aca="false">IF(Y72&gt;0,Y71,Y69)</f>
        <v>1.17467772960663</v>
      </c>
      <c r="AA69" s="36" t="n">
        <f aca="false">IF(Z72&gt;0,Z71,Z69)</f>
        <v>1.17467772960663</v>
      </c>
      <c r="AB69" s="36" t="n">
        <f aca="false">IF(AA72&gt;0,AA71,AA69)</f>
        <v>1.17467775940895</v>
      </c>
      <c r="AC69" s="36" t="n">
        <f aca="false">IF(AB72&gt;0,AB71,AB69)</f>
        <v>1.17467777431011</v>
      </c>
      <c r="AD69" s="36" t="n">
        <f aca="false">IF(AC72&gt;0,AC71,AC69)</f>
        <v>1.17467778176069</v>
      </c>
    </row>
    <row r="70" customFormat="false" ht="15" hidden="false" customHeight="false" outlineLevel="0" collapsed="false">
      <c r="B70" s="3" t="s">
        <v>521</v>
      </c>
      <c r="C70" s="36" t="n">
        <f aca="false">$C$66</f>
        <v>2</v>
      </c>
      <c r="D70" s="36" t="n">
        <f aca="false">IF(C72&gt;0,C70,C71)</f>
        <v>1.5</v>
      </c>
      <c r="E70" s="36" t="n">
        <f aca="false">IF(D72&gt;0,D70,D71)</f>
        <v>1.25</v>
      </c>
      <c r="F70" s="36" t="n">
        <f aca="false">IF(E72&gt;0,E70,E71)</f>
        <v>1.25</v>
      </c>
      <c r="G70" s="36" t="n">
        <f aca="false">IF(F72&gt;0,F70,F71)</f>
        <v>1.1875</v>
      </c>
      <c r="H70" s="36" t="n">
        <f aca="false">IF(G72&gt;0,G70,G71)</f>
        <v>1.1875</v>
      </c>
      <c r="I70" s="36" t="n">
        <f aca="false">IF(H72&gt;0,H70,H71)</f>
        <v>1.1875</v>
      </c>
      <c r="J70" s="36" t="n">
        <f aca="false">IF(I72&gt;0,I70,I71)</f>
        <v>1.1796875</v>
      </c>
      <c r="K70" s="36" t="n">
        <f aca="false">IF(J72&gt;0,J70,J71)</f>
        <v>1.17578125</v>
      </c>
      <c r="L70" s="36" t="n">
        <f aca="false">IF(K72&gt;0,K70,K71)</f>
        <v>1.17578125</v>
      </c>
      <c r="M70" s="36" t="n">
        <f aca="false">IF(L72&gt;0,L70,L71)</f>
        <v>1.1748046875</v>
      </c>
      <c r="N70" s="36" t="n">
        <f aca="false">IF(M72&gt;0,M70,M71)</f>
        <v>1.1748046875</v>
      </c>
      <c r="O70" s="36" t="n">
        <f aca="false">IF(N72&gt;0,N70,N71)</f>
        <v>1.1748046875</v>
      </c>
      <c r="P70" s="36" t="n">
        <f aca="false">IF(O72&gt;0,O70,O71)</f>
        <v>1.1746826171875</v>
      </c>
      <c r="Q70" s="36" t="n">
        <f aca="false">IF(P72&gt;0,P70,P71)</f>
        <v>1.1746826171875</v>
      </c>
      <c r="R70" s="36" t="n">
        <f aca="false">IF(Q72&gt;0,Q70,Q71)</f>
        <v>1.1746826171875</v>
      </c>
      <c r="S70" s="36" t="n">
        <f aca="false">IF(R72&gt;0,R70,R71)</f>
        <v>1.1746826171875</v>
      </c>
      <c r="T70" s="36" t="n">
        <f aca="false">IF(S72&gt;0,S70,S71)</f>
        <v>1.1746826171875</v>
      </c>
      <c r="U70" s="36" t="n">
        <f aca="false">IF(T72&gt;0,T70,T71)</f>
        <v>1.17467880249023</v>
      </c>
      <c r="V70" s="36" t="n">
        <f aca="false">IF(U72&gt;0,U70,U71)</f>
        <v>1.17467880249023</v>
      </c>
      <c r="W70" s="36" t="n">
        <f aca="false">IF(V72&gt;0,V70,V71)</f>
        <v>1.17467784881592</v>
      </c>
      <c r="X70" s="36" t="n">
        <f aca="false">IF(W72&gt;0,W70,W71)</f>
        <v>1.17467784881592</v>
      </c>
      <c r="Y70" s="36" t="n">
        <f aca="false">IF(X72&gt;0,X70,X71)</f>
        <v>1.17467784881592</v>
      </c>
      <c r="Z70" s="36" t="n">
        <f aca="false">IF(Y72&gt;0,Y70,Y71)</f>
        <v>1.17467784881592</v>
      </c>
      <c r="AA70" s="36" t="n">
        <f aca="false">IF(Z72&gt;0,Z70,Z71)</f>
        <v>1.17467778921127</v>
      </c>
      <c r="AB70" s="36" t="n">
        <f aca="false">IF(AA72&gt;0,AA70,AA71)</f>
        <v>1.17467778921127</v>
      </c>
      <c r="AC70" s="36" t="n">
        <f aca="false">IF(AB72&gt;0,AB70,AB71)</f>
        <v>1.17467778921127</v>
      </c>
      <c r="AD70" s="36" t="n">
        <f aca="false">IF(AC72&gt;0,AC70,AC71)</f>
        <v>1.17467778921127</v>
      </c>
    </row>
    <row r="71" customFormat="false" ht="15" hidden="false" customHeight="false" outlineLevel="0" collapsed="false">
      <c r="B71" s="3" t="s">
        <v>522</v>
      </c>
      <c r="C71" s="43" t="n">
        <f aca="false">(C69+C70)/2</f>
        <v>1.5</v>
      </c>
      <c r="D71" s="43" t="n">
        <f aca="false">(D69+D70)/2</f>
        <v>1.25</v>
      </c>
      <c r="E71" s="43" t="n">
        <f aca="false">(E69+E70)/2</f>
        <v>1.125</v>
      </c>
      <c r="F71" s="43" t="n">
        <f aca="false">(F69+F70)/2</f>
        <v>1.1875</v>
      </c>
      <c r="G71" s="43" t="n">
        <f aca="false">(G69+G70)/2</f>
        <v>1.15625</v>
      </c>
      <c r="H71" s="43" t="n">
        <f aca="false">(H69+H70)/2</f>
        <v>1.171875</v>
      </c>
      <c r="I71" s="43" t="n">
        <f aca="false">(I69+I70)/2</f>
        <v>1.1796875</v>
      </c>
      <c r="J71" s="43" t="n">
        <f aca="false">(J69+J70)/2</f>
        <v>1.17578125</v>
      </c>
      <c r="K71" s="43" t="n">
        <f aca="false">(K69+K70)/2</f>
        <v>1.173828125</v>
      </c>
      <c r="L71" s="43" t="n">
        <f aca="false">(L69+L70)/2</f>
        <v>1.1748046875</v>
      </c>
      <c r="M71" s="43" t="n">
        <f aca="false">(M69+M70)/2</f>
        <v>1.17431640625</v>
      </c>
      <c r="N71" s="43" t="n">
        <f aca="false">(N69+N70)/2</f>
        <v>1.174560546875</v>
      </c>
      <c r="O71" s="43" t="n">
        <f aca="false">(O69+O70)/2</f>
        <v>1.1746826171875</v>
      </c>
      <c r="P71" s="43" t="n">
        <f aca="false">(P69+P70)/2</f>
        <v>1.17462158203125</v>
      </c>
      <c r="Q71" s="43" t="n">
        <f aca="false">(Q69+Q70)/2</f>
        <v>1.17465209960938</v>
      </c>
      <c r="R71" s="43" t="n">
        <f aca="false">(R69+R70)/2</f>
        <v>1.17466735839844</v>
      </c>
      <c r="S71" s="43" t="n">
        <f aca="false">(S69+S70)/2</f>
        <v>1.17467498779297</v>
      </c>
      <c r="T71" s="43" t="n">
        <f aca="false">(T69+T70)/2</f>
        <v>1.17467880249023</v>
      </c>
      <c r="U71" s="43" t="n">
        <f aca="false">(U69+U70)/2</f>
        <v>1.1746768951416</v>
      </c>
      <c r="V71" s="43" t="n">
        <f aca="false">(V69+V70)/2</f>
        <v>1.17467784881592</v>
      </c>
      <c r="W71" s="43" t="n">
        <f aca="false">(W69+W70)/2</f>
        <v>1.17467737197876</v>
      </c>
      <c r="X71" s="43" t="n">
        <f aca="false">(X69+X70)/2</f>
        <v>1.17467761039734</v>
      </c>
      <c r="Y71" s="43" t="n">
        <f aca="false">(Y69+Y70)/2</f>
        <v>1.17467772960663</v>
      </c>
      <c r="Z71" s="43" t="n">
        <f aca="false">(Z69+Z70)/2</f>
        <v>1.17467778921127</v>
      </c>
      <c r="AA71" s="43" t="n">
        <f aca="false">(AA69+AA70)/2</f>
        <v>1.17467775940895</v>
      </c>
      <c r="AB71" s="43" t="n">
        <f aca="false">(AB69+AB70)/2</f>
        <v>1.17467777431011</v>
      </c>
      <c r="AC71" s="43" t="n">
        <f aca="false">(AC69+AC70)/2</f>
        <v>1.17467778176069</v>
      </c>
      <c r="AD71" s="43" t="n">
        <f aca="false">(AD69+AD70)/2</f>
        <v>1.17467778548598</v>
      </c>
    </row>
    <row r="72" customFormat="false" ht="15" hidden="false" customHeight="false" outlineLevel="0" collapsed="false">
      <c r="B72" s="3" t="s">
        <v>523</v>
      </c>
      <c r="C72" s="44" t="n">
        <f aca="false">SUMPRODUCT(('Your Accounts'!$C$6:$C$185="Small direct")*('Your Accounts'!$K$6:$K$185-ROUND('Your Accounts'!$D$6:$D$185*$C$71*'Your Inputs'!$C$40+$C$71*'Your Inputs'!$C$41,2)))/SUMIF('Your Accounts'!$C$6:$C$185,"Small direct",'Your Accounts'!$G$6:$G$185)-SUMPRODUCT(('Your Accounts'!$C$6:$C$185="OEM key accounts")*('Your Accounts'!$K$6:$K$185-ROUND('Your Accounts'!$D$6:$D$185*$C$71*'Your Inputs'!$C$40+$C$71*'Your Inputs'!$C$41,2)))/SUMIF('Your Accounts'!$C$6:$C$185,"OEM key accounts",'Your Accounts'!$G$6:$G$185)</f>
        <v>-0.0351758262840494</v>
      </c>
      <c r="D72" s="44" t="n">
        <f aca="false">SUMPRODUCT(('Your Accounts'!$C$6:$C$185="Small direct")*('Your Accounts'!$K$6:$K$185-ROUND('Your Accounts'!$D$6:$D$185*$D$71*'Your Inputs'!$C$40+$D$71*'Your Inputs'!$C$41,2)))/SUMIF('Your Accounts'!$C$6:$C$185,"Small direct",'Your Accounts'!$G$6:$G$185)-SUMPRODUCT(('Your Accounts'!$C$6:$C$185="OEM key accounts")*('Your Accounts'!$K$6:$K$185-ROUND('Your Accounts'!$D$6:$D$185*$D$71*'Your Inputs'!$C$40+$D$71*'Your Inputs'!$C$41,2)))/SUMIF('Your Accounts'!$C$6:$C$185,"OEM key accounts",'Your Accounts'!$G$6:$G$185)</f>
        <v>-0.00814430344193023</v>
      </c>
      <c r="E72" s="44" t="n">
        <f aca="false">SUMPRODUCT(('Your Accounts'!$C$6:$C$185="Small direct")*('Your Accounts'!$K$6:$K$185-ROUND('Your Accounts'!$D$6:$D$185*$E$71*'Your Inputs'!$C$40+$E$71*'Your Inputs'!$C$41,2)))/SUMIF('Your Accounts'!$C$6:$C$185,"Small direct",'Your Accounts'!$G$6:$G$185)-SUMPRODUCT(('Your Accounts'!$C$6:$C$185="OEM key accounts")*('Your Accounts'!$K$6:$K$185-ROUND('Your Accounts'!$D$6:$D$185*$E$71*'Your Inputs'!$C$40+$E$71*'Your Inputs'!$C$41,2)))/SUMIF('Your Accounts'!$C$6:$C$185,"OEM key accounts",'Your Accounts'!$G$6:$G$185)</f>
        <v>0.00537143082333016</v>
      </c>
      <c r="F72" s="44" t="n">
        <f aca="false">SUMPRODUCT(('Your Accounts'!$C$6:$C$185="Small direct")*('Your Accounts'!$K$6:$K$185-ROUND('Your Accounts'!$D$6:$D$185*$F$71*'Your Inputs'!$C$40+$F$71*'Your Inputs'!$C$41,2)))/SUMIF('Your Accounts'!$C$6:$C$185,"Small direct",'Your Accounts'!$G$6:$G$185)-SUMPRODUCT(('Your Accounts'!$C$6:$C$185="OEM key accounts")*('Your Accounts'!$K$6:$K$185-ROUND('Your Accounts'!$D$6:$D$185*$F$71*'Your Inputs'!$C$40+$F$71*'Your Inputs'!$C$41,2)))/SUMIF('Your Accounts'!$C$6:$C$185,"OEM key accounts",'Your Accounts'!$G$6:$G$185)</f>
        <v>-0.00138643832523289</v>
      </c>
      <c r="G72" s="44" t="n">
        <f aca="false">SUMPRODUCT(('Your Accounts'!$C$6:$C$185="Small direct")*('Your Accounts'!$K$6:$K$185-ROUND('Your Accounts'!$D$6:$D$185*$G$71*'Your Inputs'!$C$40+$G$71*'Your Inputs'!$C$41,2)))/SUMIF('Your Accounts'!$C$6:$C$185,"Small direct",'Your Accounts'!$G$6:$G$185)-SUMPRODUCT(('Your Accounts'!$C$6:$C$185="OEM key accounts")*('Your Accounts'!$K$6:$K$185-ROUND('Your Accounts'!$D$6:$D$185*$G$71*'Your Inputs'!$C$40+$G$71*'Your Inputs'!$C$41,2)))/SUMIF('Your Accounts'!$C$6:$C$185,"OEM key accounts",'Your Accounts'!$G$6:$G$185)</f>
        <v>0.00199251711395179</v>
      </c>
      <c r="H72" s="44" t="n">
        <f aca="false">SUMPRODUCT(('Your Accounts'!$C$6:$C$185="Small direct")*('Your Accounts'!$K$6:$K$185-ROUND('Your Accounts'!$D$6:$D$185*$H$71*'Your Inputs'!$C$40+$H$71*'Your Inputs'!$C$41,2)))/SUMIF('Your Accounts'!$C$6:$C$185,"Small direct",'Your Accounts'!$G$6:$G$185)-SUMPRODUCT(('Your Accounts'!$C$6:$C$185="OEM key accounts")*('Your Accounts'!$K$6:$K$185-ROUND('Your Accounts'!$D$6:$D$185*$H$71*'Your Inputs'!$C$40+$H$71*'Your Inputs'!$C$41,2)))/SUMIF('Your Accounts'!$C$6:$C$185,"OEM key accounts",'Your Accounts'!$G$6:$G$185)</f>
        <v>0.000303050956326156</v>
      </c>
      <c r="I72" s="44" t="n">
        <f aca="false">SUMPRODUCT(('Your Accounts'!$C$6:$C$185="Small direct")*('Your Accounts'!$K$6:$K$185-ROUND('Your Accounts'!$D$6:$D$185*$I$71*'Your Inputs'!$C$40+$I$71*'Your Inputs'!$C$41,2)))/SUMIF('Your Accounts'!$C$6:$C$185,"Small direct",'Your Accounts'!$G$6:$G$185)-SUMPRODUCT(('Your Accounts'!$C$6:$C$185="OEM key accounts")*('Your Accounts'!$K$6:$K$185-ROUND('Your Accounts'!$D$6:$D$185*$I$71*'Your Inputs'!$C$40+$I$71*'Your Inputs'!$C$41,2)))/SUMIF('Your Accounts'!$C$6:$C$185,"OEM key accounts",'Your Accounts'!$G$6:$G$185)</f>
        <v>-0.000541683895322054</v>
      </c>
      <c r="J72" s="44" t="n">
        <f aca="false">SUMPRODUCT(('Your Accounts'!$C$6:$C$185="Small direct")*('Your Accounts'!$K$6:$K$185-ROUND('Your Accounts'!$D$6:$D$185*$J$71*'Your Inputs'!$C$40+$J$71*'Your Inputs'!$C$41,2)))/SUMIF('Your Accounts'!$C$6:$C$185,"Small direct",'Your Accounts'!$G$6:$G$185)-SUMPRODUCT(('Your Accounts'!$C$6:$C$185="OEM key accounts")*('Your Accounts'!$K$6:$K$185-ROUND('Your Accounts'!$D$6:$D$185*$J$71*'Your Inputs'!$C$40+$J$71*'Your Inputs'!$C$41,2)))/SUMIF('Your Accounts'!$C$6:$C$185,"OEM key accounts",'Your Accounts'!$G$6:$G$185)</f>
        <v>-0.000119320987558541</v>
      </c>
      <c r="K72" s="44" t="n">
        <f aca="false">SUMPRODUCT(('Your Accounts'!$C$6:$C$185="Small direct")*('Your Accounts'!$K$6:$K$185-ROUND('Your Accounts'!$D$6:$D$185*$K$71*'Your Inputs'!$C$40+$K$71*'Your Inputs'!$C$41,2)))/SUMIF('Your Accounts'!$C$6:$C$185,"Small direct",'Your Accounts'!$G$6:$G$185)-SUMPRODUCT(('Your Accounts'!$C$6:$C$185="OEM key accounts")*('Your Accounts'!$K$6:$K$185-ROUND('Your Accounts'!$D$6:$D$185*$K$71*'Your Inputs'!$C$40+$K$71*'Your Inputs'!$C$41,2)))/SUMIF('Your Accounts'!$C$6:$C$185,"OEM key accounts",'Your Accounts'!$G$6:$G$185)</f>
        <v>9.18738011253528E-005</v>
      </c>
      <c r="L72" s="44" t="n">
        <f aca="false">SUMPRODUCT(('Your Accounts'!$C$6:$C$185="Small direct")*('Your Accounts'!$K$6:$K$185-ROUND('Your Accounts'!$D$6:$D$185*$L$71*'Your Inputs'!$C$40+$L$71*'Your Inputs'!$C$41,2)))/SUMIF('Your Accounts'!$C$6:$C$185,"Small direct",'Your Accounts'!$G$6:$G$185)-SUMPRODUCT(('Your Accounts'!$C$6:$C$185="OEM key accounts")*('Your Accounts'!$K$6:$K$185-ROUND('Your Accounts'!$D$6:$D$185*$L$71*'Your Inputs'!$C$40+$L$71*'Your Inputs'!$C$41,2)))/SUMIF('Your Accounts'!$C$6:$C$185,"OEM key accounts",'Your Accounts'!$G$6:$G$185)</f>
        <v>-1.37178122331938E-005</v>
      </c>
      <c r="M72" s="44" t="n">
        <f aca="false">SUMPRODUCT(('Your Accounts'!$C$6:$C$185="Small direct")*('Your Accounts'!$K$6:$K$185-ROUND('Your Accounts'!$D$6:$D$185*$M$71*'Your Inputs'!$C$40+$M$71*'Your Inputs'!$C$41,2)))/SUMIF('Your Accounts'!$C$6:$C$185,"Small direct",'Your Accounts'!$G$6:$G$185)-SUMPRODUCT(('Your Accounts'!$C$6:$C$185="OEM key accounts")*('Your Accounts'!$K$6:$K$185-ROUND('Your Accounts'!$D$6:$D$185*$M$71*'Your Inputs'!$C$40+$M$71*'Your Inputs'!$C$41,2)))/SUMIF('Your Accounts'!$C$6:$C$185,"OEM key accounts",'Your Accounts'!$G$6:$G$185)</f>
        <v>3.90658988488613E-005</v>
      </c>
      <c r="N72" s="44" t="n">
        <f aca="false">SUMPRODUCT(('Your Accounts'!$C$6:$C$185="Small direct")*('Your Accounts'!$K$6:$K$185-ROUND('Your Accounts'!$D$6:$D$185*$N$71*'Your Inputs'!$C$40+$N$71*'Your Inputs'!$C$41,2)))/SUMIF('Your Accounts'!$C$6:$C$185,"Small direct",'Your Accounts'!$G$6:$G$185)-SUMPRODUCT(('Your Accounts'!$C$6:$C$185="OEM key accounts")*('Your Accounts'!$K$6:$K$185-ROUND('Your Accounts'!$D$6:$D$185*$N$71*'Your Inputs'!$C$40+$N$71*'Your Inputs'!$C$41,2)))/SUMIF('Your Accounts'!$C$6:$C$185,"OEM key accounts",'Your Accounts'!$G$6:$G$185)</f>
        <v>1.266850542192E-005</v>
      </c>
      <c r="O72" s="44" t="n">
        <f aca="false">SUMPRODUCT(('Your Accounts'!$C$6:$C$185="Small direct")*('Your Accounts'!$K$6:$K$185-ROUND('Your Accounts'!$D$6:$D$185*$O$71*'Your Inputs'!$C$40+$O$71*'Your Inputs'!$C$41,2)))/SUMIF('Your Accounts'!$C$6:$C$185,"Small direct",'Your Accounts'!$G$6:$G$185)-SUMPRODUCT(('Your Accounts'!$C$6:$C$185="OEM key accounts")*('Your Accounts'!$K$6:$K$185-ROUND('Your Accounts'!$D$6:$D$185*$O$71*'Your Inputs'!$C$40+$O$71*'Your Inputs'!$C$41,2)))/SUMIF('Your Accounts'!$C$6:$C$185,"OEM key accounts",'Your Accounts'!$G$6:$G$185)</f>
        <v>-5.23390482926045E-007</v>
      </c>
      <c r="P72" s="44" t="n">
        <f aca="false">SUMPRODUCT(('Your Accounts'!$C$6:$C$185="Small direct")*('Your Accounts'!$K$6:$K$185-ROUND('Your Accounts'!$D$6:$D$185*$P$71*'Your Inputs'!$C$40+$P$71*'Your Inputs'!$C$41,2)))/SUMIF('Your Accounts'!$C$6:$C$185,"Small direct",'Your Accounts'!$G$6:$G$185)-SUMPRODUCT(('Your Accounts'!$C$6:$C$185="OEM key accounts")*('Your Accounts'!$K$6:$K$185-ROUND('Your Accounts'!$D$6:$D$185*$P$71*'Your Inputs'!$C$40+$P$71*'Your Inputs'!$C$41,2)))/SUMIF('Your Accounts'!$C$6:$C$185,"OEM key accounts",'Your Accounts'!$G$6:$G$185)</f>
        <v>6.08591598943997E-006</v>
      </c>
      <c r="Q72" s="44" t="n">
        <f aca="false">SUMPRODUCT(('Your Accounts'!$C$6:$C$185="Small direct")*('Your Accounts'!$K$6:$K$185-ROUND('Your Accounts'!$D$6:$D$185*$Q$71*'Your Inputs'!$C$40+$Q$71*'Your Inputs'!$C$41,2)))/SUMIF('Your Accounts'!$C$6:$C$185,"Small direct",'Your Accounts'!$G$6:$G$185)-SUMPRODUCT(('Your Accounts'!$C$6:$C$185="OEM key accounts")*('Your Accounts'!$K$6:$K$185-ROUND('Your Accounts'!$D$6:$D$185*$Q$71*'Your Inputs'!$C$40+$Q$71*'Your Inputs'!$C$41,2)))/SUMIF('Your Accounts'!$C$6:$C$185,"OEM key accounts",'Your Accounts'!$G$6:$G$185)</f>
        <v>2.76489219291909E-006</v>
      </c>
      <c r="R72" s="44" t="n">
        <f aca="false">SUMPRODUCT(('Your Accounts'!$C$6:$C$185="Small direct")*('Your Accounts'!$K$6:$K$185-ROUND('Your Accounts'!$D$6:$D$185*$R$71*'Your Inputs'!$C$40+$R$71*'Your Inputs'!$C$41,2)))/SUMIF('Your Accounts'!$C$6:$C$185,"Small direct",'Your Accounts'!$G$6:$G$185)-SUMPRODUCT(('Your Accounts'!$C$6:$C$185="OEM key accounts")*('Your Accounts'!$K$6:$K$185-ROUND('Your Accounts'!$D$6:$D$185*$R$71*'Your Inputs'!$C$40+$R$71*'Your Inputs'!$C$41,2)))/SUMIF('Your Accounts'!$C$6:$C$185,"OEM key accounts",'Your Accounts'!$G$6:$G$185)</f>
        <v>1.11348756925977E-006</v>
      </c>
      <c r="S72" s="44" t="n">
        <f aca="false">SUMPRODUCT(('Your Accounts'!$C$6:$C$185="Small direct")*('Your Accounts'!$K$6:$K$185-ROUND('Your Accounts'!$D$6:$D$185*$S$71*'Your Inputs'!$C$40+$S$71*'Your Inputs'!$C$41,2)))/SUMIF('Your Accounts'!$C$6:$C$185,"Small direct",'Your Accounts'!$G$6:$G$185)-SUMPRODUCT(('Your Accounts'!$C$6:$C$185="OEM key accounts")*('Your Accounts'!$K$6:$K$185-ROUND('Your Accounts'!$D$6:$D$185*$S$71*'Your Inputs'!$C$40+$S$71*'Your Inputs'!$C$41,2)))/SUMIF('Your Accounts'!$C$6:$C$185,"OEM key accounts",'Your Accounts'!$G$6:$G$185)</f>
        <v>3.01339439179316E-007</v>
      </c>
      <c r="T72" s="44" t="n">
        <f aca="false">SUMPRODUCT(('Your Accounts'!$C$6:$C$185="Small direct")*('Your Accounts'!$K$6:$K$185-ROUND('Your Accounts'!$D$6:$D$185*$T$71*'Your Inputs'!$C$40+$T$71*'Your Inputs'!$C$41,2)))/SUMIF('Your Accounts'!$C$6:$C$185,"Small direct",'Your Accounts'!$G$6:$G$185)-SUMPRODUCT(('Your Accounts'!$C$6:$C$185="OEM key accounts")*('Your Accounts'!$K$6:$K$185-ROUND('Your Accounts'!$D$6:$D$185*$T$71*'Your Inputs'!$C$40+$T$71*'Your Inputs'!$C$41,2)))/SUMIF('Your Accounts'!$C$6:$C$185,"OEM key accounts",'Your Accounts'!$G$6:$G$185)</f>
        <v>-1.1605349511945E-007</v>
      </c>
      <c r="U72" s="44" t="n">
        <f aca="false">SUMPRODUCT(('Your Accounts'!$C$6:$C$185="Small direct")*('Your Accounts'!$K$6:$K$185-ROUND('Your Accounts'!$D$6:$D$185*$U$71*'Your Inputs'!$C$40+$U$71*'Your Inputs'!$C$41,2)))/SUMIF('Your Accounts'!$C$6:$C$185,"Small direct",'Your Accounts'!$G$6:$G$185)-SUMPRODUCT(('Your Accounts'!$C$6:$C$185="OEM key accounts")*('Your Accounts'!$K$6:$K$185-ROUND('Your Accounts'!$D$6:$D$185*$U$71*'Your Inputs'!$C$40+$U$71*'Your Inputs'!$C$41,2)))/SUMIF('Your Accounts'!$C$6:$C$185,"OEM key accounts",'Your Accounts'!$G$6:$G$185)</f>
        <v>8.10810052986888E-008</v>
      </c>
      <c r="V72" s="44" t="n">
        <f aca="false">SUMPRODUCT(('Your Accounts'!$C$6:$C$185="Small direct")*('Your Accounts'!$K$6:$K$185-ROUND('Your Accounts'!$D$6:$D$185*$V$71*'Your Inputs'!$C$40+$V$71*'Your Inputs'!$C$41,2)))/SUMIF('Your Accounts'!$C$6:$C$185,"Small direct",'Your Accounts'!$G$6:$G$185)-SUMPRODUCT(('Your Accounts'!$C$6:$C$185="OEM key accounts")*('Your Accounts'!$K$6:$K$185-ROUND('Your Accounts'!$D$6:$D$185*$V$71*'Your Inputs'!$C$40+$V$71*'Your Inputs'!$C$41,2)))/SUMIF('Your Accounts'!$C$6:$C$185,"OEM key accounts",'Your Accounts'!$G$6:$G$185)</f>
        <v>-1.29681843041851E-008</v>
      </c>
      <c r="W72" s="44" t="n">
        <f aca="false">SUMPRODUCT(('Your Accounts'!$C$6:$C$185="Small direct")*('Your Accounts'!$K$6:$K$185-ROUND('Your Accounts'!$D$6:$D$185*$W$71*'Your Inputs'!$C$40+$W$71*'Your Inputs'!$C$41,2)))/SUMIF('Your Accounts'!$C$6:$C$185,"Small direct",'Your Accounts'!$G$6:$G$185)-SUMPRODUCT(('Your Accounts'!$C$6:$C$185="OEM key accounts")*('Your Accounts'!$K$6:$K$185-ROUND('Your Accounts'!$D$6:$D$185*$W$71*'Your Inputs'!$C$40+$W$71*'Your Inputs'!$C$41,2)))/SUMIF('Your Accounts'!$C$6:$C$185,"OEM key accounts",'Your Accounts'!$G$6:$G$185)</f>
        <v>4.2849434278569E-008</v>
      </c>
      <c r="X72" s="44" t="n">
        <f aca="false">SUMPRODUCT(('Your Accounts'!$C$6:$C$185="Small direct")*('Your Accounts'!$K$6:$K$185-ROUND('Your Accounts'!$D$6:$D$185*$X$71*'Your Inputs'!$C$40+$X$71*'Your Inputs'!$C$41,2)))/SUMIF('Your Accounts'!$C$6:$C$185,"Small direct",'Your Accounts'!$G$6:$G$185)-SUMPRODUCT(('Your Accounts'!$C$6:$C$185="OEM key accounts")*('Your Accounts'!$K$6:$K$185-ROUND('Your Accounts'!$D$6:$D$185*$X$71*'Your Inputs'!$C$40+$X$71*'Your Inputs'!$C$41,2)))/SUMIF('Your Accounts'!$C$6:$C$185,"OEM key accounts",'Your Accounts'!$G$6:$G$185)</f>
        <v>1.2681594691033E-008</v>
      </c>
      <c r="Y72" s="44" t="n">
        <f aca="false">SUMPRODUCT(('Your Accounts'!$C$6:$C$185="Small direct")*('Your Accounts'!$K$6:$K$185-ROUND('Your Accounts'!$D$6:$D$185*$Y$71*'Your Inputs'!$C$40+$Y$71*'Your Inputs'!$C$41,2)))/SUMIF('Your Accounts'!$C$6:$C$185,"Small direct",'Your Accounts'!$G$6:$G$185)-SUMPRODUCT(('Your Accounts'!$C$6:$C$185="OEM key accounts")*('Your Accounts'!$K$6:$K$185-ROUND('Your Accounts'!$D$6:$D$185*$Y$71*'Your Inputs'!$C$40+$Y$71*'Your Inputs'!$C$41,2)))/SUMIF('Your Accounts'!$C$6:$C$185,"OEM key accounts",'Your Accounts'!$G$6:$G$185)</f>
        <v>7.62990362557225E-009</v>
      </c>
      <c r="Z72" s="44" t="n">
        <f aca="false">SUMPRODUCT(('Your Accounts'!$C$6:$C$185="Small direct")*('Your Accounts'!$K$6:$K$185-ROUND('Your Accounts'!$D$6:$D$185*$Z$71*'Your Inputs'!$C$40+$Z$71*'Your Inputs'!$C$41,2)))/SUMIF('Your Accounts'!$C$6:$C$185,"Small direct",'Your Accounts'!$G$6:$G$185)-SUMPRODUCT(('Your Accounts'!$C$6:$C$185="OEM key accounts")*('Your Accounts'!$K$6:$K$185-ROUND('Your Accounts'!$D$6:$D$185*$Z$71*'Your Inputs'!$C$40+$Z$71*'Your Inputs'!$C$41,2)))/SUMIF('Your Accounts'!$C$6:$C$185,"OEM key accounts",'Your Accounts'!$G$6:$G$185)</f>
        <v>-2.91223775650273E-009</v>
      </c>
      <c r="AA72" s="44" t="n">
        <f aca="false">SUMPRODUCT(('Your Accounts'!$C$6:$C$185="Small direct")*('Your Accounts'!$K$6:$K$185-ROUND('Your Accounts'!$D$6:$D$185*$AA$71*'Your Inputs'!$C$40+$AA$71*'Your Inputs'!$C$41,2)))/SUMIF('Your Accounts'!$C$6:$C$185,"Small direct",'Your Accounts'!$G$6:$G$185)-SUMPRODUCT(('Your Accounts'!$C$6:$C$185="OEM key accounts")*('Your Accounts'!$K$6:$K$185-ROUND('Your Accounts'!$D$6:$D$185*$AA$71*'Your Inputs'!$C$40+$AA$71*'Your Inputs'!$C$41,2)))/SUMIF('Your Accounts'!$C$6:$C$185,"OEM key accounts",'Your Accounts'!$G$6:$G$185)</f>
        <v>9.98026383758344E-011</v>
      </c>
      <c r="AB72" s="44" t="n">
        <f aca="false">SUMPRODUCT(('Your Accounts'!$C$6:$C$185="Small direct")*('Your Accounts'!$K$6:$K$185-ROUND('Your Accounts'!$D$6:$D$185*$AB$71*'Your Inputs'!$C$40+$AB$71*'Your Inputs'!$C$41,2)))/SUMIF('Your Accounts'!$C$6:$C$185,"Small direct",'Your Accounts'!$G$6:$G$185)-SUMPRODUCT(('Your Accounts'!$C$6:$C$185="OEM key accounts")*('Your Accounts'!$K$6:$K$185-ROUND('Your Accounts'!$D$6:$D$185*$AB$71*'Your Inputs'!$C$40+$AB$71*'Your Inputs'!$C$41,2)))/SUMIF('Your Accounts'!$C$6:$C$185,"OEM key accounts",'Your Accounts'!$G$6:$G$185)</f>
        <v>9.98026383758344E-011</v>
      </c>
      <c r="AC72" s="44" t="n">
        <f aca="false">SUMPRODUCT(('Your Accounts'!$C$6:$C$185="Small direct")*('Your Accounts'!$K$6:$K$185-ROUND('Your Accounts'!$D$6:$D$185*$AC$71*'Your Inputs'!$C$40+$AC$71*'Your Inputs'!$C$41,2)))/SUMIF('Your Accounts'!$C$6:$C$185,"Small direct",'Your Accounts'!$G$6:$G$185)-SUMPRODUCT(('Your Accounts'!$C$6:$C$185="OEM key accounts")*('Your Accounts'!$K$6:$K$185-ROUND('Your Accounts'!$D$6:$D$185*$AC$71*'Your Inputs'!$C$40+$AC$71*'Your Inputs'!$C$41,2)))/SUMIF('Your Accounts'!$C$6:$C$185,"OEM key accounts",'Your Accounts'!$G$6:$G$185)</f>
        <v>9.98026383758344E-011</v>
      </c>
      <c r="AD72" s="44" t="n">
        <f aca="false">SUMPRODUCT(('Your Accounts'!$C$6:$C$185="Small direct")*('Your Accounts'!$K$6:$K$185-ROUND('Your Accounts'!$D$6:$D$185*$AD$71*'Your Inputs'!$C$40+$AD$71*'Your Inputs'!$C$41,2)))/SUMIF('Your Accounts'!$C$6:$C$185,"Small direct",'Your Accounts'!$G$6:$G$185)-SUMPRODUCT(('Your Accounts'!$C$6:$C$185="OEM key accounts")*('Your Accounts'!$K$6:$K$185-ROUND('Your Accounts'!$D$6:$D$185*$AD$71*'Your Inputs'!$C$40+$AD$71*'Your Inputs'!$C$41,2)))/SUMIF('Your Accounts'!$C$6:$C$185,"OEM key accounts",'Your Accounts'!$G$6:$G$185)</f>
        <v>-2.91223775650273E-009</v>
      </c>
    </row>
    <row r="74" customFormat="false" ht="15" hidden="false" customHeight="false" outlineLevel="0" collapsed="false">
      <c r="B74" s="4" t="s">
        <v>524</v>
      </c>
      <c r="C74" s="34" t="n">
        <f aca="false">$AD$71</f>
        <v>1.17467778548598</v>
      </c>
      <c r="D74" s="2" t="s">
        <v>525</v>
      </c>
    </row>
    <row r="75" customFormat="false" ht="15" hidden="false" customHeight="false" outlineLevel="0" collapsed="false">
      <c r="B75" s="4" t="s">
        <v>526</v>
      </c>
      <c r="C75" s="27" t="str">
        <f aca="false">IF(ABS($AD$70-$AD$69)&lt;=$C$67,"CONVERGED","NOT CONVERGED")</f>
        <v>CONVERGED</v>
      </c>
    </row>
    <row r="76" customFormat="false" ht="15" hidden="false" customHeight="false" outlineLevel="0" collapsed="false">
      <c r="B76" s="4" t="s">
        <v>527</v>
      </c>
      <c r="C76" s="22" t="n">
        <f aca="false">$C$74*'Your Inputs'!$C$40</f>
        <v>170.328278895468</v>
      </c>
    </row>
    <row r="77" customFormat="false" ht="15" hidden="false" customHeight="false" outlineLevel="0" collapsed="false">
      <c r="B77" s="4" t="s">
        <v>528</v>
      </c>
      <c r="C77" s="22" t="n">
        <f aca="false">$C$74*'Your Inputs'!$C$41</f>
        <v>7635.40560565889</v>
      </c>
    </row>
    <row r="78" customFormat="false" ht="15" hidden="false" customHeight="false" outlineLevel="0" collapsed="false">
      <c r="B78" s="4" t="s">
        <v>529</v>
      </c>
      <c r="C78" s="22" t="n">
        <f aca="false">ROUND(SUMPRODUCT('Your Accounts'!$D$6:$D$185*$C$74*'Your Inputs'!$C$40+$C$74*'Your Inputs'!$C$41),2)</f>
        <v>1945824.38</v>
      </c>
      <c r="D78" s="2" t="s">
        <v>530</v>
      </c>
    </row>
    <row r="79" customFormat="false" ht="15" hidden="false" customHeight="false" outlineLevel="0" collapsed="false">
      <c r="B79" s="4" t="s">
        <v>531</v>
      </c>
      <c r="C79" s="31" t="n">
        <f aca="false">$C$78/$C$51</f>
        <v>0.525898481081081</v>
      </c>
    </row>
    <row r="80" customFormat="false" ht="15" hidden="false" customHeight="false" outlineLevel="0" collapsed="false">
      <c r="B80" s="2" t="s">
        <v>532</v>
      </c>
    </row>
    <row r="83" customFormat="false" ht="15" hidden="false" customHeight="false" outlineLevel="0" collapsed="false">
      <c r="B83" s="6" t="s">
        <v>533</v>
      </c>
      <c r="C83" s="7"/>
      <c r="D83" s="7"/>
      <c r="E83" s="7"/>
      <c r="F83" s="7"/>
      <c r="G83" s="7"/>
      <c r="H83" s="7"/>
      <c r="I83" s="7"/>
    </row>
    <row r="84" customFormat="false" ht="30" hidden="false" customHeight="true" outlineLevel="0" collapsed="false">
      <c r="B84" s="12" t="s">
        <v>534</v>
      </c>
      <c r="C84" s="12" t="s">
        <v>403</v>
      </c>
      <c r="D84" s="12" t="s">
        <v>418</v>
      </c>
      <c r="E84" s="12" t="s">
        <v>535</v>
      </c>
      <c r="F84" s="12" t="s">
        <v>536</v>
      </c>
      <c r="G84" s="12"/>
      <c r="H84" s="12"/>
      <c r="I84" s="12"/>
    </row>
    <row r="85" customFormat="false" ht="15" hidden="false" customHeight="false" outlineLevel="0" collapsed="false">
      <c r="B85" s="23" t="n">
        <v>0.1</v>
      </c>
      <c r="C85" s="26" t="n">
        <f aca="false">SUM('Your Floors'!$AI$20:$AI$31)</f>
        <v>50</v>
      </c>
      <c r="D85" s="15" t="n">
        <f aca="false">ROUND(SUM('Your Floors'!$AJ$20:$AJ$31),2)</f>
        <v>134285.1</v>
      </c>
      <c r="E85" s="25" t="n">
        <f aca="false">$D85/'Your Margin'!$C$32</f>
        <v>0.0233972149161602</v>
      </c>
      <c r="F85" s="25" t="n">
        <f aca="false">$D85/ROUND(SUM('Your Floors'!$AK$20:$AK$31),2)</f>
        <v>0.0744025944575652</v>
      </c>
    </row>
    <row r="86" customFormat="false" ht="15" hidden="false" customHeight="false" outlineLevel="0" collapsed="false">
      <c r="B86" s="23" t="n">
        <v>0.25</v>
      </c>
      <c r="C86" s="26" t="n">
        <f aca="false">SUM('Your Floors'!$AL$20:$AL$31)</f>
        <v>116</v>
      </c>
      <c r="D86" s="15" t="n">
        <f aca="false">ROUND(SUM('Your Floors'!$AM$20:$AM$31),2)</f>
        <v>460444.62</v>
      </c>
      <c r="E86" s="25" t="n">
        <f aca="false">$D86/'Your Margin'!$C$32</f>
        <v>0.0802257415836137</v>
      </c>
      <c r="F86" s="25" t="n">
        <f aca="false">$D86/ROUND(SUM('Your Floors'!$AN$20:$AN$31),2)</f>
        <v>0.102402847907516</v>
      </c>
    </row>
    <row r="87" customFormat="false" ht="15" hidden="false" customHeight="false" outlineLevel="0" collapsed="false">
      <c r="B87" s="23" t="n">
        <v>0.4</v>
      </c>
      <c r="C87" s="26" t="n">
        <f aca="false">SUM('Your Floors'!$AO$20:$AO$31)</f>
        <v>182</v>
      </c>
      <c r="D87" s="15" t="n">
        <f aca="false">ROUND(SUM('Your Floors'!$AP$20:$AP$31),2)</f>
        <v>948271.94</v>
      </c>
      <c r="E87" s="25" t="n">
        <f aca="false">$D87/'Your Margin'!$C$32</f>
        <v>0.165222518203019</v>
      </c>
      <c r="F87" s="25" t="n">
        <f aca="false">$D87/ROUND(SUM('Your Floors'!$AQ$20:$AQ$31),2)</f>
        <v>0.130625601265925</v>
      </c>
    </row>
    <row r="88" customFormat="false" ht="15" hidden="false" customHeight="false" outlineLevel="0" collapsed="false">
      <c r="B88" s="23" t="n">
        <v>0.5</v>
      </c>
      <c r="C88" s="26" t="n">
        <f aca="false">SUM('Your Floors'!$AR$20:$AR$31)</f>
        <v>227</v>
      </c>
      <c r="D88" s="15" t="n">
        <f aca="false">ROUND(SUM('Your Floors'!$AS$20:$AS$31),2)</f>
        <v>1288275.82</v>
      </c>
      <c r="E88" s="25" t="n">
        <f aca="false">$D88/'Your Margin'!$C$32</f>
        <v>0.22446322214328</v>
      </c>
      <c r="F88" s="25" t="n">
        <f aca="false">$D88/ROUND(SUM('Your Floors'!$AT$20:$AT$31),2)</f>
        <v>0.140599903672579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G2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60"/>
    <col collapsed="false" customWidth="true" hidden="false" outlineLevel="0" max="4" min="3" style="0" width="22"/>
    <col collapsed="false" customWidth="true" hidden="false" outlineLevel="0" max="5" min="5" style="0" width="18"/>
    <col collapsed="false" customWidth="true" hidden="false" outlineLevel="0" max="6" min="6" style="0" width="12"/>
    <col collapsed="false" customWidth="true" hidden="false" outlineLevel="0" max="7" min="7" style="0" width="46"/>
  </cols>
  <sheetData>
    <row r="2" customFormat="false" ht="16.15" hidden="false" customHeight="false" outlineLevel="0" collapsed="false">
      <c r="B2" s="11" t="s">
        <v>27</v>
      </c>
    </row>
    <row r="3" customFormat="false" ht="15" hidden="false" customHeight="false" outlineLevel="0" collapsed="false">
      <c r="B3" s="2" t="s">
        <v>537</v>
      </c>
    </row>
    <row r="5" customFormat="false" ht="30" hidden="false" customHeight="true" outlineLevel="0" collapsed="false">
      <c r="B5" s="12" t="s">
        <v>538</v>
      </c>
      <c r="C5" s="12" t="s">
        <v>539</v>
      </c>
      <c r="D5" s="12" t="s">
        <v>540</v>
      </c>
      <c r="E5" s="12" t="s">
        <v>323</v>
      </c>
      <c r="F5" s="12" t="s">
        <v>541</v>
      </c>
      <c r="G5" s="12" t="s">
        <v>542</v>
      </c>
    </row>
    <row r="6" customFormat="false" ht="15" hidden="false" customHeight="false" outlineLevel="0" collapsed="false">
      <c r="B6" s="18" t="s">
        <v>101</v>
      </c>
      <c r="C6" s="33" t="n">
        <v>69880000</v>
      </c>
      <c r="D6" s="15" t="n">
        <f aca="false">'Your Margin'!$C$28</f>
        <v>69880000</v>
      </c>
      <c r="E6" s="43" t="n">
        <f aca="false">ROUND(C6-D6,6)</f>
        <v>0</v>
      </c>
      <c r="F6" s="45" t="str">
        <f aca="false">IF(ABS(E6)&lt;=0.005,"PASS","FAIL")</f>
        <v>PASS</v>
      </c>
      <c r="G6" s="17" t="s">
        <v>543</v>
      </c>
    </row>
    <row r="7" customFormat="false" ht="15" hidden="false" customHeight="false" outlineLevel="0" collapsed="false">
      <c r="B7" s="18" t="s">
        <v>99</v>
      </c>
      <c r="C7" s="33" t="n">
        <v>60253524.93</v>
      </c>
      <c r="D7" s="15" t="n">
        <f aca="false">'Your Margin'!$C$27</f>
        <v>60253524.93</v>
      </c>
      <c r="E7" s="43" t="n">
        <f aca="false">ROUND(C7-D7,6)</f>
        <v>0</v>
      </c>
      <c r="F7" s="45" t="str">
        <f aca="false">IF(ABS(E7)&lt;=0.005,"PASS","FAIL")</f>
        <v>PASS</v>
      </c>
      <c r="G7" s="17" t="s">
        <v>543</v>
      </c>
    </row>
    <row r="8" customFormat="false" ht="15" hidden="false" customHeight="false" outlineLevel="0" collapsed="false">
      <c r="B8" s="18" t="s">
        <v>100</v>
      </c>
      <c r="C8" s="33" t="n">
        <v>56124433.13</v>
      </c>
      <c r="D8" s="15" t="n">
        <f aca="false">'Your Margin'!$C$26</f>
        <v>56124433.13</v>
      </c>
      <c r="E8" s="43" t="n">
        <f aca="false">ROUND(C8-D8,6)</f>
        <v>0</v>
      </c>
      <c r="F8" s="45" t="str">
        <f aca="false">IF(ABS(E8)&lt;=0.005,"PASS","FAIL")</f>
        <v>PASS</v>
      </c>
      <c r="G8" s="17" t="s">
        <v>543</v>
      </c>
    </row>
    <row r="9" customFormat="false" ht="15" hidden="false" customHeight="false" outlineLevel="0" collapsed="false">
      <c r="B9" s="18" t="s">
        <v>328</v>
      </c>
      <c r="C9" s="33" t="n">
        <v>39780000</v>
      </c>
      <c r="D9" s="15" t="n">
        <f aca="false">'Your Margin'!$C$29</f>
        <v>39780000</v>
      </c>
      <c r="E9" s="43" t="n">
        <f aca="false">ROUND(C9-D9,6)</f>
        <v>0</v>
      </c>
      <c r="F9" s="45" t="str">
        <f aca="false">IF(ABS(E9)&lt;=0.005,"PASS","FAIL")</f>
        <v>PASS</v>
      </c>
      <c r="G9" s="17" t="s">
        <v>543</v>
      </c>
    </row>
    <row r="10" customFormat="false" ht="15" hidden="false" customHeight="false" outlineLevel="0" collapsed="false">
      <c r="B10" s="18" t="s">
        <v>329</v>
      </c>
      <c r="C10" s="33" t="n">
        <v>1205070.54</v>
      </c>
      <c r="D10" s="15" t="n">
        <f aca="false">'Your Margin'!$C$30</f>
        <v>1205070.54</v>
      </c>
      <c r="E10" s="43" t="n">
        <f aca="false">ROUND(C10-D10,6)</f>
        <v>0</v>
      </c>
      <c r="F10" s="45" t="str">
        <f aca="false">IF(ABS(E10)&lt;=0.005,"PASS","FAIL")</f>
        <v>PASS</v>
      </c>
      <c r="G10" s="17" t="s">
        <v>543</v>
      </c>
    </row>
    <row r="11" customFormat="false" ht="15" hidden="false" customHeight="false" outlineLevel="0" collapsed="false">
      <c r="B11" s="18" t="s">
        <v>104</v>
      </c>
      <c r="C11" s="33" t="n">
        <v>15139362.59</v>
      </c>
      <c r="D11" s="15" t="n">
        <f aca="false">'Your Margin'!$C$31</f>
        <v>15139362.59</v>
      </c>
      <c r="E11" s="43" t="n">
        <f aca="false">ROUND(C11-D11,6)</f>
        <v>0</v>
      </c>
      <c r="F11" s="45" t="str">
        <f aca="false">IF(ABS(E11)&lt;=0.005,"PASS","FAIL")</f>
        <v>PASS</v>
      </c>
      <c r="G11" s="17" t="s">
        <v>543</v>
      </c>
    </row>
    <row r="12" customFormat="false" ht="15" hidden="false" customHeight="false" outlineLevel="0" collapsed="false">
      <c r="B12" s="18" t="s">
        <v>544</v>
      </c>
      <c r="C12" s="33" t="n">
        <v>5739362.59</v>
      </c>
      <c r="D12" s="15" t="n">
        <f aca="false">'Your Margin'!$C$32</f>
        <v>5739362.59</v>
      </c>
      <c r="E12" s="43" t="n">
        <f aca="false">ROUND(C12-D12,6)</f>
        <v>0</v>
      </c>
      <c r="F12" s="45" t="str">
        <f aca="false">IF(ABS(E12)&lt;=0.005,"PASS","FAIL")</f>
        <v>PASS</v>
      </c>
      <c r="G12" s="17" t="s">
        <v>543</v>
      </c>
    </row>
    <row r="13" customFormat="false" ht="15" hidden="false" customHeight="false" outlineLevel="0" collapsed="false">
      <c r="B13" s="18" t="s">
        <v>545</v>
      </c>
      <c r="C13" s="32" t="n">
        <v>0.269746</v>
      </c>
      <c r="D13" s="44" t="n">
        <f aca="false">'Your Margin'!$C$33</f>
        <v>0.269746378639281</v>
      </c>
      <c r="E13" s="43" t="n">
        <f aca="false">ROUND(C13-D13,6)</f>
        <v>-0</v>
      </c>
      <c r="F13" s="45" t="str">
        <f aca="false">IF(ABS(E13)&lt;=0.000005,"PASS","FAIL")</f>
        <v>PASS</v>
      </c>
      <c r="G13" s="17" t="s">
        <v>543</v>
      </c>
    </row>
    <row r="14" customFormat="false" ht="15" hidden="false" customHeight="false" outlineLevel="0" collapsed="false">
      <c r="B14" s="18" t="s">
        <v>546</v>
      </c>
      <c r="C14" s="32" t="n">
        <v>0.803154</v>
      </c>
      <c r="D14" s="44" t="n">
        <f aca="false">'Your Margin'!$C$34</f>
        <v>0.80315445234688</v>
      </c>
      <c r="E14" s="43" t="n">
        <f aca="false">ROUND(C14-D14,6)</f>
        <v>-0</v>
      </c>
      <c r="F14" s="45" t="str">
        <f aca="false">IF(ABS(E14)&lt;=0.000005,"PASS","FAIL")</f>
        <v>PASS</v>
      </c>
      <c r="G14" s="17" t="s">
        <v>543</v>
      </c>
    </row>
    <row r="15" customFormat="false" ht="15" hidden="false" customHeight="false" outlineLevel="0" collapsed="false">
      <c r="B15" s="18" t="s">
        <v>547</v>
      </c>
      <c r="C15" s="33" t="n">
        <v>60253524.93</v>
      </c>
      <c r="D15" s="15" t="n">
        <f aca="false">'Your Margin'!$C$9</f>
        <v>60253524.93</v>
      </c>
      <c r="E15" s="43" t="n">
        <f aca="false">ROUND(C15-D15,6)</f>
        <v>0</v>
      </c>
      <c r="F15" s="45" t="str">
        <f aca="false">IF(ABS(E15)&lt;=0.02,"PASS","FAIL")</f>
        <v>PASS</v>
      </c>
      <c r="G15" s="17" t="s">
        <v>543</v>
      </c>
    </row>
    <row r="16" customFormat="false" ht="15" hidden="false" customHeight="false" outlineLevel="0" collapsed="false">
      <c r="B16" s="18" t="s">
        <v>548</v>
      </c>
      <c r="C16" s="33" t="n">
        <v>56124433.13</v>
      </c>
      <c r="D16" s="15" t="n">
        <f aca="false">'Your Margin'!$C$17</f>
        <v>56124433.13</v>
      </c>
      <c r="E16" s="43" t="n">
        <f aca="false">ROUND(C16-D16,6)</f>
        <v>0</v>
      </c>
      <c r="F16" s="45" t="str">
        <f aca="false">IF(ABS(E16)&lt;=0.02,"PASS","FAIL")</f>
        <v>PASS</v>
      </c>
      <c r="G16" s="17" t="s">
        <v>543</v>
      </c>
    </row>
    <row r="17" customFormat="false" ht="15" hidden="false" customHeight="false" outlineLevel="0" collapsed="false">
      <c r="B17" s="18" t="s">
        <v>360</v>
      </c>
      <c r="C17" s="46" t="n">
        <v>3.627587</v>
      </c>
      <c r="D17" s="43" t="n">
        <f aca="false">'One Point of Price'!$C$16</f>
        <v>3.62758743548193</v>
      </c>
      <c r="E17" s="43" t="n">
        <f aca="false">ROUND(C17-D17,6)</f>
        <v>-0</v>
      </c>
      <c r="F17" s="45" t="str">
        <f aca="false">IF(ABS(E17)&lt;=0.000005,"PASS","FAIL")</f>
        <v>PASS</v>
      </c>
      <c r="G17" s="17" t="s">
        <v>549</v>
      </c>
    </row>
    <row r="18" customFormat="false" ht="15" hidden="false" customHeight="false" outlineLevel="0" collapsed="false">
      <c r="B18" s="18" t="s">
        <v>550</v>
      </c>
      <c r="C18" s="46" t="n">
        <v>3.707186</v>
      </c>
      <c r="D18" s="43" t="n">
        <f aca="false">'One Point of Price'!$C$17</f>
        <v>3.7071860057749</v>
      </c>
      <c r="E18" s="43" t="n">
        <f aca="false">ROUND(C18-D18,6)</f>
        <v>-0</v>
      </c>
      <c r="F18" s="45" t="str">
        <f aca="false">IF(ABS(E18)&lt;=0.000005,"PASS","FAIL")</f>
        <v>PASS</v>
      </c>
      <c r="G18" s="17" t="s">
        <v>549</v>
      </c>
    </row>
    <row r="19" customFormat="false" ht="15" hidden="false" customHeight="false" outlineLevel="0" collapsed="false">
      <c r="B19" s="18" t="s">
        <v>551</v>
      </c>
      <c r="C19" s="33" t="n">
        <v>549193.63</v>
      </c>
      <c r="D19" s="15" t="n">
        <f aca="false">'One Point of Price'!$C$14</f>
        <v>549193.63</v>
      </c>
      <c r="E19" s="43" t="n">
        <f aca="false">ROUND(C19-D19,6)</f>
        <v>0</v>
      </c>
      <c r="F19" s="45" t="str">
        <f aca="false">IF(ABS(E19)&lt;=0.005,"PASS","FAIL")</f>
        <v>PASS</v>
      </c>
      <c r="G19" s="17" t="s">
        <v>549</v>
      </c>
    </row>
    <row r="20" customFormat="false" ht="15" hidden="false" customHeight="false" outlineLevel="0" collapsed="false">
      <c r="B20" s="18" t="s">
        <v>552</v>
      </c>
      <c r="C20" s="33" t="n">
        <v>151393.63</v>
      </c>
      <c r="D20" s="15" t="n">
        <f aca="false">'One Point of Price'!$C$15</f>
        <v>151393.63</v>
      </c>
      <c r="E20" s="43" t="n">
        <f aca="false">ROUND(C20-D20,6)</f>
        <v>0</v>
      </c>
      <c r="F20" s="45" t="str">
        <f aca="false">IF(ABS(E20)&lt;=0.005,"PASS","FAIL")</f>
        <v>PASS</v>
      </c>
      <c r="G20" s="17" t="s">
        <v>549</v>
      </c>
    </row>
    <row r="21" customFormat="false" ht="15" hidden="false" customHeight="false" outlineLevel="0" collapsed="false">
      <c r="B21" s="18" t="s">
        <v>553</v>
      </c>
      <c r="C21" s="32" t="n">
        <v>0.227535</v>
      </c>
      <c r="D21" s="44" t="n">
        <f aca="false">'One Point of Price'!$C$23</f>
        <v>0.227535035205637</v>
      </c>
      <c r="E21" s="43" t="n">
        <f aca="false">ROUND(C21-D21,6)</f>
        <v>-0</v>
      </c>
      <c r="F21" s="45" t="str">
        <f aca="false">IF(ABS(E21)&lt;=0.000005,"PASS","FAIL")</f>
        <v>PASS</v>
      </c>
      <c r="G21" s="17" t="s">
        <v>554</v>
      </c>
    </row>
    <row r="22" customFormat="false" ht="15" hidden="false" customHeight="false" outlineLevel="0" collapsed="false">
      <c r="B22" s="18" t="s">
        <v>555</v>
      </c>
      <c r="C22" s="32" t="n">
        <v>0.156374</v>
      </c>
      <c r="D22" s="44" t="n">
        <f aca="false">'One Point of Price'!$C$24</f>
        <v>0.156373936783212</v>
      </c>
      <c r="E22" s="43" t="n">
        <f aca="false">ROUND(C22-D22,6)</f>
        <v>0</v>
      </c>
      <c r="F22" s="45" t="str">
        <f aca="false">IF(ABS(E22)&lt;=0.000005,"PASS","FAIL")</f>
        <v>PASS</v>
      </c>
      <c r="G22" s="17" t="s">
        <v>554</v>
      </c>
    </row>
    <row r="23" customFormat="false" ht="15" hidden="false" customHeight="false" outlineLevel="0" collapsed="false">
      <c r="B23" s="18" t="s">
        <v>556</v>
      </c>
      <c r="C23" s="46" t="n">
        <v>0.05</v>
      </c>
      <c r="D23" s="43" t="n">
        <f aca="false">'One Point of Price'!$C$29</f>
        <v>0.05</v>
      </c>
      <c r="E23" s="43" t="n">
        <f aca="false">ROUND(C23-D23,6)</f>
        <v>0</v>
      </c>
      <c r="F23" s="45" t="str">
        <f aca="false">IF(ABS(E23)&lt;=0.000005,"PASS","FAIL")</f>
        <v>PASS</v>
      </c>
      <c r="G23" s="17" t="s">
        <v>557</v>
      </c>
    </row>
    <row r="24" customFormat="false" ht="15" hidden="false" customHeight="false" outlineLevel="0" collapsed="false">
      <c r="B24" s="18" t="s">
        <v>558</v>
      </c>
      <c r="C24" s="46" t="n">
        <v>0.04</v>
      </c>
      <c r="D24" s="43" t="n">
        <f aca="false">'One Point of Price'!$C$30</f>
        <v>0.04</v>
      </c>
      <c r="E24" s="43" t="n">
        <f aca="false">ROUND(C24-D24,6)</f>
        <v>0</v>
      </c>
      <c r="F24" s="45" t="str">
        <f aca="false">IF(ABS(E24)&lt;=0.000005,"PASS","FAIL")</f>
        <v>PASS</v>
      </c>
      <c r="G24" s="17" t="s">
        <v>557</v>
      </c>
    </row>
    <row r="25" customFormat="false" ht="15" hidden="false" customHeight="false" outlineLevel="0" collapsed="false">
      <c r="B25" s="18" t="s">
        <v>559</v>
      </c>
      <c r="C25" s="46" t="n">
        <v>0.033333</v>
      </c>
      <c r="D25" s="43" t="n">
        <f aca="false">'One Point of Price'!$C$31</f>
        <v>0.0333333333333333</v>
      </c>
      <c r="E25" s="43" t="n">
        <f aca="false">ROUND(C25-D25,6)</f>
        <v>-0</v>
      </c>
      <c r="F25" s="45" t="str">
        <f aca="false">IF(ABS(E25)&lt;=0.000005,"PASS","FAIL")</f>
        <v>PASS</v>
      </c>
      <c r="G25" s="17" t="s">
        <v>557</v>
      </c>
    </row>
    <row r="26" customFormat="false" ht="15" hidden="false" customHeight="false" outlineLevel="0" collapsed="false">
      <c r="B26" s="18" t="s">
        <v>560</v>
      </c>
      <c r="C26" s="46" t="n">
        <v>0.028571</v>
      </c>
      <c r="D26" s="43" t="n">
        <f aca="false">'One Point of Price'!$C$32</f>
        <v>0.0285714285714286</v>
      </c>
      <c r="E26" s="43" t="n">
        <f aca="false">ROUND(C26-D26,6)</f>
        <v>-0</v>
      </c>
      <c r="F26" s="45" t="str">
        <f aca="false">IF(ABS(E26)&lt;=0.000005,"PASS","FAIL")</f>
        <v>PASS</v>
      </c>
      <c r="G26" s="17" t="s">
        <v>557</v>
      </c>
    </row>
    <row r="27" customFormat="false" ht="15" hidden="false" customHeight="false" outlineLevel="0" collapsed="false">
      <c r="B27" s="18" t="s">
        <v>561</v>
      </c>
      <c r="C27" s="46" t="n">
        <v>0.025</v>
      </c>
      <c r="D27" s="43" t="n">
        <f aca="false">'One Point of Price'!$C$33</f>
        <v>0.025</v>
      </c>
      <c r="E27" s="43" t="n">
        <f aca="false">ROUND(C27-D27,6)</f>
        <v>0</v>
      </c>
      <c r="F27" s="45" t="str">
        <f aca="false">IF(ABS(E27)&lt;=0.000005,"PASS","FAIL")</f>
        <v>PASS</v>
      </c>
      <c r="G27" s="17" t="s">
        <v>557</v>
      </c>
    </row>
    <row r="28" customFormat="false" ht="15" hidden="false" customHeight="false" outlineLevel="0" collapsed="false">
      <c r="B28" s="18" t="s">
        <v>562</v>
      </c>
      <c r="C28" s="46" t="n">
        <v>0.02</v>
      </c>
      <c r="D28" s="43" t="n">
        <f aca="false">'One Point of Price'!$C$34</f>
        <v>0.02</v>
      </c>
      <c r="E28" s="43" t="n">
        <f aca="false">ROUND(C28-D28,6)</f>
        <v>0</v>
      </c>
      <c r="F28" s="45" t="str">
        <f aca="false">IF(ABS(E28)&lt;=0.000005,"PASS","FAIL")</f>
        <v>PASS</v>
      </c>
      <c r="G28" s="17" t="s">
        <v>557</v>
      </c>
    </row>
    <row r="29" customFormat="false" ht="15" hidden="false" customHeight="false" outlineLevel="0" collapsed="false">
      <c r="B29" s="18" t="s">
        <v>466</v>
      </c>
      <c r="C29" s="33" t="n">
        <v>1656475</v>
      </c>
      <c r="D29" s="15" t="n">
        <f aca="false">Sensitivity!$C$8</f>
        <v>1656475</v>
      </c>
      <c r="E29" s="43" t="n">
        <f aca="false">ROUND(C29-D29,6)</f>
        <v>0</v>
      </c>
      <c r="F29" s="45" t="str">
        <f aca="false">IF(ABS(E29)&lt;=0.02,"PASS","FAIL")</f>
        <v>PASS</v>
      </c>
      <c r="G29" s="17" t="s">
        <v>563</v>
      </c>
    </row>
    <row r="30" customFormat="false" ht="15" hidden="false" customHeight="false" outlineLevel="0" collapsed="false">
      <c r="B30" s="18" t="s">
        <v>467</v>
      </c>
      <c r="C30" s="33" t="n">
        <v>13482887.59</v>
      </c>
      <c r="D30" s="15" t="n">
        <f aca="false">Sensitivity!$C$9</f>
        <v>13482887.59</v>
      </c>
      <c r="E30" s="43" t="n">
        <f aca="false">ROUND(C30-D30,6)</f>
        <v>0</v>
      </c>
      <c r="F30" s="45" t="str">
        <f aca="false">IF(ABS(E30)&lt;=0.02,"PASS","FAIL")</f>
        <v>PASS</v>
      </c>
      <c r="G30" s="17" t="s">
        <v>563</v>
      </c>
    </row>
    <row r="31" customFormat="false" ht="15" hidden="false" customHeight="false" outlineLevel="0" collapsed="false">
      <c r="B31" s="18" t="s">
        <v>468</v>
      </c>
      <c r="C31" s="47" t="n">
        <v>36</v>
      </c>
      <c r="D31" s="26" t="n">
        <f aca="false">Sensitivity!$C$10</f>
        <v>36</v>
      </c>
      <c r="E31" s="43" t="n">
        <f aca="false">ROUND(C31-D31,6)</f>
        <v>0</v>
      </c>
      <c r="F31" s="45" t="str">
        <f aca="false">IF(ABS(E31)&lt;=0.5,"PASS","FAIL")</f>
        <v>PASS</v>
      </c>
      <c r="G31" s="17" t="s">
        <v>563</v>
      </c>
    </row>
    <row r="32" customFormat="false" ht="15" hidden="false" customHeight="false" outlineLevel="0" collapsed="false">
      <c r="B32" s="18" t="s">
        <v>564</v>
      </c>
      <c r="C32" s="33" t="n">
        <v>8696275.89</v>
      </c>
      <c r="D32" s="15" t="n">
        <f aca="false">Sensitivity!$C$11</f>
        <v>8696275.89</v>
      </c>
      <c r="E32" s="43" t="n">
        <f aca="false">ROUND(C32-D32,6)</f>
        <v>0</v>
      </c>
      <c r="F32" s="45" t="str">
        <f aca="false">IF(ABS(E32)&lt;=0.02,"PASS","FAIL")</f>
        <v>PASS</v>
      </c>
      <c r="G32" s="17" t="s">
        <v>563</v>
      </c>
    </row>
    <row r="33" customFormat="false" ht="15" hidden="false" customHeight="false" outlineLevel="0" collapsed="false">
      <c r="B33" s="18" t="s">
        <v>565</v>
      </c>
      <c r="C33" s="32" t="n">
        <v>0.644986</v>
      </c>
      <c r="D33" s="44" t="n">
        <f aca="false">Sensitivity!$C$12</f>
        <v>0.644986159823053</v>
      </c>
      <c r="E33" s="43" t="n">
        <f aca="false">ROUND(C33-D33,6)</f>
        <v>-0</v>
      </c>
      <c r="F33" s="45" t="str">
        <f aca="false">IF(ABS(E33)&lt;=0.000005,"PASS","FAIL")</f>
        <v>PASS</v>
      </c>
      <c r="G33" s="17" t="s">
        <v>563</v>
      </c>
    </row>
    <row r="34" customFormat="false" ht="15" hidden="false" customHeight="false" outlineLevel="0" collapsed="false">
      <c r="B34" s="18" t="s">
        <v>566</v>
      </c>
      <c r="C34" s="33" t="n">
        <v>13508277.24</v>
      </c>
      <c r="D34" s="15" t="n">
        <f aca="false">Sensitivity!$C$13</f>
        <v>13508277.24</v>
      </c>
      <c r="E34" s="43" t="n">
        <f aca="false">ROUND(C34-D34,6)</f>
        <v>0</v>
      </c>
      <c r="F34" s="45" t="str">
        <f aca="false">IF(ABS(E34)&lt;=0.02,"PASS","FAIL")</f>
        <v>PASS</v>
      </c>
      <c r="G34" s="17" t="s">
        <v>563</v>
      </c>
    </row>
    <row r="35" customFormat="false" ht="15" hidden="false" customHeight="false" outlineLevel="0" collapsed="false">
      <c r="B35" s="18" t="s">
        <v>567</v>
      </c>
      <c r="C35" s="47" t="n">
        <v>169</v>
      </c>
      <c r="D35" s="26" t="n">
        <f aca="false">Sensitivity!$C$14</f>
        <v>169</v>
      </c>
      <c r="E35" s="43" t="n">
        <f aca="false">ROUND(C35-D35,6)</f>
        <v>0</v>
      </c>
      <c r="F35" s="45" t="str">
        <f aca="false">IF(ABS(E35)&lt;=0.5,"PASS","FAIL")</f>
        <v>PASS</v>
      </c>
      <c r="G35" s="17" t="s">
        <v>563</v>
      </c>
    </row>
    <row r="36" customFormat="false" ht="15" hidden="false" customHeight="false" outlineLevel="0" collapsed="false">
      <c r="B36" s="18" t="s">
        <v>568</v>
      </c>
      <c r="C36" s="32" t="n">
        <v>1.001883</v>
      </c>
      <c r="D36" s="44" t="n">
        <f aca="false">Sensitivity!$C$15</f>
        <v>1.00188310180816</v>
      </c>
      <c r="E36" s="43" t="n">
        <f aca="false">ROUND(C36-D36,6)</f>
        <v>-0</v>
      </c>
      <c r="F36" s="45" t="str">
        <f aca="false">IF(ABS(E36)&lt;=0.000005,"PASS","FAIL")</f>
        <v>PASS</v>
      </c>
      <c r="G36" s="17" t="s">
        <v>563</v>
      </c>
    </row>
    <row r="37" customFormat="false" ht="15" hidden="false" customHeight="false" outlineLevel="0" collapsed="false">
      <c r="B37" s="18" t="s">
        <v>474</v>
      </c>
      <c r="C37" s="47" t="n">
        <v>11</v>
      </c>
      <c r="D37" s="26" t="n">
        <f aca="false">Sensitivity!$C$16</f>
        <v>11</v>
      </c>
      <c r="E37" s="43" t="n">
        <f aca="false">ROUND(C37-D37,6)</f>
        <v>0</v>
      </c>
      <c r="F37" s="45" t="str">
        <f aca="false">IF(ABS(E37)&lt;=0.5,"PASS","FAIL")</f>
        <v>PASS</v>
      </c>
      <c r="G37" s="17" t="s">
        <v>563</v>
      </c>
    </row>
    <row r="38" customFormat="false" ht="15" hidden="false" customHeight="false" outlineLevel="0" collapsed="false">
      <c r="B38" s="18" t="s">
        <v>475</v>
      </c>
      <c r="C38" s="33" t="n">
        <v>-25389.65</v>
      </c>
      <c r="D38" s="15" t="n">
        <f aca="false">Sensitivity!$C$17</f>
        <v>-25389.65</v>
      </c>
      <c r="E38" s="43" t="n">
        <f aca="false">ROUND(C38-D38,6)</f>
        <v>0</v>
      </c>
      <c r="F38" s="45" t="str">
        <f aca="false">IF(ABS(E38)&lt;=0.02,"PASS","FAIL")</f>
        <v>PASS</v>
      </c>
      <c r="G38" s="17" t="s">
        <v>563</v>
      </c>
    </row>
    <row r="39" customFormat="false" ht="15" hidden="false" customHeight="false" outlineLevel="0" collapsed="false">
      <c r="B39" s="18" t="s">
        <v>476</v>
      </c>
      <c r="C39" s="33" t="n">
        <v>140863.07</v>
      </c>
      <c r="D39" s="15" t="n">
        <f aca="false">Sensitivity!$C$18</f>
        <v>140863.07</v>
      </c>
      <c r="E39" s="43" t="n">
        <f aca="false">ROUND(C39-D39,6)</f>
        <v>0</v>
      </c>
      <c r="F39" s="45" t="str">
        <f aca="false">IF(ABS(E39)&lt;=0.02,"PASS","FAIL")</f>
        <v>PASS</v>
      </c>
      <c r="G39" s="17" t="s">
        <v>563</v>
      </c>
    </row>
    <row r="40" customFormat="false" ht="15" hidden="false" customHeight="false" outlineLevel="0" collapsed="false">
      <c r="B40" s="18" t="s">
        <v>569</v>
      </c>
      <c r="C40" s="47" t="n">
        <v>12</v>
      </c>
      <c r="D40" s="26" t="n">
        <f aca="false">Sensitivity!$C$24</f>
        <v>12</v>
      </c>
      <c r="E40" s="43" t="n">
        <f aca="false">ROUND(C40-D40,6)</f>
        <v>0</v>
      </c>
      <c r="F40" s="45" t="str">
        <f aca="false">IF(ABS(E40)&lt;=0.5,"PASS","FAIL")</f>
        <v>PASS</v>
      </c>
      <c r="G40" s="17" t="s">
        <v>563</v>
      </c>
    </row>
    <row r="41" customFormat="false" ht="15" hidden="false" customHeight="false" outlineLevel="0" collapsed="false">
      <c r="B41" s="18" t="s">
        <v>570</v>
      </c>
      <c r="C41" s="33" t="n">
        <v>20567884.64</v>
      </c>
      <c r="D41" s="15" t="n">
        <f aca="false">Sensitivity!$D$24</f>
        <v>20567884.64</v>
      </c>
      <c r="E41" s="43" t="n">
        <f aca="false">ROUND(C41-D41,6)</f>
        <v>0</v>
      </c>
      <c r="F41" s="45" t="str">
        <f aca="false">IF(ABS(E41)&lt;=0.02,"PASS","FAIL")</f>
        <v>PASS</v>
      </c>
      <c r="G41" s="17" t="s">
        <v>563</v>
      </c>
    </row>
    <row r="42" customFormat="false" ht="15" hidden="false" customHeight="false" outlineLevel="0" collapsed="false">
      <c r="B42" s="18" t="s">
        <v>571</v>
      </c>
      <c r="C42" s="33" t="n">
        <v>4837250.62</v>
      </c>
      <c r="D42" s="15" t="n">
        <f aca="false">Sensitivity!$E$24</f>
        <v>4837250.62</v>
      </c>
      <c r="E42" s="43" t="n">
        <f aca="false">ROUND(C42-D42,6)</f>
        <v>0</v>
      </c>
      <c r="F42" s="45" t="str">
        <f aca="false">IF(ABS(E42)&lt;=0.02,"PASS","FAIL")</f>
        <v>PASS</v>
      </c>
      <c r="G42" s="17" t="s">
        <v>563</v>
      </c>
    </row>
    <row r="43" customFormat="false" ht="15" hidden="false" customHeight="false" outlineLevel="0" collapsed="false">
      <c r="B43" s="18" t="s">
        <v>572</v>
      </c>
      <c r="C43" s="33" t="n">
        <v>118020</v>
      </c>
      <c r="D43" s="15" t="n">
        <f aca="false">Sensitivity!$F$24</f>
        <v>118020</v>
      </c>
      <c r="E43" s="43" t="n">
        <f aca="false">ROUND(C43-D43,6)</f>
        <v>0</v>
      </c>
      <c r="F43" s="45" t="str">
        <f aca="false">IF(ABS(E43)&lt;=0.02,"PASS","FAIL")</f>
        <v>PASS</v>
      </c>
      <c r="G43" s="17" t="s">
        <v>563</v>
      </c>
    </row>
    <row r="44" customFormat="false" ht="15" hidden="false" customHeight="false" outlineLevel="0" collapsed="false">
      <c r="B44" s="18" t="s">
        <v>573</v>
      </c>
      <c r="C44" s="33" t="n">
        <v>4719230.62</v>
      </c>
      <c r="D44" s="15" t="n">
        <f aca="false">Sensitivity!$G$24</f>
        <v>4719230.62</v>
      </c>
      <c r="E44" s="43" t="n">
        <f aca="false">ROUND(C44-D44,6)</f>
        <v>0</v>
      </c>
      <c r="F44" s="45" t="str">
        <f aca="false">IF(ABS(E44)&lt;=0.02,"PASS","FAIL")</f>
        <v>PASS</v>
      </c>
      <c r="G44" s="17" t="s">
        <v>563</v>
      </c>
    </row>
    <row r="45" customFormat="false" ht="15" hidden="false" customHeight="false" outlineLevel="0" collapsed="false">
      <c r="B45" s="18" t="s">
        <v>574</v>
      </c>
      <c r="C45" s="32" t="n">
        <v>0.229447</v>
      </c>
      <c r="D45" s="44" t="n">
        <f aca="false">Sensitivity!$H$24</f>
        <v>0.229446571808466</v>
      </c>
      <c r="E45" s="43" t="n">
        <f aca="false">ROUND(C45-D45,6)</f>
        <v>0</v>
      </c>
      <c r="F45" s="45" t="str">
        <f aca="false">IF(ABS(E45)&lt;=0.000005,"PASS","FAIL")</f>
        <v>PASS</v>
      </c>
      <c r="G45" s="17" t="s">
        <v>563</v>
      </c>
    </row>
    <row r="46" customFormat="false" ht="15" hidden="false" customHeight="false" outlineLevel="0" collapsed="false">
      <c r="B46" s="18" t="s">
        <v>575</v>
      </c>
      <c r="C46" s="47" t="n">
        <v>28</v>
      </c>
      <c r="D46" s="26" t="n">
        <f aca="false">Sensitivity!$C$25</f>
        <v>28</v>
      </c>
      <c r="E46" s="43" t="n">
        <f aca="false">ROUND(C46-D46,6)</f>
        <v>0</v>
      </c>
      <c r="F46" s="45" t="str">
        <f aca="false">IF(ABS(E46)&lt;=0.5,"PASS","FAIL")</f>
        <v>PASS</v>
      </c>
      <c r="G46" s="17" t="s">
        <v>563</v>
      </c>
    </row>
    <row r="47" customFormat="false" ht="15" hidden="false" customHeight="false" outlineLevel="0" collapsed="false">
      <c r="B47" s="18" t="s">
        <v>576</v>
      </c>
      <c r="C47" s="33" t="n">
        <v>14361659.44</v>
      </c>
      <c r="D47" s="15" t="n">
        <f aca="false">Sensitivity!$D$25</f>
        <v>14361659.44</v>
      </c>
      <c r="E47" s="43" t="n">
        <f aca="false">ROUND(C47-D47,6)</f>
        <v>0</v>
      </c>
      <c r="F47" s="45" t="str">
        <f aca="false">IF(ABS(E47)&lt;=0.02,"PASS","FAIL")</f>
        <v>PASS</v>
      </c>
      <c r="G47" s="17" t="s">
        <v>563</v>
      </c>
    </row>
    <row r="48" customFormat="false" ht="15" hidden="false" customHeight="false" outlineLevel="0" collapsed="false">
      <c r="B48" s="18" t="s">
        <v>577</v>
      </c>
      <c r="C48" s="33" t="n">
        <v>3159768.8</v>
      </c>
      <c r="D48" s="15" t="n">
        <f aca="false">Sensitivity!$E$25</f>
        <v>3159768.8</v>
      </c>
      <c r="E48" s="43" t="n">
        <f aca="false">ROUND(C48-D48,6)</f>
        <v>0</v>
      </c>
      <c r="F48" s="45" t="str">
        <f aca="false">IF(ABS(E48)&lt;=0.02,"PASS","FAIL")</f>
        <v>PASS</v>
      </c>
      <c r="G48" s="17" t="s">
        <v>563</v>
      </c>
    </row>
    <row r="49" customFormat="false" ht="15" hidden="false" customHeight="false" outlineLevel="0" collapsed="false">
      <c r="B49" s="18" t="s">
        <v>578</v>
      </c>
      <c r="C49" s="33" t="n">
        <v>268420</v>
      </c>
      <c r="D49" s="15" t="n">
        <f aca="false">Sensitivity!$F$25</f>
        <v>268420</v>
      </c>
      <c r="E49" s="43" t="n">
        <f aca="false">ROUND(C49-D49,6)</f>
        <v>0</v>
      </c>
      <c r="F49" s="45" t="str">
        <f aca="false">IF(ABS(E49)&lt;=0.02,"PASS","FAIL")</f>
        <v>PASS</v>
      </c>
      <c r="G49" s="17" t="s">
        <v>563</v>
      </c>
    </row>
    <row r="50" customFormat="false" ht="15" hidden="false" customHeight="false" outlineLevel="0" collapsed="false">
      <c r="B50" s="18" t="s">
        <v>579</v>
      </c>
      <c r="C50" s="33" t="n">
        <v>2891348.8</v>
      </c>
      <c r="D50" s="15" t="n">
        <f aca="false">Sensitivity!$G$25</f>
        <v>2891348.8</v>
      </c>
      <c r="E50" s="43" t="n">
        <f aca="false">ROUND(C50-D50,6)</f>
        <v>0</v>
      </c>
      <c r="F50" s="45" t="str">
        <f aca="false">IF(ABS(E50)&lt;=0.02,"PASS","FAIL")</f>
        <v>PASS</v>
      </c>
      <c r="G50" s="17" t="s">
        <v>563</v>
      </c>
    </row>
    <row r="51" customFormat="false" ht="15" hidden="false" customHeight="false" outlineLevel="0" collapsed="false">
      <c r="B51" s="18" t="s">
        <v>580</v>
      </c>
      <c r="C51" s="32" t="n">
        <v>0.201324</v>
      </c>
      <c r="D51" s="44" t="n">
        <f aca="false">Sensitivity!$H$25</f>
        <v>0.201324144475048</v>
      </c>
      <c r="E51" s="43" t="n">
        <f aca="false">ROUND(C51-D51,6)</f>
        <v>-0</v>
      </c>
      <c r="F51" s="45" t="str">
        <f aca="false">IF(ABS(E51)&lt;=0.000005,"PASS","FAIL")</f>
        <v>PASS</v>
      </c>
      <c r="G51" s="17" t="s">
        <v>563</v>
      </c>
    </row>
    <row r="52" customFormat="false" ht="15" hidden="false" customHeight="false" outlineLevel="0" collapsed="false">
      <c r="B52" s="18" t="s">
        <v>581</v>
      </c>
      <c r="C52" s="47" t="n">
        <v>60</v>
      </c>
      <c r="D52" s="26" t="n">
        <f aca="false">Sensitivity!$C$26</f>
        <v>60</v>
      </c>
      <c r="E52" s="43" t="n">
        <f aca="false">ROUND(C52-D52,6)</f>
        <v>0</v>
      </c>
      <c r="F52" s="45" t="str">
        <f aca="false">IF(ABS(E52)&lt;=0.5,"PASS","FAIL")</f>
        <v>PASS</v>
      </c>
      <c r="G52" s="17" t="s">
        <v>563</v>
      </c>
    </row>
    <row r="53" customFormat="false" ht="15" hidden="false" customHeight="false" outlineLevel="0" collapsed="false">
      <c r="B53" s="18" t="s">
        <v>582</v>
      </c>
      <c r="C53" s="33" t="n">
        <v>14554871.87</v>
      </c>
      <c r="D53" s="15" t="n">
        <f aca="false">Sensitivity!$D$26</f>
        <v>14554871.87</v>
      </c>
      <c r="E53" s="43" t="n">
        <f aca="false">ROUND(C53-D53,6)</f>
        <v>0</v>
      </c>
      <c r="F53" s="45" t="str">
        <f aca="false">IF(ABS(E53)&lt;=0.02,"PASS","FAIL")</f>
        <v>PASS</v>
      </c>
      <c r="G53" s="17" t="s">
        <v>563</v>
      </c>
    </row>
    <row r="54" customFormat="false" ht="15" hidden="false" customHeight="false" outlineLevel="0" collapsed="false">
      <c r="B54" s="18" t="s">
        <v>583</v>
      </c>
      <c r="C54" s="33" t="n">
        <v>4737342.53</v>
      </c>
      <c r="D54" s="15" t="n">
        <f aca="false">Sensitivity!$E$26</f>
        <v>4737342.53</v>
      </c>
      <c r="E54" s="43" t="n">
        <f aca="false">ROUND(C54-D54,6)</f>
        <v>0</v>
      </c>
      <c r="F54" s="45" t="str">
        <f aca="false">IF(ABS(E54)&lt;=0.02,"PASS","FAIL")</f>
        <v>PASS</v>
      </c>
      <c r="G54" s="17" t="s">
        <v>563</v>
      </c>
    </row>
    <row r="55" customFormat="false" ht="15" hidden="false" customHeight="false" outlineLevel="0" collapsed="false">
      <c r="B55" s="18" t="s">
        <v>584</v>
      </c>
      <c r="C55" s="33" t="n">
        <v>513975</v>
      </c>
      <c r="D55" s="15" t="n">
        <f aca="false">Sensitivity!$F$26</f>
        <v>513975</v>
      </c>
      <c r="E55" s="43" t="n">
        <f aca="false">ROUND(C55-D55,6)</f>
        <v>0</v>
      </c>
      <c r="F55" s="45" t="str">
        <f aca="false">IF(ABS(E55)&lt;=0.02,"PASS","FAIL")</f>
        <v>PASS</v>
      </c>
      <c r="G55" s="17" t="s">
        <v>563</v>
      </c>
    </row>
    <row r="56" customFormat="false" ht="15" hidden="false" customHeight="false" outlineLevel="0" collapsed="false">
      <c r="B56" s="18" t="s">
        <v>585</v>
      </c>
      <c r="C56" s="33" t="n">
        <v>4223367.53</v>
      </c>
      <c r="D56" s="15" t="n">
        <f aca="false">Sensitivity!$G$26</f>
        <v>4223367.53</v>
      </c>
      <c r="E56" s="43" t="n">
        <f aca="false">ROUND(C56-D56,6)</f>
        <v>0</v>
      </c>
      <c r="F56" s="45" t="str">
        <f aca="false">IF(ABS(E56)&lt;=0.02,"PASS","FAIL")</f>
        <v>PASS</v>
      </c>
      <c r="G56" s="17" t="s">
        <v>563</v>
      </c>
    </row>
    <row r="57" customFormat="false" ht="15" hidden="false" customHeight="false" outlineLevel="0" collapsed="false">
      <c r="B57" s="18" t="s">
        <v>586</v>
      </c>
      <c r="C57" s="32" t="n">
        <v>0.290169</v>
      </c>
      <c r="D57" s="44" t="n">
        <f aca="false">Sensitivity!$H$26</f>
        <v>0.290168650588059</v>
      </c>
      <c r="E57" s="43" t="n">
        <f aca="false">ROUND(C57-D57,6)</f>
        <v>0</v>
      </c>
      <c r="F57" s="45" t="str">
        <f aca="false">IF(ABS(E57)&lt;=0.000005,"PASS","FAIL")</f>
        <v>PASS</v>
      </c>
      <c r="G57" s="17" t="s">
        <v>563</v>
      </c>
    </row>
    <row r="58" customFormat="false" ht="15" hidden="false" customHeight="false" outlineLevel="0" collapsed="false">
      <c r="B58" s="18" t="s">
        <v>587</v>
      </c>
      <c r="C58" s="47" t="n">
        <v>80</v>
      </c>
      <c r="D58" s="26" t="n">
        <f aca="false">Sensitivity!$C$27</f>
        <v>80</v>
      </c>
      <c r="E58" s="43" t="n">
        <f aca="false">ROUND(C58-D58,6)</f>
        <v>0</v>
      </c>
      <c r="F58" s="45" t="str">
        <f aca="false">IF(ABS(E58)&lt;=0.5,"PASS","FAIL")</f>
        <v>PASS</v>
      </c>
      <c r="G58" s="17" t="s">
        <v>563</v>
      </c>
    </row>
    <row r="59" customFormat="false" ht="15" hidden="false" customHeight="false" outlineLevel="0" collapsed="false">
      <c r="B59" s="18" t="s">
        <v>588</v>
      </c>
      <c r="C59" s="33" t="n">
        <v>6640017.18</v>
      </c>
      <c r="D59" s="15" t="n">
        <f aca="false">Sensitivity!$D$27</f>
        <v>6640017.18</v>
      </c>
      <c r="E59" s="43" t="n">
        <f aca="false">ROUND(C59-D59,6)</f>
        <v>0</v>
      </c>
      <c r="F59" s="45" t="str">
        <f aca="false">IF(ABS(E59)&lt;=0.02,"PASS","FAIL")</f>
        <v>PASS</v>
      </c>
      <c r="G59" s="17" t="s">
        <v>563</v>
      </c>
    </row>
    <row r="60" customFormat="false" ht="15" hidden="false" customHeight="false" outlineLevel="0" collapsed="false">
      <c r="B60" s="18" t="s">
        <v>589</v>
      </c>
      <c r="C60" s="33" t="n">
        <v>2405000.64</v>
      </c>
      <c r="D60" s="15" t="n">
        <f aca="false">Sensitivity!$E$27</f>
        <v>2405000.64</v>
      </c>
      <c r="E60" s="43" t="n">
        <f aca="false">ROUND(C60-D60,6)</f>
        <v>0</v>
      </c>
      <c r="F60" s="45" t="str">
        <f aca="false">IF(ABS(E60)&lt;=0.02,"PASS","FAIL")</f>
        <v>PASS</v>
      </c>
      <c r="G60" s="17" t="s">
        <v>563</v>
      </c>
    </row>
    <row r="61" customFormat="false" ht="15" hidden="false" customHeight="false" outlineLevel="0" collapsed="false">
      <c r="B61" s="18" t="s">
        <v>590</v>
      </c>
      <c r="C61" s="33" t="n">
        <v>756060</v>
      </c>
      <c r="D61" s="15" t="n">
        <f aca="false">Sensitivity!$F$27</f>
        <v>756060</v>
      </c>
      <c r="E61" s="43" t="n">
        <f aca="false">ROUND(C61-D61,6)</f>
        <v>0</v>
      </c>
      <c r="F61" s="45" t="str">
        <f aca="false">IF(ABS(E61)&lt;=0.02,"PASS","FAIL")</f>
        <v>PASS</v>
      </c>
      <c r="G61" s="17" t="s">
        <v>563</v>
      </c>
    </row>
    <row r="62" customFormat="false" ht="15" hidden="false" customHeight="false" outlineLevel="0" collapsed="false">
      <c r="B62" s="18" t="s">
        <v>591</v>
      </c>
      <c r="C62" s="33" t="n">
        <v>1648940.64</v>
      </c>
      <c r="D62" s="15" t="n">
        <f aca="false">Sensitivity!$G$27</f>
        <v>1648940.64</v>
      </c>
      <c r="E62" s="43" t="n">
        <f aca="false">ROUND(C62-D62,6)</f>
        <v>0</v>
      </c>
      <c r="F62" s="45" t="str">
        <f aca="false">IF(ABS(E62)&lt;=0.02,"PASS","FAIL")</f>
        <v>PASS</v>
      </c>
      <c r="G62" s="17" t="s">
        <v>563</v>
      </c>
    </row>
    <row r="63" customFormat="false" ht="15" hidden="false" customHeight="false" outlineLevel="0" collapsed="false">
      <c r="B63" s="18" t="s">
        <v>592</v>
      </c>
      <c r="C63" s="32" t="n">
        <v>0.248334</v>
      </c>
      <c r="D63" s="44" t="n">
        <f aca="false">Sensitivity!$H$27</f>
        <v>0.248333791208655</v>
      </c>
      <c r="E63" s="43" t="n">
        <f aca="false">ROUND(C63-D63,6)</f>
        <v>0</v>
      </c>
      <c r="F63" s="45" t="str">
        <f aca="false">IF(ABS(E63)&lt;=0.000005,"PASS","FAIL")</f>
        <v>PASS</v>
      </c>
      <c r="G63" s="17" t="s">
        <v>563</v>
      </c>
    </row>
    <row r="64" customFormat="false" ht="15" hidden="false" customHeight="false" outlineLevel="0" collapsed="false">
      <c r="B64" s="18" t="s">
        <v>593</v>
      </c>
      <c r="C64" s="48" t="n">
        <v>0.778791</v>
      </c>
      <c r="D64" s="49" t="n">
        <f aca="false">'Your Floors'!$K$20</f>
        <v>0.778791003638182</v>
      </c>
      <c r="E64" s="43" t="n">
        <f aca="false">ROUND(C64-D64,6)</f>
        <v>-0</v>
      </c>
      <c r="F64" s="45" t="str">
        <f aca="false">IF(ABS(E64)&lt;=0.0000005,"PASS","FAIL")</f>
        <v>PASS</v>
      </c>
      <c r="G64" s="17" t="s">
        <v>594</v>
      </c>
    </row>
    <row r="65" customFormat="false" ht="15" hidden="false" customHeight="false" outlineLevel="0" collapsed="false">
      <c r="B65" s="18" t="s">
        <v>595</v>
      </c>
      <c r="C65" s="47" t="n">
        <v>12</v>
      </c>
      <c r="D65" s="26" t="n">
        <f aca="false">'Your Floors'!$E$20</f>
        <v>12</v>
      </c>
      <c r="E65" s="43" t="n">
        <f aca="false">ROUND(C65-D65,6)</f>
        <v>0</v>
      </c>
      <c r="F65" s="45" t="str">
        <f aca="false">IF(ABS(E65)&lt;=0.5,"PASS","FAIL")</f>
        <v>PASS</v>
      </c>
      <c r="G65" s="17" t="s">
        <v>594</v>
      </c>
    </row>
    <row r="66" customFormat="false" ht="15" hidden="false" customHeight="false" outlineLevel="0" collapsed="false">
      <c r="B66" s="18" t="s">
        <v>596</v>
      </c>
      <c r="C66" s="47" t="n">
        <v>3</v>
      </c>
      <c r="D66" s="26" t="n">
        <f aca="false">'Your Floors'!$L$20</f>
        <v>3</v>
      </c>
      <c r="E66" s="43" t="n">
        <f aca="false">ROUND(C66-D66,6)</f>
        <v>0</v>
      </c>
      <c r="F66" s="45" t="str">
        <f aca="false">IF(ABS(E66)&lt;=0.5,"PASS","FAIL")</f>
        <v>PASS</v>
      </c>
      <c r="G66" s="17" t="s">
        <v>594</v>
      </c>
    </row>
    <row r="67" customFormat="false" ht="15" hidden="false" customHeight="false" outlineLevel="0" collapsed="false">
      <c r="B67" s="18" t="s">
        <v>597</v>
      </c>
      <c r="C67" s="33" t="n">
        <v>51458</v>
      </c>
      <c r="D67" s="15" t="n">
        <f aca="false">'Your Floors'!$O$20</f>
        <v>51458</v>
      </c>
      <c r="E67" s="43" t="n">
        <f aca="false">ROUND(C67-D67,6)</f>
        <v>0</v>
      </c>
      <c r="F67" s="45" t="str">
        <f aca="false">IF(ABS(E67)&lt;=0.02,"PASS","FAIL")</f>
        <v>PASS</v>
      </c>
      <c r="G67" s="17" t="s">
        <v>594</v>
      </c>
    </row>
    <row r="68" customFormat="false" ht="15" hidden="false" customHeight="false" outlineLevel="0" collapsed="false">
      <c r="B68" s="18" t="s">
        <v>598</v>
      </c>
      <c r="C68" s="48" t="n">
        <v>0.678015</v>
      </c>
      <c r="D68" s="49" t="n">
        <f aca="false">'Your Floors'!$K$21</f>
        <v>0.678015003945501</v>
      </c>
      <c r="E68" s="43" t="n">
        <f aca="false">ROUND(C68-D68,6)</f>
        <v>-0</v>
      </c>
      <c r="F68" s="45" t="str">
        <f aca="false">IF(ABS(E68)&lt;=0.0000005,"PASS","FAIL")</f>
        <v>PASS</v>
      </c>
      <c r="G68" s="17" t="s">
        <v>594</v>
      </c>
    </row>
    <row r="69" customFormat="false" ht="15" hidden="false" customHeight="false" outlineLevel="0" collapsed="false">
      <c r="B69" s="18" t="s">
        <v>599</v>
      </c>
      <c r="C69" s="47" t="n">
        <v>12</v>
      </c>
      <c r="D69" s="26" t="n">
        <f aca="false">'Your Floors'!$E$21</f>
        <v>12</v>
      </c>
      <c r="E69" s="43" t="n">
        <f aca="false">ROUND(C69-D69,6)</f>
        <v>0</v>
      </c>
      <c r="F69" s="45" t="str">
        <f aca="false">IF(ABS(E69)&lt;=0.5,"PASS","FAIL")</f>
        <v>PASS</v>
      </c>
      <c r="G69" s="17" t="s">
        <v>594</v>
      </c>
    </row>
    <row r="70" customFormat="false" ht="15" hidden="false" customHeight="false" outlineLevel="0" collapsed="false">
      <c r="B70" s="18" t="s">
        <v>600</v>
      </c>
      <c r="C70" s="47" t="n">
        <v>3</v>
      </c>
      <c r="D70" s="26" t="n">
        <f aca="false">'Your Floors'!$L$21</f>
        <v>3</v>
      </c>
      <c r="E70" s="43" t="n">
        <f aca="false">ROUND(C70-D70,6)</f>
        <v>0</v>
      </c>
      <c r="F70" s="45" t="str">
        <f aca="false">IF(ABS(E70)&lt;=0.5,"PASS","FAIL")</f>
        <v>PASS</v>
      </c>
      <c r="G70" s="17" t="s">
        <v>594</v>
      </c>
    </row>
    <row r="71" customFormat="false" ht="15" hidden="false" customHeight="false" outlineLevel="0" collapsed="false">
      <c r="B71" s="18" t="s">
        <v>601</v>
      </c>
      <c r="C71" s="33" t="n">
        <v>21775.4</v>
      </c>
      <c r="D71" s="15" t="n">
        <f aca="false">'Your Floors'!$O$21</f>
        <v>21775.4</v>
      </c>
      <c r="E71" s="43" t="n">
        <f aca="false">ROUND(C71-D71,6)</f>
        <v>0</v>
      </c>
      <c r="F71" s="45" t="str">
        <f aca="false">IF(ABS(E71)&lt;=0.02,"PASS","FAIL")</f>
        <v>PASS</v>
      </c>
      <c r="G71" s="17" t="s">
        <v>594</v>
      </c>
    </row>
    <row r="72" customFormat="false" ht="15" hidden="false" customHeight="false" outlineLevel="0" collapsed="false">
      <c r="B72" s="18" t="s">
        <v>602</v>
      </c>
      <c r="C72" s="48" t="n">
        <v>0.728403</v>
      </c>
      <c r="D72" s="49" t="n">
        <f aca="false">'Your Floors'!$K$22</f>
        <v>0.7284029857742</v>
      </c>
      <c r="E72" s="43" t="n">
        <f aca="false">ROUND(C72-D72,6)</f>
        <v>0</v>
      </c>
      <c r="F72" s="45" t="str">
        <f aca="false">IF(ABS(E72)&lt;=0.0000005,"PASS","FAIL")</f>
        <v>PASS</v>
      </c>
      <c r="G72" s="17" t="s">
        <v>594</v>
      </c>
    </row>
    <row r="73" customFormat="false" ht="15" hidden="false" customHeight="false" outlineLevel="0" collapsed="false">
      <c r="B73" s="18" t="s">
        <v>603</v>
      </c>
      <c r="C73" s="47" t="n">
        <v>12</v>
      </c>
      <c r="D73" s="26" t="n">
        <f aca="false">'Your Floors'!$E$22</f>
        <v>12</v>
      </c>
      <c r="E73" s="43" t="n">
        <f aca="false">ROUND(C73-D73,6)</f>
        <v>0</v>
      </c>
      <c r="F73" s="45" t="str">
        <f aca="false">IF(ABS(E73)&lt;=0.5,"PASS","FAIL")</f>
        <v>PASS</v>
      </c>
      <c r="G73" s="17" t="s">
        <v>594</v>
      </c>
    </row>
    <row r="74" customFormat="false" ht="15" hidden="false" customHeight="false" outlineLevel="0" collapsed="false">
      <c r="B74" s="18" t="s">
        <v>604</v>
      </c>
      <c r="C74" s="47" t="n">
        <v>3</v>
      </c>
      <c r="D74" s="26" t="n">
        <f aca="false">'Your Floors'!$L$22</f>
        <v>3</v>
      </c>
      <c r="E74" s="43" t="n">
        <f aca="false">ROUND(C74-D74,6)</f>
        <v>0</v>
      </c>
      <c r="F74" s="45" t="str">
        <f aca="false">IF(ABS(E74)&lt;=0.5,"PASS","FAIL")</f>
        <v>PASS</v>
      </c>
      <c r="G74" s="17" t="s">
        <v>594</v>
      </c>
    </row>
    <row r="75" customFormat="false" ht="15" hidden="false" customHeight="false" outlineLevel="0" collapsed="false">
      <c r="B75" s="18" t="s">
        <v>605</v>
      </c>
      <c r="C75" s="33" t="n">
        <v>32970.4</v>
      </c>
      <c r="D75" s="15" t="n">
        <f aca="false">'Your Floors'!$O$22</f>
        <v>32970.4</v>
      </c>
      <c r="E75" s="43" t="n">
        <f aca="false">ROUND(C75-D75,6)</f>
        <v>0</v>
      </c>
      <c r="F75" s="45" t="str">
        <f aca="false">IF(ABS(E75)&lt;=0.02,"PASS","FAIL")</f>
        <v>PASS</v>
      </c>
      <c r="G75" s="17" t="s">
        <v>594</v>
      </c>
    </row>
    <row r="76" customFormat="false" ht="15" hidden="false" customHeight="false" outlineLevel="0" collapsed="false">
      <c r="B76" s="18" t="s">
        <v>606</v>
      </c>
      <c r="C76" s="48" t="n">
        <v>0.781508</v>
      </c>
      <c r="D76" s="49" t="n">
        <f aca="false">'Your Floors'!$K$23</f>
        <v>0.781507876109447</v>
      </c>
      <c r="E76" s="43" t="n">
        <f aca="false">ROUND(C76-D76,6)</f>
        <v>0</v>
      </c>
      <c r="F76" s="45" t="str">
        <f aca="false">IF(ABS(E76)&lt;=0.0000005,"PASS","FAIL")</f>
        <v>PASS</v>
      </c>
      <c r="G76" s="17" t="s">
        <v>594</v>
      </c>
    </row>
    <row r="77" customFormat="false" ht="15" hidden="false" customHeight="false" outlineLevel="0" collapsed="false">
      <c r="B77" s="18" t="s">
        <v>607</v>
      </c>
      <c r="C77" s="47" t="n">
        <v>28</v>
      </c>
      <c r="D77" s="26" t="n">
        <f aca="false">'Your Floors'!$E$23</f>
        <v>28</v>
      </c>
      <c r="E77" s="43" t="n">
        <f aca="false">ROUND(C77-D77,6)</f>
        <v>0</v>
      </c>
      <c r="F77" s="45" t="str">
        <f aca="false">IF(ABS(E77)&lt;=0.5,"PASS","FAIL")</f>
        <v>PASS</v>
      </c>
      <c r="G77" s="17" t="s">
        <v>594</v>
      </c>
    </row>
    <row r="78" customFormat="false" ht="15" hidden="false" customHeight="false" outlineLevel="0" collapsed="false">
      <c r="B78" s="18" t="s">
        <v>608</v>
      </c>
      <c r="C78" s="47" t="n">
        <v>7</v>
      </c>
      <c r="D78" s="26" t="n">
        <f aca="false">'Your Floors'!$L$23</f>
        <v>7</v>
      </c>
      <c r="E78" s="43" t="n">
        <f aca="false">ROUND(C78-D78,6)</f>
        <v>0</v>
      </c>
      <c r="F78" s="45" t="str">
        <f aca="false">IF(ABS(E78)&lt;=0.5,"PASS","FAIL")</f>
        <v>PASS</v>
      </c>
      <c r="G78" s="17" t="s">
        <v>594</v>
      </c>
    </row>
    <row r="79" customFormat="false" ht="15" hidden="false" customHeight="false" outlineLevel="0" collapsed="false">
      <c r="B79" s="18" t="s">
        <v>609</v>
      </c>
      <c r="C79" s="33" t="n">
        <v>17212.67</v>
      </c>
      <c r="D79" s="15" t="n">
        <f aca="false">'Your Floors'!$O$23</f>
        <v>17212.67</v>
      </c>
      <c r="E79" s="43" t="n">
        <f aca="false">ROUND(C79-D79,6)</f>
        <v>0</v>
      </c>
      <c r="F79" s="45" t="str">
        <f aca="false">IF(ABS(E79)&lt;=0.02,"PASS","FAIL")</f>
        <v>PASS</v>
      </c>
      <c r="G79" s="17" t="s">
        <v>594</v>
      </c>
    </row>
    <row r="80" customFormat="false" ht="15" hidden="false" customHeight="false" outlineLevel="0" collapsed="false">
      <c r="B80" s="18" t="s">
        <v>610</v>
      </c>
      <c r="C80" s="48" t="n">
        <v>0.704283</v>
      </c>
      <c r="D80" s="49" t="n">
        <f aca="false">'Your Floors'!$K$24</f>
        <v>0.704282831281691</v>
      </c>
      <c r="E80" s="43" t="n">
        <f aca="false">ROUND(C80-D80,6)</f>
        <v>0</v>
      </c>
      <c r="F80" s="45" t="str">
        <f aca="false">IF(ABS(E80)&lt;=0.0000005,"PASS","FAIL")</f>
        <v>PASS</v>
      </c>
      <c r="G80" s="17" t="s">
        <v>594</v>
      </c>
    </row>
    <row r="81" customFormat="false" ht="15" hidden="false" customHeight="false" outlineLevel="0" collapsed="false">
      <c r="B81" s="18" t="s">
        <v>611</v>
      </c>
      <c r="C81" s="47" t="n">
        <v>28</v>
      </c>
      <c r="D81" s="26" t="n">
        <f aca="false">'Your Floors'!$E$24</f>
        <v>28</v>
      </c>
      <c r="E81" s="43" t="n">
        <f aca="false">ROUND(C81-D81,6)</f>
        <v>0</v>
      </c>
      <c r="F81" s="45" t="str">
        <f aca="false">IF(ABS(E81)&lt;=0.5,"PASS","FAIL")</f>
        <v>PASS</v>
      </c>
      <c r="G81" s="17" t="s">
        <v>594</v>
      </c>
    </row>
    <row r="82" customFormat="false" ht="15" hidden="false" customHeight="false" outlineLevel="0" collapsed="false">
      <c r="B82" s="18" t="s">
        <v>612</v>
      </c>
      <c r="C82" s="47" t="n">
        <v>7</v>
      </c>
      <c r="D82" s="26" t="n">
        <f aca="false">'Your Floors'!$L$24</f>
        <v>7</v>
      </c>
      <c r="E82" s="43" t="n">
        <f aca="false">ROUND(C82-D82,6)</f>
        <v>0</v>
      </c>
      <c r="F82" s="45" t="str">
        <f aca="false">IF(ABS(E82)&lt;=0.5,"PASS","FAIL")</f>
        <v>PASS</v>
      </c>
      <c r="G82" s="17" t="s">
        <v>594</v>
      </c>
    </row>
    <row r="83" customFormat="false" ht="15" hidden="false" customHeight="false" outlineLevel="0" collapsed="false">
      <c r="B83" s="18" t="s">
        <v>613</v>
      </c>
      <c r="C83" s="33" t="n">
        <v>78960.86</v>
      </c>
      <c r="D83" s="15" t="n">
        <f aca="false">'Your Floors'!$O$24</f>
        <v>78960.86</v>
      </c>
      <c r="E83" s="43" t="n">
        <f aca="false">ROUND(C83-D83,6)</f>
        <v>0</v>
      </c>
      <c r="F83" s="45" t="str">
        <f aca="false">IF(ABS(E83)&lt;=0.02,"PASS","FAIL")</f>
        <v>PASS</v>
      </c>
      <c r="G83" s="17" t="s">
        <v>594</v>
      </c>
    </row>
    <row r="84" customFormat="false" ht="15" hidden="false" customHeight="false" outlineLevel="0" collapsed="false">
      <c r="B84" s="18" t="s">
        <v>614</v>
      </c>
      <c r="C84" s="48" t="n">
        <v>0.741798</v>
      </c>
      <c r="D84" s="49" t="n">
        <f aca="false">'Your Floors'!$K$25</f>
        <v>0.741797996122263</v>
      </c>
      <c r="E84" s="43" t="n">
        <f aca="false">ROUND(C84-D84,6)</f>
        <v>0</v>
      </c>
      <c r="F84" s="45" t="str">
        <f aca="false">IF(ABS(E84)&lt;=0.0000005,"PASS","FAIL")</f>
        <v>PASS</v>
      </c>
      <c r="G84" s="17" t="s">
        <v>594</v>
      </c>
    </row>
    <row r="85" customFormat="false" ht="15" hidden="false" customHeight="false" outlineLevel="0" collapsed="false">
      <c r="B85" s="18" t="s">
        <v>615</v>
      </c>
      <c r="C85" s="47" t="n">
        <v>28</v>
      </c>
      <c r="D85" s="26" t="n">
        <f aca="false">'Your Floors'!$E$25</f>
        <v>28</v>
      </c>
      <c r="E85" s="43" t="n">
        <f aca="false">ROUND(C85-D85,6)</f>
        <v>0</v>
      </c>
      <c r="F85" s="45" t="str">
        <f aca="false">IF(ABS(E85)&lt;=0.5,"PASS","FAIL")</f>
        <v>PASS</v>
      </c>
      <c r="G85" s="17" t="s">
        <v>594</v>
      </c>
    </row>
    <row r="86" customFormat="false" ht="15" hidden="false" customHeight="false" outlineLevel="0" collapsed="false">
      <c r="B86" s="18" t="s">
        <v>616</v>
      </c>
      <c r="C86" s="47" t="n">
        <v>7</v>
      </c>
      <c r="D86" s="26" t="n">
        <f aca="false">'Your Floors'!$L$25</f>
        <v>7</v>
      </c>
      <c r="E86" s="43" t="n">
        <f aca="false">ROUND(C86-D86,6)</f>
        <v>0</v>
      </c>
      <c r="F86" s="45" t="str">
        <f aca="false">IF(ABS(E86)&lt;=0.5,"PASS","FAIL")</f>
        <v>PASS</v>
      </c>
      <c r="G86" s="17" t="s">
        <v>594</v>
      </c>
    </row>
    <row r="87" customFormat="false" ht="15" hidden="false" customHeight="false" outlineLevel="0" collapsed="false">
      <c r="B87" s="18" t="s">
        <v>617</v>
      </c>
      <c r="C87" s="33" t="n">
        <v>33228.82</v>
      </c>
      <c r="D87" s="15" t="n">
        <f aca="false">'Your Floors'!$O$25</f>
        <v>33228.82</v>
      </c>
      <c r="E87" s="43" t="n">
        <f aca="false">ROUND(C87-D87,6)</f>
        <v>0</v>
      </c>
      <c r="F87" s="45" t="str">
        <f aca="false">IF(ABS(E87)&lt;=0.02,"PASS","FAIL")</f>
        <v>PASS</v>
      </c>
      <c r="G87" s="17" t="s">
        <v>594</v>
      </c>
    </row>
    <row r="88" customFormat="false" ht="15" hidden="false" customHeight="false" outlineLevel="0" collapsed="false">
      <c r="B88" s="18" t="s">
        <v>618</v>
      </c>
      <c r="C88" s="48" t="n">
        <v>0.874623</v>
      </c>
      <c r="D88" s="49" t="n">
        <f aca="false">'Your Floors'!$K$26</f>
        <v>0.874622624783014</v>
      </c>
      <c r="E88" s="43" t="n">
        <f aca="false">ROUND(C88-D88,6)</f>
        <v>0</v>
      </c>
      <c r="F88" s="45" t="str">
        <f aca="false">IF(ABS(E88)&lt;=0.0000005,"PASS","FAIL")</f>
        <v>PASS</v>
      </c>
      <c r="G88" s="17" t="s">
        <v>594</v>
      </c>
    </row>
    <row r="89" customFormat="false" ht="15" hidden="false" customHeight="false" outlineLevel="0" collapsed="false">
      <c r="B89" s="18" t="s">
        <v>619</v>
      </c>
      <c r="C89" s="47" t="n">
        <v>50</v>
      </c>
      <c r="D89" s="26" t="n">
        <f aca="false">'Your Floors'!$E$26</f>
        <v>50</v>
      </c>
      <c r="E89" s="43" t="n">
        <f aca="false">ROUND(C89-D89,6)</f>
        <v>0</v>
      </c>
      <c r="F89" s="45" t="str">
        <f aca="false">IF(ABS(E89)&lt;=0.5,"PASS","FAIL")</f>
        <v>PASS</v>
      </c>
      <c r="G89" s="17" t="s">
        <v>594</v>
      </c>
    </row>
    <row r="90" customFormat="false" ht="15" hidden="false" customHeight="false" outlineLevel="0" collapsed="false">
      <c r="B90" s="18" t="s">
        <v>620</v>
      </c>
      <c r="C90" s="47" t="n">
        <v>13</v>
      </c>
      <c r="D90" s="26" t="n">
        <f aca="false">'Your Floors'!$L$26</f>
        <v>13</v>
      </c>
      <c r="E90" s="43" t="n">
        <f aca="false">ROUND(C90-D90,6)</f>
        <v>0</v>
      </c>
      <c r="F90" s="45" t="str">
        <f aca="false">IF(ABS(E90)&lt;=0.5,"PASS","FAIL")</f>
        <v>PASS</v>
      </c>
      <c r="G90" s="17" t="s">
        <v>594</v>
      </c>
    </row>
    <row r="91" customFormat="false" ht="15" hidden="false" customHeight="false" outlineLevel="0" collapsed="false">
      <c r="B91" s="18" t="s">
        <v>621</v>
      </c>
      <c r="C91" s="33" t="n">
        <v>25555.55</v>
      </c>
      <c r="D91" s="15" t="n">
        <f aca="false">'Your Floors'!$O$26</f>
        <v>25555.55</v>
      </c>
      <c r="E91" s="43" t="n">
        <f aca="false">ROUND(C91-D91,6)</f>
        <v>0</v>
      </c>
      <c r="F91" s="45" t="str">
        <f aca="false">IF(ABS(E91)&lt;=0.02,"PASS","FAIL")</f>
        <v>PASS</v>
      </c>
      <c r="G91" s="17" t="s">
        <v>594</v>
      </c>
    </row>
    <row r="92" customFormat="false" ht="15" hidden="false" customHeight="false" outlineLevel="0" collapsed="false">
      <c r="B92" s="18" t="s">
        <v>622</v>
      </c>
      <c r="C92" s="48" t="n">
        <v>0.834036</v>
      </c>
      <c r="D92" s="49" t="n">
        <f aca="false">'Your Floors'!$K$27</f>
        <v>0.834035886176071</v>
      </c>
      <c r="E92" s="43" t="n">
        <f aca="false">ROUND(C92-D92,6)</f>
        <v>0</v>
      </c>
      <c r="F92" s="45" t="str">
        <f aca="false">IF(ABS(E92)&lt;=0.0000005,"PASS","FAIL")</f>
        <v>PASS</v>
      </c>
      <c r="G92" s="17" t="s">
        <v>594</v>
      </c>
    </row>
    <row r="93" customFormat="false" ht="15" hidden="false" customHeight="false" outlineLevel="0" collapsed="false">
      <c r="B93" s="18" t="s">
        <v>623</v>
      </c>
      <c r="C93" s="47" t="n">
        <v>51</v>
      </c>
      <c r="D93" s="26" t="n">
        <f aca="false">'Your Floors'!$E$27</f>
        <v>51</v>
      </c>
      <c r="E93" s="43" t="n">
        <f aca="false">ROUND(C93-D93,6)</f>
        <v>0</v>
      </c>
      <c r="F93" s="45" t="str">
        <f aca="false">IF(ABS(E93)&lt;=0.5,"PASS","FAIL")</f>
        <v>PASS</v>
      </c>
      <c r="G93" s="17" t="s">
        <v>594</v>
      </c>
    </row>
    <row r="94" customFormat="false" ht="15" hidden="false" customHeight="false" outlineLevel="0" collapsed="false">
      <c r="B94" s="18" t="s">
        <v>624</v>
      </c>
      <c r="C94" s="47" t="n">
        <v>13</v>
      </c>
      <c r="D94" s="26" t="n">
        <f aca="false">'Your Floors'!$L$27</f>
        <v>13</v>
      </c>
      <c r="E94" s="43" t="n">
        <f aca="false">ROUND(C94-D94,6)</f>
        <v>0</v>
      </c>
      <c r="F94" s="45" t="str">
        <f aca="false">IF(ABS(E94)&lt;=0.5,"PASS","FAIL")</f>
        <v>PASS</v>
      </c>
      <c r="G94" s="17" t="s">
        <v>594</v>
      </c>
    </row>
    <row r="95" customFormat="false" ht="15" hidden="false" customHeight="false" outlineLevel="0" collapsed="false">
      <c r="B95" s="18" t="s">
        <v>625</v>
      </c>
      <c r="C95" s="33" t="n">
        <v>74207.98</v>
      </c>
      <c r="D95" s="15" t="n">
        <f aca="false">'Your Floors'!$O$27</f>
        <v>74207.98</v>
      </c>
      <c r="E95" s="43" t="n">
        <f aca="false">ROUND(C95-D95,6)</f>
        <v>0</v>
      </c>
      <c r="F95" s="45" t="str">
        <f aca="false">IF(ABS(E95)&lt;=0.02,"PASS","FAIL")</f>
        <v>PASS</v>
      </c>
      <c r="G95" s="17" t="s">
        <v>594</v>
      </c>
    </row>
    <row r="96" customFormat="false" ht="15" hidden="false" customHeight="false" outlineLevel="0" collapsed="false">
      <c r="B96" s="18" t="s">
        <v>626</v>
      </c>
      <c r="C96" s="48" t="n">
        <v>0.853769</v>
      </c>
      <c r="D96" s="49" t="n">
        <f aca="false">'Your Floors'!$K$28</f>
        <v>0.853768804407086</v>
      </c>
      <c r="E96" s="43" t="n">
        <f aca="false">ROUND(C96-D96,6)</f>
        <v>0</v>
      </c>
      <c r="F96" s="45" t="str">
        <f aca="false">IF(ABS(E96)&lt;=0.0000005,"PASS","FAIL")</f>
        <v>PASS</v>
      </c>
      <c r="G96" s="17" t="s">
        <v>594</v>
      </c>
    </row>
    <row r="97" customFormat="false" ht="15" hidden="false" customHeight="false" outlineLevel="0" collapsed="false">
      <c r="B97" s="18" t="s">
        <v>627</v>
      </c>
      <c r="C97" s="47" t="n">
        <v>51</v>
      </c>
      <c r="D97" s="26" t="n">
        <f aca="false">'Your Floors'!$E$28</f>
        <v>51</v>
      </c>
      <c r="E97" s="43" t="n">
        <f aca="false">ROUND(C97-D97,6)</f>
        <v>0</v>
      </c>
      <c r="F97" s="45" t="str">
        <f aca="false">IF(ABS(E97)&lt;=0.5,"PASS","FAIL")</f>
        <v>PASS</v>
      </c>
      <c r="G97" s="17" t="s">
        <v>594</v>
      </c>
    </row>
    <row r="98" customFormat="false" ht="15" hidden="false" customHeight="false" outlineLevel="0" collapsed="false">
      <c r="B98" s="18" t="s">
        <v>628</v>
      </c>
      <c r="C98" s="47" t="n">
        <v>13</v>
      </c>
      <c r="D98" s="26" t="n">
        <f aca="false">'Your Floors'!$L$28</f>
        <v>13</v>
      </c>
      <c r="E98" s="43" t="n">
        <f aca="false">ROUND(C98-D98,6)</f>
        <v>0</v>
      </c>
      <c r="F98" s="45" t="str">
        <f aca="false">IF(ABS(E98)&lt;=0.5,"PASS","FAIL")</f>
        <v>PASS</v>
      </c>
      <c r="G98" s="17" t="s">
        <v>594</v>
      </c>
    </row>
    <row r="99" customFormat="false" ht="15" hidden="false" customHeight="false" outlineLevel="0" collapsed="false">
      <c r="B99" s="18" t="s">
        <v>629</v>
      </c>
      <c r="C99" s="33" t="n">
        <v>54449.11</v>
      </c>
      <c r="D99" s="15" t="n">
        <f aca="false">'Your Floors'!$O$28</f>
        <v>54449.11</v>
      </c>
      <c r="E99" s="43" t="n">
        <f aca="false">ROUND(C99-D99,6)</f>
        <v>0</v>
      </c>
      <c r="F99" s="45" t="str">
        <f aca="false">IF(ABS(E99)&lt;=0.02,"PASS","FAIL")</f>
        <v>PASS</v>
      </c>
      <c r="G99" s="17" t="s">
        <v>594</v>
      </c>
    </row>
    <row r="100" customFormat="false" ht="15" hidden="false" customHeight="false" outlineLevel="0" collapsed="false">
      <c r="B100" s="18" t="s">
        <v>630</v>
      </c>
      <c r="C100" s="48" t="n">
        <v>0.93951</v>
      </c>
      <c r="D100" s="49" t="n">
        <f aca="false">'Your Floors'!$K$29</f>
        <v>0.939509972168612</v>
      </c>
      <c r="E100" s="43" t="n">
        <f aca="false">ROUND(C100-D100,6)</f>
        <v>0</v>
      </c>
      <c r="F100" s="45" t="str">
        <f aca="false">IF(ABS(E100)&lt;=0.0000005,"PASS","FAIL")</f>
        <v>PASS</v>
      </c>
      <c r="G100" s="17" t="s">
        <v>594</v>
      </c>
    </row>
    <row r="101" customFormat="false" ht="15" hidden="false" customHeight="false" outlineLevel="0" collapsed="false">
      <c r="B101" s="18" t="s">
        <v>631</v>
      </c>
      <c r="C101" s="47" t="n">
        <v>63</v>
      </c>
      <c r="D101" s="26" t="n">
        <f aca="false">'Your Floors'!$E$29</f>
        <v>63</v>
      </c>
      <c r="E101" s="43" t="n">
        <f aca="false">ROUND(C101-D101,6)</f>
        <v>0</v>
      </c>
      <c r="F101" s="45" t="str">
        <f aca="false">IF(ABS(E101)&lt;=0.5,"PASS","FAIL")</f>
        <v>PASS</v>
      </c>
      <c r="G101" s="17" t="s">
        <v>594</v>
      </c>
    </row>
    <row r="102" customFormat="false" ht="15" hidden="false" customHeight="false" outlineLevel="0" collapsed="false">
      <c r="B102" s="18" t="s">
        <v>632</v>
      </c>
      <c r="C102" s="47" t="n">
        <v>16</v>
      </c>
      <c r="D102" s="26" t="n">
        <f aca="false">'Your Floors'!$L$29</f>
        <v>16</v>
      </c>
      <c r="E102" s="43" t="n">
        <f aca="false">ROUND(C102-D102,6)</f>
        <v>0</v>
      </c>
      <c r="F102" s="45" t="str">
        <f aca="false">IF(ABS(E102)&lt;=0.5,"PASS","FAIL")</f>
        <v>PASS</v>
      </c>
      <c r="G102" s="17" t="s">
        <v>594</v>
      </c>
    </row>
    <row r="103" customFormat="false" ht="15" hidden="false" customHeight="false" outlineLevel="0" collapsed="false">
      <c r="B103" s="18" t="s">
        <v>633</v>
      </c>
      <c r="C103" s="33" t="n">
        <v>12477.48</v>
      </c>
      <c r="D103" s="15" t="n">
        <f aca="false">'Your Floors'!$O$29</f>
        <v>12477.48</v>
      </c>
      <c r="E103" s="43" t="n">
        <f aca="false">ROUND(C103-D103,6)</f>
        <v>0</v>
      </c>
      <c r="F103" s="45" t="str">
        <f aca="false">IF(ABS(E103)&lt;=0.02,"PASS","FAIL")</f>
        <v>PASS</v>
      </c>
      <c r="G103" s="17" t="s">
        <v>594</v>
      </c>
    </row>
    <row r="104" customFormat="false" ht="15" hidden="false" customHeight="false" outlineLevel="0" collapsed="false">
      <c r="B104" s="18" t="s">
        <v>634</v>
      </c>
      <c r="C104" s="48" t="n">
        <v>0.90585</v>
      </c>
      <c r="D104" s="49" t="n">
        <f aca="false">'Your Floors'!$K$30</f>
        <v>0.905849957217107</v>
      </c>
      <c r="E104" s="43" t="n">
        <f aca="false">ROUND(C104-D104,6)</f>
        <v>0</v>
      </c>
      <c r="F104" s="45" t="str">
        <f aca="false">IF(ABS(E104)&lt;=0.0000005,"PASS","FAIL")</f>
        <v>PASS</v>
      </c>
      <c r="G104" s="17" t="s">
        <v>594</v>
      </c>
    </row>
    <row r="105" customFormat="false" ht="15" hidden="false" customHeight="false" outlineLevel="0" collapsed="false">
      <c r="B105" s="18" t="s">
        <v>635</v>
      </c>
      <c r="C105" s="47" t="n">
        <v>58</v>
      </c>
      <c r="D105" s="26" t="n">
        <f aca="false">'Your Floors'!$E$30</f>
        <v>58</v>
      </c>
      <c r="E105" s="43" t="n">
        <f aca="false">ROUND(C105-D105,6)</f>
        <v>0</v>
      </c>
      <c r="F105" s="45" t="str">
        <f aca="false">IF(ABS(E105)&lt;=0.5,"PASS","FAIL")</f>
        <v>PASS</v>
      </c>
      <c r="G105" s="17" t="s">
        <v>594</v>
      </c>
    </row>
    <row r="106" customFormat="false" ht="15" hidden="false" customHeight="false" outlineLevel="0" collapsed="false">
      <c r="B106" s="18" t="s">
        <v>636</v>
      </c>
      <c r="C106" s="47" t="n">
        <v>15</v>
      </c>
      <c r="D106" s="26" t="n">
        <f aca="false">'Your Floors'!$L$30</f>
        <v>15</v>
      </c>
      <c r="E106" s="43" t="n">
        <f aca="false">ROUND(C106-D106,6)</f>
        <v>0</v>
      </c>
      <c r="F106" s="45" t="str">
        <f aca="false">IF(ABS(E106)&lt;=0.5,"PASS","FAIL")</f>
        <v>PASS</v>
      </c>
      <c r="G106" s="17" t="s">
        <v>594</v>
      </c>
    </row>
    <row r="107" customFormat="false" ht="15" hidden="false" customHeight="false" outlineLevel="0" collapsed="false">
      <c r="B107" s="18" t="s">
        <v>637</v>
      </c>
      <c r="C107" s="33" t="n">
        <v>41659.5</v>
      </c>
      <c r="D107" s="15" t="n">
        <f aca="false">'Your Floors'!$O$30</f>
        <v>41659.5</v>
      </c>
      <c r="E107" s="43" t="n">
        <f aca="false">ROUND(C107-D107,6)</f>
        <v>0</v>
      </c>
      <c r="F107" s="45" t="str">
        <f aca="false">IF(ABS(E107)&lt;=0.02,"PASS","FAIL")</f>
        <v>PASS</v>
      </c>
      <c r="G107" s="17" t="s">
        <v>594</v>
      </c>
    </row>
    <row r="108" customFormat="false" ht="15" hidden="false" customHeight="false" outlineLevel="0" collapsed="false">
      <c r="B108" s="18" t="s">
        <v>638</v>
      </c>
      <c r="C108" s="48" t="n">
        <v>0.92268</v>
      </c>
      <c r="D108" s="49" t="n">
        <f aca="false">'Your Floors'!$K$31</f>
        <v>0.922679993872549</v>
      </c>
      <c r="E108" s="43" t="n">
        <f aca="false">ROUND(C108-D108,6)</f>
        <v>0</v>
      </c>
      <c r="F108" s="45" t="str">
        <f aca="false">IF(ABS(E108)&lt;=0.0000005,"PASS","FAIL")</f>
        <v>PASS</v>
      </c>
      <c r="G108" s="17" t="s">
        <v>594</v>
      </c>
    </row>
    <row r="109" customFormat="false" ht="15" hidden="false" customHeight="false" outlineLevel="0" collapsed="false">
      <c r="B109" s="18" t="s">
        <v>639</v>
      </c>
      <c r="C109" s="47" t="n">
        <v>65</v>
      </c>
      <c r="D109" s="26" t="n">
        <f aca="false">'Your Floors'!$E$31</f>
        <v>65</v>
      </c>
      <c r="E109" s="43" t="n">
        <f aca="false">ROUND(C109-D109,6)</f>
        <v>0</v>
      </c>
      <c r="F109" s="45" t="str">
        <f aca="false">IF(ABS(E109)&lt;=0.5,"PASS","FAIL")</f>
        <v>PASS</v>
      </c>
      <c r="G109" s="17" t="s">
        <v>594</v>
      </c>
    </row>
    <row r="110" customFormat="false" ht="15" hidden="false" customHeight="false" outlineLevel="0" collapsed="false">
      <c r="B110" s="18" t="s">
        <v>640</v>
      </c>
      <c r="C110" s="47" t="n">
        <v>16</v>
      </c>
      <c r="D110" s="26" t="n">
        <f aca="false">'Your Floors'!$L$31</f>
        <v>16</v>
      </c>
      <c r="E110" s="43" t="n">
        <f aca="false">ROUND(C110-D110,6)</f>
        <v>0</v>
      </c>
      <c r="F110" s="45" t="str">
        <f aca="false">IF(ABS(E110)&lt;=0.5,"PASS","FAIL")</f>
        <v>PASS</v>
      </c>
      <c r="G110" s="17" t="s">
        <v>594</v>
      </c>
    </row>
    <row r="111" customFormat="false" ht="15" hidden="false" customHeight="false" outlineLevel="0" collapsed="false">
      <c r="B111" s="18" t="s">
        <v>641</v>
      </c>
      <c r="C111" s="33" t="n">
        <v>16488.85</v>
      </c>
      <c r="D111" s="15" t="n">
        <f aca="false">'Your Floors'!$O$31</f>
        <v>16488.85</v>
      </c>
      <c r="E111" s="43" t="n">
        <f aca="false">ROUND(C111-D111,6)</f>
        <v>0</v>
      </c>
      <c r="F111" s="45" t="str">
        <f aca="false">IF(ABS(E111)&lt;=0.02,"PASS","FAIL")</f>
        <v>PASS</v>
      </c>
      <c r="G111" s="17" t="s">
        <v>594</v>
      </c>
    </row>
    <row r="112" customFormat="false" ht="15" hidden="false" customHeight="false" outlineLevel="0" collapsed="false">
      <c r="B112" s="18" t="s">
        <v>642</v>
      </c>
      <c r="C112" s="47" t="n">
        <v>116</v>
      </c>
      <c r="D112" s="26" t="n">
        <f aca="false">'Your Floors'!$C$35</f>
        <v>116</v>
      </c>
      <c r="E112" s="43" t="n">
        <f aca="false">ROUND(C112-D112,6)</f>
        <v>0</v>
      </c>
      <c r="F112" s="45" t="str">
        <f aca="false">IF(ABS(E112)&lt;=0.5,"PASS","FAIL")</f>
        <v>PASS</v>
      </c>
      <c r="G112" s="17" t="s">
        <v>594</v>
      </c>
    </row>
    <row r="113" customFormat="false" ht="15" hidden="false" customHeight="false" outlineLevel="0" collapsed="false">
      <c r="B113" s="18" t="s">
        <v>404</v>
      </c>
      <c r="C113" s="47" t="n">
        <v>243463</v>
      </c>
      <c r="D113" s="26" t="n">
        <f aca="false">'Your Floors'!$C$36</f>
        <v>243463</v>
      </c>
      <c r="E113" s="43" t="n">
        <f aca="false">ROUND(C113-D113,6)</f>
        <v>0</v>
      </c>
      <c r="F113" s="45" t="str">
        <f aca="false">IF(ABS(E113)&lt;=0.5,"PASS","FAIL")</f>
        <v>PASS</v>
      </c>
      <c r="G113" s="17" t="s">
        <v>594</v>
      </c>
    </row>
    <row r="114" customFormat="false" ht="15" hidden="false" customHeight="false" outlineLevel="0" collapsed="false">
      <c r="B114" s="18" t="s">
        <v>405</v>
      </c>
      <c r="C114" s="33" t="n">
        <v>16937421.12</v>
      </c>
      <c r="D114" s="15" t="n">
        <f aca="false">'Your Floors'!$C$37</f>
        <v>16937421.12</v>
      </c>
      <c r="E114" s="43" t="n">
        <f aca="false">ROUND(C114-D114,6)</f>
        <v>0</v>
      </c>
      <c r="F114" s="45" t="str">
        <f aca="false">IF(ABS(E114)&lt;=0.02,"PASS","FAIL")</f>
        <v>PASS</v>
      </c>
      <c r="G114" s="17" t="s">
        <v>594</v>
      </c>
    </row>
    <row r="115" customFormat="false" ht="15" hidden="false" customHeight="false" outlineLevel="0" collapsed="false">
      <c r="B115" s="18" t="s">
        <v>643</v>
      </c>
      <c r="C115" s="33" t="n">
        <v>460444.62</v>
      </c>
      <c r="D115" s="15" t="n">
        <f aca="false">'Your Floors'!$C$38</f>
        <v>460444.62</v>
      </c>
      <c r="E115" s="43" t="n">
        <f aca="false">ROUND(C115-D115,6)</f>
        <v>0</v>
      </c>
      <c r="F115" s="45" t="str">
        <f aca="false">IF(ABS(E115)&lt;=0.02,"PASS","FAIL")</f>
        <v>PASS</v>
      </c>
      <c r="G115" s="17" t="s">
        <v>594</v>
      </c>
    </row>
    <row r="116" customFormat="false" ht="15" hidden="false" customHeight="false" outlineLevel="0" collapsed="false">
      <c r="B116" s="18" t="s">
        <v>644</v>
      </c>
      <c r="C116" s="32" t="n">
        <v>0.080226</v>
      </c>
      <c r="D116" s="44" t="n">
        <f aca="false">'Your Floors'!$C$39</f>
        <v>0.0802257415836137</v>
      </c>
      <c r="E116" s="43" t="n">
        <f aca="false">ROUND(C116-D116,6)</f>
        <v>0</v>
      </c>
      <c r="F116" s="45" t="str">
        <f aca="false">IF(ABS(E116)&lt;=0.000005,"PASS","FAIL")</f>
        <v>PASS</v>
      </c>
      <c r="G116" s="17" t="s">
        <v>594</v>
      </c>
    </row>
    <row r="117" customFormat="false" ht="15" hidden="false" customHeight="false" outlineLevel="0" collapsed="false">
      <c r="B117" s="18" t="s">
        <v>408</v>
      </c>
      <c r="C117" s="33" t="n">
        <v>4496404.44</v>
      </c>
      <c r="D117" s="15" t="n">
        <f aca="false">'Your Floors'!$C$40</f>
        <v>4496404.44</v>
      </c>
      <c r="E117" s="43" t="n">
        <f aca="false">ROUND(C117-D117,6)</f>
        <v>0</v>
      </c>
      <c r="F117" s="45" t="str">
        <f aca="false">IF(ABS(E117)&lt;=0.02,"PASS","FAIL")</f>
        <v>PASS</v>
      </c>
      <c r="G117" s="17" t="s">
        <v>594</v>
      </c>
    </row>
    <row r="118" customFormat="false" ht="15" hidden="false" customHeight="false" outlineLevel="0" collapsed="false">
      <c r="B118" s="18" t="s">
        <v>645</v>
      </c>
      <c r="C118" s="32" t="n">
        <v>0.102403</v>
      </c>
      <c r="D118" s="44" t="n">
        <f aca="false">'Your Floors'!$C$41</f>
        <v>0.102402847907516</v>
      </c>
      <c r="E118" s="43" t="n">
        <f aca="false">ROUND(C118-D118,6)</f>
        <v>0</v>
      </c>
      <c r="F118" s="45" t="str">
        <f aca="false">IF(ABS(E118)&lt;=0.000005,"PASS","FAIL")</f>
        <v>PASS</v>
      </c>
      <c r="G118" s="17" t="s">
        <v>594</v>
      </c>
    </row>
    <row r="119" customFormat="false" ht="15" hidden="false" customHeight="false" outlineLevel="0" collapsed="false">
      <c r="B119" s="18" t="s">
        <v>646</v>
      </c>
      <c r="C119" s="33" t="n">
        <v>470558.6</v>
      </c>
      <c r="D119" s="15" t="n">
        <f aca="false">'Your Floors'!$C$42</f>
        <v>470558.6</v>
      </c>
      <c r="E119" s="43" t="n">
        <f aca="false">ROUND(C119-D119,6)</f>
        <v>0</v>
      </c>
      <c r="F119" s="45" t="str">
        <f aca="false">IF(ABS(E119)&lt;=0.05,"PASS","FAIL")</f>
        <v>PASS</v>
      </c>
      <c r="G119" s="17" t="s">
        <v>594</v>
      </c>
    </row>
    <row r="120" customFormat="false" ht="15" hidden="false" customHeight="false" outlineLevel="0" collapsed="false">
      <c r="B120" s="18" t="s">
        <v>647</v>
      </c>
      <c r="C120" s="33" t="n">
        <v>106203.8</v>
      </c>
      <c r="D120" s="15" t="n">
        <f aca="false">'Your Floors'!$C$57</f>
        <v>106203.8</v>
      </c>
      <c r="E120" s="43" t="n">
        <f aca="false">ROUND(C120-D120,6)</f>
        <v>0</v>
      </c>
      <c r="F120" s="45" t="str">
        <f aca="false">IF(ABS(E120)&lt;=0.05,"PASS","FAIL")</f>
        <v>PASS</v>
      </c>
      <c r="G120" s="17" t="s">
        <v>594</v>
      </c>
    </row>
    <row r="121" customFormat="false" ht="15" hidden="false" customHeight="false" outlineLevel="0" collapsed="false">
      <c r="B121" s="18" t="s">
        <v>648</v>
      </c>
      <c r="C121" s="33" t="n">
        <v>354240.82</v>
      </c>
      <c r="D121" s="15" t="n">
        <f aca="false">'Your Floors'!$C$58</f>
        <v>354240.82</v>
      </c>
      <c r="E121" s="43" t="n">
        <f aca="false">ROUND(C121-D121,6)</f>
        <v>0</v>
      </c>
      <c r="F121" s="45" t="str">
        <f aca="false">IF(ABS(E121)&lt;=0.05,"PASS","FAIL")</f>
        <v>PASS</v>
      </c>
      <c r="G121" s="17" t="s">
        <v>594</v>
      </c>
    </row>
    <row r="122" customFormat="false" ht="15" hidden="false" customHeight="false" outlineLevel="0" collapsed="false">
      <c r="B122" s="18" t="s">
        <v>649</v>
      </c>
      <c r="C122" s="33" t="n">
        <v>361992.55</v>
      </c>
      <c r="D122" s="15" t="n">
        <f aca="false">'Your Floors'!$C$69</f>
        <v>361992.55</v>
      </c>
      <c r="E122" s="43" t="n">
        <f aca="false">ROUND(C122-D122,6)</f>
        <v>0</v>
      </c>
      <c r="F122" s="45" t="str">
        <f aca="false">IF(ABS(E122)&lt;=0.05,"PASS","FAIL")</f>
        <v>PASS</v>
      </c>
      <c r="G122" s="17" t="s">
        <v>594</v>
      </c>
    </row>
    <row r="123" customFormat="false" ht="15" hidden="false" customHeight="false" outlineLevel="0" collapsed="false">
      <c r="B123" s="18" t="s">
        <v>650</v>
      </c>
      <c r="C123" s="47" t="n">
        <v>107</v>
      </c>
      <c r="D123" s="26" t="n">
        <f aca="false">'Your Floors'!$C$65</f>
        <v>107</v>
      </c>
      <c r="E123" s="43" t="n">
        <f aca="false">ROUND(C123-D123,6)</f>
        <v>0</v>
      </c>
      <c r="F123" s="45" t="str">
        <f aca="false">IF(ABS(E123)&lt;=0.5,"PASS","FAIL")</f>
        <v>PASS</v>
      </c>
      <c r="G123" s="17" t="s">
        <v>594</v>
      </c>
    </row>
    <row r="124" customFormat="false" ht="15" hidden="false" customHeight="false" outlineLevel="0" collapsed="false">
      <c r="B124" s="18" t="s">
        <v>651</v>
      </c>
      <c r="C124" s="32" t="n">
        <v>0.117777</v>
      </c>
      <c r="D124" s="44" t="n">
        <f aca="false">'Your Floors'!$C$68</f>
        <v>0.117776566043186</v>
      </c>
      <c r="E124" s="43" t="n">
        <f aca="false">ROUND(C124-D124,6)</f>
        <v>0</v>
      </c>
      <c r="F124" s="45" t="str">
        <f aca="false">IF(ABS(E124)&lt;=0.000005,"PASS","FAIL")</f>
        <v>PASS</v>
      </c>
      <c r="G124" s="17" t="s">
        <v>594</v>
      </c>
    </row>
    <row r="125" customFormat="false" ht="15" hidden="false" customHeight="false" outlineLevel="0" collapsed="false">
      <c r="B125" s="18" t="s">
        <v>652</v>
      </c>
      <c r="C125" s="32" t="n">
        <v>0.034643</v>
      </c>
      <c r="D125" s="44" t="n">
        <f aca="false">'Your Floors'!$C$70</f>
        <v>0.0346433959749609</v>
      </c>
      <c r="E125" s="43" t="n">
        <f aca="false">ROUND(C125-D125,6)</f>
        <v>-0</v>
      </c>
      <c r="F125" s="45" t="str">
        <f aca="false">IF(ABS(E125)&lt;=0.000005,"PASS","FAIL")</f>
        <v>PASS</v>
      </c>
      <c r="G125" s="17" t="s">
        <v>594</v>
      </c>
    </row>
    <row r="126" customFormat="false" ht="15" hidden="false" customHeight="false" outlineLevel="0" collapsed="false">
      <c r="B126" s="18" t="s">
        <v>653</v>
      </c>
      <c r="C126" s="46" t="n">
        <v>-3.399683</v>
      </c>
      <c r="D126" s="43" t="n">
        <f aca="false">'Your Floors'!$C$72</f>
        <v>-3.39968304863389</v>
      </c>
      <c r="E126" s="43" t="n">
        <f aca="false">ROUND(C126-D126,6)</f>
        <v>0</v>
      </c>
      <c r="F126" s="45" t="str">
        <f aca="false">IF(ABS(E126)&lt;=0.000005,"PASS","FAIL")</f>
        <v>PASS</v>
      </c>
      <c r="G126" s="17" t="s">
        <v>594</v>
      </c>
    </row>
    <row r="127" customFormat="false" ht="15" hidden="false" customHeight="false" outlineLevel="0" collapsed="false">
      <c r="B127" s="18" t="s">
        <v>654</v>
      </c>
      <c r="C127" s="46" t="n">
        <v>-3.474077</v>
      </c>
      <c r="D127" s="43" t="n">
        <f aca="false">'Your Floors'!$C$73</f>
        <v>-3.4740771432461</v>
      </c>
      <c r="E127" s="43" t="n">
        <f aca="false">ROUND(C127-D127,6)</f>
        <v>0</v>
      </c>
      <c r="F127" s="45" t="str">
        <f aca="false">IF(ABS(E127)&lt;=0.000005,"PASS","FAIL")</f>
        <v>PASS</v>
      </c>
      <c r="G127" s="17" t="s">
        <v>594</v>
      </c>
    </row>
    <row r="128" customFormat="false" ht="15" hidden="false" customHeight="false" outlineLevel="0" collapsed="false">
      <c r="B128" s="18" t="s">
        <v>655</v>
      </c>
      <c r="C128" s="46" t="n">
        <v>-3.685917</v>
      </c>
      <c r="D128" s="43" t="n">
        <f aca="false">'Your Floors'!$C$74</f>
        <v>-3.68591745830787</v>
      </c>
      <c r="E128" s="43" t="n">
        <f aca="false">ROUND(C128-D128,6)</f>
        <v>0</v>
      </c>
      <c r="F128" s="45" t="str">
        <f aca="false">IF(ABS(E128)&lt;=0.000005,"PASS","FAIL")</f>
        <v>PASS</v>
      </c>
      <c r="G128" s="17" t="s">
        <v>594</v>
      </c>
    </row>
    <row r="129" customFormat="false" ht="15" hidden="false" customHeight="false" outlineLevel="0" collapsed="false">
      <c r="B129" s="18" t="s">
        <v>444</v>
      </c>
      <c r="C129" s="47" t="n">
        <v>51</v>
      </c>
      <c r="D129" s="26" t="n">
        <f aca="false">'Your Floors'!$C$82</f>
        <v>51</v>
      </c>
      <c r="E129" s="43" t="n">
        <f aca="false">ROUND(C129-D129,6)</f>
        <v>0</v>
      </c>
      <c r="F129" s="45" t="str">
        <f aca="false">IF(ABS(E129)&lt;=0.5,"PASS","FAIL")</f>
        <v>PASS</v>
      </c>
      <c r="G129" s="17" t="s">
        <v>594</v>
      </c>
    </row>
    <row r="130" customFormat="false" ht="15" hidden="false" customHeight="false" outlineLevel="0" collapsed="false">
      <c r="B130" s="18" t="s">
        <v>656</v>
      </c>
      <c r="C130" s="47" t="n">
        <v>48</v>
      </c>
      <c r="D130" s="26" t="n">
        <f aca="false">'Your Floors'!$C$83</f>
        <v>48</v>
      </c>
      <c r="E130" s="43" t="n">
        <f aca="false">ROUND(C130-D130,6)</f>
        <v>0</v>
      </c>
      <c r="F130" s="45" t="str">
        <f aca="false">IF(ABS(E130)&lt;=0.5,"PASS","FAIL")</f>
        <v>PASS</v>
      </c>
      <c r="G130" s="17" t="s">
        <v>594</v>
      </c>
    </row>
    <row r="131" customFormat="false" ht="15" hidden="false" customHeight="false" outlineLevel="0" collapsed="false">
      <c r="B131" s="18" t="s">
        <v>657</v>
      </c>
      <c r="C131" s="33" t="n">
        <v>3047390.11</v>
      </c>
      <c r="D131" s="15" t="n">
        <f aca="false">'Your Floors'!$C$84</f>
        <v>3047390.11</v>
      </c>
      <c r="E131" s="43" t="n">
        <f aca="false">ROUND(C131-D131,6)</f>
        <v>0</v>
      </c>
      <c r="F131" s="45" t="str">
        <f aca="false">IF(ABS(E131)&lt;=0.05,"PASS","FAIL")</f>
        <v>PASS</v>
      </c>
      <c r="G131" s="17" t="s">
        <v>594</v>
      </c>
    </row>
    <row r="132" customFormat="false" ht="15" hidden="false" customHeight="false" outlineLevel="0" collapsed="false">
      <c r="B132" s="18" t="s">
        <v>447</v>
      </c>
      <c r="C132" s="50" t="s">
        <v>195</v>
      </c>
      <c r="D132" s="18" t="str">
        <f aca="false">'Your Floors'!$C$85</f>
        <v>DIR-079</v>
      </c>
      <c r="E132" s="18"/>
      <c r="F132" s="45" t="str">
        <f aca="false">IF(EXACT(C132,D132),"PASS","FAIL")</f>
        <v>PASS</v>
      </c>
      <c r="G132" s="17" t="s">
        <v>594</v>
      </c>
    </row>
    <row r="133" customFormat="false" ht="15" hidden="false" customHeight="false" outlineLevel="0" collapsed="false">
      <c r="B133" s="18" t="s">
        <v>448</v>
      </c>
      <c r="C133" s="33" t="n">
        <v>338894.96</v>
      </c>
      <c r="D133" s="15" t="n">
        <f aca="false">'Your Floors'!$C$86</f>
        <v>338894.96</v>
      </c>
      <c r="E133" s="43" t="n">
        <f aca="false">ROUND(C133-D133,6)</f>
        <v>0</v>
      </c>
      <c r="F133" s="45" t="str">
        <f aca="false">IF(ABS(E133)&lt;=0.02,"PASS","FAIL")</f>
        <v>PASS</v>
      </c>
      <c r="G133" s="17" t="s">
        <v>594</v>
      </c>
    </row>
    <row r="134" customFormat="false" ht="15" hidden="false" customHeight="false" outlineLevel="0" collapsed="false">
      <c r="B134" s="18" t="s">
        <v>658</v>
      </c>
      <c r="C134" s="46" t="n">
        <v>0.95668</v>
      </c>
      <c r="D134" s="43" t="n">
        <f aca="false">'Your Floors'!$C$87</f>
        <v>0.956679583115238</v>
      </c>
      <c r="E134" s="43" t="n">
        <f aca="false">ROUND(C134-D134,6)</f>
        <v>0</v>
      </c>
      <c r="F134" s="45" t="str">
        <f aca="false">IF(ABS(E134)&lt;=0.000005,"PASS","FAIL")</f>
        <v>PASS</v>
      </c>
      <c r="G134" s="17" t="s">
        <v>594</v>
      </c>
    </row>
    <row r="135" customFormat="false" ht="15" hidden="false" customHeight="false" outlineLevel="0" collapsed="false">
      <c r="B135" s="18" t="s">
        <v>450</v>
      </c>
      <c r="C135" s="33" t="n">
        <v>595064.91</v>
      </c>
      <c r="D135" s="15" t="n">
        <f aca="false">'Your Floors'!$C$88</f>
        <v>595064.91</v>
      </c>
      <c r="E135" s="43" t="n">
        <f aca="false">ROUND(C135-D135,6)</f>
        <v>0</v>
      </c>
      <c r="F135" s="45" t="str">
        <f aca="false">IF(ABS(E135)&lt;=0.05,"PASS","FAIL")</f>
        <v>PASS</v>
      </c>
      <c r="G135" s="17" t="s">
        <v>594</v>
      </c>
    </row>
    <row r="136" customFormat="false" ht="15" hidden="false" customHeight="false" outlineLevel="0" collapsed="false">
      <c r="B136" s="18" t="s">
        <v>659</v>
      </c>
      <c r="C136" s="50" t="s">
        <v>660</v>
      </c>
      <c r="D136" s="18" t="str">
        <f aca="false">'Your Floors'!$C$90</f>
        <v>YES: THE RISK IS CONCENTRATED</v>
      </c>
      <c r="E136" s="18"/>
      <c r="F136" s="45" t="str">
        <f aca="false">IF(EXACT(C136,D136),"PASS","FAIL")</f>
        <v>PASS</v>
      </c>
      <c r="G136" s="17" t="s">
        <v>594</v>
      </c>
    </row>
    <row r="137" customFormat="false" ht="15" hidden="false" customHeight="false" outlineLevel="0" collapsed="false">
      <c r="B137" s="18" t="s">
        <v>451</v>
      </c>
      <c r="C137" s="32" t="n">
        <v>1.679832</v>
      </c>
      <c r="D137" s="44" t="n">
        <f aca="false">'Your Floors'!$C$89</f>
        <v>1.67983156204302</v>
      </c>
      <c r="E137" s="43" t="n">
        <f aca="false">ROUND(C137-D137,6)</f>
        <v>0</v>
      </c>
      <c r="F137" s="45" t="str">
        <f aca="false">IF(ABS(E137)&lt;=0.000005,"PASS","FAIL")</f>
        <v>PASS</v>
      </c>
      <c r="G137" s="17" t="s">
        <v>594</v>
      </c>
    </row>
    <row r="138" customFormat="false" ht="15" hidden="false" customHeight="false" outlineLevel="0" collapsed="false">
      <c r="B138" s="18" t="s">
        <v>661</v>
      </c>
      <c r="C138" s="47" t="n">
        <v>50</v>
      </c>
      <c r="D138" s="26" t="n">
        <f aca="false">Sensitivity!$C$85</f>
        <v>50</v>
      </c>
      <c r="E138" s="43" t="n">
        <f aca="false">ROUND(C138-D138,6)</f>
        <v>0</v>
      </c>
      <c r="F138" s="45" t="str">
        <f aca="false">IF(ABS(E138)&lt;=0.5,"PASS","FAIL")</f>
        <v>PASS</v>
      </c>
      <c r="G138" s="17" t="s">
        <v>662</v>
      </c>
    </row>
    <row r="139" customFormat="false" ht="15" hidden="false" customHeight="false" outlineLevel="0" collapsed="false">
      <c r="B139" s="18" t="s">
        <v>663</v>
      </c>
      <c r="C139" s="33" t="n">
        <v>134285.1</v>
      </c>
      <c r="D139" s="15" t="n">
        <f aca="false">Sensitivity!$D$85</f>
        <v>134285.1</v>
      </c>
      <c r="E139" s="43" t="n">
        <f aca="false">ROUND(C139-D139,6)</f>
        <v>0</v>
      </c>
      <c r="F139" s="45" t="str">
        <f aca="false">IF(ABS(E139)&lt;=0.02,"PASS","FAIL")</f>
        <v>PASS</v>
      </c>
      <c r="G139" s="17" t="s">
        <v>662</v>
      </c>
    </row>
    <row r="140" customFormat="false" ht="15" hidden="false" customHeight="false" outlineLevel="0" collapsed="false">
      <c r="B140" s="18" t="s">
        <v>664</v>
      </c>
      <c r="C140" s="32" t="n">
        <v>0.023397</v>
      </c>
      <c r="D140" s="44" t="n">
        <f aca="false">Sensitivity!$E$85</f>
        <v>0.0233972149161602</v>
      </c>
      <c r="E140" s="43" t="n">
        <f aca="false">ROUND(C140-D140,6)</f>
        <v>-0</v>
      </c>
      <c r="F140" s="45" t="str">
        <f aca="false">IF(ABS(E140)&lt;=0.000005,"PASS","FAIL")</f>
        <v>PASS</v>
      </c>
      <c r="G140" s="17" t="s">
        <v>662</v>
      </c>
    </row>
    <row r="141" customFormat="false" ht="15" hidden="false" customHeight="false" outlineLevel="0" collapsed="false">
      <c r="B141" s="18" t="s">
        <v>665</v>
      </c>
      <c r="C141" s="32" t="n">
        <v>0.074403</v>
      </c>
      <c r="D141" s="44" t="n">
        <f aca="false">Sensitivity!$F$85</f>
        <v>0.0744025944575652</v>
      </c>
      <c r="E141" s="43" t="n">
        <f aca="false">ROUND(C141-D141,6)</f>
        <v>0</v>
      </c>
      <c r="F141" s="45" t="str">
        <f aca="false">IF(ABS(E141)&lt;=0.000005,"PASS","FAIL")</f>
        <v>PASS</v>
      </c>
      <c r="G141" s="17" t="s">
        <v>662</v>
      </c>
    </row>
    <row r="142" customFormat="false" ht="15" hidden="false" customHeight="false" outlineLevel="0" collapsed="false">
      <c r="B142" s="18" t="s">
        <v>666</v>
      </c>
      <c r="C142" s="47" t="n">
        <v>116</v>
      </c>
      <c r="D142" s="26" t="n">
        <f aca="false">Sensitivity!$C$86</f>
        <v>116</v>
      </c>
      <c r="E142" s="43" t="n">
        <f aca="false">ROUND(C142-D142,6)</f>
        <v>0</v>
      </c>
      <c r="F142" s="45" t="str">
        <f aca="false">IF(ABS(E142)&lt;=0.5,"PASS","FAIL")</f>
        <v>PASS</v>
      </c>
      <c r="G142" s="17" t="s">
        <v>662</v>
      </c>
    </row>
    <row r="143" customFormat="false" ht="15" hidden="false" customHeight="false" outlineLevel="0" collapsed="false">
      <c r="B143" s="18" t="s">
        <v>667</v>
      </c>
      <c r="C143" s="33" t="n">
        <v>460444.62</v>
      </c>
      <c r="D143" s="15" t="n">
        <f aca="false">Sensitivity!$D$86</f>
        <v>460444.62</v>
      </c>
      <c r="E143" s="43" t="n">
        <f aca="false">ROUND(C143-D143,6)</f>
        <v>0</v>
      </c>
      <c r="F143" s="45" t="str">
        <f aca="false">IF(ABS(E143)&lt;=0.02,"PASS","FAIL")</f>
        <v>PASS</v>
      </c>
      <c r="G143" s="17" t="s">
        <v>662</v>
      </c>
    </row>
    <row r="144" customFormat="false" ht="15" hidden="false" customHeight="false" outlineLevel="0" collapsed="false">
      <c r="B144" s="18" t="s">
        <v>668</v>
      </c>
      <c r="C144" s="32" t="n">
        <v>0.080226</v>
      </c>
      <c r="D144" s="44" t="n">
        <f aca="false">Sensitivity!$E$86</f>
        <v>0.0802257415836137</v>
      </c>
      <c r="E144" s="43" t="n">
        <f aca="false">ROUND(C144-D144,6)</f>
        <v>0</v>
      </c>
      <c r="F144" s="45" t="str">
        <f aca="false">IF(ABS(E144)&lt;=0.000005,"PASS","FAIL")</f>
        <v>PASS</v>
      </c>
      <c r="G144" s="17" t="s">
        <v>662</v>
      </c>
    </row>
    <row r="145" customFormat="false" ht="15" hidden="false" customHeight="false" outlineLevel="0" collapsed="false">
      <c r="B145" s="18" t="s">
        <v>669</v>
      </c>
      <c r="C145" s="32" t="n">
        <v>0.102403</v>
      </c>
      <c r="D145" s="44" t="n">
        <f aca="false">Sensitivity!$F$86</f>
        <v>0.102402847907516</v>
      </c>
      <c r="E145" s="43" t="n">
        <f aca="false">ROUND(C145-D145,6)</f>
        <v>0</v>
      </c>
      <c r="F145" s="45" t="str">
        <f aca="false">IF(ABS(E145)&lt;=0.000005,"PASS","FAIL")</f>
        <v>PASS</v>
      </c>
      <c r="G145" s="17" t="s">
        <v>662</v>
      </c>
    </row>
    <row r="146" customFormat="false" ht="15" hidden="false" customHeight="false" outlineLevel="0" collapsed="false">
      <c r="B146" s="18" t="s">
        <v>670</v>
      </c>
      <c r="C146" s="47" t="n">
        <v>182</v>
      </c>
      <c r="D146" s="26" t="n">
        <f aca="false">Sensitivity!$C$87</f>
        <v>182</v>
      </c>
      <c r="E146" s="43" t="n">
        <f aca="false">ROUND(C146-D146,6)</f>
        <v>0</v>
      </c>
      <c r="F146" s="45" t="str">
        <f aca="false">IF(ABS(E146)&lt;=0.5,"PASS","FAIL")</f>
        <v>PASS</v>
      </c>
      <c r="G146" s="17" t="s">
        <v>662</v>
      </c>
    </row>
    <row r="147" customFormat="false" ht="15" hidden="false" customHeight="false" outlineLevel="0" collapsed="false">
      <c r="B147" s="18" t="s">
        <v>671</v>
      </c>
      <c r="C147" s="33" t="n">
        <v>948271.94</v>
      </c>
      <c r="D147" s="15" t="n">
        <f aca="false">Sensitivity!$D$87</f>
        <v>948271.94</v>
      </c>
      <c r="E147" s="43" t="n">
        <f aca="false">ROUND(C147-D147,6)</f>
        <v>0</v>
      </c>
      <c r="F147" s="45" t="str">
        <f aca="false">IF(ABS(E147)&lt;=0.02,"PASS","FAIL")</f>
        <v>PASS</v>
      </c>
      <c r="G147" s="17" t="s">
        <v>662</v>
      </c>
    </row>
    <row r="148" customFormat="false" ht="15" hidden="false" customHeight="false" outlineLevel="0" collapsed="false">
      <c r="B148" s="18" t="s">
        <v>672</v>
      </c>
      <c r="C148" s="32" t="n">
        <v>0.165223</v>
      </c>
      <c r="D148" s="44" t="n">
        <f aca="false">Sensitivity!$E$87</f>
        <v>0.165222518203019</v>
      </c>
      <c r="E148" s="43" t="n">
        <f aca="false">ROUND(C148-D148,6)</f>
        <v>0</v>
      </c>
      <c r="F148" s="45" t="str">
        <f aca="false">IF(ABS(E148)&lt;=0.000005,"PASS","FAIL")</f>
        <v>PASS</v>
      </c>
      <c r="G148" s="17" t="s">
        <v>662</v>
      </c>
    </row>
    <row r="149" customFormat="false" ht="15" hidden="false" customHeight="false" outlineLevel="0" collapsed="false">
      <c r="B149" s="18" t="s">
        <v>673</v>
      </c>
      <c r="C149" s="32" t="n">
        <v>0.130626</v>
      </c>
      <c r="D149" s="44" t="n">
        <f aca="false">Sensitivity!$F$87</f>
        <v>0.130625601265925</v>
      </c>
      <c r="E149" s="43" t="n">
        <f aca="false">ROUND(C149-D149,6)</f>
        <v>0</v>
      </c>
      <c r="F149" s="45" t="str">
        <f aca="false">IF(ABS(E149)&lt;=0.000005,"PASS","FAIL")</f>
        <v>PASS</v>
      </c>
      <c r="G149" s="17" t="s">
        <v>662</v>
      </c>
    </row>
    <row r="150" customFormat="false" ht="15" hidden="false" customHeight="false" outlineLevel="0" collapsed="false">
      <c r="B150" s="18" t="s">
        <v>674</v>
      </c>
      <c r="C150" s="47" t="n">
        <v>227</v>
      </c>
      <c r="D150" s="26" t="n">
        <f aca="false">Sensitivity!$C$88</f>
        <v>227</v>
      </c>
      <c r="E150" s="43" t="n">
        <f aca="false">ROUND(C150-D150,6)</f>
        <v>0</v>
      </c>
      <c r="F150" s="45" t="str">
        <f aca="false">IF(ABS(E150)&lt;=0.5,"PASS","FAIL")</f>
        <v>PASS</v>
      </c>
      <c r="G150" s="17" t="s">
        <v>662</v>
      </c>
    </row>
    <row r="151" customFormat="false" ht="15" hidden="false" customHeight="false" outlineLevel="0" collapsed="false">
      <c r="B151" s="18" t="s">
        <v>675</v>
      </c>
      <c r="C151" s="33" t="n">
        <v>1288275.82</v>
      </c>
      <c r="D151" s="15" t="n">
        <f aca="false">Sensitivity!$D$88</f>
        <v>1288275.82</v>
      </c>
      <c r="E151" s="43" t="n">
        <f aca="false">ROUND(C151-D151,6)</f>
        <v>0</v>
      </c>
      <c r="F151" s="45" t="str">
        <f aca="false">IF(ABS(E151)&lt;=0.02,"PASS","FAIL")</f>
        <v>PASS</v>
      </c>
      <c r="G151" s="17" t="s">
        <v>662</v>
      </c>
    </row>
    <row r="152" customFormat="false" ht="15" hidden="false" customHeight="false" outlineLevel="0" collapsed="false">
      <c r="B152" s="18" t="s">
        <v>676</v>
      </c>
      <c r="C152" s="32" t="n">
        <v>0.224463</v>
      </c>
      <c r="D152" s="44" t="n">
        <f aca="false">Sensitivity!$E$88</f>
        <v>0.22446322214328</v>
      </c>
      <c r="E152" s="43" t="n">
        <f aca="false">ROUND(C152-D152,6)</f>
        <v>-0</v>
      </c>
      <c r="F152" s="45" t="str">
        <f aca="false">IF(ABS(E152)&lt;=0.000005,"PASS","FAIL")</f>
        <v>PASS</v>
      </c>
      <c r="G152" s="17" t="s">
        <v>662</v>
      </c>
    </row>
    <row r="153" customFormat="false" ht="15" hidden="false" customHeight="false" outlineLevel="0" collapsed="false">
      <c r="B153" s="18" t="s">
        <v>677</v>
      </c>
      <c r="C153" s="32" t="n">
        <v>0.1406</v>
      </c>
      <c r="D153" s="44" t="n">
        <f aca="false">Sensitivity!$F$88</f>
        <v>0.140599903672579</v>
      </c>
      <c r="E153" s="43" t="n">
        <f aca="false">ROUND(C153-D153,6)</f>
        <v>0</v>
      </c>
      <c r="F153" s="45" t="str">
        <f aca="false">IF(ABS(E153)&lt;=0.000005,"PASS","FAIL")</f>
        <v>PASS</v>
      </c>
      <c r="G153" s="17" t="s">
        <v>662</v>
      </c>
    </row>
    <row r="154" customFormat="false" ht="15" hidden="false" customHeight="false" outlineLevel="0" collapsed="false">
      <c r="B154" s="18" t="s">
        <v>678</v>
      </c>
      <c r="C154" s="33" t="n">
        <v>72.5</v>
      </c>
      <c r="D154" s="15" t="n">
        <f aca="false">Sensitivity!$C$35</f>
        <v>72.5</v>
      </c>
      <c r="E154" s="43" t="n">
        <f aca="false">ROUND(C154-D154,6)</f>
        <v>0</v>
      </c>
      <c r="F154" s="45" t="str">
        <f aca="false">IF(ABS(E154)&lt;=0.005,"PASS","FAIL")</f>
        <v>PASS</v>
      </c>
      <c r="G154" s="17" t="s">
        <v>557</v>
      </c>
    </row>
    <row r="155" customFormat="false" ht="15" hidden="false" customHeight="false" outlineLevel="0" collapsed="false">
      <c r="B155" s="18" t="s">
        <v>679</v>
      </c>
      <c r="C155" s="33" t="n">
        <v>3250</v>
      </c>
      <c r="D155" s="15" t="n">
        <f aca="false">Sensitivity!$D$35</f>
        <v>3250</v>
      </c>
      <c r="E155" s="43" t="n">
        <f aca="false">ROUND(C155-D155,6)</f>
        <v>0</v>
      </c>
      <c r="F155" s="45" t="str">
        <f aca="false">IF(ABS(E155)&lt;=0.005,"PASS","FAIL")</f>
        <v>PASS</v>
      </c>
      <c r="G155" s="17" t="s">
        <v>557</v>
      </c>
    </row>
    <row r="156" customFormat="false" ht="15" hidden="false" customHeight="false" outlineLevel="0" collapsed="false">
      <c r="B156" s="18" t="s">
        <v>680</v>
      </c>
      <c r="C156" s="33" t="n">
        <v>828237.5</v>
      </c>
      <c r="D156" s="15" t="n">
        <f aca="false">Sensitivity!$E$35</f>
        <v>828237.5</v>
      </c>
      <c r="E156" s="43" t="n">
        <f aca="false">ROUND(C156-D156,6)</f>
        <v>0</v>
      </c>
      <c r="F156" s="45" t="str">
        <f aca="false">IF(ABS(E156)&lt;=0.02,"PASS","FAIL")</f>
        <v>PASS</v>
      </c>
      <c r="G156" s="17" t="s">
        <v>557</v>
      </c>
    </row>
    <row r="157" customFormat="false" ht="15" hidden="false" customHeight="false" outlineLevel="0" collapsed="false">
      <c r="B157" s="18" t="s">
        <v>681</v>
      </c>
      <c r="C157" s="47" t="n">
        <v>4</v>
      </c>
      <c r="D157" s="26" t="n">
        <f aca="false">Sensitivity!$F$35</f>
        <v>4</v>
      </c>
      <c r="E157" s="43" t="n">
        <f aca="false">ROUND(C157-D157,6)</f>
        <v>0</v>
      </c>
      <c r="F157" s="45" t="str">
        <f aca="false">IF(ABS(E157)&lt;=0.5,"PASS","FAIL")</f>
        <v>PASS</v>
      </c>
      <c r="G157" s="17" t="s">
        <v>557</v>
      </c>
    </row>
    <row r="158" customFormat="false" ht="15" hidden="false" customHeight="false" outlineLevel="0" collapsed="false">
      <c r="B158" s="18" t="s">
        <v>682</v>
      </c>
      <c r="C158" s="33" t="n">
        <v>-2632.26</v>
      </c>
      <c r="D158" s="15" t="n">
        <f aca="false">Sensitivity!$G$35</f>
        <v>-2632.26</v>
      </c>
      <c r="E158" s="43" t="n">
        <f aca="false">ROUND(C158-D158,6)</f>
        <v>0</v>
      </c>
      <c r="F158" s="45" t="str">
        <f aca="false">IF(ABS(E158)&lt;=0.02,"PASS","FAIL")</f>
        <v>PASS</v>
      </c>
      <c r="G158" s="17" t="s">
        <v>557</v>
      </c>
    </row>
    <row r="159" customFormat="false" ht="15" hidden="false" customHeight="false" outlineLevel="0" collapsed="false">
      <c r="B159" s="18" t="s">
        <v>683</v>
      </c>
      <c r="C159" s="32" t="n">
        <v>1.000184</v>
      </c>
      <c r="D159" s="44" t="n">
        <f aca="false">Sensitivity!$I$35</f>
        <v>1.00018393103152</v>
      </c>
      <c r="E159" s="43" t="n">
        <f aca="false">ROUND(C159-D159,6)</f>
        <v>0</v>
      </c>
      <c r="F159" s="45" t="str">
        <f aca="false">IF(ABS(E159)&lt;=0.000005,"PASS","FAIL")</f>
        <v>PASS</v>
      </c>
      <c r="G159" s="17" t="s">
        <v>557</v>
      </c>
    </row>
    <row r="160" customFormat="false" ht="15" hidden="false" customHeight="false" outlineLevel="0" collapsed="false">
      <c r="B160" s="18" t="s">
        <v>684</v>
      </c>
      <c r="C160" s="32" t="n">
        <v>0.305266</v>
      </c>
      <c r="D160" s="44" t="n">
        <f aca="false">Sensitivity!$K$35</f>
        <v>0.30526587282113</v>
      </c>
      <c r="E160" s="43" t="n">
        <f aca="false">ROUND(C160-D160,6)</f>
        <v>0</v>
      </c>
      <c r="F160" s="45" t="str">
        <f aca="false">IF(ABS(E160)&lt;=0.000005,"PASS","FAIL")</f>
        <v>PASS</v>
      </c>
      <c r="G160" s="17" t="s">
        <v>557</v>
      </c>
    </row>
    <row r="161" customFormat="false" ht="15" hidden="false" customHeight="false" outlineLevel="0" collapsed="false">
      <c r="B161" s="18" t="s">
        <v>685</v>
      </c>
      <c r="C161" s="32" t="n">
        <v>0.232316</v>
      </c>
      <c r="D161" s="44" t="n">
        <f aca="false">Sensitivity!$L$35</f>
        <v>0.232315607736703</v>
      </c>
      <c r="E161" s="43" t="n">
        <f aca="false">ROUND(C161-D161,6)</f>
        <v>0</v>
      </c>
      <c r="F161" s="45" t="str">
        <f aca="false">IF(ABS(E161)&lt;=0.000005,"PASS","FAIL")</f>
        <v>PASS</v>
      </c>
      <c r="G161" s="17" t="s">
        <v>557</v>
      </c>
    </row>
    <row r="162" customFormat="false" ht="15" hidden="false" customHeight="false" outlineLevel="0" collapsed="false">
      <c r="B162" s="18" t="s">
        <v>686</v>
      </c>
      <c r="C162" s="32" t="n">
        <v>0.210669</v>
      </c>
      <c r="D162" s="44" t="n">
        <f aca="false">Sensitivity!$M$35</f>
        <v>0.210669164844087</v>
      </c>
      <c r="E162" s="43" t="n">
        <f aca="false">ROUND(C162-D162,6)</f>
        <v>-0</v>
      </c>
      <c r="F162" s="45" t="str">
        <f aca="false">IF(ABS(E162)&lt;=0.000005,"PASS","FAIL")</f>
        <v>PASS</v>
      </c>
      <c r="G162" s="17" t="s">
        <v>557</v>
      </c>
    </row>
    <row r="163" customFormat="false" ht="15" hidden="false" customHeight="false" outlineLevel="0" collapsed="false">
      <c r="B163" s="18" t="s">
        <v>687</v>
      </c>
      <c r="C163" s="32" t="n">
        <v>0.307825</v>
      </c>
      <c r="D163" s="44" t="n">
        <f aca="false">Sensitivity!$N$35</f>
        <v>0.307825109696414</v>
      </c>
      <c r="E163" s="43" t="n">
        <f aca="false">ROUND(C163-D163,6)</f>
        <v>-0</v>
      </c>
      <c r="F163" s="45" t="str">
        <f aca="false">IF(ABS(E163)&lt;=0.000005,"PASS","FAIL")</f>
        <v>PASS</v>
      </c>
      <c r="G163" s="17" t="s">
        <v>557</v>
      </c>
    </row>
    <row r="164" customFormat="false" ht="15" hidden="false" customHeight="false" outlineLevel="0" collapsed="false">
      <c r="B164" s="18" t="s">
        <v>688</v>
      </c>
      <c r="C164" s="50" t="s">
        <v>420</v>
      </c>
      <c r="D164" s="18" t="str">
        <f aca="false">Sensitivity!$O$35</f>
        <v>yes</v>
      </c>
      <c r="E164" s="18"/>
      <c r="F164" s="45" t="str">
        <f aca="false">IF(EXACT(C164,D164),"PASS","FAIL")</f>
        <v>PASS</v>
      </c>
      <c r="G164" s="17" t="s">
        <v>557</v>
      </c>
    </row>
    <row r="165" customFormat="false" ht="15" hidden="false" customHeight="false" outlineLevel="0" collapsed="false">
      <c r="B165" s="18" t="s">
        <v>689</v>
      </c>
      <c r="C165" s="33" t="n">
        <v>145</v>
      </c>
      <c r="D165" s="15" t="n">
        <f aca="false">Sensitivity!$C$36</f>
        <v>145</v>
      </c>
      <c r="E165" s="43" t="n">
        <f aca="false">ROUND(C165-D165,6)</f>
        <v>0</v>
      </c>
      <c r="F165" s="45" t="str">
        <f aca="false">IF(ABS(E165)&lt;=0.005,"PASS","FAIL")</f>
        <v>PASS</v>
      </c>
      <c r="G165" s="17" t="s">
        <v>557</v>
      </c>
    </row>
    <row r="166" customFormat="false" ht="15" hidden="false" customHeight="false" outlineLevel="0" collapsed="false">
      <c r="B166" s="18" t="s">
        <v>690</v>
      </c>
      <c r="C166" s="33" t="n">
        <v>6500</v>
      </c>
      <c r="D166" s="15" t="n">
        <f aca="false">Sensitivity!$D$36</f>
        <v>6500</v>
      </c>
      <c r="E166" s="43" t="n">
        <f aca="false">ROUND(C166-D166,6)</f>
        <v>0</v>
      </c>
      <c r="F166" s="45" t="str">
        <f aca="false">IF(ABS(E166)&lt;=0.005,"PASS","FAIL")</f>
        <v>PASS</v>
      </c>
      <c r="G166" s="17" t="s">
        <v>557</v>
      </c>
    </row>
    <row r="167" customFormat="false" ht="15" hidden="false" customHeight="false" outlineLevel="0" collapsed="false">
      <c r="B167" s="18" t="s">
        <v>691</v>
      </c>
      <c r="C167" s="33" t="n">
        <v>1656475</v>
      </c>
      <c r="D167" s="15" t="n">
        <f aca="false">Sensitivity!$E$36</f>
        <v>1656475</v>
      </c>
      <c r="E167" s="43" t="n">
        <f aca="false">ROUND(C167-D167,6)</f>
        <v>0</v>
      </c>
      <c r="F167" s="45" t="str">
        <f aca="false">IF(ABS(E167)&lt;=0.02,"PASS","FAIL")</f>
        <v>PASS</v>
      </c>
      <c r="G167" s="17" t="s">
        <v>557</v>
      </c>
    </row>
    <row r="168" customFormat="false" ht="15" hidden="false" customHeight="false" outlineLevel="0" collapsed="false">
      <c r="B168" s="18" t="s">
        <v>692</v>
      </c>
      <c r="C168" s="47" t="n">
        <v>11</v>
      </c>
      <c r="D168" s="26" t="n">
        <f aca="false">Sensitivity!$F$36</f>
        <v>11</v>
      </c>
      <c r="E168" s="43" t="n">
        <f aca="false">ROUND(C168-D168,6)</f>
        <v>0</v>
      </c>
      <c r="F168" s="45" t="str">
        <f aca="false">IF(ABS(E168)&lt;=0.5,"PASS","FAIL")</f>
        <v>PASS</v>
      </c>
      <c r="G168" s="17" t="s">
        <v>557</v>
      </c>
    </row>
    <row r="169" customFormat="false" ht="15" hidden="false" customHeight="false" outlineLevel="0" collapsed="false">
      <c r="B169" s="18" t="s">
        <v>693</v>
      </c>
      <c r="C169" s="33" t="n">
        <v>-25389.65</v>
      </c>
      <c r="D169" s="15" t="n">
        <f aca="false">Sensitivity!$G$36</f>
        <v>-25389.65</v>
      </c>
      <c r="E169" s="43" t="n">
        <f aca="false">ROUND(C169-D169,6)</f>
        <v>0</v>
      </c>
      <c r="F169" s="45" t="str">
        <f aca="false">IF(ABS(E169)&lt;=0.02,"PASS","FAIL")</f>
        <v>PASS</v>
      </c>
      <c r="G169" s="17" t="s">
        <v>557</v>
      </c>
    </row>
    <row r="170" customFormat="false" ht="15" hidden="false" customHeight="false" outlineLevel="0" collapsed="false">
      <c r="B170" s="18" t="s">
        <v>694</v>
      </c>
      <c r="C170" s="32" t="n">
        <v>1.001883</v>
      </c>
      <c r="D170" s="44" t="n">
        <f aca="false">Sensitivity!$I$36</f>
        <v>1.00188310180816</v>
      </c>
      <c r="E170" s="43" t="n">
        <f aca="false">ROUND(C170-D170,6)</f>
        <v>-0</v>
      </c>
      <c r="F170" s="45" t="str">
        <f aca="false">IF(ABS(E170)&lt;=0.000005,"PASS","FAIL")</f>
        <v>PASS</v>
      </c>
      <c r="G170" s="17" t="s">
        <v>557</v>
      </c>
    </row>
    <row r="171" customFormat="false" ht="15" hidden="false" customHeight="false" outlineLevel="0" collapsed="false">
      <c r="B171" s="18" t="s">
        <v>695</v>
      </c>
      <c r="C171" s="32" t="n">
        <v>0.248334</v>
      </c>
      <c r="D171" s="44" t="n">
        <f aca="false">Sensitivity!$K$36</f>
        <v>0.248333791208655</v>
      </c>
      <c r="E171" s="43" t="n">
        <f aca="false">ROUND(C171-D171,6)</f>
        <v>0</v>
      </c>
      <c r="F171" s="45" t="str">
        <f aca="false">IF(ABS(E171)&lt;=0.000005,"PASS","FAIL")</f>
        <v>PASS</v>
      </c>
      <c r="G171" s="17" t="s">
        <v>557</v>
      </c>
    </row>
    <row r="172" customFormat="false" ht="15" hidden="false" customHeight="false" outlineLevel="0" collapsed="false">
      <c r="B172" s="18" t="s">
        <v>696</v>
      </c>
      <c r="C172" s="32" t="n">
        <v>0.229447</v>
      </c>
      <c r="D172" s="44" t="n">
        <f aca="false">Sensitivity!$L$36</f>
        <v>0.229446571808466</v>
      </c>
      <c r="E172" s="43" t="n">
        <f aca="false">ROUND(C172-D172,6)</f>
        <v>0</v>
      </c>
      <c r="F172" s="45" t="str">
        <f aca="false">IF(ABS(E172)&lt;=0.000005,"PASS","FAIL")</f>
        <v>PASS</v>
      </c>
      <c r="G172" s="17" t="s">
        <v>557</v>
      </c>
    </row>
    <row r="173" customFormat="false" ht="15" hidden="false" customHeight="false" outlineLevel="0" collapsed="false">
      <c r="B173" s="18" t="s">
        <v>697</v>
      </c>
      <c r="C173" s="32" t="n">
        <v>0.201324</v>
      </c>
      <c r="D173" s="44" t="n">
        <f aca="false">Sensitivity!$M$36</f>
        <v>0.201324144475048</v>
      </c>
      <c r="E173" s="43" t="n">
        <f aca="false">ROUND(C173-D173,6)</f>
        <v>-0</v>
      </c>
      <c r="F173" s="45" t="str">
        <f aca="false">IF(ABS(E173)&lt;=0.000005,"PASS","FAIL")</f>
        <v>PASS</v>
      </c>
      <c r="G173" s="17" t="s">
        <v>557</v>
      </c>
    </row>
    <row r="174" customFormat="false" ht="15" hidden="false" customHeight="false" outlineLevel="0" collapsed="false">
      <c r="B174" s="18" t="s">
        <v>698</v>
      </c>
      <c r="C174" s="32" t="n">
        <v>0.290169</v>
      </c>
      <c r="D174" s="44" t="n">
        <f aca="false">Sensitivity!$N$36</f>
        <v>0.290168650588059</v>
      </c>
      <c r="E174" s="43" t="n">
        <f aca="false">ROUND(C174-D174,6)</f>
        <v>0</v>
      </c>
      <c r="F174" s="45" t="str">
        <f aca="false">IF(ABS(E174)&lt;=0.000005,"PASS","FAIL")</f>
        <v>PASS</v>
      </c>
      <c r="G174" s="17" t="s">
        <v>557</v>
      </c>
    </row>
    <row r="175" customFormat="false" ht="15" hidden="false" customHeight="false" outlineLevel="0" collapsed="false">
      <c r="B175" s="18" t="s">
        <v>699</v>
      </c>
      <c r="C175" s="50" t="s">
        <v>420</v>
      </c>
      <c r="D175" s="18" t="str">
        <f aca="false">Sensitivity!$O$36</f>
        <v>yes</v>
      </c>
      <c r="E175" s="18"/>
      <c r="F175" s="45" t="str">
        <f aca="false">IF(EXACT(C175,D175),"PASS","FAIL")</f>
        <v>PASS</v>
      </c>
      <c r="G175" s="17" t="s">
        <v>557</v>
      </c>
    </row>
    <row r="176" customFormat="false" ht="15" hidden="false" customHeight="false" outlineLevel="0" collapsed="false">
      <c r="B176" s="18" t="s">
        <v>700</v>
      </c>
      <c r="C176" s="33" t="n">
        <v>181.25</v>
      </c>
      <c r="D176" s="15" t="n">
        <f aca="false">Sensitivity!$C$37</f>
        <v>181.25</v>
      </c>
      <c r="E176" s="43" t="n">
        <f aca="false">ROUND(C176-D176,6)</f>
        <v>0</v>
      </c>
      <c r="F176" s="45" t="str">
        <f aca="false">IF(ABS(E176)&lt;=0.005,"PASS","FAIL")</f>
        <v>PASS</v>
      </c>
      <c r="G176" s="17" t="s">
        <v>557</v>
      </c>
    </row>
    <row r="177" customFormat="false" ht="15" hidden="false" customHeight="false" outlineLevel="0" collapsed="false">
      <c r="B177" s="18" t="s">
        <v>701</v>
      </c>
      <c r="C177" s="33" t="n">
        <v>8125</v>
      </c>
      <c r="D177" s="15" t="n">
        <f aca="false">Sensitivity!$D$37</f>
        <v>8125</v>
      </c>
      <c r="E177" s="43" t="n">
        <f aca="false">ROUND(C177-D177,6)</f>
        <v>0</v>
      </c>
      <c r="F177" s="45" t="str">
        <f aca="false">IF(ABS(E177)&lt;=0.005,"PASS","FAIL")</f>
        <v>PASS</v>
      </c>
      <c r="G177" s="17" t="s">
        <v>557</v>
      </c>
    </row>
    <row r="178" customFormat="false" ht="15" hidden="false" customHeight="false" outlineLevel="0" collapsed="false">
      <c r="B178" s="18" t="s">
        <v>702</v>
      </c>
      <c r="C178" s="33" t="n">
        <v>2070593.75</v>
      </c>
      <c r="D178" s="15" t="n">
        <f aca="false">Sensitivity!$E$37</f>
        <v>2070593.75</v>
      </c>
      <c r="E178" s="43" t="n">
        <f aca="false">ROUND(C178-D178,6)</f>
        <v>0</v>
      </c>
      <c r="F178" s="45" t="str">
        <f aca="false">IF(ABS(E178)&lt;=0.02,"PASS","FAIL")</f>
        <v>PASS</v>
      </c>
      <c r="G178" s="17" t="s">
        <v>557</v>
      </c>
    </row>
    <row r="179" customFormat="false" ht="15" hidden="false" customHeight="false" outlineLevel="0" collapsed="false">
      <c r="B179" s="18" t="s">
        <v>703</v>
      </c>
      <c r="C179" s="47" t="n">
        <v>14</v>
      </c>
      <c r="D179" s="26" t="n">
        <f aca="false">Sensitivity!$F$37</f>
        <v>14</v>
      </c>
      <c r="E179" s="43" t="n">
        <f aca="false">ROUND(C179-D179,6)</f>
        <v>0</v>
      </c>
      <c r="F179" s="45" t="str">
        <f aca="false">IF(ABS(E179)&lt;=0.5,"PASS","FAIL")</f>
        <v>PASS</v>
      </c>
      <c r="G179" s="17" t="s">
        <v>557</v>
      </c>
    </row>
    <row r="180" customFormat="false" ht="15" hidden="false" customHeight="false" outlineLevel="0" collapsed="false">
      <c r="B180" s="18" t="s">
        <v>704</v>
      </c>
      <c r="C180" s="33" t="n">
        <v>-47099.39</v>
      </c>
      <c r="D180" s="15" t="n">
        <f aca="false">Sensitivity!$G$37</f>
        <v>-47099.39</v>
      </c>
      <c r="E180" s="43" t="n">
        <f aca="false">ROUND(C180-D180,6)</f>
        <v>0</v>
      </c>
      <c r="F180" s="45" t="str">
        <f aca="false">IF(ABS(E180)&lt;=0.02,"PASS","FAIL")</f>
        <v>PASS</v>
      </c>
      <c r="G180" s="17" t="s">
        <v>557</v>
      </c>
    </row>
    <row r="181" customFormat="false" ht="15" hidden="false" customHeight="false" outlineLevel="0" collapsed="false">
      <c r="B181" s="18" t="s">
        <v>705</v>
      </c>
      <c r="C181" s="32" t="n">
        <v>1.003604</v>
      </c>
      <c r="D181" s="44" t="n">
        <f aca="false">Sensitivity!$I$37</f>
        <v>1.00360396534491</v>
      </c>
      <c r="E181" s="43" t="n">
        <f aca="false">ROUND(C181-D181,6)</f>
        <v>0</v>
      </c>
      <c r="F181" s="45" t="str">
        <f aca="false">IF(ABS(E181)&lt;=0.000005,"PASS","FAIL")</f>
        <v>PASS</v>
      </c>
      <c r="G181" s="17" t="s">
        <v>557</v>
      </c>
    </row>
    <row r="182" customFormat="false" ht="15" hidden="false" customHeight="false" outlineLevel="0" collapsed="false">
      <c r="B182" s="18" t="s">
        <v>706</v>
      </c>
      <c r="C182" s="32" t="n">
        <v>0.219868</v>
      </c>
      <c r="D182" s="44" t="n">
        <f aca="false">Sensitivity!$K$37</f>
        <v>0.219867750402417</v>
      </c>
      <c r="E182" s="43" t="n">
        <f aca="false">ROUND(C182-D182,6)</f>
        <v>0</v>
      </c>
      <c r="F182" s="45" t="str">
        <f aca="false">IF(ABS(E182)&lt;=0.000005,"PASS","FAIL")</f>
        <v>PASS</v>
      </c>
      <c r="G182" s="17" t="s">
        <v>557</v>
      </c>
    </row>
    <row r="183" customFormat="false" ht="15" hidden="false" customHeight="false" outlineLevel="0" collapsed="false">
      <c r="B183" s="18" t="s">
        <v>707</v>
      </c>
      <c r="C183" s="32" t="n">
        <v>0.228012</v>
      </c>
      <c r="D183" s="44" t="n">
        <f aca="false">Sensitivity!$L$37</f>
        <v>0.228012053844347</v>
      </c>
      <c r="E183" s="43" t="n">
        <f aca="false">ROUND(C183-D183,6)</f>
        <v>-0</v>
      </c>
      <c r="F183" s="45" t="str">
        <f aca="false">IF(ABS(E183)&lt;=0.000005,"PASS","FAIL")</f>
        <v>PASS</v>
      </c>
      <c r="G183" s="17" t="s">
        <v>557</v>
      </c>
    </row>
    <row r="184" customFormat="false" ht="15" hidden="false" customHeight="false" outlineLevel="0" collapsed="false">
      <c r="B184" s="18" t="s">
        <v>708</v>
      </c>
      <c r="C184" s="32" t="n">
        <v>0.196652</v>
      </c>
      <c r="D184" s="44" t="n">
        <f aca="false">Sensitivity!$M$37</f>
        <v>0.196651634290529</v>
      </c>
      <c r="E184" s="43" t="n">
        <f aca="false">ROUND(C184-D184,6)</f>
        <v>0</v>
      </c>
      <c r="F184" s="45" t="str">
        <f aca="false">IF(ABS(E184)&lt;=0.000005,"PASS","FAIL")</f>
        <v>PASS</v>
      </c>
      <c r="G184" s="17" t="s">
        <v>557</v>
      </c>
    </row>
    <row r="185" customFormat="false" ht="15" hidden="false" customHeight="false" outlineLevel="0" collapsed="false">
      <c r="B185" s="18" t="s">
        <v>709</v>
      </c>
      <c r="C185" s="32" t="n">
        <v>0.28134</v>
      </c>
      <c r="D185" s="44" t="n">
        <f aca="false">Sensitivity!$N$37</f>
        <v>0.281340421033882</v>
      </c>
      <c r="E185" s="43" t="n">
        <f aca="false">ROUND(C185-D185,6)</f>
        <v>-0</v>
      </c>
      <c r="F185" s="45" t="str">
        <f aca="false">IF(ABS(E185)&lt;=0.000005,"PASS","FAIL")</f>
        <v>PASS</v>
      </c>
      <c r="G185" s="17" t="s">
        <v>557</v>
      </c>
    </row>
    <row r="186" customFormat="false" ht="15" hidden="false" customHeight="false" outlineLevel="0" collapsed="false">
      <c r="B186" s="18" t="s">
        <v>710</v>
      </c>
      <c r="C186" s="50" t="s">
        <v>421</v>
      </c>
      <c r="D186" s="18" t="str">
        <f aca="false">Sensitivity!$O$37</f>
        <v>no</v>
      </c>
      <c r="E186" s="18"/>
      <c r="F186" s="45" t="str">
        <f aca="false">IF(EXACT(C186,D186),"PASS","FAIL")</f>
        <v>PASS</v>
      </c>
      <c r="G186" s="17" t="s">
        <v>557</v>
      </c>
    </row>
    <row r="187" customFormat="false" ht="15" hidden="false" customHeight="false" outlineLevel="0" collapsed="false">
      <c r="B187" s="18" t="s">
        <v>711</v>
      </c>
      <c r="C187" s="33" t="n">
        <v>217.5</v>
      </c>
      <c r="D187" s="15" t="n">
        <f aca="false">Sensitivity!$C$38</f>
        <v>217.5</v>
      </c>
      <c r="E187" s="43" t="n">
        <f aca="false">ROUND(C187-D187,6)</f>
        <v>0</v>
      </c>
      <c r="F187" s="45" t="str">
        <f aca="false">IF(ABS(E187)&lt;=0.005,"PASS","FAIL")</f>
        <v>PASS</v>
      </c>
      <c r="G187" s="17" t="s">
        <v>557</v>
      </c>
    </row>
    <row r="188" customFormat="false" ht="15" hidden="false" customHeight="false" outlineLevel="0" collapsed="false">
      <c r="B188" s="18" t="s">
        <v>712</v>
      </c>
      <c r="C188" s="33" t="n">
        <v>9750</v>
      </c>
      <c r="D188" s="15" t="n">
        <f aca="false">Sensitivity!$D$38</f>
        <v>9750</v>
      </c>
      <c r="E188" s="43" t="n">
        <f aca="false">ROUND(C188-D188,6)</f>
        <v>0</v>
      </c>
      <c r="F188" s="45" t="str">
        <f aca="false">IF(ABS(E188)&lt;=0.005,"PASS","FAIL")</f>
        <v>PASS</v>
      </c>
      <c r="G188" s="17" t="s">
        <v>557</v>
      </c>
    </row>
    <row r="189" customFormat="false" ht="15" hidden="false" customHeight="false" outlineLevel="0" collapsed="false">
      <c r="B189" s="18" t="s">
        <v>713</v>
      </c>
      <c r="C189" s="33" t="n">
        <v>2484712.5</v>
      </c>
      <c r="D189" s="15" t="n">
        <f aca="false">Sensitivity!$E$38</f>
        <v>2484712.5</v>
      </c>
      <c r="E189" s="43" t="n">
        <f aca="false">ROUND(C189-D189,6)</f>
        <v>0</v>
      </c>
      <c r="F189" s="45" t="str">
        <f aca="false">IF(ABS(E189)&lt;=0.02,"PASS","FAIL")</f>
        <v>PASS</v>
      </c>
      <c r="G189" s="17" t="s">
        <v>557</v>
      </c>
    </row>
    <row r="190" customFormat="false" ht="15" hidden="false" customHeight="false" outlineLevel="0" collapsed="false">
      <c r="B190" s="18" t="s">
        <v>714</v>
      </c>
      <c r="C190" s="47" t="n">
        <v>16</v>
      </c>
      <c r="D190" s="26" t="n">
        <f aca="false">Sensitivity!$F$38</f>
        <v>16</v>
      </c>
      <c r="E190" s="43" t="n">
        <f aca="false">ROUND(C190-D190,6)</f>
        <v>0</v>
      </c>
      <c r="F190" s="45" t="str">
        <f aca="false">IF(ABS(E190)&lt;=0.5,"PASS","FAIL")</f>
        <v>PASS</v>
      </c>
      <c r="G190" s="17" t="s">
        <v>557</v>
      </c>
    </row>
    <row r="191" customFormat="false" ht="15" hidden="false" customHeight="false" outlineLevel="0" collapsed="false">
      <c r="B191" s="18" t="s">
        <v>715</v>
      </c>
      <c r="C191" s="33" t="n">
        <v>-75019.31</v>
      </c>
      <c r="D191" s="15" t="n">
        <f aca="false">Sensitivity!$G$38</f>
        <v>-75019.31</v>
      </c>
      <c r="E191" s="43" t="n">
        <f aca="false">ROUND(C191-D191,6)</f>
        <v>0</v>
      </c>
      <c r="F191" s="45" t="str">
        <f aca="false">IF(ABS(E191)&lt;=0.02,"PASS","FAIL")</f>
        <v>PASS</v>
      </c>
      <c r="G191" s="17" t="s">
        <v>557</v>
      </c>
    </row>
    <row r="192" customFormat="false" ht="15" hidden="false" customHeight="false" outlineLevel="0" collapsed="false">
      <c r="B192" s="18" t="s">
        <v>716</v>
      </c>
      <c r="C192" s="32" t="n">
        <v>1.005928</v>
      </c>
      <c r="D192" s="44" t="n">
        <f aca="false">Sensitivity!$I$38</f>
        <v>1.00592820105388</v>
      </c>
      <c r="E192" s="43" t="n">
        <f aca="false">ROUND(C192-D192,6)</f>
        <v>-0</v>
      </c>
      <c r="F192" s="45" t="str">
        <f aca="false">IF(ABS(E192)&lt;=0.000005,"PASS","FAIL")</f>
        <v>PASS</v>
      </c>
      <c r="G192" s="17" t="s">
        <v>557</v>
      </c>
    </row>
    <row r="193" customFormat="false" ht="15" hidden="false" customHeight="false" outlineLevel="0" collapsed="false">
      <c r="B193" s="18" t="s">
        <v>717</v>
      </c>
      <c r="C193" s="32" t="n">
        <v>0.191402</v>
      </c>
      <c r="D193" s="44" t="n">
        <f aca="false">Sensitivity!$K$38</f>
        <v>0.191401709596179</v>
      </c>
      <c r="E193" s="43" t="n">
        <f aca="false">ROUND(C193-D193,6)</f>
        <v>0</v>
      </c>
      <c r="F193" s="45" t="str">
        <f aca="false">IF(ABS(E193)&lt;=0.000005,"PASS","FAIL")</f>
        <v>PASS</v>
      </c>
      <c r="G193" s="17" t="s">
        <v>557</v>
      </c>
    </row>
    <row r="194" customFormat="false" ht="15" hidden="false" customHeight="false" outlineLevel="0" collapsed="false">
      <c r="B194" s="18" t="s">
        <v>718</v>
      </c>
      <c r="C194" s="32" t="n">
        <v>0.226578</v>
      </c>
      <c r="D194" s="44" t="n">
        <f aca="false">Sensitivity!$L$38</f>
        <v>0.226577535880228</v>
      </c>
      <c r="E194" s="43" t="n">
        <f aca="false">ROUND(C194-D194,6)</f>
        <v>0</v>
      </c>
      <c r="F194" s="45" t="str">
        <f aca="false">IF(ABS(E194)&lt;=0.000005,"PASS","FAIL")</f>
        <v>PASS</v>
      </c>
      <c r="G194" s="17" t="s">
        <v>557</v>
      </c>
    </row>
    <row r="195" customFormat="false" ht="15" hidden="false" customHeight="false" outlineLevel="0" collapsed="false">
      <c r="B195" s="18" t="s">
        <v>719</v>
      </c>
      <c r="C195" s="32" t="n">
        <v>0.191979</v>
      </c>
      <c r="D195" s="44" t="n">
        <f aca="false">Sensitivity!$M$38</f>
        <v>0.191979124106009</v>
      </c>
      <c r="E195" s="43" t="n">
        <f aca="false">ROUND(C195-D195,6)</f>
        <v>-0</v>
      </c>
      <c r="F195" s="45" t="str">
        <f aca="false">IF(ABS(E195)&lt;=0.000005,"PASS","FAIL")</f>
        <v>PASS</v>
      </c>
      <c r="G195" s="17" t="s">
        <v>557</v>
      </c>
    </row>
    <row r="196" customFormat="false" ht="15" hidden="false" customHeight="false" outlineLevel="0" collapsed="false">
      <c r="B196" s="18" t="s">
        <v>720</v>
      </c>
      <c r="C196" s="32" t="n">
        <v>0.272512</v>
      </c>
      <c r="D196" s="44" t="n">
        <f aca="false">Sensitivity!$N$38</f>
        <v>0.272512191479704</v>
      </c>
      <c r="E196" s="43" t="n">
        <f aca="false">ROUND(C196-D196,6)</f>
        <v>-0</v>
      </c>
      <c r="F196" s="45" t="str">
        <f aca="false">IF(ABS(E196)&lt;=0.000005,"PASS","FAIL")</f>
        <v>PASS</v>
      </c>
      <c r="G196" s="17" t="s">
        <v>557</v>
      </c>
    </row>
    <row r="197" customFormat="false" ht="15" hidden="false" customHeight="false" outlineLevel="0" collapsed="false">
      <c r="B197" s="18" t="s">
        <v>721</v>
      </c>
      <c r="C197" s="50" t="s">
        <v>421</v>
      </c>
      <c r="D197" s="18" t="str">
        <f aca="false">Sensitivity!$O$38</f>
        <v>no</v>
      </c>
      <c r="E197" s="18"/>
      <c r="F197" s="45" t="str">
        <f aca="false">IF(EXACT(C197,D197),"PASS","FAIL")</f>
        <v>PASS</v>
      </c>
      <c r="G197" s="17" t="s">
        <v>557</v>
      </c>
    </row>
    <row r="198" customFormat="false" ht="15" hidden="false" customHeight="false" outlineLevel="0" collapsed="false">
      <c r="B198" s="18" t="s">
        <v>722</v>
      </c>
      <c r="C198" s="33" t="n">
        <v>290</v>
      </c>
      <c r="D198" s="15" t="n">
        <f aca="false">Sensitivity!$C$39</f>
        <v>290</v>
      </c>
      <c r="E198" s="43" t="n">
        <f aca="false">ROUND(C198-D198,6)</f>
        <v>0</v>
      </c>
      <c r="F198" s="45" t="str">
        <f aca="false">IF(ABS(E198)&lt;=0.005,"PASS","FAIL")</f>
        <v>PASS</v>
      </c>
      <c r="G198" s="17" t="s">
        <v>557</v>
      </c>
    </row>
    <row r="199" customFormat="false" ht="15" hidden="false" customHeight="false" outlineLevel="0" collapsed="false">
      <c r="B199" s="18" t="s">
        <v>723</v>
      </c>
      <c r="C199" s="33" t="n">
        <v>13000</v>
      </c>
      <c r="D199" s="15" t="n">
        <f aca="false">Sensitivity!$D$39</f>
        <v>13000</v>
      </c>
      <c r="E199" s="43" t="n">
        <f aca="false">ROUND(C199-D199,6)</f>
        <v>0</v>
      </c>
      <c r="F199" s="45" t="str">
        <f aca="false">IF(ABS(E199)&lt;=0.005,"PASS","FAIL")</f>
        <v>PASS</v>
      </c>
      <c r="G199" s="17" t="s">
        <v>557</v>
      </c>
    </row>
    <row r="200" customFormat="false" ht="15" hidden="false" customHeight="false" outlineLevel="0" collapsed="false">
      <c r="B200" s="18" t="s">
        <v>724</v>
      </c>
      <c r="C200" s="33" t="n">
        <v>3312950</v>
      </c>
      <c r="D200" s="15" t="n">
        <f aca="false">Sensitivity!$E$39</f>
        <v>3312950</v>
      </c>
      <c r="E200" s="43" t="n">
        <f aca="false">ROUND(C200-D200,6)</f>
        <v>0</v>
      </c>
      <c r="F200" s="45" t="str">
        <f aca="false">IF(ABS(E200)&lt;=0.02,"PASS","FAIL")</f>
        <v>PASS</v>
      </c>
      <c r="G200" s="17" t="s">
        <v>557</v>
      </c>
    </row>
    <row r="201" customFormat="false" ht="15" hidden="false" customHeight="false" outlineLevel="0" collapsed="false">
      <c r="B201" s="18" t="s">
        <v>725</v>
      </c>
      <c r="C201" s="47" t="n">
        <v>24</v>
      </c>
      <c r="D201" s="26" t="n">
        <f aca="false">Sensitivity!$F$39</f>
        <v>24</v>
      </c>
      <c r="E201" s="43" t="n">
        <f aca="false">ROUND(C201-D201,6)</f>
        <v>0</v>
      </c>
      <c r="F201" s="45" t="str">
        <f aca="false">IF(ABS(E201)&lt;=0.5,"PASS","FAIL")</f>
        <v>PASS</v>
      </c>
      <c r="G201" s="17" t="s">
        <v>557</v>
      </c>
    </row>
    <row r="202" customFormat="false" ht="15" hidden="false" customHeight="false" outlineLevel="0" collapsed="false">
      <c r="B202" s="18" t="s">
        <v>726</v>
      </c>
      <c r="C202" s="33" t="n">
        <v>-146824.11</v>
      </c>
      <c r="D202" s="15" t="n">
        <f aca="false">Sensitivity!$G$39</f>
        <v>-146824.11</v>
      </c>
      <c r="E202" s="43" t="n">
        <f aca="false">ROUND(C202-D202,6)</f>
        <v>0</v>
      </c>
      <c r="F202" s="45" t="str">
        <f aca="false">IF(ABS(E202)&lt;=0.02,"PASS","FAIL")</f>
        <v>PASS</v>
      </c>
      <c r="G202" s="17" t="s">
        <v>557</v>
      </c>
    </row>
    <row r="203" customFormat="false" ht="15" hidden="false" customHeight="false" outlineLevel="0" collapsed="false">
      <c r="B203" s="18" t="s">
        <v>727</v>
      </c>
      <c r="C203" s="32" t="n">
        <v>1.012415</v>
      </c>
      <c r="D203" s="44" t="n">
        <f aca="false">Sensitivity!$I$39</f>
        <v>1.01241493215991</v>
      </c>
      <c r="E203" s="43" t="n">
        <f aca="false">ROUND(C203-D203,6)</f>
        <v>0</v>
      </c>
      <c r="F203" s="45" t="str">
        <f aca="false">IF(ABS(E203)&lt;=0.000005,"PASS","FAIL")</f>
        <v>PASS</v>
      </c>
      <c r="G203" s="17" t="s">
        <v>557</v>
      </c>
    </row>
    <row r="204" customFormat="false" ht="15" hidden="false" customHeight="false" outlineLevel="0" collapsed="false">
      <c r="B204" s="18" t="s">
        <v>728</v>
      </c>
      <c r="C204" s="32" t="n">
        <v>0.13447</v>
      </c>
      <c r="D204" s="44" t="n">
        <f aca="false">Sensitivity!$K$39</f>
        <v>0.134469627983704</v>
      </c>
      <c r="E204" s="43" t="n">
        <f aca="false">ROUND(C204-D204,6)</f>
        <v>0</v>
      </c>
      <c r="F204" s="45" t="str">
        <f aca="false">IF(ABS(E204)&lt;=0.000005,"PASS","FAIL")</f>
        <v>PASS</v>
      </c>
      <c r="G204" s="17" t="s">
        <v>557</v>
      </c>
    </row>
    <row r="205" customFormat="false" ht="15" hidden="false" customHeight="false" outlineLevel="0" collapsed="false">
      <c r="B205" s="18" t="s">
        <v>729</v>
      </c>
      <c r="C205" s="32" t="n">
        <v>0.223708</v>
      </c>
      <c r="D205" s="44" t="n">
        <f aca="false">Sensitivity!$L$39</f>
        <v>0.223708499951991</v>
      </c>
      <c r="E205" s="43" t="n">
        <f aca="false">ROUND(C205-D205,6)</f>
        <v>-0</v>
      </c>
      <c r="F205" s="45" t="str">
        <f aca="false">IF(ABS(E205)&lt;=0.000005,"PASS","FAIL")</f>
        <v>PASS</v>
      </c>
      <c r="G205" s="17" t="s">
        <v>557</v>
      </c>
    </row>
    <row r="206" customFormat="false" ht="15" hidden="false" customHeight="false" outlineLevel="0" collapsed="false">
      <c r="B206" s="18" t="s">
        <v>730</v>
      </c>
      <c r="C206" s="32" t="n">
        <v>0.182634</v>
      </c>
      <c r="D206" s="44" t="n">
        <f aca="false">Sensitivity!$M$39</f>
        <v>0.18263410373697</v>
      </c>
      <c r="E206" s="43" t="n">
        <f aca="false">ROUND(C206-D206,6)</f>
        <v>-0</v>
      </c>
      <c r="F206" s="45" t="str">
        <f aca="false">IF(ABS(E206)&lt;=0.000005,"PASS","FAIL")</f>
        <v>PASS</v>
      </c>
      <c r="G206" s="17" t="s">
        <v>557</v>
      </c>
    </row>
    <row r="207" customFormat="false" ht="15" hidden="false" customHeight="false" outlineLevel="0" collapsed="false">
      <c r="B207" s="18" t="s">
        <v>731</v>
      </c>
      <c r="C207" s="32" t="n">
        <v>0.254856</v>
      </c>
      <c r="D207" s="44" t="n">
        <f aca="false">Sensitivity!$N$39</f>
        <v>0.254855732371349</v>
      </c>
      <c r="E207" s="43" t="n">
        <f aca="false">ROUND(C207-D207,6)</f>
        <v>0</v>
      </c>
      <c r="F207" s="45" t="str">
        <f aca="false">IF(ABS(E207)&lt;=0.000005,"PASS","FAIL")</f>
        <v>PASS</v>
      </c>
      <c r="G207" s="17" t="s">
        <v>557</v>
      </c>
    </row>
    <row r="208" customFormat="false" ht="15" hidden="false" customHeight="false" outlineLevel="0" collapsed="false">
      <c r="B208" s="18" t="s">
        <v>732</v>
      </c>
      <c r="C208" s="50" t="s">
        <v>421</v>
      </c>
      <c r="D208" s="18" t="str">
        <f aca="false">Sensitivity!$O$39</f>
        <v>no</v>
      </c>
      <c r="E208" s="18"/>
      <c r="F208" s="45" t="str">
        <f aca="false">IF(EXACT(C208,D208),"PASS","FAIL")</f>
        <v>PASS</v>
      </c>
      <c r="G208" s="17" t="s">
        <v>557</v>
      </c>
    </row>
    <row r="209" customFormat="false" ht="15" hidden="false" customHeight="false" outlineLevel="0" collapsed="false">
      <c r="B209" s="18" t="s">
        <v>733</v>
      </c>
      <c r="C209" s="33" t="n">
        <v>362.5</v>
      </c>
      <c r="D209" s="15" t="n">
        <f aca="false">Sensitivity!$C$40</f>
        <v>362.5</v>
      </c>
      <c r="E209" s="43" t="n">
        <f aca="false">ROUND(C209-D209,6)</f>
        <v>0</v>
      </c>
      <c r="F209" s="45" t="str">
        <f aca="false">IF(ABS(E209)&lt;=0.005,"PASS","FAIL")</f>
        <v>PASS</v>
      </c>
      <c r="G209" s="17" t="s">
        <v>557</v>
      </c>
    </row>
    <row r="210" customFormat="false" ht="15" hidden="false" customHeight="false" outlineLevel="0" collapsed="false">
      <c r="B210" s="18" t="s">
        <v>734</v>
      </c>
      <c r="C210" s="33" t="n">
        <v>16250</v>
      </c>
      <c r="D210" s="15" t="n">
        <f aca="false">Sensitivity!$D$40</f>
        <v>16250</v>
      </c>
      <c r="E210" s="43" t="n">
        <f aca="false">ROUND(C210-D210,6)</f>
        <v>0</v>
      </c>
      <c r="F210" s="45" t="str">
        <f aca="false">IF(ABS(E210)&lt;=0.005,"PASS","FAIL")</f>
        <v>PASS</v>
      </c>
      <c r="G210" s="17" t="s">
        <v>557</v>
      </c>
    </row>
    <row r="211" customFormat="false" ht="15" hidden="false" customHeight="false" outlineLevel="0" collapsed="false">
      <c r="B211" s="18" t="s">
        <v>735</v>
      </c>
      <c r="C211" s="33" t="n">
        <v>4141187.5</v>
      </c>
      <c r="D211" s="15" t="n">
        <f aca="false">Sensitivity!$E$40</f>
        <v>4141187.5</v>
      </c>
      <c r="E211" s="43" t="n">
        <f aca="false">ROUND(C211-D211,6)</f>
        <v>0</v>
      </c>
      <c r="F211" s="45" t="str">
        <f aca="false">IF(ABS(E211)&lt;=0.02,"PASS","FAIL")</f>
        <v>PASS</v>
      </c>
      <c r="G211" s="17" t="s">
        <v>557</v>
      </c>
    </row>
    <row r="212" customFormat="false" ht="15" hidden="false" customHeight="false" outlineLevel="0" collapsed="false">
      <c r="B212" s="18" t="s">
        <v>736</v>
      </c>
      <c r="C212" s="47" t="n">
        <v>35</v>
      </c>
      <c r="D212" s="26" t="n">
        <f aca="false">Sensitivity!$F$40</f>
        <v>35</v>
      </c>
      <c r="E212" s="43" t="n">
        <f aca="false">ROUND(C212-D212,6)</f>
        <v>0</v>
      </c>
      <c r="F212" s="45" t="str">
        <f aca="false">IF(ABS(E212)&lt;=0.5,"PASS","FAIL")</f>
        <v>PASS</v>
      </c>
      <c r="G212" s="17" t="s">
        <v>557</v>
      </c>
    </row>
    <row r="213" customFormat="false" ht="15" hidden="false" customHeight="false" outlineLevel="0" collapsed="false">
      <c r="B213" s="18" t="s">
        <v>737</v>
      </c>
      <c r="C213" s="33" t="n">
        <v>-257451.76</v>
      </c>
      <c r="D213" s="15" t="n">
        <f aca="false">Sensitivity!$G$40</f>
        <v>-257451.76</v>
      </c>
      <c r="E213" s="43" t="n">
        <f aca="false">ROUND(C213-D213,6)</f>
        <v>0</v>
      </c>
      <c r="F213" s="45" t="str">
        <f aca="false">IF(ABS(E213)&lt;=0.02,"PASS","FAIL")</f>
        <v>PASS</v>
      </c>
      <c r="G213" s="17" t="s">
        <v>557</v>
      </c>
    </row>
    <row r="214" customFormat="false" ht="15" hidden="false" customHeight="false" outlineLevel="0" collapsed="false">
      <c r="B214" s="18" t="s">
        <v>738</v>
      </c>
      <c r="C214" s="32" t="n">
        <v>1.023409</v>
      </c>
      <c r="D214" s="44" t="n">
        <f aca="false">Sensitivity!$I$40</f>
        <v>1.02340858896073</v>
      </c>
      <c r="E214" s="43" t="n">
        <f aca="false">ROUND(C214-D214,6)</f>
        <v>0</v>
      </c>
      <c r="F214" s="45" t="str">
        <f aca="false">IF(ABS(E214)&lt;=0.000005,"PASS","FAIL")</f>
        <v>PASS</v>
      </c>
      <c r="G214" s="17" t="s">
        <v>557</v>
      </c>
    </row>
    <row r="215" customFormat="false" ht="15" hidden="false" customHeight="false" outlineLevel="0" collapsed="false">
      <c r="B215" s="18" t="s">
        <v>739</v>
      </c>
      <c r="C215" s="32" t="n">
        <v>0.077538</v>
      </c>
      <c r="D215" s="44" t="n">
        <f aca="false">Sensitivity!$K$40</f>
        <v>0.0775375463712279</v>
      </c>
      <c r="E215" s="43" t="n">
        <f aca="false">ROUND(C215-D215,6)</f>
        <v>0</v>
      </c>
      <c r="F215" s="45" t="str">
        <f aca="false">IF(ABS(E215)&lt;=0.000005,"PASS","FAIL")</f>
        <v>PASS</v>
      </c>
      <c r="G215" s="17" t="s">
        <v>557</v>
      </c>
    </row>
    <row r="216" customFormat="false" ht="15" hidden="false" customHeight="false" outlineLevel="0" collapsed="false">
      <c r="B216" s="18" t="s">
        <v>740</v>
      </c>
      <c r="C216" s="32" t="n">
        <v>0.220839</v>
      </c>
      <c r="D216" s="44" t="n">
        <f aca="false">Sensitivity!$L$40</f>
        <v>0.220839464023754</v>
      </c>
      <c r="E216" s="43" t="n">
        <f aca="false">ROUND(C216-D216,6)</f>
        <v>-0</v>
      </c>
      <c r="F216" s="45" t="str">
        <f aca="false">IF(ABS(E216)&lt;=0.000005,"PASS","FAIL")</f>
        <v>PASS</v>
      </c>
      <c r="G216" s="17" t="s">
        <v>557</v>
      </c>
    </row>
    <row r="217" customFormat="false" ht="15" hidden="false" customHeight="false" outlineLevel="0" collapsed="false">
      <c r="B217" s="18" t="s">
        <v>741</v>
      </c>
      <c r="C217" s="32" t="n">
        <v>0.173289</v>
      </c>
      <c r="D217" s="44" t="n">
        <f aca="false">Sensitivity!$M$40</f>
        <v>0.173289083367931</v>
      </c>
      <c r="E217" s="43" t="n">
        <f aca="false">ROUND(C217-D217,6)</f>
        <v>-0</v>
      </c>
      <c r="F217" s="45" t="str">
        <f aca="false">IF(ABS(E217)&lt;=0.000005,"PASS","FAIL")</f>
        <v>PASS</v>
      </c>
      <c r="G217" s="17" t="s">
        <v>557</v>
      </c>
    </row>
    <row r="218" customFormat="false" ht="15" hidden="false" customHeight="false" outlineLevel="0" collapsed="false">
      <c r="B218" s="18" t="s">
        <v>742</v>
      </c>
      <c r="C218" s="32" t="n">
        <v>0.237199</v>
      </c>
      <c r="D218" s="44" t="n">
        <f aca="false">Sensitivity!$N$40</f>
        <v>0.237199273262994</v>
      </c>
      <c r="E218" s="43" t="n">
        <f aca="false">ROUND(C218-D218,6)</f>
        <v>-0</v>
      </c>
      <c r="F218" s="45" t="str">
        <f aca="false">IF(ABS(E218)&lt;=0.000005,"PASS","FAIL")</f>
        <v>PASS</v>
      </c>
      <c r="G218" s="17" t="s">
        <v>557</v>
      </c>
    </row>
    <row r="219" customFormat="false" ht="15" hidden="false" customHeight="false" outlineLevel="0" collapsed="false">
      <c r="B219" s="18" t="s">
        <v>743</v>
      </c>
      <c r="C219" s="50" t="s">
        <v>421</v>
      </c>
      <c r="D219" s="18" t="str">
        <f aca="false">Sensitivity!$O$40</f>
        <v>no</v>
      </c>
      <c r="E219" s="18"/>
      <c r="F219" s="45" t="str">
        <f aca="false">IF(EXACT(C219,D219),"PASS","FAIL")</f>
        <v>PASS</v>
      </c>
      <c r="G219" s="17" t="s">
        <v>557</v>
      </c>
    </row>
    <row r="220" customFormat="false" ht="15" hidden="false" customHeight="false" outlineLevel="0" collapsed="false">
      <c r="B220" s="18" t="s">
        <v>744</v>
      </c>
      <c r="C220" s="33" t="n">
        <v>435</v>
      </c>
      <c r="D220" s="15" t="n">
        <f aca="false">Sensitivity!$C$41</f>
        <v>435</v>
      </c>
      <c r="E220" s="43" t="n">
        <f aca="false">ROUND(C220-D220,6)</f>
        <v>0</v>
      </c>
      <c r="F220" s="45" t="str">
        <f aca="false">IF(ABS(E220)&lt;=0.005,"PASS","FAIL")</f>
        <v>PASS</v>
      </c>
      <c r="G220" s="17" t="s">
        <v>557</v>
      </c>
    </row>
    <row r="221" customFormat="false" ht="15" hidden="false" customHeight="false" outlineLevel="0" collapsed="false">
      <c r="B221" s="18" t="s">
        <v>745</v>
      </c>
      <c r="C221" s="33" t="n">
        <v>19500</v>
      </c>
      <c r="D221" s="15" t="n">
        <f aca="false">Sensitivity!$D$41</f>
        <v>19500</v>
      </c>
      <c r="E221" s="43" t="n">
        <f aca="false">ROUND(C221-D221,6)</f>
        <v>0</v>
      </c>
      <c r="F221" s="45" t="str">
        <f aca="false">IF(ABS(E221)&lt;=0.005,"PASS","FAIL")</f>
        <v>PASS</v>
      </c>
      <c r="G221" s="17" t="s">
        <v>557</v>
      </c>
    </row>
    <row r="222" customFormat="false" ht="15" hidden="false" customHeight="false" outlineLevel="0" collapsed="false">
      <c r="B222" s="18" t="s">
        <v>746</v>
      </c>
      <c r="C222" s="33" t="n">
        <v>4969425</v>
      </c>
      <c r="D222" s="15" t="n">
        <f aca="false">Sensitivity!$E$41</f>
        <v>4969425</v>
      </c>
      <c r="E222" s="43" t="n">
        <f aca="false">ROUND(C222-D222,6)</f>
        <v>0</v>
      </c>
      <c r="F222" s="45" t="str">
        <f aca="false">IF(ABS(E222)&lt;=0.02,"PASS","FAIL")</f>
        <v>PASS</v>
      </c>
      <c r="G222" s="17" t="s">
        <v>557</v>
      </c>
    </row>
    <row r="223" customFormat="false" ht="15" hidden="false" customHeight="false" outlineLevel="0" collapsed="false">
      <c r="B223" s="18" t="s">
        <v>747</v>
      </c>
      <c r="C223" s="47" t="n">
        <v>49</v>
      </c>
      <c r="D223" s="26" t="n">
        <f aca="false">Sensitivity!$F$41</f>
        <v>49</v>
      </c>
      <c r="E223" s="43" t="n">
        <f aca="false">ROUND(C223-D223,6)</f>
        <v>0</v>
      </c>
      <c r="F223" s="45" t="str">
        <f aca="false">IF(ABS(E223)&lt;=0.5,"PASS","FAIL")</f>
        <v>PASS</v>
      </c>
      <c r="G223" s="17" t="s">
        <v>557</v>
      </c>
    </row>
    <row r="224" customFormat="false" ht="15" hidden="false" customHeight="false" outlineLevel="0" collapsed="false">
      <c r="B224" s="18" t="s">
        <v>748</v>
      </c>
      <c r="C224" s="33" t="n">
        <v>-435262.85</v>
      </c>
      <c r="D224" s="15" t="n">
        <f aca="false">Sensitivity!$G$41</f>
        <v>-435262.85</v>
      </c>
      <c r="E224" s="43" t="n">
        <f aca="false">ROUND(C224-D224,6)</f>
        <v>0</v>
      </c>
      <c r="F224" s="45" t="str">
        <f aca="false">IF(ABS(E224)&lt;=0.02,"PASS","FAIL")</f>
        <v>PASS</v>
      </c>
      <c r="G224" s="17" t="s">
        <v>557</v>
      </c>
    </row>
    <row r="225" customFormat="false" ht="15" hidden="false" customHeight="false" outlineLevel="0" collapsed="false">
      <c r="B225" s="18" t="s">
        <v>749</v>
      </c>
      <c r="C225" s="32" t="n">
        <v>1.042799</v>
      </c>
      <c r="D225" s="44" t="n">
        <f aca="false">Sensitivity!$I$41</f>
        <v>1.04279896962475</v>
      </c>
      <c r="E225" s="43" t="n">
        <f aca="false">ROUND(C225-D225,6)</f>
        <v>0</v>
      </c>
      <c r="F225" s="45" t="str">
        <f aca="false">IF(ABS(E225)&lt;=0.000005,"PASS","FAIL")</f>
        <v>PASS</v>
      </c>
      <c r="G225" s="17" t="s">
        <v>557</v>
      </c>
    </row>
    <row r="226" customFormat="false" ht="15" hidden="false" customHeight="false" outlineLevel="0" collapsed="false">
      <c r="B226" s="18" t="s">
        <v>750</v>
      </c>
      <c r="C226" s="32" t="n">
        <v>0.020605</v>
      </c>
      <c r="D226" s="44" t="n">
        <f aca="false">Sensitivity!$K$41</f>
        <v>0.0206054647587523</v>
      </c>
      <c r="E226" s="43" t="n">
        <f aca="false">ROUND(C226-D226,6)</f>
        <v>-0</v>
      </c>
      <c r="F226" s="45" t="str">
        <f aca="false">IF(ABS(E226)&lt;=0.000005,"PASS","FAIL")</f>
        <v>PASS</v>
      </c>
      <c r="G226" s="17" t="s">
        <v>557</v>
      </c>
    </row>
    <row r="227" customFormat="false" ht="15" hidden="false" customHeight="false" outlineLevel="0" collapsed="false">
      <c r="B227" s="18" t="s">
        <v>751</v>
      </c>
      <c r="C227" s="32" t="n">
        <v>0.21797</v>
      </c>
      <c r="D227" s="44" t="n">
        <f aca="false">Sensitivity!$L$41</f>
        <v>0.217970428095517</v>
      </c>
      <c r="E227" s="43" t="n">
        <f aca="false">ROUND(C227-D227,6)</f>
        <v>-0</v>
      </c>
      <c r="F227" s="45" t="str">
        <f aca="false">IF(ABS(E227)&lt;=0.000005,"PASS","FAIL")</f>
        <v>PASS</v>
      </c>
      <c r="G227" s="17" t="s">
        <v>557</v>
      </c>
    </row>
    <row r="228" customFormat="false" ht="15" hidden="false" customHeight="false" outlineLevel="0" collapsed="false">
      <c r="B228" s="18" t="s">
        <v>752</v>
      </c>
      <c r="C228" s="32" t="n">
        <v>0.163944</v>
      </c>
      <c r="D228" s="44" t="n">
        <f aca="false">Sensitivity!$M$41</f>
        <v>0.163944062998893</v>
      </c>
      <c r="E228" s="43" t="n">
        <f aca="false">ROUND(C228-D228,6)</f>
        <v>-0</v>
      </c>
      <c r="F228" s="45" t="str">
        <f aca="false">IF(ABS(E228)&lt;=0.000005,"PASS","FAIL")</f>
        <v>PASS</v>
      </c>
      <c r="G228" s="17" t="s">
        <v>557</v>
      </c>
    </row>
    <row r="229" customFormat="false" ht="15" hidden="false" customHeight="false" outlineLevel="0" collapsed="false">
      <c r="B229" s="18" t="s">
        <v>753</v>
      </c>
      <c r="C229" s="32" t="n">
        <v>0.219543</v>
      </c>
      <c r="D229" s="44" t="n">
        <f aca="false">Sensitivity!$N$41</f>
        <v>0.219542814154639</v>
      </c>
      <c r="E229" s="43" t="n">
        <f aca="false">ROUND(C229-D229,6)</f>
        <v>0</v>
      </c>
      <c r="F229" s="45" t="str">
        <f aca="false">IF(ABS(E229)&lt;=0.000005,"PASS","FAIL")</f>
        <v>PASS</v>
      </c>
      <c r="G229" s="17" t="s">
        <v>557</v>
      </c>
    </row>
    <row r="230" customFormat="false" ht="15" hidden="false" customHeight="false" outlineLevel="0" collapsed="false">
      <c r="B230" s="18" t="s">
        <v>754</v>
      </c>
      <c r="C230" s="50" t="s">
        <v>421</v>
      </c>
      <c r="D230" s="18" t="str">
        <f aca="false">Sensitivity!$O$41</f>
        <v>no</v>
      </c>
      <c r="E230" s="18"/>
      <c r="F230" s="45" t="str">
        <f aca="false">IF(EXACT(C230,D230),"PASS","FAIL")</f>
        <v>PASS</v>
      </c>
      <c r="G230" s="17" t="s">
        <v>557</v>
      </c>
    </row>
    <row r="231" customFormat="false" ht="15" hidden="false" customHeight="false" outlineLevel="0" collapsed="false">
      <c r="B231" s="18" t="s">
        <v>755</v>
      </c>
      <c r="C231" s="50" t="s">
        <v>756</v>
      </c>
      <c r="D231" s="18" t="str">
        <f aca="false">TEXT(Sensitivity!$C$43,"0.##")</f>
        <v>1.25</v>
      </c>
      <c r="E231" s="18"/>
      <c r="F231" s="45" t="str">
        <f aca="false">IF(EXACT(C231,D231),"PASS","FAIL")</f>
        <v>PASS</v>
      </c>
      <c r="G231" s="17" t="s">
        <v>557</v>
      </c>
    </row>
    <row r="232" customFormat="false" ht="15" hidden="false" customHeight="false" outlineLevel="0" collapsed="false">
      <c r="B232" s="18" t="s">
        <v>757</v>
      </c>
      <c r="C232" s="51" t="n">
        <v>1.1747</v>
      </c>
      <c r="D232" s="36" t="n">
        <f aca="false">Sensitivity!$C$74</f>
        <v>1.17467778548598</v>
      </c>
      <c r="E232" s="43" t="n">
        <f aca="false">ROUND(C232-D232,6)</f>
        <v>2.2E-005</v>
      </c>
      <c r="F232" s="45" t="str">
        <f aca="false">IF(ABS(E232)&lt;=0.0005,"PASS","FAIL")</f>
        <v>PASS</v>
      </c>
      <c r="G232" s="17" t="s">
        <v>758</v>
      </c>
    </row>
    <row r="233" customFormat="false" ht="15" hidden="false" customHeight="false" outlineLevel="0" collapsed="false">
      <c r="B233" s="18" t="s">
        <v>759</v>
      </c>
      <c r="C233" s="50" t="s">
        <v>760</v>
      </c>
      <c r="D233" s="18" t="str">
        <f aca="false">Sensitivity!$C$75</f>
        <v>CONVERGED</v>
      </c>
      <c r="E233" s="18"/>
      <c r="F233" s="45" t="str">
        <f aca="false">IF(EXACT(C233,D233),"PASS","FAIL")</f>
        <v>PASS</v>
      </c>
      <c r="G233" s="17" t="s">
        <v>557</v>
      </c>
    </row>
    <row r="234" customFormat="false" ht="15" hidden="false" customHeight="false" outlineLevel="0" collapsed="false">
      <c r="B234" s="18" t="s">
        <v>527</v>
      </c>
      <c r="C234" s="33" t="n">
        <v>170.33</v>
      </c>
      <c r="D234" s="15" t="n">
        <f aca="false">Sensitivity!$C$76</f>
        <v>170.328278895468</v>
      </c>
      <c r="E234" s="43" t="n">
        <f aca="false">ROUND(C234-D234,6)</f>
        <v>0.001721</v>
      </c>
      <c r="F234" s="45" t="str">
        <f aca="false">IF(ABS(E234)&lt;=0.05,"PASS","FAIL")</f>
        <v>PASS</v>
      </c>
      <c r="G234" s="17" t="s">
        <v>758</v>
      </c>
    </row>
    <row r="235" customFormat="false" ht="15" hidden="false" customHeight="false" outlineLevel="0" collapsed="false">
      <c r="B235" s="18" t="s">
        <v>528</v>
      </c>
      <c r="C235" s="33" t="n">
        <v>7635.41</v>
      </c>
      <c r="D235" s="15" t="n">
        <f aca="false">Sensitivity!$C$77</f>
        <v>7635.40560565889</v>
      </c>
      <c r="E235" s="43" t="n">
        <f aca="false">ROUND(C235-D235,6)</f>
        <v>0.004394</v>
      </c>
      <c r="F235" s="45" t="str">
        <f aca="false">IF(ABS(E235)&lt;=0.5,"PASS","FAIL")</f>
        <v>PASS</v>
      </c>
      <c r="G235" s="17" t="s">
        <v>758</v>
      </c>
    </row>
    <row r="236" customFormat="false" ht="15" hidden="false" customHeight="false" outlineLevel="0" collapsed="false">
      <c r="B236" s="18" t="s">
        <v>761</v>
      </c>
      <c r="C236" s="35" t="n">
        <v>0.5259</v>
      </c>
      <c r="D236" s="25" t="n">
        <f aca="false">Sensitivity!$C$79</f>
        <v>0.525898481081081</v>
      </c>
      <c r="E236" s="43" t="n">
        <f aca="false">ROUND(C236-D236,6)</f>
        <v>2E-006</v>
      </c>
      <c r="F236" s="45" t="str">
        <f aca="false">IF(ABS(E236)&lt;=0.0005,"PASS","FAIL")</f>
        <v>PASS</v>
      </c>
      <c r="G236" s="17" t="s">
        <v>758</v>
      </c>
    </row>
    <row r="237" customFormat="false" ht="15" hidden="false" customHeight="false" outlineLevel="0" collapsed="false">
      <c r="B237" s="18" t="s">
        <v>762</v>
      </c>
      <c r="C237" s="50" t="s">
        <v>763</v>
      </c>
      <c r="D237" s="18" t="str">
        <f aca="false">Sensitivity!$C$47</f>
        <v>NO WHALE AT ANY MULTIPLE TESTED</v>
      </c>
      <c r="E237" s="18"/>
      <c r="F237" s="45" t="str">
        <f aca="false">IF(EXACT(C237,D237),"PASS","FAIL")</f>
        <v>PASS</v>
      </c>
      <c r="G237" s="17" t="s">
        <v>758</v>
      </c>
    </row>
    <row r="238" customFormat="false" ht="15" hidden="false" customHeight="false" outlineLevel="0" collapsed="false">
      <c r="B238" s="18" t="s">
        <v>764</v>
      </c>
      <c r="C238" s="33" t="n">
        <v>3700000</v>
      </c>
      <c r="D238" s="15" t="n">
        <f aca="false">Sensitivity!$C$51</f>
        <v>3700000</v>
      </c>
      <c r="E238" s="43" t="n">
        <f aca="false">ROUND(C238-D238,6)</f>
        <v>0</v>
      </c>
      <c r="F238" s="45" t="str">
        <f aca="false">IF(ABS(E238)&lt;=0.005,"PASS","FAIL")</f>
        <v>PASS</v>
      </c>
      <c r="G238" s="17" t="s">
        <v>557</v>
      </c>
    </row>
    <row r="239" customFormat="false" ht="15" hidden="false" customHeight="false" outlineLevel="0" collapsed="false">
      <c r="B239" s="18" t="s">
        <v>505</v>
      </c>
      <c r="C239" s="32" t="n">
        <v>0.447696</v>
      </c>
      <c r="D239" s="44" t="n">
        <f aca="false">Sensitivity!$C$52</f>
        <v>0.447695945945946</v>
      </c>
      <c r="E239" s="43" t="n">
        <f aca="false">ROUND(C239-D239,6)</f>
        <v>0</v>
      </c>
      <c r="F239" s="45" t="str">
        <f aca="false">IF(ABS(E239)&lt;=0.000005,"PASS","FAIL")</f>
        <v>PASS</v>
      </c>
      <c r="G239" s="17" t="s">
        <v>557</v>
      </c>
    </row>
    <row r="241" customFormat="false" ht="15" hidden="false" customHeight="false" outlineLevel="0" collapsed="false">
      <c r="B241" s="4" t="s">
        <v>765</v>
      </c>
      <c r="C241" s="39" t="n">
        <v>234</v>
      </c>
    </row>
    <row r="242" customFormat="false" ht="15" hidden="false" customHeight="false" outlineLevel="0" collapsed="false">
      <c r="B242" s="4" t="s">
        <v>766</v>
      </c>
      <c r="C242" s="39" t="n">
        <f aca="false">COUNTIF(F6:F239,"PASS")</f>
        <v>234</v>
      </c>
    </row>
    <row r="243" customFormat="false" ht="15" hidden="false" customHeight="false" outlineLevel="0" collapsed="false">
      <c r="B243" s="4" t="s">
        <v>767</v>
      </c>
      <c r="C243" s="39" t="n">
        <f aca="false">COUNTIF(F6:F239,"FAIL")</f>
        <v>0</v>
      </c>
    </row>
    <row r="244" customFormat="false" ht="15" hidden="false" customHeight="false" outlineLevel="0" collapsed="false">
      <c r="B244" s="4" t="s">
        <v>768</v>
      </c>
      <c r="C244" s="27" t="str">
        <f aca="false">IF(COUNTIF(F6:F239,"FAIL")=0,"ALL CHECKS PASS","SOME CHECKS FAIL")</f>
        <v>ALL CHECKS PASS</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2026-09-17T18:04:50Z</dcterms:created>
  <dc:creator>openpyxl</dc:creator>
  <dc:description/>
  <dc:language>en-US</dc:language>
  <cp:lastModifiedBy/>
  <dcterms:modified xsi:type="dcterms:W3CDTF">2026-09-17T18:04:52Z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