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1. Inputs" sheetId="2" state="visible" r:id="rId4"/>
    <sheet name="2. The hold" sheetId="3" state="visible" r:id="rId5"/>
    <sheet name="3. The bridge" sheetId="4" state="visible" r:id="rId6"/>
    <sheet name="4. Conventions" sheetId="5" state="visible" r:id="rId7"/>
    <sheet name="5. Leverage" sheetId="6" state="visible" r:id="rId8"/>
    <sheet name="6. Reconciliation" sheetId="7" state="visible" r:id="rId9"/>
    <sheet name="7. 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<sst xmlns="http://schemas.openxmlformats.org/spreadsheetml/2006/main" count="175" uniqueCount="171">
  <si>
    <t xml:space="preserve">The Vireo Bridge, Built in Full</t>
  </si>
  <si>
    <t xml:space="preserve">Companion workbook to The Private Equity Operating Partner — Julian R. Sterling</t>
  </si>
  <si>
    <t xml:space="preserve">What this workbook does</t>
  </si>
  <si>
    <t xml:space="preserve">Chapter 13 is about building the value creation bridge, and it does not build one. This workbook builds it: entry to exit, reconciling to the last cent, with every arguable convention named and its effect measured.</t>
  </si>
  <si>
    <t xml:space="preserve">Amber cells are inputs. Change them. Grey cells are computed and will move.</t>
  </si>
  <si>
    <t xml:space="preserve">The three things worth knowing</t>
  </si>
  <si>
    <t xml:space="preserve">1. Operating work is 41% of the value created. Deleveraging - which no operating partner performs - is 20%, almost as much. Market and multiple are another 14.5%.</t>
  </si>
  <si>
    <t xml:space="preserve">2. The add-on programme looks like it created 28.50. Net of the 12.00 of cash it cost, it created 16.50. The gross figure overstates it by 73%.</t>
  </si>
  <si>
    <t xml:space="preserve">3. The cross-term is 7.35 and cannot be assigned. Depending on convention, market re-rating contributed either 9.80 or 17.15 - a 75% swing on the one bucket a buyer discounts.</t>
  </si>
  <si>
    <t xml:space="preserve">The sheets</t>
  </si>
  <si>
    <t xml:space="preserve">1. Inputs — the deal, in fourteen numbers.</t>
  </si>
  <si>
    <t xml:space="preserve">2. The hold — five years of EBITDA, interest, capex, tax, cash flow and debt.</t>
  </si>
  <si>
    <t xml:space="preserve">3. The bridge — entry equity to exit equity, six buckets, residual zero.</t>
  </si>
  <si>
    <t xml:space="preserve">4. Conventions — what the cross-term does to the story, three ways.</t>
  </si>
  <si>
    <t xml:space="preserve">5. Leverage — what more debt changes, and what it does not.</t>
  </si>
  <si>
    <t xml:space="preserve">6. Reconciliation — the eighteen-month gross-to-net the chapter describes and never performs.</t>
  </si>
  <si>
    <t xml:space="preserve">7. Checks — every figure in the appendix, tested.</t>
  </si>
  <si>
    <t xml:space="preserve">Vireo Health Services</t>
  </si>
  <si>
    <t xml:space="preserve">Entry EBITDA</t>
  </si>
  <si>
    <t xml:space="preserve">The figure Chapter 13 gives.</t>
  </si>
  <si>
    <t xml:space="preserve">Entry multiple</t>
  </si>
  <si>
    <t xml:space="preserve">Exit multiple</t>
  </si>
  <si>
    <t xml:space="preserve">Seven tenths of a turn above entry.</t>
  </si>
  <si>
    <t xml:space="preserve">Entry leverage (x EBITDA)</t>
  </si>
  <si>
    <t xml:space="preserve">Cost of debt</t>
  </si>
  <si>
    <t xml:space="preserve">Cash tax rate</t>
  </si>
  <si>
    <t xml:space="preserve">Capex as a share of EBITDA</t>
  </si>
  <si>
    <t xml:space="preserve">Hold (years)</t>
  </si>
  <si>
    <t xml:space="preserve">Add-on purchase price</t>
  </si>
  <si>
    <t xml:space="preserve">Paid in cash, from free cash flow.</t>
  </si>
  <si>
    <t xml:space="preserve">Add-on EBITDA acquired</t>
  </si>
  <si>
    <t xml:space="preserve">Year the add-ons close</t>
  </si>
  <si>
    <t xml:space="preserve">The EBITDA path, by source</t>
  </si>
  <si>
    <t xml:space="preserve">Year</t>
  </si>
  <si>
    <t xml:space="preserve">Organic</t>
  </si>
  <si>
    <t xml:space="preserve">Market</t>
  </si>
  <si>
    <t xml:space="preserve">Acquired</t>
  </si>
  <si>
    <t xml:space="preserve">Total</t>
  </si>
  <si>
    <t xml:space="preserve">Entry enterprise value</t>
  </si>
  <si>
    <t xml:space="preserve">Entry net debt</t>
  </si>
  <si>
    <t xml:space="preserve">ENTRY EQUITY</t>
  </si>
  <si>
    <t xml:space="preserve">Organic cum.</t>
  </si>
  <si>
    <t xml:space="preserve">Market cum.</t>
  </si>
  <si>
    <t xml:space="preserve">Acquired cum.</t>
  </si>
  <si>
    <t xml:space="preserve">EBITDA</t>
  </si>
  <si>
    <t xml:space="preserve">Opening debt</t>
  </si>
  <si>
    <t xml:space="preserve">Interest</t>
  </si>
  <si>
    <t xml:space="preserve">Capex</t>
  </si>
  <si>
    <t xml:space="preserve">Cash tax</t>
  </si>
  <si>
    <t xml:space="preserve">Free cash flow</t>
  </si>
  <si>
    <t xml:space="preserve">Add-on paid</t>
  </si>
  <si>
    <t xml:space="preserve">Closing debt</t>
  </si>
  <si>
    <t xml:space="preserve">Exit EBITDA</t>
  </si>
  <si>
    <t xml:space="preserve">Exit enterprise value</t>
  </si>
  <si>
    <t xml:space="preserve">Exit net debt</t>
  </si>
  <si>
    <t xml:space="preserve">EXIT EQUITY</t>
  </si>
  <si>
    <t xml:space="preserve">Money multiple</t>
  </si>
  <si>
    <t xml:space="preserve">Internal rate of return</t>
  </si>
  <si>
    <t xml:space="preserve">Debt repaid over the hold</t>
  </si>
  <si>
    <t xml:space="preserve">Entry equity to exit equity, six buckets</t>
  </si>
  <si>
    <t xml:space="preserve">Bucket</t>
  </si>
  <si>
    <t xml:space="preserve">Value</t>
  </si>
  <si>
    <t xml:space="preserve">Share</t>
  </si>
  <si>
    <t xml:space="preserve">Organic EBITDA growth at the entry multiple</t>
  </si>
  <si>
    <t xml:space="preserve">The operating partner's work.</t>
  </si>
  <si>
    <t xml:space="preserve">Acquired EBITDA at the entry multiple (GROSS)</t>
  </si>
  <si>
    <t xml:space="preserve">Before the cash it cost. See row 14.</t>
  </si>
  <si>
    <t xml:space="preserve">Market-driven EBITDA at the entry multiple</t>
  </si>
  <si>
    <t xml:space="preserve">Attributable to nobody in the firm.</t>
  </si>
  <si>
    <t xml:space="preserve">Multiple expansion on entry EBITDA</t>
  </si>
  <si>
    <t xml:space="preserve">Re-rating.</t>
  </si>
  <si>
    <t xml:space="preserve">Cross-term: growth x expansion</t>
  </si>
  <si>
    <t xml:space="preserve">Belongs to both and to neither. See sheet 4.</t>
  </si>
  <si>
    <t xml:space="preserve">Deleveraging</t>
  </si>
  <si>
    <t xml:space="preserve">Debt repaid out of operating cash.</t>
  </si>
  <si>
    <t xml:space="preserve">TOTAL</t>
  </si>
  <si>
    <t xml:space="preserve">Equity actually created</t>
  </si>
  <si>
    <t xml:space="preserve">RESIDUAL</t>
  </si>
  <si>
    <t xml:space="preserve">Must be zero. A bridge with a residual is not a bridge.</t>
  </si>
  <si>
    <t xml:space="preserve">Add-on cash paid</t>
  </si>
  <si>
    <t xml:space="preserve">Add-ons, NET contribution</t>
  </si>
  <si>
    <t xml:space="preserve">Overstatement of the gross figure</t>
  </si>
  <si>
    <t xml:space="preserve">Purchase multiple paid</t>
  </si>
  <si>
    <t xml:space="preserve">Exit multiple of the platform</t>
  </si>
  <si>
    <t xml:space="preserve">The arbitrage is the real story, not the gross number.</t>
  </si>
  <si>
    <t xml:space="preserve">Operating work is bucket 1. Deleveraging - which no operating partner performs - is bucket 6. Read their two shares side by side before writing the value creation deck.</t>
  </si>
  <si>
    <t xml:space="preserve">The cross-term: three conventions, three stories</t>
  </si>
  <si>
    <t xml:space="preserve">Enterprise value is EBITDA times a multiple. When both move, the change has three parts. The third belongs to both and to neither.</t>
  </si>
  <si>
    <t xml:space="preserve">Growth buckets (organic + acquired + market)</t>
  </si>
  <si>
    <t xml:space="preserve">Multiple expansion</t>
  </si>
  <si>
    <t xml:space="preserve">Cross-term</t>
  </si>
  <si>
    <t xml:space="preserve">Cross-term as a share of value created</t>
  </si>
  <si>
    <t xml:space="preserve">Convention</t>
  </si>
  <si>
    <t xml:space="preserve">Growth</t>
  </si>
  <si>
    <t xml:space="preserve">Multiple</t>
  </si>
  <si>
    <t xml:space="preserve">A - assign the cross-term entirely to growth</t>
  </si>
  <si>
    <t xml:space="preserve">B - assign it entirely to the multiple</t>
  </si>
  <si>
    <t xml:space="preserve">C - split it in proportion</t>
  </si>
  <si>
    <t xml:space="preserve">Swing on the GROWTH bucket, A against B</t>
  </si>
  <si>
    <t xml:space="preserve">Noticeable, survivable.</t>
  </si>
  <si>
    <t xml:space="preserve">Swing on the MULTIPLE bucket, A against B</t>
  </si>
  <si>
    <t xml:space="preserve">The one a buyer discounts.</t>
  </si>
  <si>
    <t xml:space="preserve">A seller has a direct incentive to choose the convention that starves the multiple bucket, and nothing in the arithmetic stops them. The defensible practice is to show the cross-term as its own line and let the buyer allocate it.</t>
  </si>
  <si>
    <t xml:space="preserve">What more debt changes, and what it does not</t>
  </si>
  <si>
    <t xml:space="preserve">Leverage</t>
  </si>
  <si>
    <t xml:space="preserve">Entry equity</t>
  </si>
  <si>
    <t xml:space="preserve">Exit equity</t>
  </si>
  <si>
    <t xml:space="preserve">MOIC</t>
  </si>
  <si>
    <t xml:space="preserve">IRR</t>
  </si>
  <si>
    <t xml:space="preserve">Organic share</t>
  </si>
  <si>
    <t xml:space="preserve">Organic contribution, in value, at 3.5x</t>
  </si>
  <si>
    <t xml:space="preserve">Organic contribution, in value, at 6.5x</t>
  </si>
  <si>
    <t xml:space="preserve">Identical. It is a property of the business, not the balance sheet.</t>
  </si>
  <si>
    <t xml:space="preserve">Organic SHARE rises with leverage</t>
  </si>
  <si>
    <t xml:space="preserve">More debt means more interest, less cash, a smaller deleveraging bucket.</t>
  </si>
  <si>
    <t xml:space="preserve">Leverage does not change what the operating work is worth. It changes the size of the equity base that work is measured against - which changes the multiple of money and changes nothing about the value created.</t>
  </si>
  <si>
    <t xml:space="preserve">Eighteen months: gross initiative impact against net EBITDA movement</t>
  </si>
  <si>
    <t xml:space="preserve">Chapter 13 gives three numbers - 6.2 gross, 14.0 entry, 4.1 net - and says a reconciliation was built. This is the reconciliation.</t>
  </si>
  <si>
    <t xml:space="preserve">Line</t>
  </si>
  <si>
    <t xml:space="preserve">Impact</t>
  </si>
  <si>
    <t xml:space="preserve">Caregiver scheduling optimisation</t>
  </si>
  <si>
    <t xml:space="preserve">Payer contract renegotiation</t>
  </si>
  <si>
    <t xml:space="preserve">New-market expansion</t>
  </si>
  <si>
    <t xml:space="preserve">Corporate overhead reduction</t>
  </si>
  <si>
    <t xml:space="preserve">GROSS INITIATIVE IMPACT</t>
  </si>
  <si>
    <t xml:space="preserve">Wage inflation in the caregiver labour market</t>
  </si>
  <si>
    <t xml:space="preserve">Licensing delay in the new market</t>
  </si>
  <si>
    <t xml:space="preserve">HEADWINDS</t>
  </si>
  <si>
    <t xml:space="preserve">NET EBITDA MOVEMENT</t>
  </si>
  <si>
    <t xml:space="preserve">Gross, as a share of entry EBITDA</t>
  </si>
  <si>
    <t xml:space="preserve">Net, as a share of entry EBITDA</t>
  </si>
  <si>
    <t xml:space="preserve">The gap</t>
  </si>
  <si>
    <t xml:space="preserve">Priced at the entry multiple</t>
  </si>
  <si>
    <t xml:space="preserve">Enterprise value the board would have mis-stated.</t>
  </si>
  <si>
    <t xml:space="preserve">As a share of the equity invested</t>
  </si>
  <si>
    <t xml:space="preserve">An unreconciled gross number is not a reporting inconvenience. It is a mispricing of the fund's own position, carried in the board pack quarter after quarter, until a buyer finds it.</t>
  </si>
  <si>
    <t xml:space="preserve">#</t>
  </si>
  <si>
    <t xml:space="preserve">What is tested</t>
  </si>
  <si>
    <t xml:space="preserve">Verdict</t>
  </si>
  <si>
    <t xml:space="preserve">Entry equity is 70.0</t>
  </si>
  <si>
    <t xml:space="preserve">Exit EBITDA is 24.5, as the deal was built</t>
  </si>
  <si>
    <t xml:space="preserve">Exit enterprise value is 249.9</t>
  </si>
  <si>
    <t xml:space="preserve">Exit equity is 215.73</t>
  </si>
  <si>
    <t xml:space="preserve">Money multiple is 3.08x</t>
  </si>
  <si>
    <t xml:space="preserve">Internal rate of return is 25.25%</t>
  </si>
  <si>
    <t xml:space="preserve">Debt repaid over the hold is 28.83</t>
  </si>
  <si>
    <t xml:space="preserve">THE BRIDGE RECONCILES: residual is zero</t>
  </si>
  <si>
    <t xml:space="preserve">Organic contributes 59.85</t>
  </si>
  <si>
    <t xml:space="preserve">Organic is 41.1% of value created</t>
  </si>
  <si>
    <t xml:space="preserve">Deleveraging is 19.8% - nearly as much as the operating work</t>
  </si>
  <si>
    <t xml:space="preserve">Market and multiple together are 14.5%</t>
  </si>
  <si>
    <t xml:space="preserve">Add-ons: gross 28.50</t>
  </si>
  <si>
    <t xml:space="preserve">Add-ons: net of the cash paid, 16.50</t>
  </si>
  <si>
    <t xml:space="preserve">The gross figure overstates the add-ons by 73%</t>
  </si>
  <si>
    <t xml:space="preserve">Add-ons bought at 4.0x into a 10.2x platform</t>
  </si>
  <si>
    <t xml:space="preserve">Cross-term is 7.35</t>
  </si>
  <si>
    <t xml:space="preserve">Cross-term is 5.0% of value created</t>
  </si>
  <si>
    <t xml:space="preserve">Convention A gives growth 107.10</t>
  </si>
  <si>
    <t xml:space="preserve">Convention B gives the multiple 17.15</t>
  </si>
  <si>
    <t xml:space="preserve">The MULTIPLE bucket swings 75% on convention alone</t>
  </si>
  <si>
    <t xml:space="preserve">The GROWTH bucket swings only 7.4%</t>
  </si>
  <si>
    <t xml:space="preserve">At 3.5x leverage the MOIC is 2.80x</t>
  </si>
  <si>
    <t xml:space="preserve">At 6.5x leverage the MOIC is 4.23x</t>
  </si>
  <si>
    <t xml:space="preserve">ORGANIC SHARE RISES WITH LEVERAGE, it does not fall</t>
  </si>
  <si>
    <t xml:space="preserve">and it rises by 4.5 points from 3.5x to 6.5x</t>
  </si>
  <si>
    <t xml:space="preserve">Organic value is IDENTICAL at every leverage</t>
  </si>
  <si>
    <t xml:space="preserve">18 months: gross initiative impact is 6.2</t>
  </si>
  <si>
    <t xml:space="preserve">18 months: headwinds are -2.1</t>
  </si>
  <si>
    <t xml:space="preserve">18 months: net movement is 4.1, the figure in the book</t>
  </si>
  <si>
    <t xml:space="preserve">The 2.1 gap prices at 19.95 of enterprise value</t>
  </si>
  <si>
    <t xml:space="preserve">which is 28.5% of the equity invested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</si>
</sst>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0.00\x"/>
    <numFmt numFmtId="167" formatCode="0.00%"/>
    <numFmt numFmtId="168" formatCode="0.0%"/>
    <numFmt numFmtId="169" formatCode="0.00000000"/>
    <numFmt numFmtId="170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72A42"/>
      <name val="Cambria"/>
      <family val="0"/>
      <charset val="1"/>
    </font>
    <font>
      <i val="true"/>
      <sz val="11"/>
      <color rgb="FF172A42"/>
      <name val="Cambria"/>
      <family val="0"/>
      <charset val="1"/>
    </font>
    <font>
      <b val="true"/>
      <sz val="12"/>
      <color rgb="FF172A42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color rgb="FF172A42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3D6"/>
        <bgColor rgb="FFEFF3F8"/>
      </patternFill>
    </fill>
    <fill>
      <patternFill patternType="solid">
        <fgColor rgb="FF172A42"/>
        <bgColor rgb="FF003366"/>
      </patternFill>
    </fill>
    <fill>
      <patternFill patternType="solid">
        <fgColor rgb="FFEFF3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3D6"/>
      <rgbColor rgb="FFEFF3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72A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5" hidden="false" customHeight="true" outlineLevel="0" collapsed="false">
      <c r="A1" s="1" t="s">
        <v>0</v>
      </c>
    </row>
    <row r="2" customFormat="false" ht="15" hidden="false" customHeight="true" outlineLevel="0" collapsed="false">
      <c r="A2" s="2" t="s">
        <v>1</v>
      </c>
    </row>
    <row r="3" customFormat="false" ht="15" hidden="false" customHeight="true" outlineLevel="0" collapsed="false">
      <c r="A3" s="3"/>
    </row>
    <row r="4" customFormat="false" ht="15" hidden="false" customHeight="true" outlineLevel="0" collapsed="false">
      <c r="A4" s="4" t="s">
        <v>2</v>
      </c>
    </row>
    <row r="5" customFormat="false" ht="45" hidden="false" customHeight="true" outlineLevel="0" collapsed="false">
      <c r="A5" s="3" t="s">
        <v>3</v>
      </c>
    </row>
    <row r="6" customFormat="false" ht="15" hidden="false" customHeight="true" outlineLevel="0" collapsed="false">
      <c r="A6" s="3"/>
    </row>
    <row r="7" customFormat="false" ht="15" hidden="false" customHeight="true" outlineLevel="0" collapsed="false">
      <c r="A7" s="5" t="s">
        <v>4</v>
      </c>
    </row>
    <row r="8" customFormat="false" ht="15" hidden="false" customHeight="true" outlineLevel="0" collapsed="false">
      <c r="A8" s="3"/>
    </row>
    <row r="9" customFormat="false" ht="15" hidden="false" customHeight="true" outlineLevel="0" collapsed="false">
      <c r="A9" s="4" t="s">
        <v>5</v>
      </c>
    </row>
    <row r="10" customFormat="false" ht="30" hidden="false" customHeight="true" outlineLevel="0" collapsed="false">
      <c r="A10" s="3" t="s">
        <v>6</v>
      </c>
    </row>
    <row r="11" customFormat="false" ht="30" hidden="false" customHeight="true" outlineLevel="0" collapsed="false">
      <c r="A11" s="3" t="s">
        <v>7</v>
      </c>
    </row>
    <row r="12" customFormat="false" ht="30" hidden="false" customHeight="true" outlineLevel="0" collapsed="false">
      <c r="A12" s="3" t="s">
        <v>8</v>
      </c>
    </row>
    <row r="13" customFormat="false" ht="15" hidden="false" customHeight="true" outlineLevel="0" collapsed="false">
      <c r="A13" s="3"/>
    </row>
    <row r="14" customFormat="false" ht="15" hidden="false" customHeight="true" outlineLevel="0" collapsed="false">
      <c r="A14" s="4" t="s">
        <v>9</v>
      </c>
    </row>
    <row r="15" customFormat="false" ht="15" hidden="false" customHeight="true" outlineLevel="0" collapsed="false">
      <c r="A15" s="3" t="s">
        <v>10</v>
      </c>
    </row>
    <row r="16" customFormat="false" ht="15" hidden="false" customHeight="true" outlineLevel="0" collapsed="false">
      <c r="A16" s="3" t="s">
        <v>11</v>
      </c>
    </row>
    <row r="17" customFormat="false" ht="15" hidden="false" customHeight="true" outlineLevel="0" collapsed="false">
      <c r="A17" s="3" t="s">
        <v>12</v>
      </c>
    </row>
    <row r="18" customFormat="false" ht="15" hidden="false" customHeight="true" outlineLevel="0" collapsed="false">
      <c r="A18" s="3" t="s">
        <v>13</v>
      </c>
    </row>
    <row r="19" customFormat="false" ht="15" hidden="false" customHeight="true" outlineLevel="0" collapsed="false">
      <c r="A19" s="3" t="s">
        <v>14</v>
      </c>
    </row>
    <row r="20" customFormat="false" ht="15" hidden="false" customHeight="true" outlineLevel="0" collapsed="false">
      <c r="A20" s="3" t="s">
        <v>15</v>
      </c>
    </row>
    <row r="21" customFormat="false" ht="15" hidden="false" customHeight="true" outlineLevel="0" collapsed="false">
      <c r="A21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6" t="s">
        <v>17</v>
      </c>
    </row>
    <row r="3" customFormat="false" ht="15" hidden="false" customHeight="false" outlineLevel="0" collapsed="false">
      <c r="A3" s="7" t="s">
        <v>18</v>
      </c>
      <c r="B3" s="8" t="n">
        <v>14</v>
      </c>
      <c r="C3" s="9" t="s">
        <v>19</v>
      </c>
    </row>
    <row r="4" customFormat="false" ht="15" hidden="false" customHeight="false" outlineLevel="0" collapsed="false">
      <c r="A4" s="7" t="s">
        <v>20</v>
      </c>
      <c r="B4" s="10" t="n">
        <v>9.5</v>
      </c>
      <c r="C4" s="9"/>
    </row>
    <row r="5" customFormat="false" ht="15" hidden="false" customHeight="false" outlineLevel="0" collapsed="false">
      <c r="A5" s="7" t="s">
        <v>21</v>
      </c>
      <c r="B5" s="10" t="n">
        <v>10.2</v>
      </c>
      <c r="C5" s="9" t="s">
        <v>22</v>
      </c>
    </row>
    <row r="6" customFormat="false" ht="15" hidden="false" customHeight="false" outlineLevel="0" collapsed="false">
      <c r="A6" s="7" t="s">
        <v>23</v>
      </c>
      <c r="B6" s="10" t="n">
        <v>4.5</v>
      </c>
      <c r="C6" s="9"/>
    </row>
    <row r="7" customFormat="false" ht="15" hidden="false" customHeight="false" outlineLevel="0" collapsed="false">
      <c r="A7" s="7" t="s">
        <v>24</v>
      </c>
      <c r="B7" s="11" t="n">
        <v>0.085</v>
      </c>
      <c r="C7" s="9"/>
    </row>
    <row r="8" customFormat="false" ht="15" hidden="false" customHeight="false" outlineLevel="0" collapsed="false">
      <c r="A8" s="7" t="s">
        <v>25</v>
      </c>
      <c r="B8" s="11" t="n">
        <v>0.25</v>
      </c>
      <c r="C8" s="9"/>
    </row>
    <row r="9" customFormat="false" ht="15" hidden="false" customHeight="false" outlineLevel="0" collapsed="false">
      <c r="A9" s="7" t="s">
        <v>26</v>
      </c>
      <c r="B9" s="11" t="n">
        <v>0.25</v>
      </c>
      <c r="C9" s="9"/>
    </row>
    <row r="10" customFormat="false" ht="15" hidden="false" customHeight="false" outlineLevel="0" collapsed="false">
      <c r="A10" s="7" t="s">
        <v>27</v>
      </c>
      <c r="B10" s="12" t="n">
        <v>5</v>
      </c>
      <c r="C10" s="9"/>
    </row>
    <row r="11" customFormat="false" ht="15" hidden="false" customHeight="false" outlineLevel="0" collapsed="false">
      <c r="A11" s="7" t="s">
        <v>28</v>
      </c>
      <c r="B11" s="8" t="n">
        <v>12</v>
      </c>
      <c r="C11" s="9" t="s">
        <v>29</v>
      </c>
    </row>
    <row r="12" customFormat="false" ht="15" hidden="false" customHeight="false" outlineLevel="0" collapsed="false">
      <c r="A12" s="7" t="s">
        <v>30</v>
      </c>
      <c r="B12" s="8" t="n">
        <v>3</v>
      </c>
      <c r="C12" s="9"/>
    </row>
    <row r="13" customFormat="false" ht="15" hidden="false" customHeight="false" outlineLevel="0" collapsed="false">
      <c r="A13" s="7" t="s">
        <v>31</v>
      </c>
      <c r="B13" s="12" t="n">
        <v>2</v>
      </c>
      <c r="C13" s="9"/>
    </row>
    <row r="15" customFormat="false" ht="15" hidden="false" customHeight="false" outlineLevel="0" collapsed="false">
      <c r="A15" s="6" t="s">
        <v>32</v>
      </c>
    </row>
    <row r="16" customFormat="false" ht="28.35" hidden="false" customHeight="false" outlineLevel="0" collapsed="false">
      <c r="A16" s="13" t="s">
        <v>33</v>
      </c>
      <c r="B16" s="13" t="s">
        <v>34</v>
      </c>
      <c r="C16" s="13" t="s">
        <v>35</v>
      </c>
      <c r="D16" s="13" t="s">
        <v>36</v>
      </c>
    </row>
    <row r="17" customFormat="false" ht="15" hidden="false" customHeight="false" outlineLevel="0" collapsed="false">
      <c r="A17" s="7" t="n">
        <v>1</v>
      </c>
      <c r="B17" s="8" t="n">
        <v>0.9</v>
      </c>
      <c r="C17" s="8" t="n">
        <v>0.2</v>
      </c>
      <c r="D17" s="14" t="n">
        <f aca="false">IF(A17=$B$13,$B$12,0)</f>
        <v>0</v>
      </c>
    </row>
    <row r="18" customFormat="false" ht="15" hidden="false" customHeight="false" outlineLevel="0" collapsed="false">
      <c r="A18" s="7" t="n">
        <v>2</v>
      </c>
      <c r="B18" s="8" t="n">
        <v>1.7</v>
      </c>
      <c r="C18" s="8" t="n">
        <v>0.3</v>
      </c>
      <c r="D18" s="14" t="n">
        <f aca="false">IF(A18=$B$13,$B$12,0)</f>
        <v>3</v>
      </c>
    </row>
    <row r="19" customFormat="false" ht="15" hidden="false" customHeight="false" outlineLevel="0" collapsed="false">
      <c r="A19" s="7" t="n">
        <v>3</v>
      </c>
      <c r="B19" s="8" t="n">
        <v>1.5</v>
      </c>
      <c r="C19" s="8" t="n">
        <v>0.2</v>
      </c>
      <c r="D19" s="14" t="n">
        <f aca="false">IF(A19=$B$13,$B$12,0)</f>
        <v>0</v>
      </c>
    </row>
    <row r="20" customFormat="false" ht="15" hidden="false" customHeight="false" outlineLevel="0" collapsed="false">
      <c r="A20" s="7" t="n">
        <v>4</v>
      </c>
      <c r="B20" s="8" t="n">
        <v>1.2</v>
      </c>
      <c r="C20" s="8" t="n">
        <v>0.3</v>
      </c>
      <c r="D20" s="14" t="n">
        <f aca="false">IF(A20=$B$13,$B$12,0)</f>
        <v>0</v>
      </c>
    </row>
    <row r="21" customFormat="false" ht="15" hidden="false" customHeight="false" outlineLevel="0" collapsed="false">
      <c r="A21" s="7" t="n">
        <v>5</v>
      </c>
      <c r="B21" s="8" t="n">
        <v>1</v>
      </c>
      <c r="C21" s="8" t="n">
        <v>0.2</v>
      </c>
      <c r="D21" s="14" t="n">
        <f aca="false">IF(A21=$B$13,$B$12,0)</f>
        <v>0</v>
      </c>
    </row>
    <row r="22" customFormat="false" ht="15" hidden="false" customHeight="false" outlineLevel="0" collapsed="false">
      <c r="A22" s="15" t="s">
        <v>37</v>
      </c>
      <c r="B22" s="16" t="n">
        <f aca="false">SUM(B17:B21)</f>
        <v>6.3</v>
      </c>
      <c r="C22" s="16" t="n">
        <f aca="false">SUM(C17:C21)</f>
        <v>1.2</v>
      </c>
      <c r="D22" s="16" t="n">
        <f aca="false">SUM(D17:D21)</f>
        <v>3</v>
      </c>
    </row>
    <row r="24" customFormat="false" ht="15" hidden="false" customHeight="false" outlineLevel="0" collapsed="false">
      <c r="A24" s="17" t="s">
        <v>38</v>
      </c>
      <c r="B24" s="16" t="n">
        <f aca="false">B3*B4</f>
        <v>133</v>
      </c>
      <c r="C24" s="9"/>
    </row>
    <row r="25" customFormat="false" ht="15" hidden="false" customHeight="false" outlineLevel="0" collapsed="false">
      <c r="A25" s="7" t="s">
        <v>39</v>
      </c>
      <c r="B25" s="14" t="n">
        <f aca="false">B3*B6</f>
        <v>63</v>
      </c>
      <c r="C25" s="9"/>
    </row>
    <row r="26" customFormat="false" ht="15" hidden="false" customHeight="false" outlineLevel="0" collapsed="false">
      <c r="A26" s="17" t="s">
        <v>40</v>
      </c>
      <c r="B26" s="16" t="n">
        <f aca="false">B24-B25</f>
        <v>70</v>
      </c>
      <c r="C26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4" min="2" style="0" width="13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9" min="7" style="0" width="12"/>
    <col collapsed="false" customWidth="true" hidden="false" outlineLevel="0" max="10" min="10" style="0" width="15"/>
    <col collapsed="false" customWidth="true" hidden="false" outlineLevel="0" max="11" min="11" style="0" width="12"/>
    <col collapsed="false" customWidth="true" hidden="false" outlineLevel="0" max="12" min="12" style="0" width="14"/>
  </cols>
  <sheetData>
    <row r="1" customFormat="false" ht="28.35" hidden="false" customHeight="false" outlineLevel="0" collapsed="false">
      <c r="A1" s="13" t="s">
        <v>33</v>
      </c>
      <c r="B1" s="13" t="s">
        <v>41</v>
      </c>
      <c r="C1" s="13" t="s">
        <v>42</v>
      </c>
      <c r="D1" s="13" t="s">
        <v>43</v>
      </c>
      <c r="E1" s="13" t="s">
        <v>44</v>
      </c>
      <c r="F1" s="13" t="s">
        <v>45</v>
      </c>
      <c r="G1" s="13" t="s">
        <v>46</v>
      </c>
      <c r="H1" s="13" t="s">
        <v>47</v>
      </c>
      <c r="I1" s="13" t="s">
        <v>48</v>
      </c>
      <c r="J1" s="13" t="s">
        <v>49</v>
      </c>
      <c r="K1" s="13" t="s">
        <v>50</v>
      </c>
      <c r="L1" s="13" t="s">
        <v>51</v>
      </c>
    </row>
    <row r="2" customFormat="false" ht="15" hidden="false" customHeight="false" outlineLevel="0" collapsed="false">
      <c r="A2" s="0" t="n">
        <v>1</v>
      </c>
      <c r="B2" s="14" t="n">
        <f aca="false">SUM('1. Inputs'!B$17:B17)</f>
        <v>0.9</v>
      </c>
      <c r="C2" s="14" t="n">
        <f aca="false">SUM('1. Inputs'!C$17:C17)</f>
        <v>0.2</v>
      </c>
      <c r="D2" s="14" t="n">
        <f aca="false">SUM('1. Inputs'!D$17:D17)</f>
        <v>0</v>
      </c>
      <c r="E2" s="14" t="n">
        <f aca="false">'1. Inputs'!$B$3+B2+C2+D2</f>
        <v>15.1</v>
      </c>
      <c r="F2" s="14" t="n">
        <f aca="false">'1. Inputs'!$B$25</f>
        <v>63</v>
      </c>
      <c r="G2" s="14" t="n">
        <f aca="false">F2*'1. Inputs'!$B$7</f>
        <v>5.355</v>
      </c>
      <c r="H2" s="14" t="n">
        <f aca="false">E2*'1. Inputs'!$B$9</f>
        <v>3.775</v>
      </c>
      <c r="I2" s="14" t="n">
        <f aca="false">'1. Inputs'!$B$8*MAX(0,E2-H2-G2)</f>
        <v>1.4925</v>
      </c>
      <c r="J2" s="14" t="n">
        <f aca="false">E2-H2-I2-G2</f>
        <v>4.4775</v>
      </c>
      <c r="K2" s="14" t="n">
        <f aca="false">IF(A2='1. Inputs'!$B$13,'1. Inputs'!$B$11,0)</f>
        <v>0</v>
      </c>
      <c r="L2" s="14" t="n">
        <f aca="false">F2-J2+K2</f>
        <v>58.5225</v>
      </c>
    </row>
    <row r="3" customFormat="false" ht="15" hidden="false" customHeight="false" outlineLevel="0" collapsed="false">
      <c r="A3" s="0" t="n">
        <v>2</v>
      </c>
      <c r="B3" s="14" t="n">
        <f aca="false">SUM('1. Inputs'!B$17:B18)</f>
        <v>2.6</v>
      </c>
      <c r="C3" s="14" t="n">
        <f aca="false">SUM('1. Inputs'!C$17:C18)</f>
        <v>0.5</v>
      </c>
      <c r="D3" s="14" t="n">
        <f aca="false">SUM('1. Inputs'!D$17:D18)</f>
        <v>3</v>
      </c>
      <c r="E3" s="14" t="n">
        <f aca="false">'1. Inputs'!$B$3+B3+C3+D3</f>
        <v>20.1</v>
      </c>
      <c r="F3" s="14" t="n">
        <f aca="false">L2</f>
        <v>58.5225</v>
      </c>
      <c r="G3" s="14" t="n">
        <f aca="false">F3*'1. Inputs'!$B$7</f>
        <v>4.9744125</v>
      </c>
      <c r="H3" s="14" t="n">
        <f aca="false">E3*'1. Inputs'!$B$9</f>
        <v>5.025</v>
      </c>
      <c r="I3" s="14" t="n">
        <f aca="false">'1. Inputs'!$B$8*MAX(0,E3-H3-G3)</f>
        <v>2.525146875</v>
      </c>
      <c r="J3" s="14" t="n">
        <f aca="false">E3-H3-I3-G3</f>
        <v>7.575440625</v>
      </c>
      <c r="K3" s="14" t="n">
        <f aca="false">IF(A3='1. Inputs'!$B$13,'1. Inputs'!$B$11,0)</f>
        <v>12</v>
      </c>
      <c r="L3" s="14" t="n">
        <f aca="false">F3-J3+K3</f>
        <v>62.947059375</v>
      </c>
    </row>
    <row r="4" customFormat="false" ht="15" hidden="false" customHeight="false" outlineLevel="0" collapsed="false">
      <c r="A4" s="0" t="n">
        <v>3</v>
      </c>
      <c r="B4" s="14" t="n">
        <f aca="false">SUM('1. Inputs'!B$17:B19)</f>
        <v>4.1</v>
      </c>
      <c r="C4" s="14" t="n">
        <f aca="false">SUM('1. Inputs'!C$17:C19)</f>
        <v>0.7</v>
      </c>
      <c r="D4" s="14" t="n">
        <f aca="false">SUM('1. Inputs'!D$17:D19)</f>
        <v>3</v>
      </c>
      <c r="E4" s="14" t="n">
        <f aca="false">'1. Inputs'!$B$3+B4+C4+D4</f>
        <v>21.8</v>
      </c>
      <c r="F4" s="14" t="n">
        <f aca="false">L3</f>
        <v>62.947059375</v>
      </c>
      <c r="G4" s="14" t="n">
        <f aca="false">F4*'1. Inputs'!$B$7</f>
        <v>5.350500046875</v>
      </c>
      <c r="H4" s="14" t="n">
        <f aca="false">E4*'1. Inputs'!$B$9</f>
        <v>5.45</v>
      </c>
      <c r="I4" s="14" t="n">
        <f aca="false">'1. Inputs'!$B$8*MAX(0,E4-H4-G4)</f>
        <v>2.74987498828125</v>
      </c>
      <c r="J4" s="14" t="n">
        <f aca="false">E4-H4-I4-G4</f>
        <v>8.24962496484375</v>
      </c>
      <c r="K4" s="14" t="n">
        <f aca="false">IF(A4='1. Inputs'!$B$13,'1. Inputs'!$B$11,0)</f>
        <v>0</v>
      </c>
      <c r="L4" s="14" t="n">
        <f aca="false">F4-J4+K4</f>
        <v>54.6974344101563</v>
      </c>
    </row>
    <row r="5" customFormat="false" ht="15" hidden="false" customHeight="false" outlineLevel="0" collapsed="false">
      <c r="A5" s="0" t="n">
        <v>4</v>
      </c>
      <c r="B5" s="14" t="n">
        <f aca="false">SUM('1. Inputs'!B$17:B20)</f>
        <v>5.3</v>
      </c>
      <c r="C5" s="14" t="n">
        <f aca="false">SUM('1. Inputs'!C$17:C20)</f>
        <v>1</v>
      </c>
      <c r="D5" s="14" t="n">
        <f aca="false">SUM('1. Inputs'!D$17:D20)</f>
        <v>3</v>
      </c>
      <c r="E5" s="14" t="n">
        <f aca="false">'1. Inputs'!$B$3+B5+C5+D5</f>
        <v>23.3</v>
      </c>
      <c r="F5" s="14" t="n">
        <f aca="false">L4</f>
        <v>54.6974344101563</v>
      </c>
      <c r="G5" s="14" t="n">
        <f aca="false">F5*'1. Inputs'!$B$7</f>
        <v>4.64928192486328</v>
      </c>
      <c r="H5" s="14" t="n">
        <f aca="false">E5*'1. Inputs'!$B$9</f>
        <v>5.825</v>
      </c>
      <c r="I5" s="14" t="n">
        <f aca="false">'1. Inputs'!$B$8*MAX(0,E5-H5-G5)</f>
        <v>3.20642951878418</v>
      </c>
      <c r="J5" s="14" t="n">
        <f aca="false">E5-H5-I5-G5</f>
        <v>9.61928855635254</v>
      </c>
      <c r="K5" s="14" t="n">
        <f aca="false">IF(A5='1. Inputs'!$B$13,'1. Inputs'!$B$11,0)</f>
        <v>0</v>
      </c>
      <c r="L5" s="14" t="n">
        <f aca="false">F5-J5+K5</f>
        <v>45.0781458538037</v>
      </c>
    </row>
    <row r="6" customFormat="false" ht="15" hidden="false" customHeight="false" outlineLevel="0" collapsed="false">
      <c r="A6" s="0" t="n">
        <v>5</v>
      </c>
      <c r="B6" s="14" t="n">
        <f aca="false">SUM('1. Inputs'!B$17:B21)</f>
        <v>6.3</v>
      </c>
      <c r="C6" s="14" t="n">
        <f aca="false">SUM('1. Inputs'!C$17:C21)</f>
        <v>1.2</v>
      </c>
      <c r="D6" s="14" t="n">
        <f aca="false">SUM('1. Inputs'!D$17:D21)</f>
        <v>3</v>
      </c>
      <c r="E6" s="14" t="n">
        <f aca="false">'1. Inputs'!$B$3+B6+C6+D6</f>
        <v>24.5</v>
      </c>
      <c r="F6" s="14" t="n">
        <f aca="false">L5</f>
        <v>45.0781458538037</v>
      </c>
      <c r="G6" s="14" t="n">
        <f aca="false">F6*'1. Inputs'!$B$7</f>
        <v>3.83164239757332</v>
      </c>
      <c r="H6" s="14" t="n">
        <f aca="false">E6*'1. Inputs'!$B$9</f>
        <v>6.125</v>
      </c>
      <c r="I6" s="14" t="n">
        <f aca="false">'1. Inputs'!$B$8*MAX(0,E6-H6-G6)</f>
        <v>3.63583940060667</v>
      </c>
      <c r="J6" s="14" t="n">
        <f aca="false">E6-H6-I6-G6</f>
        <v>10.90751820182</v>
      </c>
      <c r="K6" s="14" t="n">
        <f aca="false">IF(A6='1. Inputs'!$B$13,'1. Inputs'!$B$11,0)</f>
        <v>0</v>
      </c>
      <c r="L6" s="14" t="n">
        <f aca="false">F6-J6+K6</f>
        <v>34.1706276519837</v>
      </c>
    </row>
    <row r="8" customFormat="false" ht="15" hidden="false" customHeight="false" outlineLevel="0" collapsed="false">
      <c r="A8" s="17" t="s">
        <v>52</v>
      </c>
      <c r="B8" s="17"/>
      <c r="C8" s="17"/>
      <c r="D8" s="17"/>
      <c r="E8" s="16" t="n">
        <f aca="false">E6</f>
        <v>24.5</v>
      </c>
      <c r="G8" s="9"/>
    </row>
    <row r="9" customFormat="false" ht="15" hidden="false" customHeight="false" outlineLevel="0" collapsed="false">
      <c r="A9" s="17" t="s">
        <v>53</v>
      </c>
      <c r="B9" s="17"/>
      <c r="C9" s="17"/>
      <c r="D9" s="17"/>
      <c r="E9" s="16" t="n">
        <f aca="false">E8*'1. Inputs'!$B$5</f>
        <v>249.9</v>
      </c>
      <c r="G9" s="9"/>
    </row>
    <row r="10" customFormat="false" ht="15" hidden="false" customHeight="false" outlineLevel="0" collapsed="false">
      <c r="A10" s="17" t="s">
        <v>54</v>
      </c>
      <c r="B10" s="17"/>
      <c r="C10" s="17"/>
      <c r="D10" s="17"/>
      <c r="E10" s="16" t="n">
        <f aca="false">L6</f>
        <v>34.1706276519837</v>
      </c>
      <c r="G10" s="9"/>
    </row>
    <row r="11" customFormat="false" ht="15" hidden="false" customHeight="false" outlineLevel="0" collapsed="false">
      <c r="A11" s="17" t="s">
        <v>55</v>
      </c>
      <c r="B11" s="17"/>
      <c r="C11" s="17"/>
      <c r="D11" s="17"/>
      <c r="E11" s="16" t="n">
        <f aca="false">E9-E10</f>
        <v>215.729372348016</v>
      </c>
      <c r="G11" s="9"/>
    </row>
    <row r="12" customFormat="false" ht="15" hidden="false" customHeight="false" outlineLevel="0" collapsed="false">
      <c r="A12" s="17" t="s">
        <v>56</v>
      </c>
      <c r="B12" s="17"/>
      <c r="C12" s="17"/>
      <c r="D12" s="17"/>
      <c r="E12" s="18" t="n">
        <f aca="false">E11/'1. Inputs'!$B$26</f>
        <v>3.08184817640023</v>
      </c>
      <c r="G12" s="9"/>
    </row>
    <row r="13" customFormat="false" ht="15" hidden="false" customHeight="false" outlineLevel="0" collapsed="false">
      <c r="A13" s="17" t="s">
        <v>57</v>
      </c>
      <c r="B13" s="17"/>
      <c r="C13" s="17"/>
      <c r="D13" s="17"/>
      <c r="E13" s="19" t="n">
        <f aca="false">(E11/'1. Inputs'!$B$26)^(1/'1. Inputs'!$B$10)-1</f>
        <v>0.252455337751392</v>
      </c>
      <c r="G13" s="9"/>
    </row>
    <row r="14" customFormat="false" ht="15" hidden="false" customHeight="false" outlineLevel="0" collapsed="false">
      <c r="A14" s="17" t="s">
        <v>58</v>
      </c>
      <c r="B14" s="17"/>
      <c r="C14" s="17"/>
      <c r="D14" s="17"/>
      <c r="E14" s="16" t="n">
        <f aca="false">'1. Inputs'!$B$25-E10</f>
        <v>28.8293723480163</v>
      </c>
      <c r="G14" s="9"/>
    </row>
  </sheetData>
  <mergeCells count="7">
    <mergeCell ref="A8:D8"/>
    <mergeCell ref="A9:D9"/>
    <mergeCell ref="A10:D10"/>
    <mergeCell ref="A11:D11"/>
    <mergeCell ref="A12:D12"/>
    <mergeCell ref="A13:D13"/>
    <mergeCell ref="A14:D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52"/>
  </cols>
  <sheetData>
    <row r="1" customFormat="false" ht="15" hidden="false" customHeight="false" outlineLevel="0" collapsed="false">
      <c r="A1" s="6" t="s">
        <v>59</v>
      </c>
    </row>
    <row r="3" customFormat="false" ht="15" hidden="false" customHeight="false" outlineLevel="0" collapsed="false">
      <c r="A3" s="13" t="s">
        <v>60</v>
      </c>
      <c r="B3" s="13" t="s">
        <v>61</v>
      </c>
      <c r="C3" s="13" t="s">
        <v>62</v>
      </c>
      <c r="D3" s="13"/>
    </row>
    <row r="4" customFormat="false" ht="15" hidden="false" customHeight="false" outlineLevel="0" collapsed="false">
      <c r="A4" s="7" t="s">
        <v>63</v>
      </c>
      <c r="B4" s="14" t="n">
        <f aca="false">'2. The hold'!B6*'1. Inputs'!$B$4</f>
        <v>59.85</v>
      </c>
      <c r="C4" s="20" t="n">
        <f aca="false">B4/$B$10</f>
        <v>0.410692772745032</v>
      </c>
      <c r="D4" s="9" t="s">
        <v>64</v>
      </c>
    </row>
    <row r="5" customFormat="false" ht="15" hidden="false" customHeight="false" outlineLevel="0" collapsed="false">
      <c r="A5" s="7" t="s">
        <v>65</v>
      </c>
      <c r="B5" s="14" t="n">
        <f aca="false">'2. The hold'!D6*'1. Inputs'!$B$4</f>
        <v>28.5</v>
      </c>
      <c r="C5" s="20" t="n">
        <f aca="false">B5/$B$10</f>
        <v>0.195567987021444</v>
      </c>
      <c r="D5" s="9" t="s">
        <v>66</v>
      </c>
    </row>
    <row r="6" customFormat="false" ht="15" hidden="false" customHeight="false" outlineLevel="0" collapsed="false">
      <c r="A6" s="7" t="s">
        <v>67</v>
      </c>
      <c r="B6" s="14" t="n">
        <f aca="false">'2. The hold'!C6*'1. Inputs'!$B$4</f>
        <v>11.4</v>
      </c>
      <c r="C6" s="20" t="n">
        <f aca="false">B6/$B$10</f>
        <v>0.0782271948085775</v>
      </c>
      <c r="D6" s="9" t="s">
        <v>68</v>
      </c>
    </row>
    <row r="7" customFormat="false" ht="15" hidden="false" customHeight="false" outlineLevel="0" collapsed="false">
      <c r="A7" s="7" t="s">
        <v>69</v>
      </c>
      <c r="B7" s="14" t="n">
        <f aca="false">'1. Inputs'!$B$3*('1. Inputs'!$B$5-'1. Inputs'!$B$4)</f>
        <v>9.79999999999999</v>
      </c>
      <c r="C7" s="20" t="n">
        <f aca="false">B7/$B$10</f>
        <v>0.0672479393968473</v>
      </c>
      <c r="D7" s="9" t="s">
        <v>70</v>
      </c>
    </row>
    <row r="8" customFormat="false" ht="15" hidden="false" customHeight="false" outlineLevel="0" collapsed="false">
      <c r="A8" s="7" t="s">
        <v>71</v>
      </c>
      <c r="B8" s="14" t="n">
        <f aca="false">('2. The hold'!E8-'1. Inputs'!$B$3)*('1. Inputs'!$B$5-'1. Inputs'!$B$4)</f>
        <v>7.34999999999999</v>
      </c>
      <c r="C8" s="20" t="n">
        <f aca="false">B8/$B$10</f>
        <v>0.0504359545476355</v>
      </c>
      <c r="D8" s="9" t="s">
        <v>72</v>
      </c>
    </row>
    <row r="9" customFormat="false" ht="15" hidden="false" customHeight="false" outlineLevel="0" collapsed="false">
      <c r="A9" s="7" t="s">
        <v>73</v>
      </c>
      <c r="B9" s="14" t="n">
        <f aca="false">'2. The hold'!E14</f>
        <v>28.8293723480163</v>
      </c>
      <c r="C9" s="20" t="n">
        <f aca="false">B9/$B$10</f>
        <v>0.197828151480464</v>
      </c>
      <c r="D9" s="9" t="s">
        <v>74</v>
      </c>
    </row>
    <row r="10" customFormat="false" ht="15" hidden="false" customHeight="false" outlineLevel="0" collapsed="false">
      <c r="A10" s="15" t="s">
        <v>75</v>
      </c>
      <c r="B10" s="16" t="n">
        <f aca="false">SUM(B4:B9)</f>
        <v>145.729372348016</v>
      </c>
      <c r="C10" s="21" t="n">
        <f aca="false">B10/B10</f>
        <v>1</v>
      </c>
    </row>
    <row r="12" customFormat="false" ht="15" hidden="false" customHeight="false" outlineLevel="0" collapsed="false">
      <c r="A12" s="17" t="s">
        <v>76</v>
      </c>
      <c r="B12" s="16" t="n">
        <f aca="false">'2. The hold'!E11-'1. Inputs'!$B$26</f>
        <v>145.729372348016</v>
      </c>
      <c r="C12" s="9"/>
    </row>
    <row r="13" customFormat="false" ht="55.2" hidden="false" customHeight="false" outlineLevel="0" collapsed="false">
      <c r="A13" s="17" t="s">
        <v>77</v>
      </c>
      <c r="B13" s="22" t="n">
        <f aca="false">B10-B12</f>
        <v>0</v>
      </c>
      <c r="C13" s="9" t="s">
        <v>78</v>
      </c>
    </row>
    <row r="15" customFormat="false" ht="15" hidden="false" customHeight="false" outlineLevel="0" collapsed="false">
      <c r="A15" s="7" t="s">
        <v>79</v>
      </c>
      <c r="B15" s="14" t="n">
        <f aca="false">'1. Inputs'!$B$11</f>
        <v>12</v>
      </c>
      <c r="C15" s="9"/>
    </row>
    <row r="16" customFormat="false" ht="15" hidden="false" customHeight="false" outlineLevel="0" collapsed="false">
      <c r="A16" s="17" t="s">
        <v>80</v>
      </c>
      <c r="B16" s="16" t="n">
        <f aca="false">B5-B15</f>
        <v>16.5</v>
      </c>
      <c r="C16" s="9"/>
    </row>
    <row r="17" customFormat="false" ht="15" hidden="false" customHeight="false" outlineLevel="0" collapsed="false">
      <c r="A17" s="17" t="s">
        <v>81</v>
      </c>
      <c r="B17" s="21" t="n">
        <f aca="false">B5/B16-1</f>
        <v>0.727272727272727</v>
      </c>
      <c r="C17" s="9"/>
    </row>
    <row r="18" customFormat="false" ht="15" hidden="false" customHeight="false" outlineLevel="0" collapsed="false">
      <c r="A18" s="7" t="s">
        <v>82</v>
      </c>
      <c r="B18" s="23" t="n">
        <f aca="false">'1. Inputs'!$B$11/'1. Inputs'!$B$12</f>
        <v>4</v>
      </c>
      <c r="C18" s="9"/>
    </row>
    <row r="19" customFormat="false" ht="68.65" hidden="false" customHeight="false" outlineLevel="0" collapsed="false">
      <c r="A19" s="7" t="s">
        <v>83</v>
      </c>
      <c r="B19" s="23" t="n">
        <f aca="false">'1. Inputs'!$B$5</f>
        <v>10.2</v>
      </c>
      <c r="C19" s="9" t="s">
        <v>84</v>
      </c>
    </row>
    <row r="21" customFormat="false" ht="55.2" hidden="false" customHeight="false" outlineLevel="0" collapsed="false">
      <c r="A21" s="24" t="s">
        <v>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6"/>
    <col collapsed="false" customWidth="true" hidden="false" outlineLevel="0" max="5" min="5" style="0" width="50"/>
  </cols>
  <sheetData>
    <row r="1" customFormat="false" ht="15" hidden="false" customHeight="false" outlineLevel="0" collapsed="false">
      <c r="A1" s="6" t="s">
        <v>86</v>
      </c>
    </row>
    <row r="2" customFormat="false" ht="41.75" hidden="false" customHeight="false" outlineLevel="0" collapsed="false">
      <c r="A2" s="24" t="s">
        <v>87</v>
      </c>
    </row>
    <row r="4" customFormat="false" ht="15" hidden="false" customHeight="false" outlineLevel="0" collapsed="false">
      <c r="A4" s="7" t="s">
        <v>88</v>
      </c>
      <c r="B4" s="14" t="n">
        <f aca="false">'3. The bridge'!B4+'3. The bridge'!B5+'3. The bridge'!B6</f>
        <v>99.75</v>
      </c>
      <c r="C4" s="9"/>
    </row>
    <row r="5" customFormat="false" ht="15" hidden="false" customHeight="false" outlineLevel="0" collapsed="false">
      <c r="A5" s="7" t="s">
        <v>89</v>
      </c>
      <c r="B5" s="14" t="n">
        <f aca="false">'3. The bridge'!B7</f>
        <v>9.79999999999999</v>
      </c>
      <c r="C5" s="9"/>
    </row>
    <row r="6" customFormat="false" ht="15" hidden="false" customHeight="false" outlineLevel="0" collapsed="false">
      <c r="A6" s="17" t="s">
        <v>90</v>
      </c>
      <c r="B6" s="16" t="n">
        <f aca="false">'3. The bridge'!B8</f>
        <v>7.34999999999999</v>
      </c>
      <c r="C6" s="9"/>
    </row>
    <row r="7" customFormat="false" ht="15" hidden="false" customHeight="false" outlineLevel="0" collapsed="false">
      <c r="A7" s="7" t="s">
        <v>91</v>
      </c>
      <c r="B7" s="20" t="n">
        <f aca="false">'3. The bridge'!B8/'3. The bridge'!B10</f>
        <v>0.0504359545476355</v>
      </c>
      <c r="C7" s="9"/>
    </row>
    <row r="9" customFormat="false" ht="15" hidden="false" customHeight="false" outlineLevel="0" collapsed="false">
      <c r="A9" s="13" t="s">
        <v>92</v>
      </c>
      <c r="B9" s="13" t="s">
        <v>93</v>
      </c>
      <c r="C9" s="13" t="s">
        <v>94</v>
      </c>
      <c r="D9" s="13" t="s">
        <v>37</v>
      </c>
      <c r="E9" s="13"/>
    </row>
    <row r="10" customFormat="false" ht="15" hidden="false" customHeight="false" outlineLevel="0" collapsed="false">
      <c r="A10" s="7" t="s">
        <v>95</v>
      </c>
      <c r="B10" s="14" t="n">
        <f aca="false">B4+B6</f>
        <v>107.1</v>
      </c>
      <c r="C10" s="14" t="n">
        <f aca="false">B5</f>
        <v>9.79999999999999</v>
      </c>
      <c r="D10" s="14" t="n">
        <f aca="false">B10+C10</f>
        <v>116.9</v>
      </c>
    </row>
    <row r="11" customFormat="false" ht="15" hidden="false" customHeight="false" outlineLevel="0" collapsed="false">
      <c r="A11" s="7" t="s">
        <v>96</v>
      </c>
      <c r="B11" s="14" t="n">
        <f aca="false">B4</f>
        <v>99.75</v>
      </c>
      <c r="C11" s="14" t="n">
        <f aca="false">B5+B6</f>
        <v>17.15</v>
      </c>
      <c r="D11" s="14" t="n">
        <f aca="false">B11+C11</f>
        <v>116.9</v>
      </c>
    </row>
    <row r="12" customFormat="false" ht="15" hidden="false" customHeight="false" outlineLevel="0" collapsed="false">
      <c r="A12" s="7" t="s">
        <v>97</v>
      </c>
      <c r="B12" s="14" t="n">
        <f aca="false">B4+B6*B4/(B4+B5)</f>
        <v>106.44249201278</v>
      </c>
      <c r="C12" s="14" t="n">
        <f aca="false">B5+B6*B5/(B4+B5)</f>
        <v>10.4575079872204</v>
      </c>
      <c r="D12" s="14" t="n">
        <f aca="false">B12+C12</f>
        <v>116.9</v>
      </c>
    </row>
    <row r="14" customFormat="false" ht="28.35" hidden="false" customHeight="false" outlineLevel="0" collapsed="false">
      <c r="A14" s="17" t="s">
        <v>98</v>
      </c>
      <c r="B14" s="21" t="n">
        <f aca="false">B10/B11-1</f>
        <v>0.0736842105263158</v>
      </c>
      <c r="C14" s="9" t="s">
        <v>99</v>
      </c>
    </row>
    <row r="15" customFormat="false" ht="28.35" hidden="false" customHeight="false" outlineLevel="0" collapsed="false">
      <c r="A15" s="17" t="s">
        <v>100</v>
      </c>
      <c r="B15" s="21" t="n">
        <f aca="false">C11/C10-1</f>
        <v>0.75</v>
      </c>
      <c r="C15" s="9" t="s">
        <v>101</v>
      </c>
    </row>
    <row r="17" customFormat="false" ht="68.65" hidden="false" customHeight="false" outlineLevel="0" collapsed="false">
      <c r="A17" s="24" t="s">
        <v>102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Y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4"/>
    <col collapsed="false" customWidth="true" hidden="false" outlineLevel="0" max="5" min="4" style="0" width="12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44"/>
    <col collapsed="false" customWidth="true" hidden="true" outlineLevel="0" max="81" min="40" style="0" width="13"/>
  </cols>
  <sheetData>
    <row r="1" customFormat="false" ht="15" hidden="false" customHeight="false" outlineLevel="0" collapsed="false">
      <c r="A1" s="6" t="s">
        <v>103</v>
      </c>
    </row>
    <row r="3" customFormat="false" ht="15" hidden="false" customHeight="false" outlineLevel="0" collapsed="false">
      <c r="A3" s="13" t="s">
        <v>104</v>
      </c>
      <c r="B3" s="13" t="s">
        <v>105</v>
      </c>
      <c r="C3" s="13" t="s">
        <v>106</v>
      </c>
      <c r="D3" s="13" t="s">
        <v>107</v>
      </c>
      <c r="E3" s="13" t="s">
        <v>108</v>
      </c>
      <c r="F3" s="13" t="s">
        <v>73</v>
      </c>
      <c r="G3" s="13" t="s">
        <v>109</v>
      </c>
      <c r="H3" s="13"/>
    </row>
    <row r="4" customFormat="false" ht="15" hidden="false" customHeight="false" outlineLevel="0" collapsed="false">
      <c r="A4" s="10" t="n">
        <v>3.5</v>
      </c>
      <c r="B4" s="14" t="n">
        <f aca="false">('1. Inputs'!$B$24-'1. Inputs'!$B$3*$A4)</f>
        <v>84</v>
      </c>
      <c r="C4" s="14" t="n">
        <f aca="false">'2. The hold'!E9-AS8</f>
        <v>234.798283759178</v>
      </c>
      <c r="D4" s="23" t="n">
        <f aca="false">C4/B4</f>
        <v>2.79521766379974</v>
      </c>
      <c r="E4" s="25" t="n">
        <f aca="false">(C4/B4)^(1/'1. Inputs'!$B$10)-1</f>
        <v>0.228239687503409</v>
      </c>
      <c r="F4" s="14" t="n">
        <f aca="false">'1. Inputs'!$B$3*$A4-AS8</f>
        <v>33.8982837591782</v>
      </c>
      <c r="G4" s="20" t="n">
        <f aca="false">'3. The bridge'!B4/(C4-B4)</f>
        <v>0.396887806068001</v>
      </c>
      <c r="AN4" s="26" t="n">
        <f aca="false">'2. The hold'!E2</f>
        <v>15.1</v>
      </c>
      <c r="AO4" s="27" t="n">
        <f aca="false">'1. Inputs'!$B$3*$A4</f>
        <v>49</v>
      </c>
      <c r="AP4" s="27" t="n">
        <f aca="false">AO4*'1. Inputs'!$B$7</f>
        <v>4.165</v>
      </c>
      <c r="AQ4" s="27" t="n">
        <f aca="false">AN4*'1. Inputs'!$B$9</f>
        <v>3.775</v>
      </c>
      <c r="AR4" s="27" t="n">
        <f aca="false">'1. Inputs'!$B$8*MAX(0,AN4-AQ4-AP4)</f>
        <v>1.79</v>
      </c>
      <c r="AS4" s="27" t="n">
        <f aca="false">AO4-AT4+AU4</f>
        <v>43.63</v>
      </c>
      <c r="AT4" s="27" t="n">
        <f aca="false">AN4-AQ4-AR4-AP4</f>
        <v>5.37</v>
      </c>
      <c r="AU4" s="27" t="n">
        <f aca="false">IF('2. The hold'!A2='1. Inputs'!$B$13,'1. Inputs'!$B$11,0)</f>
        <v>0</v>
      </c>
      <c r="AX4" s="26" t="n">
        <f aca="false">'2. The hold'!E2</f>
        <v>15.1</v>
      </c>
      <c r="AY4" s="27" t="n">
        <f aca="false">'1. Inputs'!$B$3*$A5</f>
        <v>63</v>
      </c>
      <c r="AZ4" s="27" t="n">
        <f aca="false">AY4*'1. Inputs'!$B$7</f>
        <v>5.355</v>
      </c>
      <c r="BA4" s="27" t="n">
        <f aca="false">AX4*'1. Inputs'!$B$9</f>
        <v>3.775</v>
      </c>
      <c r="BB4" s="27" t="n">
        <f aca="false">'1. Inputs'!$B$8*MAX(0,AX4-BA4-AZ4)</f>
        <v>1.4925</v>
      </c>
      <c r="BC4" s="27" t="n">
        <f aca="false">AY4-BD4+BE4</f>
        <v>58.5225</v>
      </c>
      <c r="BD4" s="27" t="n">
        <f aca="false">AX4-BA4-BB4-AZ4</f>
        <v>4.4775</v>
      </c>
      <c r="BE4" s="27" t="n">
        <f aca="false">IF('2. The hold'!A2='1. Inputs'!$B$13,'1. Inputs'!$B$11,0)</f>
        <v>0</v>
      </c>
      <c r="BH4" s="26" t="n">
        <f aca="false">'2. The hold'!E2</f>
        <v>15.1</v>
      </c>
      <c r="BI4" s="27" t="n">
        <f aca="false">'1. Inputs'!$B$3*$A6</f>
        <v>77</v>
      </c>
      <c r="BJ4" s="27" t="n">
        <f aca="false">BI4*'1. Inputs'!$B$7</f>
        <v>6.545</v>
      </c>
      <c r="BK4" s="27" t="n">
        <f aca="false">BH4*'1. Inputs'!$B$9</f>
        <v>3.775</v>
      </c>
      <c r="BL4" s="27" t="n">
        <f aca="false">'1. Inputs'!$B$8*MAX(0,BH4-BK4-BJ4)</f>
        <v>1.195</v>
      </c>
      <c r="BM4" s="27" t="n">
        <f aca="false">BI4-BN4+BO4</f>
        <v>73.415</v>
      </c>
      <c r="BN4" s="27" t="n">
        <f aca="false">BH4-BK4-BL4-BJ4</f>
        <v>3.585</v>
      </c>
      <c r="BO4" s="27" t="n">
        <f aca="false">IF('2. The hold'!A2='1. Inputs'!$B$13,'1. Inputs'!$B$11,0)</f>
        <v>0</v>
      </c>
      <c r="BR4" s="26" t="n">
        <f aca="false">'2. The hold'!E2</f>
        <v>15.1</v>
      </c>
      <c r="BS4" s="27" t="n">
        <f aca="false">'1. Inputs'!$B$3*$A7</f>
        <v>91</v>
      </c>
      <c r="BT4" s="27" t="n">
        <f aca="false">BS4*'1. Inputs'!$B$7</f>
        <v>7.735</v>
      </c>
      <c r="BU4" s="27" t="n">
        <f aca="false">BR4*'1. Inputs'!$B$9</f>
        <v>3.775</v>
      </c>
      <c r="BV4" s="27" t="n">
        <f aca="false">'1. Inputs'!$B$8*MAX(0,BR4-BU4-BT4)</f>
        <v>0.8975</v>
      </c>
      <c r="BW4" s="27" t="n">
        <f aca="false">BS4-BX4+BY4</f>
        <v>88.3075</v>
      </c>
      <c r="BX4" s="27" t="n">
        <f aca="false">BR4-BU4-BV4-BT4</f>
        <v>2.6925</v>
      </c>
      <c r="BY4" s="27" t="n">
        <f aca="false">IF('2. The hold'!A2='1. Inputs'!$B$13,'1. Inputs'!$B$11,0)</f>
        <v>0</v>
      </c>
    </row>
    <row r="5" customFormat="false" ht="15" hidden="false" customHeight="false" outlineLevel="0" collapsed="false">
      <c r="A5" s="10" t="n">
        <v>4.5</v>
      </c>
      <c r="B5" s="14" t="n">
        <f aca="false">('1. Inputs'!$B$24-'1. Inputs'!$B$3*$A5)</f>
        <v>70</v>
      </c>
      <c r="C5" s="14" t="n">
        <f aca="false">'2. The hold'!E9-BC8</f>
        <v>215.729372348016</v>
      </c>
      <c r="D5" s="23" t="n">
        <f aca="false">C5/B5</f>
        <v>3.08184817640023</v>
      </c>
      <c r="E5" s="25" t="n">
        <f aca="false">(C5/B5)^(1/'1. Inputs'!$B$10)-1</f>
        <v>0.252455337751392</v>
      </c>
      <c r="F5" s="14" t="n">
        <f aca="false">'1. Inputs'!$B$3*$A5-BC8</f>
        <v>28.8293723480163</v>
      </c>
      <c r="G5" s="20" t="n">
        <f aca="false">'3. The bridge'!B4/(C5-B5)</f>
        <v>0.410692772745032</v>
      </c>
      <c r="AN5" s="26" t="n">
        <f aca="false">'2. The hold'!E3</f>
        <v>20.1</v>
      </c>
      <c r="AO5" s="27" t="n">
        <f aca="false">AS4</f>
        <v>43.63</v>
      </c>
      <c r="AP5" s="27" t="n">
        <f aca="false">AO5*'1. Inputs'!$B$7</f>
        <v>3.70855</v>
      </c>
      <c r="AQ5" s="27" t="n">
        <f aca="false">AN5*'1. Inputs'!$B$9</f>
        <v>5.025</v>
      </c>
      <c r="AR5" s="27" t="n">
        <f aca="false">'1. Inputs'!$B$8*MAX(0,AN5-AQ5-AP5)</f>
        <v>2.8416125</v>
      </c>
      <c r="AS5" s="27" t="n">
        <f aca="false">AO5-AT5+AU5</f>
        <v>47.1051625</v>
      </c>
      <c r="AT5" s="27" t="n">
        <f aca="false">AN5-AQ5-AR5-AP5</f>
        <v>8.5248375</v>
      </c>
      <c r="AU5" s="26" t="n">
        <f aca="false">IF('2. The hold'!A3='1. Inputs'!$B$13,'1. Inputs'!$B$11,0)</f>
        <v>12</v>
      </c>
      <c r="AX5" s="26" t="n">
        <f aca="false">'2. The hold'!E3</f>
        <v>20.1</v>
      </c>
      <c r="AY5" s="27" t="n">
        <f aca="false">BC4</f>
        <v>58.5225</v>
      </c>
      <c r="AZ5" s="27" t="n">
        <f aca="false">AY5*'1. Inputs'!$B$7</f>
        <v>4.9744125</v>
      </c>
      <c r="BA5" s="27" t="n">
        <f aca="false">AX5*'1. Inputs'!$B$9</f>
        <v>5.025</v>
      </c>
      <c r="BB5" s="27" t="n">
        <f aca="false">'1. Inputs'!$B$8*MAX(0,AX5-BA5-AZ5)</f>
        <v>2.525146875</v>
      </c>
      <c r="BC5" s="27" t="n">
        <f aca="false">AY5-BD5+BE5</f>
        <v>62.947059375</v>
      </c>
      <c r="BD5" s="27" t="n">
        <f aca="false">AX5-BA5-BB5-AZ5</f>
        <v>7.575440625</v>
      </c>
      <c r="BE5" s="26" t="n">
        <f aca="false">IF('2. The hold'!A3='1. Inputs'!$B$13,'1. Inputs'!$B$11,0)</f>
        <v>12</v>
      </c>
      <c r="BH5" s="26" t="n">
        <f aca="false">'2. The hold'!E3</f>
        <v>20.1</v>
      </c>
      <c r="BI5" s="27" t="n">
        <f aca="false">BM4</f>
        <v>73.415</v>
      </c>
      <c r="BJ5" s="27" t="n">
        <f aca="false">BI5*'1. Inputs'!$B$7</f>
        <v>6.240275</v>
      </c>
      <c r="BK5" s="27" t="n">
        <f aca="false">BH5*'1. Inputs'!$B$9</f>
        <v>5.025</v>
      </c>
      <c r="BL5" s="27" t="n">
        <f aca="false">'1. Inputs'!$B$8*MAX(0,BH5-BK5-BJ5)</f>
        <v>2.20868125</v>
      </c>
      <c r="BM5" s="27" t="n">
        <f aca="false">BI5-BN5+BO5</f>
        <v>78.78895625</v>
      </c>
      <c r="BN5" s="27" t="n">
        <f aca="false">BH5-BK5-BL5-BJ5</f>
        <v>6.62604375</v>
      </c>
      <c r="BO5" s="26" t="n">
        <f aca="false">IF('2. The hold'!A3='1. Inputs'!$B$13,'1. Inputs'!$B$11,0)</f>
        <v>12</v>
      </c>
      <c r="BR5" s="26" t="n">
        <f aca="false">'2. The hold'!E3</f>
        <v>20.1</v>
      </c>
      <c r="BS5" s="27" t="n">
        <f aca="false">BW4</f>
        <v>88.3075</v>
      </c>
      <c r="BT5" s="27" t="n">
        <f aca="false">BS5*'1. Inputs'!$B$7</f>
        <v>7.5061375</v>
      </c>
      <c r="BU5" s="27" t="n">
        <f aca="false">BR5*'1. Inputs'!$B$9</f>
        <v>5.025</v>
      </c>
      <c r="BV5" s="27" t="n">
        <f aca="false">'1. Inputs'!$B$8*MAX(0,BR5-BU5-BT5)</f>
        <v>1.892215625</v>
      </c>
      <c r="BW5" s="27" t="n">
        <f aca="false">BS5-BX5+BY5</f>
        <v>94.630853125</v>
      </c>
      <c r="BX5" s="27" t="n">
        <f aca="false">BR5-BU5-BV5-BT5</f>
        <v>5.676646875</v>
      </c>
      <c r="BY5" s="26" t="n">
        <f aca="false">IF('2. The hold'!A3='1. Inputs'!$B$13,'1. Inputs'!$B$11,0)</f>
        <v>12</v>
      </c>
    </row>
    <row r="6" customFormat="false" ht="15" hidden="false" customHeight="false" outlineLevel="0" collapsed="false">
      <c r="A6" s="10" t="n">
        <v>5.5</v>
      </c>
      <c r="B6" s="14" t="n">
        <f aca="false">('1. Inputs'!$B$24-'1. Inputs'!$B$3*$A6)</f>
        <v>56</v>
      </c>
      <c r="C6" s="14" t="n">
        <f aca="false">'2. The hold'!E9-BM8</f>
        <v>196.660460936854</v>
      </c>
      <c r="D6" s="23" t="n">
        <f aca="false">C6/B6</f>
        <v>3.51179394530097</v>
      </c>
      <c r="E6" s="25" t="n">
        <f aca="false">(C6/B6)^(1/'1. Inputs'!$B$10)-1</f>
        <v>0.285599826504295</v>
      </c>
      <c r="F6" s="14" t="n">
        <f aca="false">'1. Inputs'!$B$3*$A6-BM8</f>
        <v>23.7604609368545</v>
      </c>
      <c r="G6" s="20" t="n">
        <f aca="false">'3. The bridge'!B4/(C6-B6)</f>
        <v>0.425492704924861</v>
      </c>
      <c r="AN6" s="26" t="n">
        <f aca="false">'2. The hold'!E4</f>
        <v>21.8</v>
      </c>
      <c r="AO6" s="27" t="n">
        <f aca="false">AS5</f>
        <v>47.1051625</v>
      </c>
      <c r="AP6" s="27" t="n">
        <f aca="false">AO6*'1. Inputs'!$B$7</f>
        <v>4.0039388125</v>
      </c>
      <c r="AQ6" s="27" t="n">
        <f aca="false">AN6*'1. Inputs'!$B$9</f>
        <v>5.45</v>
      </c>
      <c r="AR6" s="27" t="n">
        <f aca="false">'1. Inputs'!$B$8*MAX(0,AN6-AQ6-AP6)</f>
        <v>3.086515296875</v>
      </c>
      <c r="AS6" s="27" t="n">
        <f aca="false">AO6-AT6+AU6</f>
        <v>37.845616609375</v>
      </c>
      <c r="AT6" s="27" t="n">
        <f aca="false">AN6-AQ6-AR6-AP6</f>
        <v>9.259545890625</v>
      </c>
      <c r="AU6" s="27" t="n">
        <f aca="false">IF('2. The hold'!A4='1. Inputs'!$B$13,'1. Inputs'!$B$11,0)</f>
        <v>0</v>
      </c>
      <c r="AX6" s="26" t="n">
        <f aca="false">'2. The hold'!E4</f>
        <v>21.8</v>
      </c>
      <c r="AY6" s="27" t="n">
        <f aca="false">BC5</f>
        <v>62.947059375</v>
      </c>
      <c r="AZ6" s="27" t="n">
        <f aca="false">AY6*'1. Inputs'!$B$7</f>
        <v>5.350500046875</v>
      </c>
      <c r="BA6" s="27" t="n">
        <f aca="false">AX6*'1. Inputs'!$B$9</f>
        <v>5.45</v>
      </c>
      <c r="BB6" s="27" t="n">
        <f aca="false">'1. Inputs'!$B$8*MAX(0,AX6-BA6-AZ6)</f>
        <v>2.74987498828125</v>
      </c>
      <c r="BC6" s="27" t="n">
        <f aca="false">AY6-BD6+BE6</f>
        <v>54.6974344101563</v>
      </c>
      <c r="BD6" s="27" t="n">
        <f aca="false">AX6-BA6-BB6-AZ6</f>
        <v>8.24962496484375</v>
      </c>
      <c r="BE6" s="27" t="n">
        <f aca="false">IF('2. The hold'!A4='1. Inputs'!$B$13,'1. Inputs'!$B$11,0)</f>
        <v>0</v>
      </c>
      <c r="BH6" s="26" t="n">
        <f aca="false">'2. The hold'!E4</f>
        <v>21.8</v>
      </c>
      <c r="BI6" s="27" t="n">
        <f aca="false">BM5</f>
        <v>78.78895625</v>
      </c>
      <c r="BJ6" s="27" t="n">
        <f aca="false">BI6*'1. Inputs'!$B$7</f>
        <v>6.69706128125</v>
      </c>
      <c r="BK6" s="27" t="n">
        <f aca="false">BH6*'1. Inputs'!$B$9</f>
        <v>5.45</v>
      </c>
      <c r="BL6" s="27" t="n">
        <f aca="false">'1. Inputs'!$B$8*MAX(0,BH6-BK6-BJ6)</f>
        <v>2.4132346796875</v>
      </c>
      <c r="BM6" s="27" t="n">
        <f aca="false">BI6-BN6+BO6</f>
        <v>71.5492522109375</v>
      </c>
      <c r="BN6" s="27" t="n">
        <f aca="false">BH6-BK6-BL6-BJ6</f>
        <v>7.2397040390625</v>
      </c>
      <c r="BO6" s="27" t="n">
        <f aca="false">IF('2. The hold'!A4='1. Inputs'!$B$13,'1. Inputs'!$B$11,0)</f>
        <v>0</v>
      </c>
      <c r="BR6" s="26" t="n">
        <f aca="false">'2. The hold'!E4</f>
        <v>21.8</v>
      </c>
      <c r="BS6" s="27" t="n">
        <f aca="false">BW5</f>
        <v>94.630853125</v>
      </c>
      <c r="BT6" s="27" t="n">
        <f aca="false">BS6*'1. Inputs'!$B$7</f>
        <v>8.043622515625</v>
      </c>
      <c r="BU6" s="27" t="n">
        <f aca="false">BR6*'1. Inputs'!$B$9</f>
        <v>5.45</v>
      </c>
      <c r="BV6" s="27" t="n">
        <f aca="false">'1. Inputs'!$B$8*MAX(0,BR6-BU6-BT6)</f>
        <v>2.07659437109375</v>
      </c>
      <c r="BW6" s="27" t="n">
        <f aca="false">BS6-BX6+BY6</f>
        <v>88.4010700117188</v>
      </c>
      <c r="BX6" s="27" t="n">
        <f aca="false">BR6-BU6-BV6-BT6</f>
        <v>6.22978311328125</v>
      </c>
      <c r="BY6" s="27" t="n">
        <f aca="false">IF('2. The hold'!A4='1. Inputs'!$B$13,'1. Inputs'!$B$11,0)</f>
        <v>0</v>
      </c>
    </row>
    <row r="7" customFormat="false" ht="15" hidden="false" customHeight="false" outlineLevel="0" collapsed="false">
      <c r="A7" s="10" t="n">
        <v>6.5</v>
      </c>
      <c r="B7" s="14" t="n">
        <f aca="false">('1. Inputs'!$B$24-'1. Inputs'!$B$3*$A7)</f>
        <v>42</v>
      </c>
      <c r="C7" s="14" t="n">
        <f aca="false">'2. The hold'!E9-BW8</f>
        <v>177.591549525693</v>
      </c>
      <c r="D7" s="23" t="n">
        <f aca="false">C7/B7</f>
        <v>4.2283702268022</v>
      </c>
      <c r="E7" s="25" t="n">
        <f aca="false">(C7/B7)^(1/'1. Inputs'!$B$10)-1</f>
        <v>0.334241980776948</v>
      </c>
      <c r="F7" s="14" t="n">
        <f aca="false">'1. Inputs'!$B$3*$A7-BW8</f>
        <v>18.6915495256926</v>
      </c>
      <c r="G7" s="20" t="n">
        <f aca="false">'3. The bridge'!B4/(C7-B7)</f>
        <v>0.441399189030282</v>
      </c>
      <c r="AN7" s="26" t="n">
        <f aca="false">'2. The hold'!E5</f>
        <v>23.3</v>
      </c>
      <c r="AO7" s="27" t="n">
        <f aca="false">AS6</f>
        <v>37.845616609375</v>
      </c>
      <c r="AP7" s="27" t="n">
        <f aca="false">AO7*'1. Inputs'!$B$7</f>
        <v>3.21687741179688</v>
      </c>
      <c r="AQ7" s="27" t="n">
        <f aca="false">AN7*'1. Inputs'!$B$9</f>
        <v>5.825</v>
      </c>
      <c r="AR7" s="27" t="n">
        <f aca="false">'1. Inputs'!$B$8*MAX(0,AN7-AQ7-AP7)</f>
        <v>3.56453064705078</v>
      </c>
      <c r="AS7" s="27" t="n">
        <f aca="false">AO7-AT7+AU7</f>
        <v>27.1520246682227</v>
      </c>
      <c r="AT7" s="27" t="n">
        <f aca="false">AN7-AQ7-AR7-AP7</f>
        <v>10.6935919411523</v>
      </c>
      <c r="AU7" s="27" t="n">
        <f aca="false">IF('2. The hold'!A5='1. Inputs'!$B$13,'1. Inputs'!$B$11,0)</f>
        <v>0</v>
      </c>
      <c r="AX7" s="26" t="n">
        <f aca="false">'2. The hold'!E5</f>
        <v>23.3</v>
      </c>
      <c r="AY7" s="27" t="n">
        <f aca="false">BC6</f>
        <v>54.6974344101563</v>
      </c>
      <c r="AZ7" s="27" t="n">
        <f aca="false">AY7*'1. Inputs'!$B$7</f>
        <v>4.64928192486328</v>
      </c>
      <c r="BA7" s="27" t="n">
        <f aca="false">AX7*'1. Inputs'!$B$9</f>
        <v>5.825</v>
      </c>
      <c r="BB7" s="27" t="n">
        <f aca="false">'1. Inputs'!$B$8*MAX(0,AX7-BA7-AZ7)</f>
        <v>3.20642951878418</v>
      </c>
      <c r="BC7" s="27" t="n">
        <f aca="false">AY7-BD7+BE7</f>
        <v>45.0781458538037</v>
      </c>
      <c r="BD7" s="27" t="n">
        <f aca="false">AX7-BA7-BB7-AZ7</f>
        <v>9.61928855635254</v>
      </c>
      <c r="BE7" s="27" t="n">
        <f aca="false">IF('2. The hold'!A5='1. Inputs'!$B$13,'1. Inputs'!$B$11,0)</f>
        <v>0</v>
      </c>
      <c r="BH7" s="26" t="n">
        <f aca="false">'2. The hold'!E5</f>
        <v>23.3</v>
      </c>
      <c r="BI7" s="27" t="n">
        <f aca="false">BM6</f>
        <v>71.5492522109375</v>
      </c>
      <c r="BJ7" s="27" t="n">
        <f aca="false">BI7*'1. Inputs'!$B$7</f>
        <v>6.08168643792969</v>
      </c>
      <c r="BK7" s="27" t="n">
        <f aca="false">BH7*'1. Inputs'!$B$9</f>
        <v>5.825</v>
      </c>
      <c r="BL7" s="27" t="n">
        <f aca="false">'1. Inputs'!$B$8*MAX(0,BH7-BK7-BJ7)</f>
        <v>2.84832839051758</v>
      </c>
      <c r="BM7" s="27" t="n">
        <f aca="false">BI7-BN7+BO7</f>
        <v>63.0042670393848</v>
      </c>
      <c r="BN7" s="27" t="n">
        <f aca="false">BH7-BK7-BL7-BJ7</f>
        <v>8.54498517155274</v>
      </c>
      <c r="BO7" s="27" t="n">
        <f aca="false">IF('2. The hold'!A5='1. Inputs'!$B$13,'1. Inputs'!$B$11,0)</f>
        <v>0</v>
      </c>
      <c r="BR7" s="26" t="n">
        <f aca="false">'2. The hold'!E5</f>
        <v>23.3</v>
      </c>
      <c r="BS7" s="27" t="n">
        <f aca="false">BW6</f>
        <v>88.4010700117188</v>
      </c>
      <c r="BT7" s="27" t="n">
        <f aca="false">BS7*'1. Inputs'!$B$7</f>
        <v>7.5140909509961</v>
      </c>
      <c r="BU7" s="27" t="n">
        <f aca="false">BR7*'1. Inputs'!$B$9</f>
        <v>5.825</v>
      </c>
      <c r="BV7" s="27" t="n">
        <f aca="false">'1. Inputs'!$B$8*MAX(0,BR7-BU7-BT7)</f>
        <v>2.49022726225098</v>
      </c>
      <c r="BW7" s="27" t="n">
        <f aca="false">BS7-BX7+BY7</f>
        <v>80.9303882249658</v>
      </c>
      <c r="BX7" s="27" t="n">
        <f aca="false">BR7-BU7-BV7-BT7</f>
        <v>7.47068178675293</v>
      </c>
      <c r="BY7" s="27" t="n">
        <f aca="false">IF('2. The hold'!A5='1. Inputs'!$B$13,'1. Inputs'!$B$11,0)</f>
        <v>0</v>
      </c>
    </row>
    <row r="8" customFormat="false" ht="15" hidden="false" customHeight="false" outlineLevel="0" collapsed="false">
      <c r="AN8" s="26" t="n">
        <f aca="false">'2. The hold'!E6</f>
        <v>24.5</v>
      </c>
      <c r="AO8" s="27" t="n">
        <f aca="false">AS7</f>
        <v>27.1520246682227</v>
      </c>
      <c r="AP8" s="27" t="n">
        <f aca="false">AO8*'1. Inputs'!$B$7</f>
        <v>2.30792209679893</v>
      </c>
      <c r="AQ8" s="27" t="n">
        <f aca="false">AN8*'1. Inputs'!$B$9</f>
        <v>6.125</v>
      </c>
      <c r="AR8" s="27" t="n">
        <f aca="false">'1. Inputs'!$B$8*MAX(0,AN8-AQ8-AP8)</f>
        <v>4.01676947580027</v>
      </c>
      <c r="AS8" s="27" t="n">
        <f aca="false">AO8-AT8+AU8</f>
        <v>15.1017162408219</v>
      </c>
      <c r="AT8" s="27" t="n">
        <f aca="false">AN8-AQ8-AR8-AP8</f>
        <v>12.0503084274008</v>
      </c>
      <c r="AU8" s="27" t="n">
        <f aca="false">IF('2. The hold'!A6='1. Inputs'!$B$13,'1. Inputs'!$B$11,0)</f>
        <v>0</v>
      </c>
      <c r="AX8" s="26" t="n">
        <f aca="false">'2. The hold'!E6</f>
        <v>24.5</v>
      </c>
      <c r="AY8" s="27" t="n">
        <f aca="false">BC7</f>
        <v>45.0781458538037</v>
      </c>
      <c r="AZ8" s="27" t="n">
        <f aca="false">AY8*'1. Inputs'!$B$7</f>
        <v>3.83164239757332</v>
      </c>
      <c r="BA8" s="27" t="n">
        <f aca="false">AX8*'1. Inputs'!$B$9</f>
        <v>6.125</v>
      </c>
      <c r="BB8" s="27" t="n">
        <f aca="false">'1. Inputs'!$B$8*MAX(0,AX8-BA8-AZ8)</f>
        <v>3.63583940060667</v>
      </c>
      <c r="BC8" s="27" t="n">
        <f aca="false">AY8-BD8+BE8</f>
        <v>34.1706276519837</v>
      </c>
      <c r="BD8" s="27" t="n">
        <f aca="false">AX8-BA8-BB8-AZ8</f>
        <v>10.90751820182</v>
      </c>
      <c r="BE8" s="27" t="n">
        <f aca="false">IF('2. The hold'!A6='1. Inputs'!$B$13,'1. Inputs'!$B$11,0)</f>
        <v>0</v>
      </c>
      <c r="BH8" s="26" t="n">
        <f aca="false">'2. The hold'!E6</f>
        <v>24.5</v>
      </c>
      <c r="BI8" s="27" t="n">
        <f aca="false">BM7</f>
        <v>63.0042670393848</v>
      </c>
      <c r="BJ8" s="27" t="n">
        <f aca="false">BI8*'1. Inputs'!$B$7</f>
        <v>5.35536269834771</v>
      </c>
      <c r="BK8" s="27" t="n">
        <f aca="false">BH8*'1. Inputs'!$B$9</f>
        <v>6.125</v>
      </c>
      <c r="BL8" s="27" t="n">
        <f aca="false">'1. Inputs'!$B$8*MAX(0,BH8-BK8-BJ8)</f>
        <v>3.25490932541307</v>
      </c>
      <c r="BM8" s="27" t="n">
        <f aca="false">BI8-BN8+BO8</f>
        <v>53.2395390631456</v>
      </c>
      <c r="BN8" s="27" t="n">
        <f aca="false">BH8-BK8-BL8-BJ8</f>
        <v>9.76472797623922</v>
      </c>
      <c r="BO8" s="27" t="n">
        <f aca="false">IF('2. The hold'!A6='1. Inputs'!$B$13,'1. Inputs'!$B$11,0)</f>
        <v>0</v>
      </c>
      <c r="BR8" s="26" t="n">
        <f aca="false">'2. The hold'!E6</f>
        <v>24.5</v>
      </c>
      <c r="BS8" s="27" t="n">
        <f aca="false">BW7</f>
        <v>80.9303882249658</v>
      </c>
      <c r="BT8" s="27" t="n">
        <f aca="false">BS8*'1. Inputs'!$B$7</f>
        <v>6.8790829991221</v>
      </c>
      <c r="BU8" s="27" t="n">
        <f aca="false">BR8*'1. Inputs'!$B$9</f>
        <v>6.125</v>
      </c>
      <c r="BV8" s="27" t="n">
        <f aca="false">'1. Inputs'!$B$8*MAX(0,BR8-BU8-BT8)</f>
        <v>2.87397925021948</v>
      </c>
      <c r="BW8" s="27" t="n">
        <f aca="false">BS8-BX8+BY8</f>
        <v>72.3084504743074</v>
      </c>
      <c r="BX8" s="27" t="n">
        <f aca="false">BR8-BU8-BV8-BT8</f>
        <v>8.62193775065843</v>
      </c>
      <c r="BY8" s="27" t="n">
        <f aca="false">IF('2. The hold'!A6='1. Inputs'!$B$13,'1. Inputs'!$B$11,0)</f>
        <v>0</v>
      </c>
    </row>
    <row r="10" customFormat="false" ht="15" hidden="false" customHeight="false" outlineLevel="0" collapsed="false">
      <c r="A10" s="17" t="s">
        <v>110</v>
      </c>
      <c r="B10" s="17"/>
      <c r="C10" s="17"/>
      <c r="D10" s="17"/>
      <c r="E10" s="17"/>
      <c r="F10" s="16" t="n">
        <f aca="false">'3. The bridge'!B4</f>
        <v>59.85</v>
      </c>
      <c r="H10" s="9"/>
    </row>
    <row r="11" customFormat="false" ht="28.35" hidden="false" customHeight="false" outlineLevel="0" collapsed="false">
      <c r="A11" s="17" t="s">
        <v>111</v>
      </c>
      <c r="B11" s="17"/>
      <c r="C11" s="17"/>
      <c r="D11" s="17"/>
      <c r="E11" s="17"/>
      <c r="F11" s="16" t="n">
        <f aca="false">'3. The bridge'!B4</f>
        <v>59.85</v>
      </c>
      <c r="H11" s="9" t="s">
        <v>112</v>
      </c>
    </row>
    <row r="12" customFormat="false" ht="28.35" hidden="false" customHeight="false" outlineLevel="0" collapsed="false">
      <c r="A12" s="17" t="s">
        <v>113</v>
      </c>
      <c r="B12" s="17"/>
      <c r="C12" s="17"/>
      <c r="D12" s="17"/>
      <c r="E12" s="17"/>
      <c r="F12" s="21" t="n">
        <f aca="false">G7-G4</f>
        <v>0.0445113829622813</v>
      </c>
      <c r="H12" s="9" t="s">
        <v>114</v>
      </c>
    </row>
    <row r="14" customFormat="false" ht="323.85" hidden="false" customHeight="false" outlineLevel="0" collapsed="false">
      <c r="A14" s="24" t="s">
        <v>115</v>
      </c>
    </row>
  </sheetData>
  <mergeCells count="3">
    <mergeCell ref="A10:E10"/>
    <mergeCell ref="A11:E11"/>
    <mergeCell ref="A12:E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4"/>
    <col collapsed="false" customWidth="true" hidden="false" outlineLevel="0" max="4" min="4" style="0" width="50"/>
  </cols>
  <sheetData>
    <row r="1" customFormat="false" ht="15" hidden="false" customHeight="false" outlineLevel="0" collapsed="false">
      <c r="A1" s="6" t="s">
        <v>116</v>
      </c>
    </row>
    <row r="2" customFormat="false" ht="41.75" hidden="false" customHeight="false" outlineLevel="0" collapsed="false">
      <c r="A2" s="24" t="s">
        <v>117</v>
      </c>
    </row>
    <row r="4" customFormat="false" ht="15" hidden="false" customHeight="false" outlineLevel="0" collapsed="false">
      <c r="A4" s="13" t="s">
        <v>118</v>
      </c>
      <c r="B4" s="13" t="s">
        <v>119</v>
      </c>
      <c r="C4" s="13"/>
      <c r="D4" s="13"/>
    </row>
    <row r="5" customFormat="false" ht="15" hidden="false" customHeight="false" outlineLevel="0" collapsed="false">
      <c r="A5" s="7" t="s">
        <v>120</v>
      </c>
      <c r="B5" s="8" t="n">
        <v>2.1</v>
      </c>
    </row>
    <row r="6" customFormat="false" ht="15" hidden="false" customHeight="false" outlineLevel="0" collapsed="false">
      <c r="A6" s="7" t="s">
        <v>121</v>
      </c>
      <c r="B6" s="8" t="n">
        <v>2.4</v>
      </c>
    </row>
    <row r="7" customFormat="false" ht="15" hidden="false" customHeight="false" outlineLevel="0" collapsed="false">
      <c r="A7" s="7" t="s">
        <v>122</v>
      </c>
      <c r="B7" s="8" t="n">
        <v>1.1</v>
      </c>
    </row>
    <row r="8" customFormat="false" ht="15" hidden="false" customHeight="false" outlineLevel="0" collapsed="false">
      <c r="A8" s="7" t="s">
        <v>123</v>
      </c>
      <c r="B8" s="8" t="n">
        <v>0.6</v>
      </c>
    </row>
    <row r="9" customFormat="false" ht="15" hidden="false" customHeight="false" outlineLevel="0" collapsed="false">
      <c r="A9" s="15" t="s">
        <v>124</v>
      </c>
      <c r="B9" s="16" t="n">
        <f aca="false">SUM(B5:B8)</f>
        <v>6.2</v>
      </c>
    </row>
    <row r="10" customFormat="false" ht="15" hidden="false" customHeight="false" outlineLevel="0" collapsed="false">
      <c r="A10" s="7" t="s">
        <v>125</v>
      </c>
      <c r="B10" s="8" t="n">
        <v>-1.6</v>
      </c>
    </row>
    <row r="11" customFormat="false" ht="15" hidden="false" customHeight="false" outlineLevel="0" collapsed="false">
      <c r="A11" s="7" t="s">
        <v>126</v>
      </c>
      <c r="B11" s="8" t="n">
        <v>-0.5</v>
      </c>
    </row>
    <row r="12" customFormat="false" ht="15" hidden="false" customHeight="false" outlineLevel="0" collapsed="false">
      <c r="A12" s="15" t="s">
        <v>127</v>
      </c>
      <c r="B12" s="16" t="n">
        <f aca="false">SUM(B10:B11)</f>
        <v>-2.1</v>
      </c>
    </row>
    <row r="13" customFormat="false" ht="15" hidden="false" customHeight="false" outlineLevel="0" collapsed="false">
      <c r="A13" s="15" t="s">
        <v>128</v>
      </c>
      <c r="B13" s="16" t="n">
        <f aca="false">B9+B12</f>
        <v>4.1</v>
      </c>
    </row>
    <row r="15" customFormat="false" ht="15" hidden="false" customHeight="false" outlineLevel="0" collapsed="false">
      <c r="A15" s="7" t="s">
        <v>129</v>
      </c>
      <c r="B15" s="20" t="n">
        <f aca="false">B9/'1. Inputs'!$B$3</f>
        <v>0.442857142857143</v>
      </c>
      <c r="C15" s="9"/>
    </row>
    <row r="16" customFormat="false" ht="15" hidden="false" customHeight="false" outlineLevel="0" collapsed="false">
      <c r="A16" s="7" t="s">
        <v>130</v>
      </c>
      <c r="B16" s="20" t="n">
        <f aca="false">B13/'1. Inputs'!$B$3</f>
        <v>0.292857142857143</v>
      </c>
      <c r="C16" s="9"/>
    </row>
    <row r="18" customFormat="false" ht="15" hidden="false" customHeight="false" outlineLevel="0" collapsed="false">
      <c r="A18" s="17" t="s">
        <v>131</v>
      </c>
      <c r="B18" s="16" t="n">
        <f aca="false">-B12</f>
        <v>2.1</v>
      </c>
      <c r="C18" s="9"/>
    </row>
    <row r="19" customFormat="false" ht="55.2" hidden="false" customHeight="false" outlineLevel="0" collapsed="false">
      <c r="A19" s="17" t="s">
        <v>132</v>
      </c>
      <c r="B19" s="16" t="n">
        <f aca="false">B18*'1. Inputs'!$B$4</f>
        <v>19.95</v>
      </c>
      <c r="C19" s="9" t="s">
        <v>133</v>
      </c>
    </row>
    <row r="20" customFormat="false" ht="15" hidden="false" customHeight="false" outlineLevel="0" collapsed="false">
      <c r="A20" s="17" t="s">
        <v>134</v>
      </c>
      <c r="B20" s="21" t="n">
        <f aca="false">B19/'1. Inputs'!$B$26</f>
        <v>0.285</v>
      </c>
      <c r="C20" s="9"/>
    </row>
    <row r="22" customFormat="false" ht="55.2" hidden="false" customHeight="false" outlineLevel="0" collapsed="false">
      <c r="A22" s="24" t="s">
        <v>135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2"/>
    <col collapsed="false" customWidth="true" hidden="false" outlineLevel="0" max="3" min="3" style="0" width="20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13" t="s">
        <v>136</v>
      </c>
      <c r="B1" s="13" t="s">
        <v>137</v>
      </c>
      <c r="C1" s="13" t="s">
        <v>61</v>
      </c>
      <c r="D1" s="13" t="s">
        <v>138</v>
      </c>
    </row>
    <row r="2" customFormat="false" ht="15" hidden="false" customHeight="false" outlineLevel="0" collapsed="false">
      <c r="A2" s="7" t="n">
        <v>1</v>
      </c>
      <c r="B2" s="9" t="s">
        <v>139</v>
      </c>
      <c r="C2" s="28" t="n">
        <f aca="false">'1. Inputs'!B26</f>
        <v>70</v>
      </c>
      <c r="D2" s="17" t="str">
        <f aca="false">IF(ABS(C2-70)&lt;0.01,"PASS","FAIL")</f>
        <v>PASS</v>
      </c>
    </row>
    <row r="3" customFormat="false" ht="15" hidden="false" customHeight="false" outlineLevel="0" collapsed="false">
      <c r="A3" s="7" t="n">
        <v>2</v>
      </c>
      <c r="B3" s="9" t="s">
        <v>140</v>
      </c>
      <c r="C3" s="28" t="n">
        <f aca="false">'2. The hold'!E8</f>
        <v>24.5</v>
      </c>
      <c r="D3" s="17" t="str">
        <f aca="false">IF(ABS(C3-24.5)&lt;0.01,"PASS","FAIL")</f>
        <v>PASS</v>
      </c>
    </row>
    <row r="4" customFormat="false" ht="15" hidden="false" customHeight="false" outlineLevel="0" collapsed="false">
      <c r="A4" s="7" t="n">
        <v>3</v>
      </c>
      <c r="B4" s="9" t="s">
        <v>141</v>
      </c>
      <c r="C4" s="28" t="n">
        <f aca="false">'2. The hold'!E9</f>
        <v>249.9</v>
      </c>
      <c r="D4" s="17" t="str">
        <f aca="false">IF(ABS(C4-249.9)&lt;0.05,"PASS","FAIL")</f>
        <v>PASS</v>
      </c>
    </row>
    <row r="5" customFormat="false" ht="15" hidden="false" customHeight="false" outlineLevel="0" collapsed="false">
      <c r="A5" s="7" t="n">
        <v>4</v>
      </c>
      <c r="B5" s="9" t="s">
        <v>142</v>
      </c>
      <c r="C5" s="28" t="n">
        <f aca="false">'2. The hold'!E11</f>
        <v>215.729372348016</v>
      </c>
      <c r="D5" s="17" t="str">
        <f aca="false">IF(ABS(C5-215.729)&lt;0.02,"PASS","FAIL")</f>
        <v>PASS</v>
      </c>
    </row>
    <row r="6" customFormat="false" ht="15" hidden="false" customHeight="false" outlineLevel="0" collapsed="false">
      <c r="A6" s="7" t="n">
        <v>5</v>
      </c>
      <c r="B6" s="9" t="s">
        <v>143</v>
      </c>
      <c r="C6" s="29" t="n">
        <f aca="false">'2. The hold'!E12</f>
        <v>3.08184817640023</v>
      </c>
      <c r="D6" s="17" t="str">
        <f aca="false">IF(ABS(C6-3.0818)&lt;0.002,"PASS","FAIL")</f>
        <v>PASS</v>
      </c>
    </row>
    <row r="7" customFormat="false" ht="15" hidden="false" customHeight="false" outlineLevel="0" collapsed="false">
      <c r="A7" s="7" t="n">
        <v>6</v>
      </c>
      <c r="B7" s="9" t="s">
        <v>144</v>
      </c>
      <c r="C7" s="30" t="n">
        <f aca="false">'2. The hold'!E13</f>
        <v>0.252455337751392</v>
      </c>
      <c r="D7" s="17" t="str">
        <f aca="false">IF(ABS(C7-0.25246)&lt;0.0005,"PASS","FAIL")</f>
        <v>PASS</v>
      </c>
    </row>
    <row r="8" customFormat="false" ht="15" hidden="false" customHeight="false" outlineLevel="0" collapsed="false">
      <c r="A8" s="7" t="n">
        <v>7</v>
      </c>
      <c r="B8" s="9" t="s">
        <v>145</v>
      </c>
      <c r="C8" s="28" t="n">
        <f aca="false">'2. The hold'!E14</f>
        <v>28.8293723480163</v>
      </c>
      <c r="D8" s="17" t="str">
        <f aca="false">IF(ABS(C8-28.829)&lt;0.02,"PASS","FAIL")</f>
        <v>PASS</v>
      </c>
    </row>
    <row r="9" customFormat="false" ht="15" hidden="false" customHeight="false" outlineLevel="0" collapsed="false">
      <c r="A9" s="7" t="n">
        <v>8</v>
      </c>
      <c r="B9" s="9" t="s">
        <v>146</v>
      </c>
      <c r="C9" s="31" t="n">
        <f aca="false">'3. The bridge'!B13</f>
        <v>0</v>
      </c>
      <c r="D9" s="17" t="str">
        <f aca="false">IF(ABS(C9)&lt;0.000001,"PASS","FAIL")</f>
        <v>PASS</v>
      </c>
    </row>
    <row r="10" customFormat="false" ht="15" hidden="false" customHeight="false" outlineLevel="0" collapsed="false">
      <c r="A10" s="7" t="n">
        <v>9</v>
      </c>
      <c r="B10" s="9" t="s">
        <v>147</v>
      </c>
      <c r="C10" s="28" t="n">
        <f aca="false">'3. The bridge'!B4</f>
        <v>59.85</v>
      </c>
      <c r="D10" s="17" t="str">
        <f aca="false">IF(ABS(C10-59.85)&lt;0.01,"PASS","FAIL")</f>
        <v>PASS</v>
      </c>
    </row>
    <row r="11" customFormat="false" ht="15" hidden="false" customHeight="false" outlineLevel="0" collapsed="false">
      <c r="A11" s="7" t="n">
        <v>10</v>
      </c>
      <c r="B11" s="9" t="s">
        <v>148</v>
      </c>
      <c r="C11" s="30" t="n">
        <f aca="false">'3. The bridge'!C4</f>
        <v>0.410692772745032</v>
      </c>
      <c r="D11" s="17" t="str">
        <f aca="false">IF(ABS(C11-0.4107)&lt;0.002,"PASS","FAIL")</f>
        <v>PASS</v>
      </c>
    </row>
    <row r="12" customFormat="false" ht="15" hidden="false" customHeight="false" outlineLevel="0" collapsed="false">
      <c r="A12" s="7" t="n">
        <v>11</v>
      </c>
      <c r="B12" s="9" t="s">
        <v>149</v>
      </c>
      <c r="C12" s="30" t="n">
        <f aca="false">'3. The bridge'!C9</f>
        <v>0.197828151480464</v>
      </c>
      <c r="D12" s="17" t="str">
        <f aca="false">IF(ABS(C12-0.1978)&lt;0.002,"PASS","FAIL")</f>
        <v>PASS</v>
      </c>
    </row>
    <row r="13" customFormat="false" ht="15" hidden="false" customHeight="false" outlineLevel="0" collapsed="false">
      <c r="A13" s="7" t="n">
        <v>12</v>
      </c>
      <c r="B13" s="9" t="s">
        <v>150</v>
      </c>
      <c r="C13" s="30" t="n">
        <f aca="false">'3. The bridge'!C6+'3. The bridge'!C7</f>
        <v>0.145475134205425</v>
      </c>
      <c r="D13" s="17" t="str">
        <f aca="false">IF(ABS(C13-0.1455)&lt;0.003,"PASS","FAIL")</f>
        <v>PASS</v>
      </c>
    </row>
    <row r="14" customFormat="false" ht="15" hidden="false" customHeight="false" outlineLevel="0" collapsed="false">
      <c r="A14" s="7" t="n">
        <v>13</v>
      </c>
      <c r="B14" s="9" t="s">
        <v>151</v>
      </c>
      <c r="C14" s="28" t="n">
        <f aca="false">'3. The bridge'!B5</f>
        <v>28.5</v>
      </c>
      <c r="D14" s="17" t="str">
        <f aca="false">IF(ABS(C14-28.5)&lt;0.01,"PASS","FAIL")</f>
        <v>PASS</v>
      </c>
    </row>
    <row r="15" customFormat="false" ht="15" hidden="false" customHeight="false" outlineLevel="0" collapsed="false">
      <c r="A15" s="7" t="n">
        <v>14</v>
      </c>
      <c r="B15" s="9" t="s">
        <v>152</v>
      </c>
      <c r="C15" s="28" t="n">
        <f aca="false">'3. The bridge'!B16</f>
        <v>16.5</v>
      </c>
      <c r="D15" s="17" t="str">
        <f aca="false">IF(ABS(C15-16.5)&lt;0.01,"PASS","FAIL")</f>
        <v>PASS</v>
      </c>
    </row>
    <row r="16" customFormat="false" ht="15" hidden="false" customHeight="false" outlineLevel="0" collapsed="false">
      <c r="A16" s="7" t="n">
        <v>15</v>
      </c>
      <c r="B16" s="9" t="s">
        <v>153</v>
      </c>
      <c r="C16" s="32" t="n">
        <f aca="false">'3. The bridge'!B17</f>
        <v>0.727272727272727</v>
      </c>
      <c r="D16" s="17" t="str">
        <f aca="false">IF(ABS(C16-0.7273)&lt;0.005,"PASS","FAIL")</f>
        <v>PASS</v>
      </c>
    </row>
    <row r="17" customFormat="false" ht="15" hidden="false" customHeight="false" outlineLevel="0" collapsed="false">
      <c r="A17" s="7" t="n">
        <v>16</v>
      </c>
      <c r="B17" s="9" t="s">
        <v>154</v>
      </c>
      <c r="C17" s="29" t="n">
        <f aca="false">'3. The bridge'!B18</f>
        <v>4</v>
      </c>
      <c r="D17" s="17" t="str">
        <f aca="false">IF(ABS(C17-4)&lt;0.01,"PASS","FAIL")</f>
        <v>PASS</v>
      </c>
    </row>
    <row r="18" customFormat="false" ht="15" hidden="false" customHeight="false" outlineLevel="0" collapsed="false">
      <c r="A18" s="7" t="n">
        <v>17</v>
      </c>
      <c r="B18" s="9" t="s">
        <v>155</v>
      </c>
      <c r="C18" s="28" t="n">
        <f aca="false">'4. Conventions'!B6</f>
        <v>7.34999999999999</v>
      </c>
      <c r="D18" s="17" t="str">
        <f aca="false">IF(ABS(C18-7.35)&lt;0.01,"PASS","FAIL")</f>
        <v>PASS</v>
      </c>
    </row>
    <row r="19" customFormat="false" ht="15" hidden="false" customHeight="false" outlineLevel="0" collapsed="false">
      <c r="A19" s="7" t="n">
        <v>18</v>
      </c>
      <c r="B19" s="9" t="s">
        <v>156</v>
      </c>
      <c r="C19" s="30" t="n">
        <f aca="false">'4. Conventions'!B7</f>
        <v>0.0504359545476355</v>
      </c>
      <c r="D19" s="17" t="str">
        <f aca="false">IF(ABS(C19-0.0504)&lt;0.001,"PASS","FAIL")</f>
        <v>PASS</v>
      </c>
    </row>
    <row r="20" customFormat="false" ht="15" hidden="false" customHeight="false" outlineLevel="0" collapsed="false">
      <c r="A20" s="7" t="n">
        <v>19</v>
      </c>
      <c r="B20" s="9" t="s">
        <v>157</v>
      </c>
      <c r="C20" s="28" t="n">
        <f aca="false">'4. Conventions'!B10</f>
        <v>107.1</v>
      </c>
      <c r="D20" s="17" t="str">
        <f aca="false">IF(ABS(C20-107.1)&lt;0.01,"PASS","FAIL")</f>
        <v>PASS</v>
      </c>
    </row>
    <row r="21" customFormat="false" ht="15" hidden="false" customHeight="false" outlineLevel="0" collapsed="false">
      <c r="A21" s="7" t="n">
        <v>20</v>
      </c>
      <c r="B21" s="9" t="s">
        <v>158</v>
      </c>
      <c r="C21" s="28" t="n">
        <f aca="false">'4. Conventions'!C11</f>
        <v>17.15</v>
      </c>
      <c r="D21" s="17" t="str">
        <f aca="false">IF(ABS(C21-17.15)&lt;0.01,"PASS","FAIL")</f>
        <v>PASS</v>
      </c>
    </row>
    <row r="22" customFormat="false" ht="15" hidden="false" customHeight="false" outlineLevel="0" collapsed="false">
      <c r="A22" s="7" t="n">
        <v>21</v>
      </c>
      <c r="B22" s="9" t="s">
        <v>159</v>
      </c>
      <c r="C22" s="32" t="n">
        <f aca="false">'4. Conventions'!B15</f>
        <v>0.75</v>
      </c>
      <c r="D22" s="17" t="str">
        <f aca="false">IF(ABS(C22-0.75)&lt;0.005,"PASS","FAIL")</f>
        <v>PASS</v>
      </c>
    </row>
    <row r="23" customFormat="false" ht="15" hidden="false" customHeight="false" outlineLevel="0" collapsed="false">
      <c r="A23" s="7" t="n">
        <v>22</v>
      </c>
      <c r="B23" s="9" t="s">
        <v>160</v>
      </c>
      <c r="C23" s="30" t="n">
        <f aca="false">'4. Conventions'!B14</f>
        <v>0.0736842105263158</v>
      </c>
      <c r="D23" s="17" t="str">
        <f aca="false">IF(ABS(C23-0.0737)&lt;0.002,"PASS","FAIL")</f>
        <v>PASS</v>
      </c>
    </row>
    <row r="24" customFormat="false" ht="15" hidden="false" customHeight="false" outlineLevel="0" collapsed="false">
      <c r="A24" s="7" t="n">
        <v>23</v>
      </c>
      <c r="B24" s="9" t="s">
        <v>161</v>
      </c>
      <c r="C24" s="29" t="n">
        <f aca="false">'5. Leverage'!D4</f>
        <v>2.79521766379974</v>
      </c>
      <c r="D24" s="17" t="str">
        <f aca="false">IF(ABS(C24-2.7952)&lt;0.005,"PASS","FAIL")</f>
        <v>PASS</v>
      </c>
    </row>
    <row r="25" customFormat="false" ht="15" hidden="false" customHeight="false" outlineLevel="0" collapsed="false">
      <c r="A25" s="7" t="n">
        <v>24</v>
      </c>
      <c r="B25" s="9" t="s">
        <v>162</v>
      </c>
      <c r="C25" s="29" t="n">
        <f aca="false">'5. Leverage'!D7</f>
        <v>4.2283702268022</v>
      </c>
      <c r="D25" s="17" t="str">
        <f aca="false">IF(ABS(C25-4.2284)&lt;0.005,"PASS","FAIL")</f>
        <v>PASS</v>
      </c>
    </row>
    <row r="26" customFormat="false" ht="15" hidden="false" customHeight="false" outlineLevel="0" collapsed="false">
      <c r="A26" s="7" t="n">
        <v>25</v>
      </c>
      <c r="B26" s="9" t="s">
        <v>163</v>
      </c>
      <c r="C26" s="30" t="n">
        <f aca="false">'5. Leverage'!G7-'5. Leverage'!G4</f>
        <v>0.0445113829622813</v>
      </c>
      <c r="D26" s="17" t="str">
        <f aca="false">IF(C26&gt;0,"PASS","FAIL")</f>
        <v>PASS</v>
      </c>
    </row>
    <row r="27" customFormat="false" ht="15" hidden="false" customHeight="false" outlineLevel="0" collapsed="false">
      <c r="A27" s="7" t="n">
        <v>26</v>
      </c>
      <c r="B27" s="9" t="s">
        <v>164</v>
      </c>
      <c r="C27" s="30" t="n">
        <f aca="false">'5. Leverage'!G7-'5. Leverage'!G4</f>
        <v>0.0445113829622813</v>
      </c>
      <c r="D27" s="17" t="str">
        <f aca="false">IF(ABS(C27-0.0445)&lt;0.002,"PASS","FAIL")</f>
        <v>PASS</v>
      </c>
    </row>
    <row r="28" customFormat="false" ht="15" hidden="false" customHeight="false" outlineLevel="0" collapsed="false">
      <c r="A28" s="7" t="n">
        <v>27</v>
      </c>
      <c r="B28" s="9" t="s">
        <v>165</v>
      </c>
      <c r="C28" s="31" t="n">
        <f aca="false">'5. Leverage'!F10-'5. Leverage'!F11</f>
        <v>0</v>
      </c>
      <c r="D28" s="17" t="str">
        <f aca="false">IF(ABS(C28)&lt;0.000001,"PASS","FAIL")</f>
        <v>PASS</v>
      </c>
    </row>
    <row r="29" customFormat="false" ht="15" hidden="false" customHeight="false" outlineLevel="0" collapsed="false">
      <c r="A29" s="7" t="n">
        <v>28</v>
      </c>
      <c r="B29" s="9" t="s">
        <v>166</v>
      </c>
      <c r="C29" s="28" t="n">
        <f aca="false">'6. Reconciliation'!B9</f>
        <v>6.2</v>
      </c>
      <c r="D29" s="17" t="str">
        <f aca="false">IF(ABS(C29-6.2)&lt;0.01,"PASS","FAIL")</f>
        <v>PASS</v>
      </c>
    </row>
    <row r="30" customFormat="false" ht="15" hidden="false" customHeight="false" outlineLevel="0" collapsed="false">
      <c r="A30" s="7" t="n">
        <v>29</v>
      </c>
      <c r="B30" s="9" t="s">
        <v>167</v>
      </c>
      <c r="C30" s="28" t="n">
        <f aca="false">'6. Reconciliation'!B12</f>
        <v>-2.1</v>
      </c>
      <c r="D30" s="17" t="str">
        <f aca="false">IF(ABS(C30+2.1)&lt;0.01,"PASS","FAIL")</f>
        <v>PASS</v>
      </c>
    </row>
    <row r="31" customFormat="false" ht="15" hidden="false" customHeight="false" outlineLevel="0" collapsed="false">
      <c r="A31" s="7" t="n">
        <v>30</v>
      </c>
      <c r="B31" s="9" t="s">
        <v>168</v>
      </c>
      <c r="C31" s="28" t="n">
        <f aca="false">'6. Reconciliation'!B13</f>
        <v>4.1</v>
      </c>
      <c r="D31" s="17" t="str">
        <f aca="false">IF(ABS(C31-4.1)&lt;0.01,"PASS","FAIL")</f>
        <v>PASS</v>
      </c>
    </row>
    <row r="32" customFormat="false" ht="15" hidden="false" customHeight="false" outlineLevel="0" collapsed="false">
      <c r="A32" s="7" t="n">
        <v>31</v>
      </c>
      <c r="B32" s="9" t="s">
        <v>169</v>
      </c>
      <c r="C32" s="28" t="n">
        <f aca="false">'6. Reconciliation'!B19</f>
        <v>19.95</v>
      </c>
      <c r="D32" s="17" t="str">
        <f aca="false">IF(ABS(C32-19.95)&lt;0.02,"PASS","FAIL")</f>
        <v>PASS</v>
      </c>
    </row>
    <row r="33" customFormat="false" ht="15" hidden="false" customHeight="false" outlineLevel="0" collapsed="false">
      <c r="A33" s="7" t="n">
        <v>32</v>
      </c>
      <c r="B33" s="9" t="s">
        <v>170</v>
      </c>
      <c r="C33" s="32" t="n">
        <f aca="false">'6. Reconciliation'!B20</f>
        <v>0.285</v>
      </c>
      <c r="D33" s="17" t="str">
        <f aca="false">IF(ABS(C33-0.285)&lt;0.005,"PASS","FAIL")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2026-08-22T05:35:54Z</dcterms:created>
  <dc:creator>openpyxl</dc:creator>
  <dc:description/>
  <dc:language>en-US</dc:language>
  <cp:lastModifiedBy/>
  <dcterms:modified xsi:type="dcterms:W3CDTF">2026-08-24T02:22:11Z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