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Read me" sheetId="1" state="visible" r:id="rId3"/>
    <sheet name="1. Inputs" sheetId="2" state="visible" r:id="rId4"/>
    <sheet name="2. One full cycle" sheetId="3" state="visible" r:id="rId5"/>
    <sheet name="3. The three yields" sheetId="4" state="visible" r:id="rId6"/>
    <sheet name="4. Checks" sheetId="5" state="visible" r:id="rId7"/>
    <sheet name="5. The cycle, split" sheetId="6" state="visible" r:id="rId8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<sst xmlns="http://schemas.openxmlformats.org/spreadsheetml/2006/main" count="139" uniqueCount="112">
  <si>
    <t xml:space="preserve">The yield you are actually buying</t>
  </si>
  <si>
    <t xml:space="preserve">Companion workbook to Office Real Estate</t>
  </si>
  <si>
    <t xml:space="preserve">A net initial yield divides today's rent by today's price. It cannot see the expiry, the void, the rent-free period, the fit-out or the letting fees. This workbook puts them back and shows the three yields side by side.</t>
  </si>
  <si>
    <t xml:space="preserve">Chapters 1, 5 and 6 of the book are this file. Change the fit-out cost, the void or the term certain and every figure moves.</t>
  </si>
  <si>
    <t xml:space="preserve">What it computes</t>
  </si>
  <si>
    <t xml:space="preserve">1. The net initial yield on the passing rent.</t>
  </si>
  <si>
    <t xml:space="preserve">2. The reversionary yield on market rent.</t>
  </si>
  <si>
    <t xml:space="preserve">3. One full re-letting cycle, from expiry to expiry, per square metre.</t>
  </si>
  <si>
    <t xml:space="preserve">4. The capital-adjusted yield, and the fit-out cost at which net income reaches zero — the income cliff of Chapter 15.</t>
  </si>
  <si>
    <t xml:space="preserve">Conventions</t>
  </si>
  <si>
    <t xml:space="preserve">Blue text on a pale blue fill — an input, you may edit these.</t>
  </si>
  <si>
    <t xml:space="preserve">Yellow fill — the carrying assumption of the sheet, the one to argue about first.</t>
  </si>
  <si>
    <t xml:space="preserve">Black text — a formula, do not overtype these.</t>
  </si>
  <si>
    <t xml:space="preserve">Nothing is locked, protected or watermarked. No macros, no external links.</t>
  </si>
  <si>
    <t xml:space="preserve">Revised 24 September 2026</t>
  </si>
  <si>
    <t xml:space="preserve">Sheet 5 is new: the cycle split into its four parts (fit-out, void, rent-free, fees) and the capital-adjusted yield line by line.</t>
  </si>
  <si>
    <t xml:space="preserve">The 3.20 per cent is on the price including acquisition costs (EUR 45.8 million); the book labelled it "on EUR 43.0 million", where it would be 3.40.</t>
  </si>
  <si>
    <t xml:space="preserve">The checks sheet now carries 22 lines and ends on an ALL OK verdict.</t>
  </si>
  <si>
    <t xml:space="preserve">Inputs</t>
  </si>
  <si>
    <t xml:space="preserve">Net lettable area (m2)</t>
  </si>
  <si>
    <t xml:space="preserve">Passing rent (EUR a year)</t>
  </si>
  <si>
    <t xml:space="preserve">Vacant area (m2)</t>
  </si>
  <si>
    <t xml:space="preserve">Market rent, refurbished (EUR/m2)</t>
  </si>
  <si>
    <t xml:space="preserve">Non-recoverable costs, share of rent</t>
  </si>
  <si>
    <t xml:space="preserve">Void holding cost (EUR/m2 a year)</t>
  </si>
  <si>
    <t xml:space="preserve">Asking price (EUR)</t>
  </si>
  <si>
    <t xml:space="preserve">Acquisition costs</t>
  </si>
  <si>
    <t xml:space="preserve">Category A fit-out (EUR/m2 per cycle)</t>
  </si>
  <si>
    <t xml:space="preserve">Void between tenants (months)</t>
  </si>
  <si>
    <t xml:space="preserve">Rent-free period (months)</t>
  </si>
  <si>
    <t xml:space="preserve">Letting agent and legal fees, share of first year's rent</t>
  </si>
  <si>
    <t xml:space="preserve">Term certain on a new lease (years)</t>
  </si>
  <si>
    <t xml:space="preserve">One square metre, one full cycle, expiry to expiry</t>
  </si>
  <si>
    <t xml:space="preserve">Cycle length (years)</t>
  </si>
  <si>
    <t xml:space="preserve">Years the space actually pays</t>
  </si>
  <si>
    <t xml:space="preserve">Rent collected over the cycle</t>
  </si>
  <si>
    <t xml:space="preserve">Less non-recoverable costs</t>
  </si>
  <si>
    <t xml:space="preserve">Less void holding costs</t>
  </si>
  <si>
    <t xml:space="preserve">Less category A fit-out</t>
  </si>
  <si>
    <t xml:space="preserve">Less letting agent and legal fees</t>
  </si>
  <si>
    <t xml:space="preserve">Net over the cycle</t>
  </si>
  <si>
    <t xml:space="preserve">Net per year</t>
  </si>
  <si>
    <t xml:space="preserve">Gross net income per year, at market rent</t>
  </si>
  <si>
    <t xml:space="preserve">Capital retention ratio</t>
  </si>
  <si>
    <t xml:space="preserve">Income cliff: fit-out per cycle at which net income is zero</t>
  </si>
  <si>
    <t xml:space="preserve">Today's fit-out as a share of the cliff</t>
  </si>
  <si>
    <t xml:space="preserve">The three yields</t>
  </si>
  <si>
    <t xml:space="preserve">Net operating income, passing</t>
  </si>
  <si>
    <t xml:space="preserve">Price including acquisition costs</t>
  </si>
  <si>
    <t xml:space="preserve">Net initial yield</t>
  </si>
  <si>
    <t xml:space="preserve">Stabilised net operating income, at market rent</t>
  </si>
  <si>
    <t xml:space="preserve">Reversionary yield</t>
  </si>
  <si>
    <t xml:space="preserve">Capital-adjusted net income</t>
  </si>
  <si>
    <t xml:space="preserve">Cost of the re-letting cycle</t>
  </si>
  <si>
    <t xml:space="preserve">Capital-adjusted yield</t>
  </si>
  <si>
    <t xml:space="preserve">Ratio of capital-adjusted yield to net initial yield</t>
  </si>
  <si>
    <t xml:space="preserve">Checks — every figure the book prints, against what this workbook computes</t>
  </si>
  <si>
    <t xml:space="preserve">Office Real Estate</t>
  </si>
  <si>
    <t xml:space="preserve">Column D is a live formula pointing into the model, not a re-typed number. Change an input and this sheet moves with it.</t>
  </si>
  <si>
    <t xml:space="preserve">Source</t>
  </si>
  <si>
    <t xml:space="preserve">Figure as the book prints it</t>
  </si>
  <si>
    <t xml:space="preserve">Printed</t>
  </si>
  <si>
    <t xml:space="preserve">Computed</t>
  </si>
  <si>
    <t xml:space="preserve">Variance</t>
  </si>
  <si>
    <t xml:space="preserve">Status</t>
  </si>
  <si>
    <t xml:space="preserve">How the tolerances are set</t>
  </si>
  <si>
    <t xml:space="preserve">Ch. 1</t>
  </si>
  <si>
    <t xml:space="preserve">Net operating income, passing (EUR)</t>
  </si>
  <si>
    <t xml:space="preserve">One unit of the last digit the book prints for that figure.</t>
  </si>
  <si>
    <t xml:space="preserve">Ch. 6</t>
  </si>
  <si>
    <t xml:space="preserve">Ch. 5</t>
  </si>
  <si>
    <t xml:space="preserve">Net over one cycle (EUR/m2)</t>
  </si>
  <si>
    <t xml:space="preserve">Net per year (EUR/m2)</t>
  </si>
  <si>
    <t xml:space="preserve">Ch. 23</t>
  </si>
  <si>
    <t xml:space="preserve">Capital-adjusted net income (EUR)</t>
  </si>
  <si>
    <t xml:space="preserve">Ch. 15</t>
  </si>
  <si>
    <t xml:space="preserve">Income cliff (EUR/m2 per cycle)</t>
  </si>
  <si>
    <t xml:space="preserve">Fit-out, per m2 a year over the cycle</t>
  </si>
  <si>
    <t xml:space="preserve">The void, rent lost and costs borne</t>
  </si>
  <si>
    <t xml:space="preserve">The rent-free period</t>
  </si>
  <si>
    <t xml:space="preserve">Letting agent and legal</t>
  </si>
  <si>
    <t xml:space="preserve">Total cost of the cycle</t>
  </si>
  <si>
    <t xml:space="preserve">Share of net income the cycle consumes</t>
  </si>
  <si>
    <t xml:space="preserve">Net kept, rebuilt from the four parts, equals sheet 2</t>
  </si>
  <si>
    <t xml:space="preserve">internal control</t>
  </si>
  <si>
    <t xml:space="preserve">Cost of the cycle on 12 000 m2 (EUR)</t>
  </si>
  <si>
    <t xml:space="preserve">Capital-adjusted yield, on the price including acquisition costs</t>
  </si>
  <si>
    <t xml:space="preserve">the book labels it "on EUR 43.0 million"; corrected in the revised text</t>
  </si>
  <si>
    <t xml:space="preserve">Ratio of capital-adjusted to quoted yield</t>
  </si>
  <si>
    <t xml:space="preserve">Headroom to the income cliff</t>
  </si>
  <si>
    <t xml:space="preserve">Ch. 3</t>
  </si>
  <si>
    <t xml:space="preserve">Headroom multiple: cliff over today's fit-out</t>
  </si>
  <si>
    <t xml:space="preserve">Lines reproduced within the book's own printed precision</t>
  </si>
  <si>
    <t xml:space="preserve">Lines differing only by the book's rounding of an intermediate</t>
  </si>
  <si>
    <t xml:space="preserve">Lines to check</t>
  </si>
  <si>
    <t xml:space="preserve">All checks</t>
  </si>
  <si>
    <t xml:space="preserve">The re-letting cycle split into its four parts, and the capital-adjusted yield in full (Chapters 5 and 6)</t>
  </si>
  <si>
    <t xml:space="preserve">Component, EUR/m2 a year over the cycle</t>
  </si>
  <si>
    <t xml:space="preserve">Amount</t>
  </si>
  <si>
    <t xml:space="preserve">Share</t>
  </si>
  <si>
    <t xml:space="preserve">Category A fit-out</t>
  </si>
  <si>
    <t xml:space="preserve">The void: rent lost and costs borne</t>
  </si>
  <si>
    <t xml:space="preserve">Net income kept, per m2 a year (must equal sheet 2)</t>
  </si>
  <si>
    <t xml:space="preserve">The capital-adjusted yield, line by line</t>
  </si>
  <si>
    <t xml:space="preserve">EUR</t>
  </si>
  <si>
    <t xml:space="preserve">Rent at market on the whole building</t>
  </si>
  <si>
    <t xml:space="preserve">Stabilised net operating income</t>
  </si>
  <si>
    <t xml:space="preserve">Less the re-letting cycle on the whole area</t>
  </si>
  <si>
    <t xml:space="preserve">Capital-adjusted yield on the price including acquisition costs</t>
  </si>
  <si>
    <t xml:space="preserve">The same income on the headline price alone (for comparison)</t>
  </si>
  <si>
    <t xml:space="preserve">Chapter 6 of the book labels the 3.20 per cent as a yield "on EUR 43.0 million"; it is on EUR 45.8 million, the price including acquisition costs, as the glossary defines it. On EUR 43.0 million the same income is 3.40 per cent.</t>
  </si>
  <si>
    <t xml:space="preserve">Headroom to the income cliff: today's fit-out as a share of the cliff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</si>
</sst>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#,##0"/>
    <numFmt numFmtId="166" formatCode="#,##0.00"/>
    <numFmt numFmtId="167" formatCode="0.00%"/>
    <numFmt numFmtId="168" formatCode="0"/>
    <numFmt numFmtId="169" formatCode="0.0"/>
    <numFmt numFmtId="170" formatCode="0.00"/>
    <numFmt numFmtId="171" formatCode="General"/>
    <numFmt numFmtId="172" formatCode="0.0%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F3864"/>
      <name val="Cambria"/>
      <family val="0"/>
      <charset val="1"/>
    </font>
    <font>
      <sz val="9"/>
      <color rgb="FF555555"/>
      <name val="Cambria"/>
      <family val="0"/>
      <charset val="1"/>
    </font>
    <font>
      <b val="true"/>
      <sz val="10"/>
      <color rgb="FF1F3864"/>
      <name val="Cambria"/>
      <family val="0"/>
      <charset val="1"/>
    </font>
    <font>
      <b val="true"/>
      <sz val="13"/>
      <color rgb="FF1F3864"/>
      <name val="Cambria"/>
      <family val="0"/>
      <charset val="1"/>
    </font>
    <font>
      <sz val="11"/>
      <color rgb="FF1F4E79"/>
      <name val="Cambria"/>
      <family val="0"/>
      <charset val="1"/>
    </font>
    <font>
      <b val="true"/>
      <sz val="11"/>
      <color rgb="FF1F4E79"/>
      <name val="Cambria"/>
      <family val="0"/>
      <charset val="1"/>
    </font>
    <font>
      <b val="true"/>
      <sz val="11"/>
      <name val="Cambria"/>
      <family val="0"/>
      <charset val="1"/>
    </font>
    <font>
      <i val="true"/>
      <sz val="11"/>
      <color rgb="FF555555"/>
      <name val="Cambria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DCE9F7"/>
        <bgColor rgb="FFCCFFFF"/>
      </patternFill>
    </fill>
    <fill>
      <patternFill patternType="solid">
        <fgColor rgb="FFFFF2C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AAAAAA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DCE9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AAAAAA"/>
      <rgbColor rgb="FF1F3864"/>
      <rgbColor rgb="FF339966"/>
      <rgbColor rgb="FF003300"/>
      <rgbColor rgb="FF333300"/>
      <rgbColor rgb="FF993300"/>
      <rgbColor rgb="FF993366"/>
      <rgbColor rgb="FF1F4E7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108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39" hidden="false" customHeight="true" outlineLevel="0" collapsed="false">
      <c r="A4" s="3" t="s">
        <v>2</v>
      </c>
    </row>
    <row r="5" customFormat="false" ht="25.5" hidden="false" customHeight="true" outlineLevel="0" collapsed="false">
      <c r="A5" s="3" t="s">
        <v>3</v>
      </c>
    </row>
    <row r="7" customFormat="false" ht="15" hidden="false" customHeight="false" outlineLevel="0" collapsed="false">
      <c r="A7" s="4" t="s">
        <v>4</v>
      </c>
    </row>
    <row r="8" customFormat="false" ht="15" hidden="false" customHeight="true" outlineLevel="0" collapsed="false">
      <c r="A8" s="3" t="s">
        <v>5</v>
      </c>
    </row>
    <row r="9" customFormat="false" ht="15" hidden="false" customHeight="true" outlineLevel="0" collapsed="false">
      <c r="A9" s="3" t="s">
        <v>6</v>
      </c>
    </row>
    <row r="10" customFormat="false" ht="15" hidden="false" customHeight="true" outlineLevel="0" collapsed="false">
      <c r="A10" s="3" t="s">
        <v>7</v>
      </c>
    </row>
    <row r="11" customFormat="false" ht="25.5" hidden="false" customHeight="true" outlineLevel="0" collapsed="false">
      <c r="A11" s="3" t="s">
        <v>8</v>
      </c>
    </row>
    <row r="13" customFormat="false" ht="15" hidden="false" customHeight="false" outlineLevel="0" collapsed="false">
      <c r="A13" s="4" t="s">
        <v>9</v>
      </c>
    </row>
    <row r="14" customFormat="false" ht="15" hidden="false" customHeight="true" outlineLevel="0" collapsed="false">
      <c r="A14" s="3" t="s">
        <v>10</v>
      </c>
    </row>
    <row r="15" customFormat="false" ht="15" hidden="false" customHeight="true" outlineLevel="0" collapsed="false">
      <c r="A15" s="3" t="s">
        <v>11</v>
      </c>
    </row>
    <row r="16" customFormat="false" ht="15" hidden="false" customHeight="true" outlineLevel="0" collapsed="false">
      <c r="A16" s="3" t="s">
        <v>12</v>
      </c>
    </row>
    <row r="17" customFormat="false" ht="15" hidden="false" customHeight="true" outlineLevel="0" collapsed="false">
      <c r="A17" s="3" t="s">
        <v>13</v>
      </c>
    </row>
    <row r="19" customFormat="false" ht="16.15" hidden="false" customHeight="false" outlineLevel="0" collapsed="false">
      <c r="A19" s="5" t="s">
        <v>14</v>
      </c>
    </row>
    <row r="20" customFormat="false" ht="15" hidden="false" customHeight="false" outlineLevel="0" collapsed="false">
      <c r="A20" s="0" t="s">
        <v>15</v>
      </c>
    </row>
    <row r="21" customFormat="false" ht="15" hidden="false" customHeight="false" outlineLevel="0" collapsed="false">
      <c r="A21" s="0" t="s">
        <v>16</v>
      </c>
    </row>
    <row r="22" customFormat="false" ht="15" hidden="false" customHeight="false" outlineLevel="0" collapsed="false">
      <c r="A22" s="0" t="s">
        <v>17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54"/>
    <col collapsed="false" customWidth="true" hidden="false" outlineLevel="0" max="2" min="2" style="0" width="16"/>
  </cols>
  <sheetData>
    <row r="1" customFormat="false" ht="16.15" hidden="false" customHeight="false" outlineLevel="0" collapsed="false">
      <c r="A1" s="5" t="s">
        <v>18</v>
      </c>
    </row>
    <row r="3" customFormat="false" ht="15" hidden="false" customHeight="false" outlineLevel="0" collapsed="false">
      <c r="A3" s="0" t="s">
        <v>19</v>
      </c>
      <c r="B3" s="6" t="n">
        <v>12000</v>
      </c>
    </row>
    <row r="4" customFormat="false" ht="15" hidden="false" customHeight="false" outlineLevel="0" collapsed="false">
      <c r="A4" s="0" t="s">
        <v>20</v>
      </c>
      <c r="B4" s="6" t="n">
        <v>3048940</v>
      </c>
    </row>
    <row r="5" customFormat="false" ht="15" hidden="false" customHeight="false" outlineLevel="0" collapsed="false">
      <c r="A5" s="0" t="s">
        <v>21</v>
      </c>
      <c r="B5" s="6" t="n">
        <v>2160</v>
      </c>
    </row>
    <row r="6" customFormat="false" ht="15" hidden="false" customHeight="false" outlineLevel="0" collapsed="false">
      <c r="A6" s="0" t="s">
        <v>22</v>
      </c>
      <c r="B6" s="7" t="n">
        <v>300</v>
      </c>
    </row>
    <row r="7" customFormat="false" ht="15" hidden="false" customHeight="false" outlineLevel="0" collapsed="false">
      <c r="A7" s="0" t="s">
        <v>23</v>
      </c>
      <c r="B7" s="8" t="n">
        <v>0.06</v>
      </c>
    </row>
    <row r="8" customFormat="false" ht="15" hidden="false" customHeight="false" outlineLevel="0" collapsed="false">
      <c r="A8" s="0" t="s">
        <v>24</v>
      </c>
      <c r="B8" s="7" t="n">
        <v>55</v>
      </c>
    </row>
    <row r="9" customFormat="false" ht="15" hidden="false" customHeight="false" outlineLevel="0" collapsed="false">
      <c r="A9" s="0" t="s">
        <v>25</v>
      </c>
      <c r="B9" s="6" t="n">
        <v>43000000</v>
      </c>
    </row>
    <row r="10" customFormat="false" ht="15" hidden="false" customHeight="false" outlineLevel="0" collapsed="false">
      <c r="A10" s="0" t="s">
        <v>26</v>
      </c>
      <c r="B10" s="8" t="n">
        <v>0.065</v>
      </c>
    </row>
    <row r="11" customFormat="false" ht="15" hidden="false" customHeight="false" outlineLevel="0" collapsed="false">
      <c r="A11" s="0" t="s">
        <v>27</v>
      </c>
      <c r="B11" s="9" t="n">
        <v>420</v>
      </c>
    </row>
    <row r="12" customFormat="false" ht="15" hidden="false" customHeight="false" outlineLevel="0" collapsed="false">
      <c r="A12" s="0" t="s">
        <v>28</v>
      </c>
      <c r="B12" s="10" t="n">
        <v>9</v>
      </c>
    </row>
    <row r="13" customFormat="false" ht="15" hidden="false" customHeight="false" outlineLevel="0" collapsed="false">
      <c r="A13" s="0" t="s">
        <v>29</v>
      </c>
      <c r="B13" s="10" t="n">
        <v>9</v>
      </c>
    </row>
    <row r="14" customFormat="false" ht="15" hidden="false" customHeight="false" outlineLevel="0" collapsed="false">
      <c r="A14" s="0" t="s">
        <v>30</v>
      </c>
      <c r="B14" s="8" t="n">
        <v>0.12</v>
      </c>
    </row>
    <row r="15" customFormat="false" ht="15" hidden="false" customHeight="false" outlineLevel="0" collapsed="false">
      <c r="A15" s="0" t="s">
        <v>31</v>
      </c>
      <c r="B15" s="11" t="n">
        <v>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58"/>
    <col collapsed="false" customWidth="true" hidden="false" outlineLevel="0" max="2" min="2" style="0" width="17"/>
  </cols>
  <sheetData>
    <row r="1" customFormat="false" ht="16.15" hidden="false" customHeight="false" outlineLevel="0" collapsed="false">
      <c r="A1" s="5" t="s">
        <v>32</v>
      </c>
    </row>
    <row r="3" customFormat="false" ht="15" hidden="false" customHeight="false" outlineLevel="0" collapsed="false">
      <c r="A3" s="0" t="s">
        <v>33</v>
      </c>
      <c r="B3" s="12" t="n">
        <f aca="false">'1. Inputs'!$B$15+'1. Inputs'!$B$12/12</f>
        <v>5.75</v>
      </c>
    </row>
    <row r="4" customFormat="false" ht="15" hidden="false" customHeight="false" outlineLevel="0" collapsed="false">
      <c r="A4" s="0" t="s">
        <v>34</v>
      </c>
      <c r="B4" s="12" t="n">
        <f aca="false">'1. Inputs'!$B$15-'1. Inputs'!$B$13/12</f>
        <v>4.25</v>
      </c>
    </row>
    <row r="5" customFormat="false" ht="15" hidden="false" customHeight="false" outlineLevel="0" collapsed="false">
      <c r="A5" s="0" t="s">
        <v>35</v>
      </c>
      <c r="B5" s="13" t="n">
        <f aca="false">'1. Inputs'!$B$6*B4</f>
        <v>1275</v>
      </c>
    </row>
    <row r="6" customFormat="false" ht="15" hidden="false" customHeight="false" outlineLevel="0" collapsed="false">
      <c r="A6" s="0" t="s">
        <v>36</v>
      </c>
      <c r="B6" s="13" t="n">
        <f aca="false">-B5*'1. Inputs'!$B$7</f>
        <v>-76.5</v>
      </c>
    </row>
    <row r="7" customFormat="false" ht="15" hidden="false" customHeight="false" outlineLevel="0" collapsed="false">
      <c r="A7" s="0" t="s">
        <v>37</v>
      </c>
      <c r="B7" s="13" t="n">
        <f aca="false">-'1. Inputs'!$B$8*'1. Inputs'!$B$12/12</f>
        <v>-41.25</v>
      </c>
    </row>
    <row r="8" customFormat="false" ht="15" hidden="false" customHeight="false" outlineLevel="0" collapsed="false">
      <c r="A8" s="0" t="s">
        <v>38</v>
      </c>
      <c r="B8" s="13" t="n">
        <f aca="false">-'1. Inputs'!$B$11</f>
        <v>-420</v>
      </c>
    </row>
    <row r="9" customFormat="false" ht="15" hidden="false" customHeight="false" outlineLevel="0" collapsed="false">
      <c r="A9" s="0" t="s">
        <v>39</v>
      </c>
      <c r="B9" s="13" t="n">
        <f aca="false">-'1. Inputs'!$B$14*'1. Inputs'!$B$6</f>
        <v>-36</v>
      </c>
    </row>
    <row r="10" customFormat="false" ht="15" hidden="false" customHeight="false" outlineLevel="0" collapsed="false">
      <c r="A10" s="0" t="s">
        <v>40</v>
      </c>
      <c r="B10" s="14" t="n">
        <f aca="false">SUM(B5:B9)</f>
        <v>701.25</v>
      </c>
    </row>
    <row r="11" customFormat="false" ht="15" hidden="false" customHeight="false" outlineLevel="0" collapsed="false">
      <c r="A11" s="0" t="s">
        <v>41</v>
      </c>
      <c r="B11" s="13" t="n">
        <f aca="false">B10/B3</f>
        <v>121.95652173913</v>
      </c>
    </row>
    <row r="12" customFormat="false" ht="15" hidden="false" customHeight="false" outlineLevel="0" collapsed="false">
      <c r="A12" s="0" t="s">
        <v>42</v>
      </c>
      <c r="B12" s="13" t="n">
        <f aca="false">'1. Inputs'!$B$6*(1-'1. Inputs'!$B$7)</f>
        <v>282</v>
      </c>
    </row>
    <row r="13" customFormat="false" ht="15" hidden="false" customHeight="false" outlineLevel="0" collapsed="false">
      <c r="A13" s="0" t="s">
        <v>43</v>
      </c>
      <c r="B13" s="15" t="n">
        <f aca="false">B11/B12</f>
        <v>0.432469935245143</v>
      </c>
    </row>
    <row r="14" customFormat="false" ht="15" hidden="false" customHeight="false" outlineLevel="0" collapsed="false">
      <c r="A14" s="0" t="s">
        <v>44</v>
      </c>
      <c r="B14" s="14" t="n">
        <f aca="false">B10+'1. Inputs'!$B$11</f>
        <v>1121.25</v>
      </c>
    </row>
    <row r="15" customFormat="false" ht="15" hidden="false" customHeight="false" outlineLevel="0" collapsed="false">
      <c r="A15" s="0" t="s">
        <v>45</v>
      </c>
      <c r="B15" s="16" t="n">
        <f aca="false">'1. Inputs'!$B$11/B14</f>
        <v>0.374581939799331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58"/>
    <col collapsed="false" customWidth="true" hidden="false" outlineLevel="0" max="3" min="2" style="0" width="17"/>
  </cols>
  <sheetData>
    <row r="1" customFormat="false" ht="16.15" hidden="false" customHeight="false" outlineLevel="0" collapsed="false">
      <c r="A1" s="5" t="s">
        <v>46</v>
      </c>
    </row>
    <row r="3" customFormat="false" ht="15" hidden="false" customHeight="false" outlineLevel="0" collapsed="false">
      <c r="A3" s="0" t="s">
        <v>47</v>
      </c>
      <c r="B3" s="17" t="n">
        <f aca="false">'1. Inputs'!$B$4*(1-'1. Inputs'!$B$7)-'1. Inputs'!$B$5*'1. Inputs'!$B$8</f>
        <v>2747203.6</v>
      </c>
    </row>
    <row r="4" customFormat="false" ht="15" hidden="false" customHeight="false" outlineLevel="0" collapsed="false">
      <c r="A4" s="0" t="s">
        <v>48</v>
      </c>
      <c r="B4" s="17" t="n">
        <f aca="false">'1. Inputs'!$B$9*(1+'1. Inputs'!$B$10)</f>
        <v>45795000</v>
      </c>
    </row>
    <row r="5" customFormat="false" ht="15" hidden="false" customHeight="false" outlineLevel="0" collapsed="false">
      <c r="A5" s="0" t="s">
        <v>49</v>
      </c>
      <c r="B5" s="16" t="n">
        <f aca="false">B3/B4</f>
        <v>0.0599891603886887</v>
      </c>
    </row>
    <row r="7" customFormat="false" ht="15" hidden="false" customHeight="false" outlineLevel="0" collapsed="false">
      <c r="A7" s="0" t="s">
        <v>50</v>
      </c>
      <c r="B7" s="17" t="n">
        <f aca="false">'1. Inputs'!$B$3*'1. Inputs'!$B$6*(1-'1. Inputs'!$B$7)</f>
        <v>3384000</v>
      </c>
    </row>
    <row r="8" customFormat="false" ht="15" hidden="false" customHeight="false" outlineLevel="0" collapsed="false">
      <c r="A8" s="0" t="s">
        <v>51</v>
      </c>
      <c r="B8" s="16" t="n">
        <f aca="false">B7/B4</f>
        <v>0.0738945299705208</v>
      </c>
    </row>
    <row r="10" customFormat="false" ht="15" hidden="false" customHeight="false" outlineLevel="0" collapsed="false">
      <c r="A10" s="0" t="s">
        <v>52</v>
      </c>
      <c r="B10" s="17" t="n">
        <f aca="false">'2. One full cycle'!B11*'1. Inputs'!$B$3</f>
        <v>1463478.26086957</v>
      </c>
    </row>
    <row r="11" customFormat="false" ht="15" hidden="false" customHeight="false" outlineLevel="0" collapsed="false">
      <c r="A11" s="0" t="s">
        <v>53</v>
      </c>
      <c r="B11" s="17" t="n">
        <f aca="false">B7-B10</f>
        <v>1920521.73913043</v>
      </c>
    </row>
    <row r="12" customFormat="false" ht="15" hidden="false" customHeight="false" outlineLevel="0" collapsed="false">
      <c r="A12" s="0" t="s">
        <v>54</v>
      </c>
      <c r="B12" s="15" t="n">
        <f aca="false">B10/B4</f>
        <v>0.0319571625913214</v>
      </c>
    </row>
    <row r="14" customFormat="false" ht="15" hidden="false" customHeight="false" outlineLevel="0" collapsed="false">
      <c r="A14" s="0" t="s">
        <v>55</v>
      </c>
      <c r="B14" s="12" t="n">
        <f aca="false">B12/B5</f>
        <v>0.532715617025824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62"/>
    <col collapsed="false" customWidth="true" hidden="false" outlineLevel="0" max="6" min="3" style="0" width="13"/>
    <col collapsed="false" customWidth="true" hidden="false" outlineLevel="0" max="7" min="7" style="0" width="2"/>
    <col collapsed="false" customWidth="true" hidden="false" outlineLevel="0" max="8" min="8" style="0" width="60"/>
  </cols>
  <sheetData>
    <row r="1" customFormat="false" ht="16.15" hidden="false" customHeight="false" outlineLevel="0" collapsed="false">
      <c r="A1" s="5" t="s">
        <v>56</v>
      </c>
    </row>
    <row r="2" customFormat="false" ht="15" hidden="false" customHeight="false" outlineLevel="0" collapsed="false">
      <c r="A2" s="2" t="s">
        <v>57</v>
      </c>
    </row>
    <row r="3" customFormat="false" ht="15" hidden="false" customHeight="false" outlineLevel="0" collapsed="false">
      <c r="A3" s="2" t="s">
        <v>58</v>
      </c>
    </row>
    <row r="5" customFormat="false" ht="15" hidden="false" customHeight="false" outlineLevel="0" collapsed="false">
      <c r="A5" s="18" t="s">
        <v>59</v>
      </c>
      <c r="B5" s="18" t="s">
        <v>60</v>
      </c>
      <c r="C5" s="18" t="s">
        <v>61</v>
      </c>
      <c r="D5" s="18" t="s">
        <v>62</v>
      </c>
      <c r="E5" s="18" t="s">
        <v>63</v>
      </c>
      <c r="F5" s="18" t="s">
        <v>64</v>
      </c>
      <c r="H5" s="19" t="s">
        <v>65</v>
      </c>
    </row>
    <row r="6" customFormat="false" ht="15" hidden="false" customHeight="false" outlineLevel="0" collapsed="false">
      <c r="A6" s="0" t="s">
        <v>66</v>
      </c>
      <c r="B6" s="3" t="s">
        <v>67</v>
      </c>
      <c r="C6" s="0" t="n">
        <v>2747204</v>
      </c>
      <c r="D6" s="17" t="n">
        <f aca="false">'3. The three yields'!B3</f>
        <v>2747203.6</v>
      </c>
      <c r="E6" s="20" t="n">
        <f aca="false">D6-C6</f>
        <v>-0.400000000372529</v>
      </c>
      <c r="F6" s="0" t="str">
        <f aca="false">IF(ABS(E6)&lt;=1,"reproduced",IF(ABS(E6)&lt;=1*3,"rounding","to check"))</f>
        <v>reproduced</v>
      </c>
      <c r="H6" s="3" t="s">
        <v>68</v>
      </c>
    </row>
    <row r="7" customFormat="false" ht="15" hidden="false" customHeight="false" outlineLevel="0" collapsed="false">
      <c r="A7" s="0" t="s">
        <v>66</v>
      </c>
      <c r="B7" s="3" t="s">
        <v>49</v>
      </c>
      <c r="C7" s="0" t="n">
        <v>0.059989</v>
      </c>
      <c r="D7" s="16" t="n">
        <f aca="false">'3. The three yields'!B5</f>
        <v>0.0599891603886887</v>
      </c>
      <c r="E7" s="16" t="n">
        <f aca="false">D7-C7</f>
        <v>1.6038868871221E-007</v>
      </c>
      <c r="F7" s="0" t="str">
        <f aca="false">IF(ABS(E7)&lt;=0.00005,"reproduced",IF(ABS(E7)&lt;=0.00005*3,"rounding","to check"))</f>
        <v>reproduced</v>
      </c>
    </row>
    <row r="8" customFormat="false" ht="15" hidden="false" customHeight="false" outlineLevel="0" collapsed="false">
      <c r="A8" s="0" t="s">
        <v>69</v>
      </c>
      <c r="B8" s="3" t="s">
        <v>51</v>
      </c>
      <c r="C8" s="0" t="n">
        <v>0.073895</v>
      </c>
      <c r="D8" s="16" t="n">
        <f aca="false">'3. The three yields'!B8</f>
        <v>0.0738945299705208</v>
      </c>
      <c r="E8" s="16" t="n">
        <f aca="false">D8-C8</f>
        <v>-4.70029479199274E-007</v>
      </c>
      <c r="F8" s="0" t="str">
        <f aca="false">IF(ABS(E8)&lt;=0.00005,"reproduced",IF(ABS(E8)&lt;=0.00005*3,"rounding","to check"))</f>
        <v>reproduced</v>
      </c>
    </row>
    <row r="9" customFormat="false" ht="15" hidden="false" customHeight="false" outlineLevel="0" collapsed="false">
      <c r="A9" s="0" t="s">
        <v>70</v>
      </c>
      <c r="B9" s="3" t="s">
        <v>33</v>
      </c>
      <c r="C9" s="0" t="n">
        <v>5.75</v>
      </c>
      <c r="D9" s="12" t="n">
        <f aca="false">'2. One full cycle'!B3</f>
        <v>5.75</v>
      </c>
      <c r="E9" s="20" t="n">
        <f aca="false">D9-C9</f>
        <v>0</v>
      </c>
      <c r="F9" s="0" t="str">
        <f aca="false">IF(ABS(E9)&lt;=0.01,"reproduced",IF(ABS(E9)&lt;=0.01*3,"rounding","to check"))</f>
        <v>reproduced</v>
      </c>
    </row>
    <row r="10" customFormat="false" ht="15" hidden="false" customHeight="false" outlineLevel="0" collapsed="false">
      <c r="A10" s="0" t="s">
        <v>70</v>
      </c>
      <c r="B10" s="3" t="s">
        <v>71</v>
      </c>
      <c r="C10" s="0" t="n">
        <v>701.25</v>
      </c>
      <c r="D10" s="13" t="n">
        <f aca="false">'2. One full cycle'!B10</f>
        <v>701.25</v>
      </c>
      <c r="E10" s="20" t="n">
        <f aca="false">D10-C10</f>
        <v>0</v>
      </c>
      <c r="F10" s="0" t="str">
        <f aca="false">IF(ABS(E10)&lt;=0.01,"reproduced",IF(ABS(E10)&lt;=0.01*3,"rounding","to check"))</f>
        <v>reproduced</v>
      </c>
    </row>
    <row r="11" customFormat="false" ht="15" hidden="false" customHeight="false" outlineLevel="0" collapsed="false">
      <c r="A11" s="0" t="s">
        <v>70</v>
      </c>
      <c r="B11" s="3" t="s">
        <v>72</v>
      </c>
      <c r="C11" s="0" t="n">
        <v>121.96</v>
      </c>
      <c r="D11" s="13" t="n">
        <f aca="false">'2. One full cycle'!B11</f>
        <v>121.95652173913</v>
      </c>
      <c r="E11" s="20" t="n">
        <f aca="false">D11-C11</f>
        <v>-0.00347826086955649</v>
      </c>
      <c r="F11" s="0" t="str">
        <f aca="false">IF(ABS(E11)&lt;=0.01,"reproduced",IF(ABS(E11)&lt;=0.01*3,"rounding","to check"))</f>
        <v>reproduced</v>
      </c>
    </row>
    <row r="12" customFormat="false" ht="15" hidden="false" customHeight="false" outlineLevel="0" collapsed="false">
      <c r="A12" s="0" t="s">
        <v>73</v>
      </c>
      <c r="B12" s="3" t="s">
        <v>43</v>
      </c>
      <c r="C12" s="0" t="n">
        <v>0.43247</v>
      </c>
      <c r="D12" s="16" t="n">
        <f aca="false">'2. One full cycle'!B13</f>
        <v>0.432469935245143</v>
      </c>
      <c r="E12" s="16" t="n">
        <f aca="false">D12-C12</f>
        <v>-6.47548566434786E-008</v>
      </c>
      <c r="F12" s="0" t="str">
        <f aca="false">IF(ABS(E12)&lt;=0.00005,"reproduced",IF(ABS(E12)&lt;=0.00005*3,"rounding","to check"))</f>
        <v>reproduced</v>
      </c>
    </row>
    <row r="13" customFormat="false" ht="15" hidden="false" customHeight="false" outlineLevel="0" collapsed="false">
      <c r="A13" s="0" t="s">
        <v>69</v>
      </c>
      <c r="B13" s="3" t="s">
        <v>74</v>
      </c>
      <c r="C13" s="0" t="n">
        <v>1463478</v>
      </c>
      <c r="D13" s="17" t="n">
        <f aca="false">'3. The three yields'!B10</f>
        <v>1463478.26086957</v>
      </c>
      <c r="E13" s="20" t="n">
        <f aca="false">D13-C13</f>
        <v>0.260869565187022</v>
      </c>
      <c r="F13" s="0" t="str">
        <f aca="false">IF(ABS(E13)&lt;=2,"reproduced",IF(ABS(E13)&lt;=2*3,"rounding","to check"))</f>
        <v>reproduced</v>
      </c>
    </row>
    <row r="14" customFormat="false" ht="15" hidden="false" customHeight="false" outlineLevel="0" collapsed="false">
      <c r="A14" s="0" t="s">
        <v>69</v>
      </c>
      <c r="B14" s="3" t="s">
        <v>54</v>
      </c>
      <c r="C14" s="0" t="n">
        <v>0.031957</v>
      </c>
      <c r="D14" s="16" t="n">
        <f aca="false">'3. The three yields'!B12</f>
        <v>0.0319571625913214</v>
      </c>
      <c r="E14" s="16" t="n">
        <f aca="false">D14-C14</f>
        <v>1.62591321434258E-007</v>
      </c>
      <c r="F14" s="0" t="str">
        <f aca="false">IF(ABS(E14)&lt;=0.00005,"reproduced",IF(ABS(E14)&lt;=0.00005*3,"rounding","to check"))</f>
        <v>reproduced</v>
      </c>
    </row>
    <row r="15" customFormat="false" ht="15" hidden="false" customHeight="false" outlineLevel="0" collapsed="false">
      <c r="A15" s="0" t="s">
        <v>75</v>
      </c>
      <c r="B15" s="3" t="s">
        <v>76</v>
      </c>
      <c r="C15" s="0" t="n">
        <v>1121.25</v>
      </c>
      <c r="D15" s="13" t="n">
        <f aca="false">'2. One full cycle'!B14</f>
        <v>1121.25</v>
      </c>
      <c r="E15" s="20" t="n">
        <f aca="false">D15-C15</f>
        <v>0</v>
      </c>
      <c r="F15" s="0" t="str">
        <f aca="false">IF(ABS(E15)&lt;=0.01,"reproduced",IF(ABS(E15)&lt;=0.01*3,"rounding","to check"))</f>
        <v>reproduced</v>
      </c>
    </row>
    <row r="16" customFormat="false" ht="15" hidden="false" customHeight="false" outlineLevel="0" collapsed="false">
      <c r="A16" s="0" t="s">
        <v>70</v>
      </c>
      <c r="B16" s="0" t="s">
        <v>77</v>
      </c>
      <c r="C16" s="13" t="n">
        <v>73.04</v>
      </c>
      <c r="D16" s="13" t="n">
        <f aca="false">'5. The cycle, split'!B4</f>
        <v>73.0434782608696</v>
      </c>
      <c r="E16" s="13" t="n">
        <f aca="false">D16-C16</f>
        <v>0.00347826086955649</v>
      </c>
      <c r="F16" s="0" t="str">
        <f aca="false">IF(ABS(E16)&lt;=0.01,"reproduced",IF(ABS(E16)&lt;=0.01*3,"rounding","to check"))</f>
        <v>reproduced</v>
      </c>
    </row>
    <row r="17" customFormat="false" ht="15" hidden="false" customHeight="false" outlineLevel="0" collapsed="false">
      <c r="A17" s="19" t="s">
        <v>70</v>
      </c>
      <c r="B17" s="20" t="s">
        <v>78</v>
      </c>
      <c r="C17" s="14" t="n">
        <v>43.96</v>
      </c>
      <c r="D17" s="13" t="n">
        <f aca="false">'5. The cycle, split'!B5</f>
        <v>43.9565217391304</v>
      </c>
      <c r="E17" s="13" t="n">
        <f aca="false">D17-C17</f>
        <v>-0.0034782608695636</v>
      </c>
      <c r="F17" s="0" t="str">
        <f aca="false">IF(ABS(E17)&lt;=0.01,"reproduced",IF(ABS(E17)&lt;=0.01*3,"rounding","to check"))</f>
        <v>reproduced</v>
      </c>
    </row>
    <row r="18" customFormat="false" ht="15" hidden="false" customHeight="false" outlineLevel="0" collapsed="false">
      <c r="A18" s="19" t="s">
        <v>70</v>
      </c>
      <c r="B18" s="20" t="s">
        <v>79</v>
      </c>
      <c r="C18" s="14" t="n">
        <v>36.78</v>
      </c>
      <c r="D18" s="13" t="n">
        <f aca="false">'5. The cycle, split'!B6</f>
        <v>36.7826086956522</v>
      </c>
      <c r="E18" s="13" t="n">
        <f aca="false">D18-C18</f>
        <v>0.00260869565217092</v>
      </c>
      <c r="F18" s="0" t="str">
        <f aca="false">IF(ABS(E18)&lt;=0.01,"reproduced",IF(ABS(E18)&lt;=0.01*3,"rounding","to check"))</f>
        <v>reproduced</v>
      </c>
    </row>
    <row r="19" customFormat="false" ht="15" hidden="false" customHeight="false" outlineLevel="0" collapsed="false">
      <c r="A19" s="19" t="s">
        <v>70</v>
      </c>
      <c r="B19" s="20" t="s">
        <v>80</v>
      </c>
      <c r="C19" s="14" t="n">
        <v>6.26</v>
      </c>
      <c r="D19" s="13" t="n">
        <f aca="false">'5. The cycle, split'!B7</f>
        <v>6.26086956521739</v>
      </c>
      <c r="E19" s="13" t="n">
        <f aca="false">D19-C19</f>
        <v>0.000869565217391788</v>
      </c>
      <c r="F19" s="0" t="str">
        <f aca="false">IF(ABS(E19)&lt;=0.01,"reproduced",IF(ABS(E19)&lt;=0.01*3,"rounding","to check"))</f>
        <v>reproduced</v>
      </c>
    </row>
    <row r="20" customFormat="false" ht="15" hidden="false" customHeight="false" outlineLevel="0" collapsed="false">
      <c r="A20" s="0" t="s">
        <v>70</v>
      </c>
      <c r="B20" s="0" t="s">
        <v>81</v>
      </c>
      <c r="C20" s="13" t="n">
        <v>160.04</v>
      </c>
      <c r="D20" s="13" t="n">
        <f aca="false">'5. The cycle, split'!B8</f>
        <v>160.04347826087</v>
      </c>
      <c r="E20" s="13" t="n">
        <f aca="false">D20-C20</f>
        <v>0.00347826086959913</v>
      </c>
      <c r="F20" s="0" t="str">
        <f aca="false">IF(ABS(E20)&lt;=0.01,"reproduced",IF(ABS(E20)&lt;=0.01*3,"rounding","to check"))</f>
        <v>reproduced</v>
      </c>
    </row>
    <row r="21" customFormat="false" ht="15" hidden="false" customHeight="false" outlineLevel="0" collapsed="false">
      <c r="A21" s="0" t="s">
        <v>70</v>
      </c>
      <c r="B21" s="0" t="s">
        <v>82</v>
      </c>
      <c r="C21" s="16" t="n">
        <v>0.57</v>
      </c>
      <c r="D21" s="16" t="n">
        <f aca="false">'5. The cycle, split'!B10</f>
        <v>0.567530064754857</v>
      </c>
      <c r="E21" s="16" t="n">
        <f aca="false">D21-C21</f>
        <v>-0.00246993524514327</v>
      </c>
      <c r="F21" s="0" t="str">
        <f aca="false">IF(ABS(E21)&lt;=0.005,"reproduced",IF(ABS(E21)&lt;=0.005*3,"rounding","to check"))</f>
        <v>reproduced</v>
      </c>
    </row>
    <row r="22" customFormat="false" ht="15" hidden="false" customHeight="false" outlineLevel="0" collapsed="false">
      <c r="A22" s="0" t="s">
        <v>70</v>
      </c>
      <c r="B22" s="0" t="s">
        <v>83</v>
      </c>
      <c r="C22" s="13" t="n">
        <f aca="false">'2. One full cycle'!B11</f>
        <v>121.95652173913</v>
      </c>
      <c r="D22" s="13" t="n">
        <f aca="false">'5. The cycle, split'!B9</f>
        <v>121.95652173913</v>
      </c>
      <c r="E22" s="13" t="n">
        <f aca="false">D22-C22</f>
        <v>0</v>
      </c>
      <c r="F22" s="0" t="str">
        <f aca="false">IF(ABS(E22)&lt;=0.000000001,"reproduced",IF(ABS(E22)&lt;=0.000000001*3,"rounding","to check"))</f>
        <v>reproduced</v>
      </c>
      <c r="H22" s="21" t="s">
        <v>84</v>
      </c>
    </row>
    <row r="23" customFormat="false" ht="15" hidden="false" customHeight="false" outlineLevel="0" collapsed="false">
      <c r="A23" s="0" t="s">
        <v>69</v>
      </c>
      <c r="B23" s="0" t="s">
        <v>85</v>
      </c>
      <c r="C23" s="17" t="n">
        <v>1920522</v>
      </c>
      <c r="D23" s="17" t="n">
        <f aca="false">-'5. The cycle, split'!B16</f>
        <v>1920521.73913044</v>
      </c>
      <c r="E23" s="17" t="n">
        <f aca="false">D23-C23</f>
        <v>-0.260869564954191</v>
      </c>
      <c r="F23" s="0" t="str">
        <f aca="false">IF(ABS(E23)&lt;=1,"reproduced",IF(ABS(E23)&lt;=1*3,"rounding","to check"))</f>
        <v>reproduced</v>
      </c>
    </row>
    <row r="24" customFormat="false" ht="15" hidden="false" customHeight="false" outlineLevel="0" collapsed="false">
      <c r="A24" s="0" t="s">
        <v>69</v>
      </c>
      <c r="B24" s="0" t="s">
        <v>86</v>
      </c>
      <c r="C24" s="16" t="n">
        <v>0.032</v>
      </c>
      <c r="D24" s="16" t="n">
        <f aca="false">'5. The cycle, split'!B18</f>
        <v>0.0319571625913214</v>
      </c>
      <c r="E24" s="16" t="n">
        <f aca="false">D24-C24</f>
        <v>-4.28374086785671E-005</v>
      </c>
      <c r="F24" s="0" t="str">
        <f aca="false">IF(ABS(E24)&lt;=0.00005,"reproduced",IF(ABS(E24)&lt;=0.00005*3,"rounding","to check"))</f>
        <v>reproduced</v>
      </c>
      <c r="H24" s="21" t="s">
        <v>87</v>
      </c>
    </row>
    <row r="25" customFormat="false" ht="15" hidden="false" customHeight="false" outlineLevel="0" collapsed="false">
      <c r="A25" s="0" t="s">
        <v>69</v>
      </c>
      <c r="B25" s="0" t="s">
        <v>88</v>
      </c>
      <c r="C25" s="16" t="n">
        <v>0.53</v>
      </c>
      <c r="D25" s="16" t="n">
        <f aca="false">'3. The three yields'!B14</f>
        <v>0.532715617025824</v>
      </c>
      <c r="E25" s="16" t="n">
        <f aca="false">D25-C25</f>
        <v>0.00271561702582412</v>
      </c>
      <c r="F25" s="0" t="str">
        <f aca="false">IF(ABS(E25)&lt;=0.005,"reproduced",IF(ABS(E25)&lt;=0.005*3,"rounding","to check"))</f>
        <v>reproduced</v>
      </c>
    </row>
    <row r="26" customFormat="false" ht="15" hidden="false" customHeight="false" outlineLevel="0" collapsed="false">
      <c r="A26" s="0" t="s">
        <v>75</v>
      </c>
      <c r="B26" s="0" t="s">
        <v>89</v>
      </c>
      <c r="C26" s="16" t="n">
        <v>0.37</v>
      </c>
      <c r="D26" s="16" t="n">
        <f aca="false">'2. One full cycle'!B15</f>
        <v>0.374581939799331</v>
      </c>
      <c r="E26" s="16" t="n">
        <f aca="false">D26-C26</f>
        <v>0.00458193979933108</v>
      </c>
      <c r="F26" s="0" t="str">
        <f aca="false">IF(ABS(E26)&lt;=0.005,"reproduced",IF(ABS(E26)&lt;=0.005*3,"rounding","to check"))</f>
        <v>reproduced</v>
      </c>
    </row>
    <row r="27" customFormat="false" ht="15" hidden="false" customHeight="false" outlineLevel="0" collapsed="false">
      <c r="A27" s="0" t="s">
        <v>90</v>
      </c>
      <c r="B27" s="0" t="s">
        <v>91</v>
      </c>
      <c r="C27" s="13" t="n">
        <v>2.7</v>
      </c>
      <c r="D27" s="13" t="n">
        <f aca="false">'2. One full cycle'!B14/'1. Inputs'!B11</f>
        <v>2.66964285714286</v>
      </c>
      <c r="E27" s="13" t="n">
        <f aca="false">D27-C27</f>
        <v>-0.030357142857143</v>
      </c>
      <c r="F27" s="0" t="str">
        <f aca="false">IF(ABS(E27)&lt;=0.05,"reproduced",IF(ABS(E27)&lt;=0.05*3,"rounding","to check"))</f>
        <v>reproduced</v>
      </c>
    </row>
    <row r="29" customFormat="false" ht="15" hidden="false" customHeight="false" outlineLevel="0" collapsed="false">
      <c r="A29" s="0" t="s">
        <v>92</v>
      </c>
      <c r="C29" s="0" t="n">
        <f aca="false">COUNTIF(F6:F27,"reproduced")</f>
        <v>22</v>
      </c>
    </row>
    <row r="30" customFormat="false" ht="15" hidden="false" customHeight="false" outlineLevel="0" collapsed="false">
      <c r="A30" s="0" t="s">
        <v>93</v>
      </c>
      <c r="C30" s="0" t="n">
        <f aca="false">COUNTIF(F6:F27,"rounding")</f>
        <v>0</v>
      </c>
    </row>
    <row r="31" customFormat="false" ht="15" hidden="false" customHeight="false" outlineLevel="0" collapsed="false">
      <c r="A31" s="0" t="s">
        <v>94</v>
      </c>
      <c r="C31" s="0" t="n">
        <f aca="false">COUNTIF(F6:F27,"to check")</f>
        <v>0</v>
      </c>
    </row>
    <row r="32" customFormat="false" ht="15" hidden="false" customHeight="false" outlineLevel="0" collapsed="false">
      <c r="A32" s="19" t="s">
        <v>95</v>
      </c>
      <c r="D32" s="19" t="str">
        <f aca="false">IF(COUNTIF(F6:F27,"to check")=0,"ALL OK",COUNTIF(F6:F27,"to check")&amp;" to check")</f>
        <v>ALL OK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58"/>
    <col collapsed="false" customWidth="true" hidden="false" outlineLevel="0" max="5" min="2" style="0" width="18"/>
  </cols>
  <sheetData>
    <row r="1" customFormat="false" ht="16.15" hidden="false" customHeight="false" outlineLevel="0" collapsed="false">
      <c r="A1" s="5" t="s">
        <v>96</v>
      </c>
    </row>
    <row r="3" customFormat="false" ht="15" hidden="false" customHeight="false" outlineLevel="0" collapsed="false">
      <c r="A3" s="0" t="s">
        <v>97</v>
      </c>
      <c r="B3" s="19" t="s">
        <v>98</v>
      </c>
      <c r="C3" s="19" t="s">
        <v>99</v>
      </c>
    </row>
    <row r="4" customFormat="false" ht="15" hidden="false" customHeight="false" outlineLevel="0" collapsed="false">
      <c r="A4" s="0" t="s">
        <v>100</v>
      </c>
      <c r="B4" s="13" t="n">
        <f aca="false">'1. Inputs'!$B$11/'2. One full cycle'!$B$3</f>
        <v>73.0434782608696</v>
      </c>
      <c r="C4" s="22" t="n">
        <f aca="false">B4/B$8</f>
        <v>0.45639771801141</v>
      </c>
    </row>
    <row r="5" customFormat="false" ht="15" hidden="false" customHeight="false" outlineLevel="0" collapsed="false">
      <c r="A5" s="0" t="s">
        <v>101</v>
      </c>
      <c r="B5" s="13" t="n">
        <f aca="false">('1. Inputs'!$B$6*(1-'1. Inputs'!$B$7)+'1. Inputs'!$B$8)*'1. Inputs'!$B$12/12/'2. One full cycle'!$B$3</f>
        <v>43.9565217391304</v>
      </c>
      <c r="C5" s="22" t="n">
        <f aca="false">B5/B$8</f>
        <v>0.274653626731866</v>
      </c>
    </row>
    <row r="6" customFormat="false" ht="15" hidden="false" customHeight="false" outlineLevel="0" collapsed="false">
      <c r="A6" s="0" t="s">
        <v>79</v>
      </c>
      <c r="B6" s="13" t="n">
        <f aca="false">'1. Inputs'!$B$6*(1-'1. Inputs'!$B$7)*'1. Inputs'!$B$13/12/'2. One full cycle'!$B$3</f>
        <v>36.7826086956522</v>
      </c>
      <c r="C6" s="22" t="n">
        <f aca="false">B6/B$8</f>
        <v>0.229828850855746</v>
      </c>
    </row>
    <row r="7" customFormat="false" ht="15" hidden="false" customHeight="false" outlineLevel="0" collapsed="false">
      <c r="A7" s="0" t="s">
        <v>80</v>
      </c>
      <c r="B7" s="13" t="n">
        <f aca="false">'1. Inputs'!$B$14*'1. Inputs'!$B$6/'2. One full cycle'!$B$3</f>
        <v>6.26086956521739</v>
      </c>
      <c r="C7" s="22" t="n">
        <f aca="false">B7/B$8</f>
        <v>0.039119804400978</v>
      </c>
    </row>
    <row r="8" customFormat="false" ht="15" hidden="false" customHeight="false" outlineLevel="0" collapsed="false">
      <c r="A8" s="19" t="s">
        <v>81</v>
      </c>
      <c r="B8" s="13" t="n">
        <f aca="false">SUM(B4:B7)</f>
        <v>160.04347826087</v>
      </c>
      <c r="C8" s="22" t="n">
        <f aca="false">SUM(C4:C7)</f>
        <v>1</v>
      </c>
    </row>
    <row r="9" customFormat="false" ht="15" hidden="false" customHeight="false" outlineLevel="0" collapsed="false">
      <c r="A9" s="0" t="s">
        <v>102</v>
      </c>
      <c r="B9" s="13" t="n">
        <f aca="false">'1. Inputs'!$B$6*(1-'1. Inputs'!$B$7)-B8</f>
        <v>121.95652173913</v>
      </c>
    </row>
    <row r="10" customFormat="false" ht="15" hidden="false" customHeight="false" outlineLevel="0" collapsed="false">
      <c r="A10" s="0" t="s">
        <v>82</v>
      </c>
      <c r="B10" s="22" t="n">
        <f aca="false">B8/('1. Inputs'!$B$6*(1-'1. Inputs'!$B$7))</f>
        <v>0.567530064754857</v>
      </c>
    </row>
    <row r="12" customFormat="false" ht="15" hidden="false" customHeight="false" outlineLevel="0" collapsed="false">
      <c r="A12" s="0" t="s">
        <v>103</v>
      </c>
      <c r="B12" s="19" t="s">
        <v>104</v>
      </c>
    </row>
    <row r="13" customFormat="false" ht="15" hidden="false" customHeight="false" outlineLevel="0" collapsed="false">
      <c r="A13" s="0" t="s">
        <v>105</v>
      </c>
      <c r="B13" s="17" t="n">
        <f aca="false">'1. Inputs'!$B$3*'1. Inputs'!$B$6</f>
        <v>3600000</v>
      </c>
    </row>
    <row r="14" customFormat="false" ht="15" hidden="false" customHeight="false" outlineLevel="0" collapsed="false">
      <c r="A14" s="0" t="s">
        <v>36</v>
      </c>
      <c r="B14" s="17" t="n">
        <f aca="false">-B13*'1. Inputs'!$B$7</f>
        <v>-216000</v>
      </c>
    </row>
    <row r="15" customFormat="false" ht="15" hidden="false" customHeight="false" outlineLevel="0" collapsed="false">
      <c r="A15" s="0" t="s">
        <v>106</v>
      </c>
      <c r="B15" s="17" t="n">
        <f aca="false">B13+B14</f>
        <v>3384000</v>
      </c>
    </row>
    <row r="16" customFormat="false" ht="15" hidden="false" customHeight="false" outlineLevel="0" collapsed="false">
      <c r="A16" s="0" t="s">
        <v>107</v>
      </c>
      <c r="B16" s="17" t="n">
        <f aca="false">-B8*'1. Inputs'!$B$3</f>
        <v>-1920521.73913044</v>
      </c>
    </row>
    <row r="17" customFormat="false" ht="15" hidden="false" customHeight="false" outlineLevel="0" collapsed="false">
      <c r="A17" s="0" t="s">
        <v>52</v>
      </c>
      <c r="B17" s="17" t="n">
        <f aca="false">B15+B16</f>
        <v>1463478.26086957</v>
      </c>
    </row>
    <row r="18" customFormat="false" ht="15" hidden="false" customHeight="false" outlineLevel="0" collapsed="false">
      <c r="A18" s="0" t="s">
        <v>108</v>
      </c>
      <c r="B18" s="16" t="n">
        <f aca="false">B17/('1. Inputs'!$B$9*(1+'1. Inputs'!$B$10))</f>
        <v>0.0319571625913214</v>
      </c>
    </row>
    <row r="19" customFormat="false" ht="15" hidden="false" customHeight="false" outlineLevel="0" collapsed="false">
      <c r="A19" s="0" t="s">
        <v>109</v>
      </c>
      <c r="B19" s="16" t="n">
        <f aca="false">B17/'1. Inputs'!$B$9</f>
        <v>0.0340343781597573</v>
      </c>
    </row>
    <row r="20" customFormat="false" ht="15" hidden="false" customHeight="false" outlineLevel="0" collapsed="false">
      <c r="A20" s="21" t="s">
        <v>110</v>
      </c>
    </row>
    <row r="22" customFormat="false" ht="15" hidden="false" customHeight="false" outlineLevel="0" collapsed="false">
      <c r="A22" s="0" t="s">
        <v>111</v>
      </c>
      <c r="B22" s="16" t="n">
        <f aca="false">'2. One full cycle'!B15</f>
        <v>0.374581939799331</v>
      </c>
    </row>
    <row r="23" customFormat="false" ht="15" hidden="false" customHeight="false" outlineLevel="0" collapsed="false">
      <c r="B23" s="16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2026-08-25T08:48:10Z</dcterms:created>
  <dc:creator>openpyxl</dc:creator>
  <dc:description/>
  <dc:language>en-US</dc:language>
  <cp:lastModifiedBy/>
  <dcterms:modified xsi:type="dcterms:W3CDTF">2026-09-23T22:52:37Z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