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Inputs" sheetId="2" state="visible" r:id="rId4"/>
    <sheet name="3. Leases" sheetId="3" state="visible" r:id="rId5"/>
    <sheet name="4. Cash flow" sheetId="4" state="visible" r:id="rId6"/>
    <sheet name="5. Value" sheetId="5" state="visible" r:id="rId7"/>
    <sheet name="6. Checks" sheetId="6" state="visible" r:id="rId8"/>
    <sheet name="7. Year by year" sheetId="7" state="visible" r:id="rId9"/>
    <sheet name="S00 Base case rebuilt" sheetId="8" state="visible" r:id="rId10"/>
    <sheet name="S01 Void of 15 months" sheetId="9" state="visible" r:id="rId11"/>
    <sheet name="S02 Void of 3 months" sheetId="10" state="visible" r:id="rId12"/>
    <sheet name="S03 No void at all" sheetId="11" state="visible" r:id="rId13"/>
    <sheet name="S04 Exit yield 5.75 per cent" sheetId="12" state="visible" r:id="rId14"/>
    <sheet name="S05 Exit yield 7.75 per cent" sheetId="13" state="visible" r:id="rId15"/>
    <sheet name="S06 Tenants take 5 per cent les" sheetId="14" state="visible" r:id="rId16"/>
    <sheet name="S07 Tenants take 10 per cent le" sheetId="15" state="visible" r:id="rId17"/>
    <sheet name="S08 Tenants take 15 per cent le" sheetId="16" state="visible" r:id="rId18"/>
    <sheet name="S09 Tenants take 20 per cent le" sheetId="17" state="visible" r:id="rId19"/>
    <sheet name="S10 Term certain of 10 years" sheetId="18" state="visible" r:id="rId20"/>
    <sheet name="S11 No rental growth" sheetId="19" state="visible" r:id="rId21"/>
    <sheet name="S12 Market rent 270" sheetId="20" state="visible" r:id="rId22"/>
    <sheet name="S13 Market rent 330" sheetId="21" state="visible" r:id="rId23"/>
    <sheet name="S14 Fit-out 550" sheetId="22" state="visible" r:id="rId24"/>
    <sheet name="S15 Six assumptions for the ven" sheetId="23" state="visible" r:id="rId25"/>
    <sheet name="S16 Energy standard not met" sheetId="24" state="visible" r:id="rId26"/>
    <sheet name="S17 Let as it stands" sheetId="25" state="visible" r:id="rId27"/>
    <sheet name="S18 Fit-out at the income cliff" sheetId="26" state="visible" r:id="rId28"/>
    <sheet name="S19 Fit-out at the value cliff" sheetId="27" state="visible" r:id="rId29"/>
    <sheet name="S20 Required market rent" sheetId="28" state="visible" r:id="rId30"/>
    <sheet name="S21 Required exit yield" sheetId="29" state="visible" r:id="rId31"/>
    <sheet name="S22 Required fit-out" sheetId="30" state="visible" r:id="rId32"/>
    <sheet name="S23 Required rental growth" sheetId="31" state="visible" r:id="rId33"/>
    <sheet name="8. Sensitivities" sheetId="32" state="visible" r:id="rId34"/>
    <sheet name="9. Exit, energy, cliffs" sheetId="33" state="visible" r:id="rId35"/>
    <sheet name="10. Layer and bridge" sheetId="34" state="visible" r:id="rId36"/>
    <sheet name="11. Debt" sheetId="35" state="visible" r:id="rId3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<sst xmlns="http://schemas.openxmlformats.org/spreadsheetml/2006/main" count="2811" uniqueCount="459">
  <si>
    <t xml:space="preserve">The ten-year cash flow</t>
  </si>
  <si>
    <t xml:space="preserve">Companion workbook to Office Real Estate</t>
  </si>
  <si>
    <t xml:space="preserve">The whole re-letting cycle, quarter by quarter, lease by lease: expiries, fit-out, voids, incentives, the dated energy capital call and the exit.</t>
  </si>
  <si>
    <t xml:space="preserve">Chapters 11 to 15 of the book are this file. Every cell on sheet 4 is a formula reading the inputs on sheet 2 and the leases on sheet 3.</t>
  </si>
  <si>
    <t xml:space="preserve">How a unit behaves</t>
  </si>
  <si>
    <t xml:space="preserve">Until its lease ends it pays its contracted rent.</t>
  </si>
  <si>
    <t xml:space="preserve">On expiry the fit-out is spent, the void runs, then a new lease starts at market rent grown to that date, the letting fee falls due and the rent-free runs.</t>
  </si>
  <si>
    <t xml:space="preserve">After the term certain the whole sequence repeats. Fit-out costs inflate faster than rents, which is the assumption to argue about first.</t>
  </si>
  <si>
    <t xml:space="preserve">What to change first</t>
  </si>
  <si>
    <t xml:space="preserve">The void on sheet 2. On the delivered assumptions it is the single largest driver of value in the whole model.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</si>
  <si>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</si>
  <si>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</si>
  <si>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</si>
  <si>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</si>
  <si>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</si>
  <si>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</si>
  <si>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New sheets: 7 (the ten years by year), S00 to S23 (every sensitivity the book prints, each on its own live copy of the cash flow), 8 (the sensitivity table),</t>
  </si>
  <si>
    <t xml:space="preserve">9 (the exit, the energy deadline, letting as it stands, the two cliffs), 10 (the layer method and the bridge), 11 (debt capacity and the levered return).</t>
  </si>
  <si>
    <t xml:space="preserve">Corrected: Chapter 9, rung one charged the vacant floor its void twice (7.1 million, not 7.6; rung two 3.1, not 2.6).</t>
  </si>
  <si>
    <t xml:space="preserve">Corrected: Chapter 13, the works were added back at a nominal 1.9 million to present values (value protected 14.3 million and 7.5 times, not 14.7 and 7.8).</t>
  </si>
  <si>
    <t xml:space="preserve">The checks sheet now carries 103 lines and ends on an ALL OK verdict.</t>
  </si>
  <si>
    <t xml:space="preserve">Inputs</t>
  </si>
  <si>
    <t xml:space="preserve">Market rent, refurbished (EUR/m2)</t>
  </si>
  <si>
    <t xml:space="preserve">Rental growth a year</t>
  </si>
  <si>
    <t xml:space="preserve">Category A fit-out (EUR/m2 per cycle)</t>
  </si>
  <si>
    <t xml:space="preserve">Fit-out cost inflation a year</t>
  </si>
  <si>
    <t xml:space="preserve">Void between tenants (quarters)</t>
  </si>
  <si>
    <t xml:space="preserve">Rent-free period (quarters)</t>
  </si>
  <si>
    <t xml:space="preserve">Term certain on a new lease (quarters)</t>
  </si>
  <si>
    <t xml:space="preserve">Letting fees, share of first year's rent</t>
  </si>
  <si>
    <t xml:space="preserve">Non-recoverable costs, share of rent</t>
  </si>
  <si>
    <t xml:space="preserve">Void holding cost (EUR/m2 a year)</t>
  </si>
  <si>
    <t xml:space="preserve">Energy upgrade (EUR)</t>
  </si>
  <si>
    <t xml:space="preserve">Energy upgrade, quarter</t>
  </si>
  <si>
    <t xml:space="preserve">Discount rate a year</t>
  </si>
  <si>
    <t xml:space="preserve">Exit yield</t>
  </si>
  <si>
    <t xml:space="preserve">Acquisition costs</t>
  </si>
  <si>
    <t xml:space="preserve">Disposal costs</t>
  </si>
  <si>
    <t xml:space="preserve">Asking price (EUR)</t>
  </si>
  <si>
    <t xml:space="preserve">Unit</t>
  </si>
  <si>
    <t xml:space="preserve">Area (m2)</t>
  </si>
  <si>
    <t xml:space="preserve">Rent (EUR/m2)</t>
  </si>
  <si>
    <t xml:space="preserve">Quarters to expiry</t>
  </si>
  <si>
    <t xml:space="preserve">Tenant A</t>
  </si>
  <si>
    <t xml:space="preserve">Tenant B</t>
  </si>
  <si>
    <t xml:space="preserve">Tenant C</t>
  </si>
  <si>
    <t xml:space="preserve">Tenant D</t>
  </si>
  <si>
    <t xml:space="preserve">Vacant</t>
  </si>
  <si>
    <t xml:space="preserve">Quarters to expiry is to the earlier of expiry and the tenant's break.</t>
  </si>
  <si>
    <t xml:space="preserve">Quarterly cash flow</t>
  </si>
  <si>
    <t xml:space="preserve">Quarter</t>
  </si>
  <si>
    <t xml:space="preserve">Year</t>
  </si>
  <si>
    <t xml:space="preserve">Tenant A k</t>
  </si>
  <si>
    <t xml:space="preserve">Tenant A p</t>
  </si>
  <si>
    <t xml:space="preserve">Tenant A n</t>
  </si>
  <si>
    <t xml:space="preserve">Tenant A rent</t>
  </si>
  <si>
    <t xml:space="preserve">Tenant A contract</t>
  </si>
  <si>
    <t xml:space="preserve">Tenant A capital</t>
  </si>
  <si>
    <t xml:space="preserve">Tenant A vacant m2</t>
  </si>
  <si>
    <t xml:space="preserve">Tenant B k</t>
  </si>
  <si>
    <t xml:space="preserve">Tenant B p</t>
  </si>
  <si>
    <t xml:space="preserve">Tenant B n</t>
  </si>
  <si>
    <t xml:space="preserve">Tenant B rent</t>
  </si>
  <si>
    <t xml:space="preserve">Tenant B contract</t>
  </si>
  <si>
    <t xml:space="preserve">Tenant B capital</t>
  </si>
  <si>
    <t xml:space="preserve">Tenant B vacant m2</t>
  </si>
  <si>
    <t xml:space="preserve">Tenant C k</t>
  </si>
  <si>
    <t xml:space="preserve">Tenant C p</t>
  </si>
  <si>
    <t xml:space="preserve">Tenant C n</t>
  </si>
  <si>
    <t xml:space="preserve">Tenant C rent</t>
  </si>
  <si>
    <t xml:space="preserve">Tenant C contract</t>
  </si>
  <si>
    <t xml:space="preserve">Tenant C capital</t>
  </si>
  <si>
    <t xml:space="preserve">Tenant C vacant m2</t>
  </si>
  <si>
    <t xml:space="preserve">Tenant D k</t>
  </si>
  <si>
    <t xml:space="preserve">Tenant D p</t>
  </si>
  <si>
    <t xml:space="preserve">Tenant D n</t>
  </si>
  <si>
    <t xml:space="preserve">Tenant D rent</t>
  </si>
  <si>
    <t xml:space="preserve">Tenant D contract</t>
  </si>
  <si>
    <t xml:space="preserve">Tenant D capital</t>
  </si>
  <si>
    <t xml:space="preserve">Tenant D vacant m2</t>
  </si>
  <si>
    <t xml:space="preserve">Vacant k</t>
  </si>
  <si>
    <t xml:space="preserve">Vacant p</t>
  </si>
  <si>
    <t xml:space="preserve">Vacant n</t>
  </si>
  <si>
    <t xml:space="preserve">Vacant rent</t>
  </si>
  <si>
    <t xml:space="preserve">Vacant contract</t>
  </si>
  <si>
    <t xml:space="preserve">Vacant capital</t>
  </si>
  <si>
    <t xml:space="preserve">Vacant vacant m2</t>
  </si>
  <si>
    <t xml:space="preserve">Rent</t>
  </si>
  <si>
    <t xml:space="preserve">Contract rent</t>
  </si>
  <si>
    <t xml:space="preserve">Capital</t>
  </si>
  <si>
    <t xml:space="preserve">Vacant m2</t>
  </si>
  <si>
    <t xml:space="preserve">Net operating income</t>
  </si>
  <si>
    <t xml:space="preserve">Net cash</t>
  </si>
  <si>
    <t xml:space="preserve">Discount factor</t>
  </si>
  <si>
    <t xml:space="preserve">Present value</t>
  </si>
  <si>
    <t xml:space="preserve">Value and return</t>
  </si>
  <si>
    <t xml:space="preserve">Cash flow series used by the internal rate of return</t>
  </si>
  <si>
    <t xml:space="preserve">Contracted rent at exit (EUR a year)</t>
  </si>
  <si>
    <t xml:space="preserve">Vacant area at exit (m2)</t>
  </si>
  <si>
    <t xml:space="preserve">Market rent at exit (EUR/m2)</t>
  </si>
  <si>
    <t xml:space="preserve">Fit-out at exit (EUR/m2)</t>
  </si>
  <si>
    <t xml:space="preserve">Net operating income at exit</t>
  </si>
  <si>
    <t xml:space="preserve">Exit value, net of disposal costs</t>
  </si>
  <si>
    <t xml:space="preserve">Present value of ten years of net cash</t>
  </si>
  <si>
    <t xml:space="preserve">Present value of the exit</t>
  </si>
  <si>
    <t xml:space="preserve">Value gross of acquisition costs</t>
  </si>
  <si>
    <t xml:space="preserve">Value net of acquisition costs</t>
  </si>
  <si>
    <t xml:space="preserve">Share of value in the exit</t>
  </si>
  <si>
    <t xml:space="preserve">Ten-year net operating income</t>
  </si>
  <si>
    <t xml:space="preserve">Ten-year capital expenditure</t>
  </si>
  <si>
    <t xml:space="preserve">Capital as a share of income</t>
  </si>
  <si>
    <t xml:space="preserve">Asking price</t>
  </si>
  <si>
    <t xml:space="preserve">Gap between asking price and value</t>
  </si>
  <si>
    <t xml:space="preserve">Internal rate of return at the asking price</t>
  </si>
  <si>
    <t xml:space="preserve">Checks — every figure the book prints, against what this workbook computes</t>
  </si>
  <si>
    <t xml:space="preserve">Office Real Estate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</si>
  <si>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</si>
  <si>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</si>
  <si>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</si>
  <si>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</si>
  <si>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</si>
  <si>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</si>
  <si>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</si>
  <si>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</si>
  <si>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11</t>
  </si>
  <si>
    <t xml:space="preserve">Ten-year net operating income (EUR)</t>
  </si>
  <si>
    <t xml:space="preserve">One unit of the last digit the book prints, widened to 5 euros where the book prints a figure in millions.</t>
  </si>
  <si>
    <t xml:space="preserve">Ten-year capital expenditure (EUR)</t>
  </si>
  <si>
    <t xml:space="preserve">Net operating income at exit (EUR)</t>
  </si>
  <si>
    <t xml:space="preserve">Exit value (EUR)</t>
  </si>
  <si>
    <t xml:space="preserve">Value net of acquisition costs (EUR)</t>
  </si>
  <si>
    <t xml:space="preserve">Ch. 12</t>
  </si>
  <si>
    <t xml:space="preserve">Share of value sitting in the exit</t>
  </si>
  <si>
    <t xml:space="preserve">Engine</t>
  </si>
  <si>
    <t xml:space="preserve">The scenario engine, on the base inputs, equals sheet 5</t>
  </si>
  <si>
    <t xml:space="preserve">internal control: every S sheet runs on this engine</t>
  </si>
  <si>
    <t xml:space="preserve">Net cash, year 3 (EUR)</t>
  </si>
  <si>
    <t xml:space="preserve">Net cash over ten years (EUR)</t>
  </si>
  <si>
    <t xml:space="preserve">Net cash a year, share of the asking price</t>
  </si>
  <si>
    <t xml:space="preserve">Exit income with no rental growth (EUR)</t>
  </si>
  <si>
    <t xml:space="preserve">Growth of the exit income over today</t>
  </si>
  <si>
    <t xml:space="preserve">Of which filling the building</t>
  </si>
  <si>
    <t xml:space="preserve">Ch. 10</t>
  </si>
  <si>
    <t xml:space="preserve">Void of 15 months: value (EUR)</t>
  </si>
  <si>
    <t xml:space="preserve">Void of 15 months: change</t>
  </si>
  <si>
    <t xml:space="preserve">Void of 3 months: change (EUR)</t>
  </si>
  <si>
    <t xml:space="preserve">Void of 3 months: change</t>
  </si>
  <si>
    <t xml:space="preserve">No void: IRR at the asking price</t>
  </si>
  <si>
    <t xml:space="preserve">Ten years of net cash, discounted (EUR)</t>
  </si>
  <si>
    <t xml:space="preserve">The sale, discounted (EUR)</t>
  </si>
  <si>
    <t xml:space="preserve">Exit 5.75 per cent: value (EUR)</t>
  </si>
  <si>
    <t xml:space="preserve">Exit 5.75 per cent: change</t>
  </si>
  <si>
    <t xml:space="preserve">Exit 5.75 per cent: IRR</t>
  </si>
  <si>
    <t xml:space="preserve">Exit 7.75 per cent: value (EUR)</t>
  </si>
  <si>
    <t xml:space="preserve">Exit 7.75 per cent: change</t>
  </si>
  <si>
    <t xml:space="preserve">Exit 7.75 per cent: IRR</t>
  </si>
  <si>
    <t xml:space="preserve">Year-ten buyer: price gross of selling costs (EUR)</t>
  </si>
  <si>
    <t xml:space="preserve">Year-ten buyer: net initial yield</t>
  </si>
  <si>
    <t xml:space="preserve">Year-ten buyer: capital-adjusted yield</t>
  </si>
  <si>
    <t xml:space="preserve">Ch. 13</t>
  </si>
  <si>
    <t xml:space="preserve">Upgrade deferred indefinitely: value (EUR)</t>
  </si>
  <si>
    <t xml:space="preserve">Difference after the works are paid for (EUR)</t>
  </si>
  <si>
    <t xml:space="preserve">Works added back, present value net of costs (EUR)</t>
  </si>
  <si>
    <t xml:space="preserve">the book added back 1.9 million, a nominal sum</t>
  </si>
  <si>
    <t xml:space="preserve">Value protected before the works (EUR)</t>
  </si>
  <si>
    <t xml:space="preserve">the book prints 14.7 million</t>
  </si>
  <si>
    <t xml:space="preserve">Return on the works, times</t>
  </si>
  <si>
    <t xml:space="preserve">the book prints 7.8</t>
  </si>
  <si>
    <t xml:space="preserve">Ch. 14</t>
  </si>
  <si>
    <t xml:space="preserve">Let as it stands: value (EUR)</t>
  </si>
  <si>
    <t xml:space="preserve">Cost of not refurbishing (EUR)</t>
  </si>
  <si>
    <t xml:space="preserve">Capital saved per cycle across the building (EUR)</t>
  </si>
  <si>
    <t xml:space="preserve">Value destroyed per euro saved</t>
  </si>
  <si>
    <t xml:space="preserve">Ch. 15</t>
  </si>
  <si>
    <t xml:space="preserve">Income cliff (EUR/m2 per cycle)</t>
  </si>
  <si>
    <t xml:space="preserve">At the income cliff: operating cash (EUR)</t>
  </si>
  <si>
    <t xml:space="preserve">At the income cliff: the sale (EUR)</t>
  </si>
  <si>
    <t xml:space="preserve">At the income cliff: value gross (EUR)</t>
  </si>
  <si>
    <t xml:space="preserve">At the income cliff: value net (EUR)</t>
  </si>
  <si>
    <t xml:space="preserve">Value cliff: office value at a fit-out of 1 970 equals the residual (EUR)</t>
  </si>
  <si>
    <t xml:space="preserve">the book prints the residual as 4.9 million</t>
  </si>
  <si>
    <t xml:space="preserve">Headroom to the income cliff</t>
  </si>
  <si>
    <t xml:space="preserve">Headroom to the value cliff</t>
  </si>
  <si>
    <t xml:space="preserve">Years to the income cliff at 1.0 per cent a year</t>
  </si>
  <si>
    <t xml:space="preserve">Years with no rental growth</t>
  </si>
  <si>
    <t xml:space="preserve">Ch. 16</t>
  </si>
  <si>
    <t xml:space="preserve">Tenants take 5 per cent less: value (EUR)</t>
  </si>
  <si>
    <t xml:space="preserve">Tenants take 5 per cent less: change</t>
  </si>
  <si>
    <t xml:space="preserve">Tenants take 5 per cent less: IRR</t>
  </si>
  <si>
    <t xml:space="preserve">Tenants take 10 per cent less: value (EUR)</t>
  </si>
  <si>
    <t xml:space="preserve">Tenants take 10 per cent less: change</t>
  </si>
  <si>
    <t xml:space="preserve">Tenants take 10 per cent less: IRR</t>
  </si>
  <si>
    <t xml:space="preserve">Tenants take 15 per cent less: value (EUR)</t>
  </si>
  <si>
    <t xml:space="preserve">Tenants take 15 per cent less: change</t>
  </si>
  <si>
    <t xml:space="preserve">Tenants take 15 per cent less: IRR</t>
  </si>
  <si>
    <t xml:space="preserve">Tenants take 20 per cent less: value (EUR)</t>
  </si>
  <si>
    <t xml:space="preserve">Tenants take 20 per cent less: change</t>
  </si>
  <si>
    <t xml:space="preserve">Tenants take 20 per cent less: IRR</t>
  </si>
  <si>
    <t xml:space="preserve">Ch. 21</t>
  </si>
  <si>
    <t xml:space="preserve">Term certain of 10 years: value (EUR)</t>
  </si>
  <si>
    <t xml:space="preserve">Term certain of 10 years: change</t>
  </si>
  <si>
    <t xml:space="preserve">No rental growth: value (EUR)</t>
  </si>
  <si>
    <t xml:space="preserve">No rental growth: change</t>
  </si>
  <si>
    <t xml:space="preserve">Market rent 270: value (EUR)</t>
  </si>
  <si>
    <t xml:space="preserve">Market rent 330: value (EUR)</t>
  </si>
  <si>
    <t xml:space="preserve">Fit-out 550: value (EUR)</t>
  </si>
  <si>
    <t xml:space="preserve">Fit-out 550: change</t>
  </si>
  <si>
    <t xml:space="preserve">Six assumptions for the vendor: value (EUR)</t>
  </si>
  <si>
    <t xml:space="preserve">Required market rent 392: value (EUR)</t>
  </si>
  <si>
    <t xml:space="preserve">Required exit yield 4.76 per cent: value (EUR)</t>
  </si>
  <si>
    <t xml:space="preserve">Required fit-out of minus 167: value (EUR)</t>
  </si>
  <si>
    <t xml:space="preserve">Required growth of 5.30 per cent: value (EUR)</t>
  </si>
  <si>
    <t xml:space="preserve">Value per euro of fit-out (EUR)</t>
  </si>
  <si>
    <t xml:space="preserve">Exit yield across 200 basis points (EUR)</t>
  </si>
  <si>
    <t xml:space="preserve">Ch. 7</t>
  </si>
  <si>
    <t xml:space="preserve">Bottom slice, total (EUR)</t>
  </si>
  <si>
    <t xml:space="preserve">Overage, total (EUR)</t>
  </si>
  <si>
    <t xml:space="preserve">Tenant A overage (EUR)</t>
  </si>
  <si>
    <t xml:space="preserve">Vacant, bottom slice (EUR)</t>
  </si>
  <si>
    <t xml:space="preserve">Valuation gross (EUR)</t>
  </si>
  <si>
    <t xml:space="preserve">Valuation net (EUR)</t>
  </si>
  <si>
    <t xml:space="preserve">Passing rent above market (EUR)</t>
  </si>
  <si>
    <t xml:space="preserve">Excess capitalised in perpetuity (EUR)</t>
  </si>
  <si>
    <t xml:space="preserve">Ch. 9</t>
  </si>
  <si>
    <t xml:space="preserve">Rung one (EUR)</t>
  </si>
  <si>
    <t xml:space="preserve">the book prints 7.6 million</t>
  </si>
  <si>
    <t xml:space="preserve">After rung one (EUR)</t>
  </si>
  <si>
    <t xml:space="preserve">the book prints 35.2 million</t>
  </si>
  <si>
    <t xml:space="preserve">Rung two (EUR)</t>
  </si>
  <si>
    <t xml:space="preserve">the book prints 2.6 million</t>
  </si>
  <si>
    <t xml:space="preserve">Rung one, share of the asking price</t>
  </si>
  <si>
    <t xml:space="preserve">the book prints 17.7 per cent</t>
  </si>
  <si>
    <t xml:space="preserve">Gap between the two methods (EUR)</t>
  </si>
  <si>
    <t xml:space="preserve">Gap, share of the cash flow value</t>
  </si>
  <si>
    <t xml:space="preserve">Ch. 19</t>
  </si>
  <si>
    <t xml:space="preserve">Loan at the asking price (EUR)</t>
  </si>
  <si>
    <t xml:space="preserve">Loan by interest cover (EUR)</t>
  </si>
  <si>
    <t xml:space="preserve">Loan by debt yield (EUR)</t>
  </si>
  <si>
    <t xml:space="preserve">Loan at the underwritten value (EUR)</t>
  </si>
  <si>
    <t xml:space="preserve">Equity at the asking price (EUR)</t>
  </si>
  <si>
    <t xml:space="preserve">Equity at the value (EUR)</t>
  </si>
  <si>
    <t xml:space="preserve">Equity IRR at the asking price</t>
  </si>
  <si>
    <t xml:space="preserve">Equity IRR at the value</t>
  </si>
  <si>
    <t xml:space="preserve">Unlevered spread, basis points</t>
  </si>
  <si>
    <t xml:space="preserve">Levered spread, basis points</t>
  </si>
  <si>
    <t xml:space="preserve">Ch. 20</t>
  </si>
  <si>
    <t xml:space="preserve">Net initial yield at the bid</t>
  </si>
  <si>
    <t xml:space="preserve">Ten-year capital as a share of the bid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</si>
  <si>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</si>
  <si>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</si>
  <si>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</si>
  <si>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All checks</t>
  </si>
  <si>
    <t xml:space="preserve">The ten years summarised by year (Chapter 11)</t>
  </si>
  <si>
    <t xml:space="preserve">Total</t>
  </si>
  <si>
    <t xml:space="preserve">Net cash a year, as a share of the asking price</t>
  </si>
  <si>
    <t xml:space="preserve">Net operating income today (passing rent less costs)</t>
  </si>
  <si>
    <t xml:space="preserve">Of which filling the building (the exit income with no rental growth)</t>
  </si>
  <si>
    <t xml:space="preserve">The base case, rebuilt from the same inputs by the scenario engine</t>
  </si>
  <si>
    <t xml:space="preserve">Must equal sheet 5 to the euro: it proves the engine used by every S sheet.</t>
  </si>
  <si>
    <t xml:space="preserve">Assumption</t>
  </si>
  <si>
    <t xml:space="preserve">Value</t>
  </si>
  <si>
    <t xml:space="preserve">Area given up per re-letting</t>
  </si>
  <si>
    <t xml:space="preserve">Result</t>
  </si>
  <si>
    <t xml:space="preserve">Contracted rent at exit</t>
  </si>
  <si>
    <t xml:space="preserve">Change against the base case</t>
  </si>
  <si>
    <t xml:space="preserve">Change against the base case, per cent</t>
  </si>
  <si>
    <t xml:space="preserve">Area given up at each re-letting (Ch. 16)</t>
  </si>
  <si>
    <t xml:space="preserve">Unit 1 k</t>
  </si>
  <si>
    <t xml:space="preserve">Unit 1 phase</t>
  </si>
  <si>
    <t xml:space="preserve">Unit 1 cycle</t>
  </si>
  <si>
    <t xml:space="preserve">Unit 1 area</t>
  </si>
  <si>
    <t xml:space="preserve">Unit 1 rent</t>
  </si>
  <si>
    <t xml:space="preserve">Unit 1 contract</t>
  </si>
  <si>
    <t xml:space="preserve">Unit 1 capital</t>
  </si>
  <si>
    <t xml:space="preserve">Unit 1 vacant m2</t>
  </si>
  <si>
    <t xml:space="preserve">Unit 2 k</t>
  </si>
  <si>
    <t xml:space="preserve">Unit 2 phase</t>
  </si>
  <si>
    <t xml:space="preserve">Unit 2 cycle</t>
  </si>
  <si>
    <t xml:space="preserve">Unit 2 area</t>
  </si>
  <si>
    <t xml:space="preserve">Unit 2 rent</t>
  </si>
  <si>
    <t xml:space="preserve">Unit 2 contract</t>
  </si>
  <si>
    <t xml:space="preserve">Unit 2 capital</t>
  </si>
  <si>
    <t xml:space="preserve">Unit 2 vacant m2</t>
  </si>
  <si>
    <t xml:space="preserve">Unit 3 k</t>
  </si>
  <si>
    <t xml:space="preserve">Unit 3 phase</t>
  </si>
  <si>
    <t xml:space="preserve">Unit 3 cycle</t>
  </si>
  <si>
    <t xml:space="preserve">Unit 3 area</t>
  </si>
  <si>
    <t xml:space="preserve">Unit 3 rent</t>
  </si>
  <si>
    <t xml:space="preserve">Unit 3 contract</t>
  </si>
  <si>
    <t xml:space="preserve">Unit 3 capital</t>
  </si>
  <si>
    <t xml:space="preserve">Unit 3 vacant m2</t>
  </si>
  <si>
    <t xml:space="preserve">Unit 4 k</t>
  </si>
  <si>
    <t xml:space="preserve">Unit 4 phase</t>
  </si>
  <si>
    <t xml:space="preserve">Unit 4 cycle</t>
  </si>
  <si>
    <t xml:space="preserve">Unit 4 area</t>
  </si>
  <si>
    <t xml:space="preserve">Unit 4 rent</t>
  </si>
  <si>
    <t xml:space="preserve">Unit 4 contract</t>
  </si>
  <si>
    <t xml:space="preserve">Unit 4 capital</t>
  </si>
  <si>
    <t xml:space="preserve">Unit 4 vacant m2</t>
  </si>
  <si>
    <t xml:space="preserve">Unit 5 k</t>
  </si>
  <si>
    <t xml:space="preserve">Unit 5 phase</t>
  </si>
  <si>
    <t xml:space="preserve">Unit 5 cycle</t>
  </si>
  <si>
    <t xml:space="preserve">Unit 5 area</t>
  </si>
  <si>
    <t xml:space="preserve">Unit 5 rent</t>
  </si>
  <si>
    <t xml:space="preserve">Unit 5 contract</t>
  </si>
  <si>
    <t xml:space="preserve">Unit 5 capital</t>
  </si>
  <si>
    <t xml:space="preserve">Unit 5 vacant m2</t>
  </si>
  <si>
    <t xml:space="preserve">Other costs</t>
  </si>
  <si>
    <t xml:space="preserve">Flow for the return</t>
  </si>
  <si>
    <t xml:space="preserve">Void of 15 months (Ch. 10)</t>
  </si>
  <si>
    <t xml:space="preserve">One assumption moved; everything else is the base case of sheets 2 and 3.</t>
  </si>
  <si>
    <t xml:space="preserve">Void of 3 months (Ch. 10)</t>
  </si>
  <si>
    <t xml:space="preserve">No void at all (Ch. 10)</t>
  </si>
  <si>
    <t xml:space="preserve">Exit yield 5.75 per cent (Ch. 12)</t>
  </si>
  <si>
    <t xml:space="preserve">Exit yield 7.75 per cent (Ch. 12)</t>
  </si>
  <si>
    <t xml:space="preserve">Tenants take 5 per cent less (Ch. 16)</t>
  </si>
  <si>
    <t xml:space="preserve">Tenants take 10 per cent less (Ch. 16)</t>
  </si>
  <si>
    <t xml:space="preserve">Tenants take 15 per cent less (Ch. 16)</t>
  </si>
  <si>
    <t xml:space="preserve">Tenants take 20 per cent less (Ch. 16)</t>
  </si>
  <si>
    <t xml:space="preserve">Term certain of 10 years (Ch. 21)</t>
  </si>
  <si>
    <t xml:space="preserve">No rental growth (Ch. 21)</t>
  </si>
  <si>
    <t xml:space="preserve">Market rent 270 (Ch. 21)</t>
  </si>
  <si>
    <t xml:space="preserve">Market rent 330 (Ch. 21)</t>
  </si>
  <si>
    <t xml:space="preserve">Fit-out 550 (Ch. 21)</t>
  </si>
  <si>
    <t xml:space="preserve">Six assumptions for the vendor (Ch. 21)</t>
  </si>
  <si>
    <t xml:space="preserve">Market rent 330, exit yield 6.25 per cent, fit-out 350, void and rent-free 6 months, growth 2.25 per cent: the vendor's case</t>
  </si>
  <si>
    <t xml:space="preserve">Energy standard not met (Ch. 13)</t>
  </si>
  <si>
    <t xml:space="preserve">Rent 225, three-year terms, 15-month void, exit 8.00 per cent, no upgrade: the building the institutional market cannot buy</t>
  </si>
  <si>
    <t xml:space="preserve">Let as it stands (Ch. 14)</t>
  </si>
  <si>
    <t xml:space="preserve">Rent 248, landlord spends 90 a cycle, 15-month void and rent-free, three-year terms, exit 7.75 per cent</t>
  </si>
  <si>
    <t xml:space="preserve">Fit-out at the income cliff (Ch. 15)</t>
  </si>
  <si>
    <t xml:space="preserve">Fit-out set to the income cliff computed from the inputs: net income over a cycle is nil</t>
  </si>
  <si>
    <t xml:space="preserve">Fit-out at the value cliff (Ch. 15)</t>
  </si>
  <si>
    <t xml:space="preserve">Fit-out at which the office value falls to the residential residual of Chapter 17</t>
  </si>
  <si>
    <t xml:space="preserve">Required market rent (Ch. 21)</t>
  </si>
  <si>
    <t xml:space="preserve">Each of S20 to S23 moves one assumption to the value the book says would justify EUR 43.0 million</t>
  </si>
  <si>
    <t xml:space="preserve">Required exit yield (Ch. 21)</t>
  </si>
  <si>
    <t xml:space="preserve">Required fit-out (Ch. 21)</t>
  </si>
  <si>
    <t xml:space="preserve">Required rental growth (Ch. 21)</t>
  </si>
  <si>
    <t xml:space="preserve">Every sensitivity the book prints, each computed on its own live sheet (S01 to S23)</t>
  </si>
  <si>
    <t xml:space="preserve">Scenario</t>
  </si>
  <si>
    <t xml:space="preserve">Chapter</t>
  </si>
  <si>
    <t xml:space="preserve">Value net</t>
  </si>
  <si>
    <t xml:space="preserve">Change</t>
  </si>
  <si>
    <t xml:space="preserve">Change, per cent</t>
  </si>
  <si>
    <t xml:space="preserve">IRR at asking</t>
  </si>
  <si>
    <t xml:space="preserve">Base case</t>
  </si>
  <si>
    <t xml:space="preserve">Void of 15 months</t>
  </si>
  <si>
    <t xml:space="preserve">Void of 3 months</t>
  </si>
  <si>
    <t xml:space="preserve">No void at all</t>
  </si>
  <si>
    <t xml:space="preserve">Exit yield 5.75 per cent</t>
  </si>
  <si>
    <t xml:space="preserve">Exit yield 7.75 per cent</t>
  </si>
  <si>
    <t xml:space="preserve">Tenants take 5 per cent less</t>
  </si>
  <si>
    <t xml:space="preserve">Tenants take 10 per cent less</t>
  </si>
  <si>
    <t xml:space="preserve">Tenants take 15 per cent less</t>
  </si>
  <si>
    <t xml:space="preserve">Tenants take 20 per cent less</t>
  </si>
  <si>
    <t xml:space="preserve">Term certain of 10 years</t>
  </si>
  <si>
    <t xml:space="preserve">No rental growth</t>
  </si>
  <si>
    <t xml:space="preserve">Market rent 270</t>
  </si>
  <si>
    <t xml:space="preserve">Market rent 330</t>
  </si>
  <si>
    <t xml:space="preserve">Fit-out 550</t>
  </si>
  <si>
    <t xml:space="preserve">Six assumptions for the vendor</t>
  </si>
  <si>
    <t xml:space="preserve">Energy standard not met</t>
  </si>
  <si>
    <t xml:space="preserve">Let as it stands</t>
  </si>
  <si>
    <t xml:space="preserve">Fit-out at the income cliff</t>
  </si>
  <si>
    <t xml:space="preserve">Fit-out at the value cliff</t>
  </si>
  <si>
    <t xml:space="preserve">Required market rent</t>
  </si>
  <si>
    <t xml:space="preserve">Required exit yield</t>
  </si>
  <si>
    <t xml:space="preserve">Required fit-out</t>
  </si>
  <si>
    <t xml:space="preserve">Required rental growth</t>
  </si>
  <si>
    <t xml:space="preserve">What would have to be true: each required value, taken alone, returns EUR 43.0 million at 7.75 per cent (rows S20 to S23 above).</t>
  </si>
  <si>
    <t xml:space="preserve">Fit-out: value moved by one euro per m2 of fit-out, per cycle</t>
  </si>
  <si>
    <t xml:space="preserve">Exit yield: value across the full 200 basis points</t>
  </si>
  <si>
    <t xml:space="preserve">Where the value comes from, the energy deadline, letting as it stands and the obsolescence cliff (Chapters 12 to 15)</t>
  </si>
  <si>
    <t xml:space="preserve">Chapter 12: where the value comes from</t>
  </si>
  <si>
    <t xml:space="preserve">EUR</t>
  </si>
  <si>
    <t xml:space="preserve">Share</t>
  </si>
  <si>
    <t xml:space="preserve">Ten years of net cash flow, discounted</t>
  </si>
  <si>
    <t xml:space="preserve">The sale in year ten, discounted</t>
  </si>
  <si>
    <t xml:space="preserve">Total, gross of acquisition costs</t>
  </si>
  <si>
    <t xml:space="preserve">The year-ten buyer</t>
  </si>
  <si>
    <t xml:space="preserve">Price paid, gross of selling costs</t>
  </si>
  <si>
    <t xml:space="preserve">Net initial yield they buy on</t>
  </si>
  <si>
    <t xml:space="preserve">Their capital-adjusted yield: net income at market, less the cycle at year-ten prices</t>
  </si>
  <si>
    <t xml:space="preserve">Chapter 13: the energy deadline</t>
  </si>
  <si>
    <t xml:space="preserve">Energy upgrade carried out, and paid for</t>
  </si>
  <si>
    <t xml:space="preserve">Upgrade deferred indefinitely (S16)</t>
  </si>
  <si>
    <t xml:space="preserve">Difference, after the works are paid for</t>
  </si>
  <si>
    <t xml:space="preserve">Add back the works, as the first line bore them: present value, net of acquisition costs</t>
  </si>
  <si>
    <t xml:space="preserve">Value protected, before the works are paid for</t>
  </si>
  <si>
    <t xml:space="preserve">Value protected per euro of works</t>
  </si>
  <si>
    <t xml:space="preserve">The book added back the works at their full EUR 1.9 million, a nominal sum, to values that are present values net of acquisition costs: 14.7 million and 7.8 times. Added back as the first line bore them, 14.3 million and 7.5 times.</t>
  </si>
  <si>
    <t xml:space="preserve">Chapter 14: refurbish, or let it as it stands</t>
  </si>
  <si>
    <t xml:space="preserve">Refurbish to category A at each re-letting</t>
  </si>
  <si>
    <t xml:space="preserve">Let as it stands (S17)</t>
  </si>
  <si>
    <t xml:space="preserve">Cost of not refurbishing</t>
  </si>
  <si>
    <t xml:space="preserve">Capital saved per cycle across the building</t>
  </si>
  <si>
    <t xml:space="preserve">Chapter 15: the two cliffs</t>
  </si>
  <si>
    <t xml:space="preserve">Fit-out per cycle</t>
  </si>
  <si>
    <t xml:space="preserve">Headroom today</t>
  </si>
  <si>
    <t xml:space="preserve">Today</t>
  </si>
  <si>
    <t xml:space="preserve">Income cliff: net income over a cycle is nil (S18)</t>
  </si>
  <si>
    <t xml:space="preserve">Value cliff: office value meets the residential residual (S19)</t>
  </si>
  <si>
    <t xml:space="preserve">Residential residual value of the site (Chapter 17, conversion workbook)</t>
  </si>
  <si>
    <t xml:space="preserve">At the income cliff: ten years of operating cash, discounted</t>
  </si>
  <si>
    <t xml:space="preserve">At the income cliff: the sale, discounted</t>
  </si>
  <si>
    <t xml:space="preserve">At the income cliff: value gross of acquisition costs</t>
  </si>
  <si>
    <t xml:space="preserve">Years for fit-out inflation to close the gap, rents growing as assumed</t>
  </si>
  <si>
    <t xml:space="preserve">The valuer's layer method and the bridge to the cash flow (Chapters 7 and 9)</t>
  </si>
  <si>
    <t xml:space="preserve">Chapter 7: the layer method</t>
  </si>
  <si>
    <t xml:space="preserve">Bottom slice</t>
  </si>
  <si>
    <t xml:space="preserve">Overage</t>
  </si>
  <si>
    <t xml:space="preserve">Overage, signed</t>
  </si>
  <si>
    <t xml:space="preserve">Years</t>
  </si>
  <si>
    <t xml:space="preserve">Market rent (EUR/m2)</t>
  </si>
  <si>
    <t xml:space="preserve">Yield on the bottom slice</t>
  </si>
  <si>
    <t xml:space="preserve">Yield on the overage</t>
  </si>
  <si>
    <t xml:space="preserve">Vacant: bottom slice deferred by the void, less its fit-out</t>
  </si>
  <si>
    <t xml:space="preserve">Valuation, gross</t>
  </si>
  <si>
    <t xml:space="preserve">Valuation, net of acquisition costs</t>
  </si>
  <si>
    <t xml:space="preserve">Passing rent above market (EUR a year)</t>
  </si>
  <si>
    <t xml:space="preserve">The same excess capitalised in perpetuity at the quoted yield</t>
  </si>
  <si>
    <t xml:space="preserve">Naive over proper, times</t>
  </si>
  <si>
    <t xml:space="preserve">Tenant C pays 4 below market: the book sets its overage to nil (column C); signed, the overage totals column D. The 96 940 of row 15 already nets Tenant C.</t>
  </si>
  <si>
    <t xml:space="preserve">Chapter 9: the bridge from the layer method to the cash flow</t>
  </si>
  <si>
    <t xml:space="preserve">The layer method, net</t>
  </si>
  <si>
    <t xml:space="preserve">Rung one: each let unit charged at its expiry with fit-out, 18 months of rent and the letting fee, at the bottom-slice yield</t>
  </si>
  <si>
    <t xml:space="preserve">Rung one: the vacant floor, charged with its rent-free and letting fee only (its void and fit-out are already in the layer value)</t>
  </si>
  <si>
    <t xml:space="preserve">After rung one</t>
  </si>
  <si>
    <t xml:space="preserve">Rung two: every later cycle, the timing and the exit</t>
  </si>
  <si>
    <t xml:space="preserve">The cash flow value</t>
  </si>
  <si>
    <t xml:space="preserve">Rung one as a share of the asking price</t>
  </si>
  <si>
    <t xml:space="preserve">Gap between the two methods</t>
  </si>
  <si>
    <t xml:space="preserve">Gap as a share of the cash flow value</t>
  </si>
  <si>
    <t xml:space="preserve">The book charged the vacant floor 18 months of rent: nine of them are its void, already deferred in the layer value. Counted once, rung one is 7.1 million, not 7.6; rung two 3.1, not 2.6. The gap is unchanged.</t>
  </si>
  <si>
    <t xml:space="preserve">Debt capacity and the levered return (Chapter 19)</t>
  </si>
  <si>
    <t xml:space="preserve">Chapter 19: what a lender will lend</t>
  </si>
  <si>
    <t xml:space="preserve">At the asking price</t>
  </si>
  <si>
    <t xml:space="preserve">At the underwritten value</t>
  </si>
  <si>
    <t xml:space="preserve">Price</t>
  </si>
  <si>
    <t xml:space="preserve">Base rate</t>
  </si>
  <si>
    <t xml:space="preserve">Margin</t>
  </si>
  <si>
    <t xml:space="preserve">Loan-to-value limit</t>
  </si>
  <si>
    <t xml:space="preserve">Minimum interest cover</t>
  </si>
  <si>
    <t xml:space="preserve">Minimum debt yield</t>
  </si>
  <si>
    <t xml:space="preserve">Net operating income today</t>
  </si>
  <si>
    <t xml:space="preserve">Loan by loan to value</t>
  </si>
  <si>
    <t xml:space="preserve">Loan by interest cover</t>
  </si>
  <si>
    <t xml:space="preserve">Loan by debt yield</t>
  </si>
  <si>
    <t xml:space="preserve">Loan: the smallest of the three</t>
  </si>
  <si>
    <t xml:space="preserve">Equity</t>
  </si>
  <si>
    <t xml:space="preserve">Equity IRR (interest only, repaid at the exit)</t>
  </si>
  <si>
    <t xml:space="preserve">Unlevered IRR</t>
  </si>
  <si>
    <t xml:space="preserve">Spread between the two prices, basis points: unlevered</t>
  </si>
  <si>
    <t xml:space="preserve">Spread between the two prices, basis points: levered</t>
  </si>
  <si>
    <t xml:space="preserve">Equity flow at asking</t>
  </si>
  <si>
    <t xml:space="preserve">Equity flow at value</t>
  </si>
  <si>
    <t xml:space="preserve">Unlevered at asking</t>
  </si>
  <si>
    <t xml:space="preserve">Unlevered at value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</si>
</sst>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0.00%"/>
    <numFmt numFmtId="167" formatCode="0"/>
    <numFmt numFmtId="168" formatCode="#,##0"/>
    <numFmt numFmtId="169" formatCode="0.0000"/>
    <numFmt numFmtId="170" formatCode="General"/>
    <numFmt numFmtId="171" formatCode="0.0%"/>
    <numFmt numFmtId="172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555555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0" customFormat="false" ht="25.5" hidden="false" customHeight="true" outlineLevel="0" collapsed="false">
      <c r="A10" s="3" t="s">
        <v>7</v>
      </c>
    </row>
    <row r="12" customFormat="false" ht="15" hidden="false" customHeight="false" outlineLevel="0" collapsed="false">
      <c r="A12" s="4" t="s">
        <v>8</v>
      </c>
    </row>
    <row r="13" customFormat="false" ht="25.5" hidden="false" customHeight="true" outlineLevel="0" collapsed="false">
      <c r="A13" s="3" t="s">
        <v>9</v>
      </c>
    </row>
    <row r="15" customFormat="false" ht="15" hidden="false" customHeight="false" outlineLevel="0" collapsed="false">
      <c r="A15" s="4" t="s">
        <v>10</v>
      </c>
    </row>
    <row r="16" customFormat="false" ht="15" hidden="false" customHeight="true" outlineLevel="0" collapsed="false">
      <c r="A16" s="3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  <row r="21" customFormat="false" ht="16.15" hidden="false" customHeight="false" outlineLevel="0" collapsed="false">
      <c r="A21" s="5" t="s">
        <v>15</v>
      </c>
    </row>
    <row r="22" customFormat="false" ht="15" hidden="false" customHeight="false" outlineLevel="0" collapsed="false">
      <c r="A22" s="0" t="s">
        <v>16</v>
      </c>
    </row>
    <row r="23" customFormat="false" ht="15" hidden="false" customHeight="false" outlineLevel="0" collapsed="false">
      <c r="A23" s="0" t="s">
        <v>17</v>
      </c>
    </row>
    <row r="24" customFormat="false" ht="15" hidden="false" customHeight="false" outlineLevel="0" collapsed="false">
      <c r="A24" s="0" t="s">
        <v>18</v>
      </c>
    </row>
    <row r="25" customFormat="false" ht="15" hidden="false" customHeight="false" outlineLevel="0" collapsed="false">
      <c r="A25" s="0" t="s">
        <v>19</v>
      </c>
    </row>
    <row r="26" customFormat="false" ht="15" hidden="false" customHeight="false" outlineLevel="0" collapsed="false">
      <c r="A26" s="0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5" t="s">
        <v>21</v>
      </c>
    </row>
    <row r="3" customFormat="false" ht="15" hidden="false" customHeight="false" outlineLevel="0" collapsed="false">
      <c r="A3" s="0" t="s">
        <v>22</v>
      </c>
      <c r="B3" s="6" t="n">
        <v>300</v>
      </c>
    </row>
    <row r="4" customFormat="false" ht="15" hidden="false" customHeight="false" outlineLevel="0" collapsed="false">
      <c r="A4" s="0" t="s">
        <v>23</v>
      </c>
      <c r="B4" s="7" t="n">
        <v>0.015</v>
      </c>
    </row>
    <row r="5" customFormat="false" ht="15" hidden="false" customHeight="false" outlineLevel="0" collapsed="false">
      <c r="A5" s="0" t="s">
        <v>24</v>
      </c>
      <c r="B5" s="6" t="n">
        <v>420</v>
      </c>
    </row>
    <row r="6" customFormat="false" ht="15" hidden="false" customHeight="false" outlineLevel="0" collapsed="false">
      <c r="A6" s="0" t="s">
        <v>25</v>
      </c>
      <c r="B6" s="8" t="n">
        <v>0.025</v>
      </c>
    </row>
    <row r="7" customFormat="false" ht="15" hidden="false" customHeight="false" outlineLevel="0" collapsed="false">
      <c r="A7" s="0" t="s">
        <v>26</v>
      </c>
      <c r="B7" s="9" t="n">
        <v>3</v>
      </c>
    </row>
    <row r="8" customFormat="false" ht="15" hidden="false" customHeight="false" outlineLevel="0" collapsed="false">
      <c r="A8" s="0" t="s">
        <v>27</v>
      </c>
      <c r="B8" s="10" t="n">
        <v>3</v>
      </c>
    </row>
    <row r="9" customFormat="false" ht="15" hidden="false" customHeight="false" outlineLevel="0" collapsed="false">
      <c r="A9" s="0" t="s">
        <v>28</v>
      </c>
      <c r="B9" s="10" t="n">
        <v>20</v>
      </c>
    </row>
    <row r="10" customFormat="false" ht="15" hidden="false" customHeight="false" outlineLevel="0" collapsed="false">
      <c r="A10" s="0" t="s">
        <v>29</v>
      </c>
      <c r="B10" s="7" t="n">
        <v>0.12</v>
      </c>
    </row>
    <row r="11" customFormat="false" ht="15" hidden="false" customHeight="false" outlineLevel="0" collapsed="false">
      <c r="A11" s="0" t="s">
        <v>30</v>
      </c>
      <c r="B11" s="7" t="n">
        <v>0.06</v>
      </c>
    </row>
    <row r="12" customFormat="false" ht="15" hidden="false" customHeight="false" outlineLevel="0" collapsed="false">
      <c r="A12" s="0" t="s">
        <v>31</v>
      </c>
      <c r="B12" s="6" t="n">
        <v>55</v>
      </c>
    </row>
    <row r="13" customFormat="false" ht="15" hidden="false" customHeight="false" outlineLevel="0" collapsed="false">
      <c r="A13" s="0" t="s">
        <v>32</v>
      </c>
      <c r="B13" s="11" t="n">
        <v>1900000</v>
      </c>
    </row>
    <row r="14" customFormat="false" ht="15" hidden="false" customHeight="false" outlineLevel="0" collapsed="false">
      <c r="A14" s="0" t="s">
        <v>33</v>
      </c>
      <c r="B14" s="10" t="n">
        <v>12</v>
      </c>
    </row>
    <row r="15" customFormat="false" ht="15" hidden="false" customHeight="false" outlineLevel="0" collapsed="false">
      <c r="A15" s="0" t="s">
        <v>34</v>
      </c>
      <c r="B15" s="7" t="n">
        <v>0.0775</v>
      </c>
    </row>
    <row r="16" customFormat="false" ht="15" hidden="false" customHeight="false" outlineLevel="0" collapsed="false">
      <c r="A16" s="0" t="s">
        <v>35</v>
      </c>
      <c r="B16" s="7" t="n">
        <v>0.0675</v>
      </c>
    </row>
    <row r="17" customFormat="false" ht="15" hidden="false" customHeight="false" outlineLevel="0" collapsed="false">
      <c r="A17" s="0" t="s">
        <v>36</v>
      </c>
      <c r="B17" s="7" t="n">
        <v>0.065</v>
      </c>
    </row>
    <row r="18" customFormat="false" ht="15" hidden="false" customHeight="false" outlineLevel="0" collapsed="false">
      <c r="A18" s="0" t="s">
        <v>37</v>
      </c>
      <c r="B18" s="7" t="n">
        <v>0.015</v>
      </c>
    </row>
    <row r="19" customFormat="false" ht="15" hidden="false" customHeight="false" outlineLevel="0" collapsed="false">
      <c r="A19" s="0" t="s">
        <v>38</v>
      </c>
      <c r="B19" s="11" t="n">
        <v>43000000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20"/>
  </cols>
  <sheetData>
    <row r="2" customFormat="false" ht="15" hidden="false" customHeight="false" outlineLevel="0" collapsed="false">
      <c r="A2" s="12" t="s">
        <v>39</v>
      </c>
      <c r="B2" s="12" t="s">
        <v>40</v>
      </c>
      <c r="C2" s="12" t="s">
        <v>41</v>
      </c>
      <c r="D2" s="12" t="s">
        <v>42</v>
      </c>
    </row>
    <row r="3" customFormat="false" ht="15" hidden="false" customHeight="false" outlineLevel="0" collapsed="false">
      <c r="A3" s="0" t="s">
        <v>43</v>
      </c>
      <c r="B3" s="11" t="n">
        <v>4200</v>
      </c>
      <c r="C3" s="6" t="n">
        <v>318</v>
      </c>
      <c r="D3" s="10" t="n">
        <v>10</v>
      </c>
    </row>
    <row r="4" customFormat="false" ht="15" hidden="false" customHeight="false" outlineLevel="0" collapsed="false">
      <c r="A4" s="0" t="s">
        <v>44</v>
      </c>
      <c r="B4" s="11" t="n">
        <v>3100</v>
      </c>
      <c r="C4" s="6" t="n">
        <v>305</v>
      </c>
      <c r="D4" s="10" t="n">
        <v>16</v>
      </c>
    </row>
    <row r="5" customFormat="false" ht="15" hidden="false" customHeight="false" outlineLevel="0" collapsed="false">
      <c r="A5" s="0" t="s">
        <v>45</v>
      </c>
      <c r="B5" s="11" t="n">
        <v>1540</v>
      </c>
      <c r="C5" s="6" t="n">
        <v>296</v>
      </c>
      <c r="D5" s="10" t="n">
        <v>26</v>
      </c>
    </row>
    <row r="6" customFormat="false" ht="15" hidden="false" customHeight="false" outlineLevel="0" collapsed="false">
      <c r="A6" s="0" t="s">
        <v>46</v>
      </c>
      <c r="B6" s="11" t="n">
        <v>1000</v>
      </c>
      <c r="C6" s="6" t="n">
        <v>312</v>
      </c>
      <c r="D6" s="10" t="n">
        <v>6</v>
      </c>
    </row>
    <row r="7" customFormat="false" ht="15" hidden="false" customHeight="false" outlineLevel="0" collapsed="false">
      <c r="A7" s="0" t="s">
        <v>47</v>
      </c>
      <c r="B7" s="11" t="n">
        <v>2160</v>
      </c>
      <c r="C7" s="6" t="n">
        <v>0</v>
      </c>
      <c r="D7" s="10" t="n">
        <v>0</v>
      </c>
    </row>
    <row r="10" customFormat="false" ht="15" hidden="false" customHeight="false" outlineLevel="0" collapsed="false">
      <c r="A10" s="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7"/>
    <col collapsed="false" customWidth="true" hidden="false" outlineLevel="0" max="45" min="38" style="0" width="15"/>
  </cols>
  <sheetData>
    <row r="1" customFormat="false" ht="16.15" hidden="false" customHeight="false" outlineLevel="0" collapsed="false">
      <c r="A1" s="5" t="s">
        <v>49</v>
      </c>
    </row>
    <row r="3" customFormat="false" ht="41.75" hidden="false" customHeight="false" outlineLevel="0" collapsed="false">
      <c r="A3" s="12" t="s">
        <v>50</v>
      </c>
      <c r="B3" s="12" t="s">
        <v>51</v>
      </c>
      <c r="C3" s="12" t="s">
        <v>52</v>
      </c>
      <c r="D3" s="12" t="s">
        <v>53</v>
      </c>
      <c r="E3" s="12" t="s">
        <v>54</v>
      </c>
      <c r="F3" s="12" t="s">
        <v>55</v>
      </c>
      <c r="G3" s="12" t="s">
        <v>56</v>
      </c>
      <c r="H3" s="12" t="s">
        <v>57</v>
      </c>
      <c r="I3" s="12" t="s">
        <v>58</v>
      </c>
      <c r="J3" s="12" t="s">
        <v>59</v>
      </c>
      <c r="K3" s="12" t="s">
        <v>60</v>
      </c>
      <c r="L3" s="12" t="s">
        <v>61</v>
      </c>
      <c r="M3" s="12" t="s">
        <v>62</v>
      </c>
      <c r="N3" s="12" t="s">
        <v>63</v>
      </c>
      <c r="O3" s="12" t="s">
        <v>64</v>
      </c>
      <c r="P3" s="12" t="s">
        <v>65</v>
      </c>
      <c r="Q3" s="12" t="s">
        <v>66</v>
      </c>
      <c r="R3" s="12" t="s">
        <v>67</v>
      </c>
      <c r="S3" s="12" t="s">
        <v>68</v>
      </c>
      <c r="T3" s="12" t="s">
        <v>69</v>
      </c>
      <c r="U3" s="12" t="s">
        <v>70</v>
      </c>
      <c r="V3" s="12" t="s">
        <v>71</v>
      </c>
      <c r="W3" s="12" t="s">
        <v>72</v>
      </c>
      <c r="X3" s="12" t="s">
        <v>73</v>
      </c>
      <c r="Y3" s="12" t="s">
        <v>74</v>
      </c>
      <c r="Z3" s="12" t="s">
        <v>75</v>
      </c>
      <c r="AA3" s="12" t="s">
        <v>76</v>
      </c>
      <c r="AB3" s="12" t="s">
        <v>77</v>
      </c>
      <c r="AC3" s="12" t="s">
        <v>78</v>
      </c>
      <c r="AD3" s="12" t="s">
        <v>79</v>
      </c>
      <c r="AE3" s="12" t="s">
        <v>80</v>
      </c>
      <c r="AF3" s="12" t="s">
        <v>81</v>
      </c>
      <c r="AG3" s="12" t="s">
        <v>82</v>
      </c>
      <c r="AH3" s="12" t="s">
        <v>83</v>
      </c>
      <c r="AI3" s="12" t="s">
        <v>84</v>
      </c>
      <c r="AJ3" s="12" t="s">
        <v>85</v>
      </c>
      <c r="AK3" s="12" t="s">
        <v>86</v>
      </c>
      <c r="AL3" s="12" t="s">
        <v>87</v>
      </c>
      <c r="AM3" s="12" t="s">
        <v>88</v>
      </c>
      <c r="AN3" s="12" t="s">
        <v>89</v>
      </c>
      <c r="AO3" s="12" t="s">
        <v>90</v>
      </c>
      <c r="AP3" s="12" t="s">
        <v>91</v>
      </c>
      <c r="AQ3" s="12" t="s">
        <v>92</v>
      </c>
      <c r="AR3" s="12" t="s">
        <v>93</v>
      </c>
      <c r="AS3" s="12" t="s">
        <v>94</v>
      </c>
    </row>
    <row r="4" customFormat="false" ht="15" hidden="false" customHeight="false" outlineLevel="0" collapsed="false">
      <c r="A4" s="0" t="n">
        <v>1</v>
      </c>
      <c r="B4" s="0" t="n">
        <f aca="false">CEILING(A4/4,1)</f>
        <v>1</v>
      </c>
      <c r="C4" s="13" t="n">
        <f aca="false">$A4-'3. Leases'!$D$3-1</f>
        <v>-10</v>
      </c>
      <c r="D4" s="13" t="n">
        <f aca="false">IF(C4&lt;0,-1,MOD(C4,'2. Inputs'!$B$7+'2. Inputs'!$B$9))</f>
        <v>-1</v>
      </c>
      <c r="E4" s="13" t="n">
        <f aca="false">IF(C4&lt;0,0,INT(C4/('2. Inputs'!$B$7+'2. Inputs'!$B$9)))</f>
        <v>0</v>
      </c>
      <c r="F4" s="14" t="n">
        <f aca="false">IF($A4&lt;='3. Leases'!$D$3,'3. Leases'!$B$3*'3. Leases'!$C$3/4,IF(D4&lt;'2. Inputs'!$B$7+'2. Inputs'!$B$8,0,'3. Leases'!$B$3*'2. Inputs'!$B$3*(1+'2. Inputs'!$B$4)^(('3. Leases'!$D$3+'2. Inputs'!$B$7+E4*('2. Inputs'!$B$7+'2. Inputs'!$B$9))/4)/4))</f>
        <v>333900</v>
      </c>
      <c r="G4" s="14" t="n">
        <f aca="false">IF($A4&lt;='3. Leases'!$D$3,'3. Leases'!$B$3*'3. Leases'!$C$3,IF(D4&lt;'2. Inputs'!$B$7,0,'3. Leases'!$B$3*'2. Inputs'!$B$3*(1+'2. Inputs'!$B$4)^(('3. Leases'!$D$3+'2. Inputs'!$B$7+E4*('2. Inputs'!$B$7+'2. Inputs'!$B$9))/4)))</f>
        <v>1335600</v>
      </c>
      <c r="H4" s="14" t="n">
        <f aca="false">IF($A4&lt;='3. Leases'!$D$3,0,IF(D4=0,'3. Leases'!$B$3*'2. Inputs'!$B$5*(1+'2. Inputs'!$B$6)^(('3. Leases'!$D$3+E4*('2. Inputs'!$B$7+'2. Inputs'!$B$9))/4),0)+IF(D4='2. Inputs'!$B$7,'2. Inputs'!$B$10*'2. Inputs'!$B$3*(1+'2. Inputs'!$B$4)^(('3. Leases'!$D$3+'2. Inputs'!$B$7+E4*('2. Inputs'!$B$7+'2. Inputs'!$B$9))/4)*'3. Leases'!$B$3,0))</f>
        <v>0</v>
      </c>
      <c r="I4" s="14" t="n">
        <f aca="false">IF($A4&lt;='3. Leases'!$D$3,0,IF(D4&lt;'2. Inputs'!$B$7,'3. Leases'!$B$3,0))</f>
        <v>0</v>
      </c>
      <c r="J4" s="13" t="n">
        <f aca="false">$A4-'3. Leases'!$D$4-1</f>
        <v>-16</v>
      </c>
      <c r="K4" s="13" t="n">
        <f aca="false">IF(J4&lt;0,-1,MOD(J4,'2. Inputs'!$B$7+'2. Inputs'!$B$9))</f>
        <v>-1</v>
      </c>
      <c r="L4" s="13" t="n">
        <f aca="false">IF(J4&lt;0,0,INT(J4/('2. Inputs'!$B$7+'2. Inputs'!$B$9)))</f>
        <v>0</v>
      </c>
      <c r="M4" s="14" t="n">
        <f aca="false">IF($A4&lt;='3. Leases'!$D$4,'3. Leases'!$B$4*'3. Leases'!$C$4/4,IF(K4&lt;'2. Inputs'!$B$7+'2. Inputs'!$B$8,0,'3. Leases'!$B$4*'2. Inputs'!$B$3*(1+'2. Inputs'!$B$4)^(('3. Leases'!$D$4+'2. Inputs'!$B$7+L4*('2. Inputs'!$B$7+'2. Inputs'!$B$9))/4)/4))</f>
        <v>236375</v>
      </c>
      <c r="N4" s="14" t="n">
        <f aca="false">IF($A4&lt;='3. Leases'!$D$4,'3. Leases'!$B$4*'3. Leases'!$C$4,IF(K4&lt;'2. Inputs'!$B$7,0,'3. Leases'!$B$4*'2. Inputs'!$B$3*(1+'2. Inputs'!$B$4)^(('3. Leases'!$D$4+'2. Inputs'!$B$7+L4*('2. Inputs'!$B$7+'2. Inputs'!$B$9))/4)))</f>
        <v>945500</v>
      </c>
      <c r="O4" s="14" t="n">
        <f aca="false">IF($A4&lt;='3. Leases'!$D$4,0,IF(K4=0,'3. Leases'!$B$4*'2. Inputs'!$B$5*(1+'2. Inputs'!$B$6)^(('3. Leases'!$D$4+L4*('2. Inputs'!$B$7+'2. Inputs'!$B$9))/4),0)+IF(K4='2. Inputs'!$B$7,'2. Inputs'!$B$10*'2. Inputs'!$B$3*(1+'2. Inputs'!$B$4)^(('3. Leases'!$D$4+'2. Inputs'!$B$7+L4*('2. Inputs'!$B$7+'2. Inputs'!$B$9))/4)*'3. Leases'!$B$4,0))</f>
        <v>0</v>
      </c>
      <c r="P4" s="14" t="n">
        <f aca="false">IF($A4&lt;='3. Leases'!$D$4,0,IF(K4&lt;'2. Inputs'!$B$7,'3. Leases'!$B$4,0))</f>
        <v>0</v>
      </c>
      <c r="Q4" s="13" t="n">
        <f aca="false">$A4-'3. Leases'!$D$5-1</f>
        <v>-26</v>
      </c>
      <c r="R4" s="13" t="n">
        <f aca="false">IF(Q4&lt;0,-1,MOD(Q4,'2. Inputs'!$B$7+'2. Inputs'!$B$9))</f>
        <v>-1</v>
      </c>
      <c r="S4" s="13" t="n">
        <f aca="false">IF(Q4&lt;0,0,INT(Q4/('2. Inputs'!$B$7+'2. Inputs'!$B$9)))</f>
        <v>0</v>
      </c>
      <c r="T4" s="14" t="n">
        <f aca="false">IF($A4&lt;='3. Leases'!$D$5,'3. Leases'!$B$5*'3. Leases'!$C$5/4,IF(R4&lt;'2. Inputs'!$B$7+'2. Inputs'!$B$8,0,'3. Leases'!$B$5*'2. Inputs'!$B$3*(1+'2. Inputs'!$B$4)^(('3. Leases'!$D$5+'2. Inputs'!$B$7+S4*('2. Inputs'!$B$7+'2. Inputs'!$B$9))/4)/4))</f>
        <v>113960</v>
      </c>
      <c r="U4" s="14" t="n">
        <f aca="false">IF($A4&lt;='3. Leases'!$D$5,'3. Leases'!$B$5*'3. Leases'!$C$5,IF(R4&lt;'2. Inputs'!$B$7,0,'3. Leases'!$B$5*'2. Inputs'!$B$3*(1+'2. Inputs'!$B$4)^(('3. Leases'!$D$5+'2. Inputs'!$B$7+S4*('2. Inputs'!$B$7+'2. Inputs'!$B$9))/4)))</f>
        <v>455840</v>
      </c>
      <c r="V4" s="14" t="n">
        <f aca="false">IF($A4&lt;='3. Leases'!$D$5,0,IF(R4=0,'3. Leases'!$B$5*'2. Inputs'!$B$5*(1+'2. Inputs'!$B$6)^(('3. Leases'!$D$5+S4*('2. Inputs'!$B$7+'2. Inputs'!$B$9))/4),0)+IF(R4='2. Inputs'!$B$7,'2. Inputs'!$B$10*'2. Inputs'!$B$3*(1+'2. Inputs'!$B$4)^(('3. Leases'!$D$5+'2. Inputs'!$B$7+S4*('2. Inputs'!$B$7+'2. Inputs'!$B$9))/4)*'3. Leases'!$B$5,0))</f>
        <v>0</v>
      </c>
      <c r="W4" s="14" t="n">
        <f aca="false">IF($A4&lt;='3. Leases'!$D$5,0,IF(R4&lt;'2. Inputs'!$B$7,'3. Leases'!$B$5,0))</f>
        <v>0</v>
      </c>
      <c r="X4" s="13" t="n">
        <f aca="false">$A4-'3. Leases'!$D$6-1</f>
        <v>-6</v>
      </c>
      <c r="Y4" s="13" t="n">
        <f aca="false">IF(X4&lt;0,-1,MOD(X4,'2. Inputs'!$B$7+'2. Inputs'!$B$9))</f>
        <v>-1</v>
      </c>
      <c r="Z4" s="13" t="n">
        <f aca="false">IF(X4&lt;0,0,INT(X4/('2. Inputs'!$B$7+'2. Inputs'!$B$9)))</f>
        <v>0</v>
      </c>
      <c r="AA4" s="14" t="n">
        <f aca="false">IF($A4&lt;='3. Leases'!$D$6,'3. Leases'!$B$6*'3. Leases'!$C$6/4,IF(Y4&lt;'2. Inputs'!$B$7+'2. Inputs'!$B$8,0,'3. Leases'!$B$6*'2. Inputs'!$B$3*(1+'2. Inputs'!$B$4)^(('3. Leases'!$D$6+'2. Inputs'!$B$7+Z4*('2. Inputs'!$B$7+'2. Inputs'!$B$9))/4)/4))</f>
        <v>78000</v>
      </c>
      <c r="AB4" s="14" t="n">
        <f aca="false">IF($A4&lt;='3. Leases'!$D$6,'3. Leases'!$B$6*'3. Leases'!$C$6,IF(Y4&lt;'2. Inputs'!$B$7,0,'3. Leases'!$B$6*'2. Inputs'!$B$3*(1+'2. Inputs'!$B$4)^(('3. Leases'!$D$6+'2. Inputs'!$B$7+Z4*('2. Inputs'!$B$7+'2. Inputs'!$B$9))/4)))</f>
        <v>312000</v>
      </c>
      <c r="AC4" s="14" t="n">
        <f aca="false">IF($A4&lt;='3. Leases'!$D$6,0,IF(Y4=0,'3. Leases'!$B$6*'2. Inputs'!$B$5*(1+'2. Inputs'!$B$6)^(('3. Leases'!$D$6+Z4*('2. Inputs'!$B$7+'2. Inputs'!$B$9))/4),0)+IF(Y4='2. Inputs'!$B$7,'2. Inputs'!$B$10*'2. Inputs'!$B$3*(1+'2. Inputs'!$B$4)^(('3. Leases'!$D$6+'2. Inputs'!$B$7+Z4*('2. Inputs'!$B$7+'2. Inputs'!$B$9))/4)*'3. Leases'!$B$6,0))</f>
        <v>0</v>
      </c>
      <c r="AD4" s="14" t="n">
        <f aca="false">IF($A4&lt;='3. Leases'!$D$6,0,IF(Y4&lt;'2. Inputs'!$B$7,'3. Leases'!$B$6,0))</f>
        <v>0</v>
      </c>
      <c r="AE4" s="13" t="n">
        <f aca="false">$A4-'3. Leases'!$D$7-1</f>
        <v>0</v>
      </c>
      <c r="AF4" s="13" t="n">
        <f aca="false">IF(AE4&lt;0,-1,MOD(AE4,'2. Inputs'!$B$7+'2. Inputs'!$B$9))</f>
        <v>0</v>
      </c>
      <c r="AG4" s="13" t="n">
        <f aca="false">IF(AE4&lt;0,0,INT(AE4/('2. Inputs'!$B$7+'2. Inputs'!$B$9)))</f>
        <v>0</v>
      </c>
      <c r="AH4" s="14" t="n">
        <f aca="false">IF($A4&lt;='3. Leases'!$D$7,'3. Leases'!$B$7*'3. Leases'!$C$7/4,IF(AF4&lt;'2. Inputs'!$B$7+'2. Inputs'!$B$8,0,'3. Leases'!$B$7*'2. Inputs'!$B$3*(1+'2. Inputs'!$B$4)^(('3. Leases'!$D$7+'2. Inputs'!$B$7+AG4*('2. Inputs'!$B$7+'2. Inputs'!$B$9))/4)/4))</f>
        <v>0</v>
      </c>
      <c r="AI4" s="14" t="n">
        <f aca="false">IF($A4&lt;='3. Leases'!$D$7,'3. Leases'!$B$7*'3. Leases'!$C$7,IF(AF4&lt;'2. Inputs'!$B$7,0,'3. Leases'!$B$7*'2. Inputs'!$B$3*(1+'2. Inputs'!$B$4)^(('3. Leases'!$D$7+'2. Inputs'!$B$7+AG4*('2. Inputs'!$B$7+'2. Inputs'!$B$9))/4)))</f>
        <v>0</v>
      </c>
      <c r="AJ4" s="14" t="n">
        <f aca="false">IF($A4&lt;='3. Leases'!$D$7,0,IF(AF4=0,'3. Leases'!$B$7*'2. Inputs'!$B$5*(1+'2. Inputs'!$B$6)^(('3. Leases'!$D$7+AG4*('2. Inputs'!$B$7+'2. Inputs'!$B$9))/4),0)+IF(AF4='2. Inputs'!$B$7,'2. Inputs'!$B$10*'2. Inputs'!$B$3*(1+'2. Inputs'!$B$4)^(('3. Leases'!$D$7+'2. Inputs'!$B$7+AG4*('2. Inputs'!$B$7+'2. Inputs'!$B$9))/4)*'3. Leases'!$B$7,0))</f>
        <v>907200</v>
      </c>
      <c r="AK4" s="14" t="n">
        <f aca="false">IF($A4&lt;='3. Leases'!$D$7,0,IF(AF4&lt;'2. Inputs'!$B$7,'3. Leases'!$B$7,0))</f>
        <v>2160</v>
      </c>
      <c r="AL4" s="14" t="n">
        <f aca="false">F4+M4+T4+AA4+AH4</f>
        <v>762235</v>
      </c>
      <c r="AM4" s="14" t="n">
        <f aca="false">G4+N4+U4+AB4+AI4</f>
        <v>3048940</v>
      </c>
      <c r="AN4" s="14" t="n">
        <f aca="false">H4+O4+V4+AC4+AJ4+IF($A4='2. Inputs'!$B$14,'2. Inputs'!$B$13,0)</f>
        <v>907200</v>
      </c>
      <c r="AO4" s="14" t="n">
        <f aca="false">I4+P4+W4+AD4+AK4</f>
        <v>2160</v>
      </c>
      <c r="AP4" s="14" t="n">
        <f aca="false">AL4*(1-'2. Inputs'!$B$11)-AO4*'2. Inputs'!$B$12/4</f>
        <v>686800.9</v>
      </c>
      <c r="AQ4" s="14" t="n">
        <f aca="false">AP4-AN4</f>
        <v>-220399.1</v>
      </c>
      <c r="AR4" s="15" t="n">
        <f aca="false">1/(1+((1+'2. Inputs'!$B$15)^0.25-1))^$A4</f>
        <v>0.98151215057083</v>
      </c>
      <c r="AS4" s="14" t="n">
        <f aca="false">AQ4*AR4</f>
        <v>-216324.394624876</v>
      </c>
    </row>
    <row r="5" customFormat="false" ht="15" hidden="false" customHeight="false" outlineLevel="0" collapsed="false">
      <c r="A5" s="0" t="n">
        <v>2</v>
      </c>
      <c r="B5" s="0" t="n">
        <f aca="false">CEILING(A5/4,1)</f>
        <v>1</v>
      </c>
      <c r="C5" s="13" t="n">
        <f aca="false">$A5-'3. Leases'!$D$3-1</f>
        <v>-9</v>
      </c>
      <c r="D5" s="13" t="n">
        <f aca="false">IF(C5&lt;0,-1,MOD(C5,'2. Inputs'!$B$7+'2. Inputs'!$B$9))</f>
        <v>-1</v>
      </c>
      <c r="E5" s="13" t="n">
        <f aca="false">IF(C5&lt;0,0,INT(C5/('2. Inputs'!$B$7+'2. Inputs'!$B$9)))</f>
        <v>0</v>
      </c>
      <c r="F5" s="14" t="n">
        <f aca="false">IF($A5&lt;='3. Leases'!$D$3,'3. Leases'!$B$3*'3. Leases'!$C$3/4,IF(D5&lt;'2. Inputs'!$B$7+'2. Inputs'!$B$8,0,'3. Leases'!$B$3*'2. Inputs'!$B$3*(1+'2. Inputs'!$B$4)^(('3. Leases'!$D$3+'2. Inputs'!$B$7+E5*('2. Inputs'!$B$7+'2. Inputs'!$B$9))/4)/4))</f>
        <v>333900</v>
      </c>
      <c r="G5" s="14" t="n">
        <f aca="false">IF($A5&lt;='3. Leases'!$D$3,'3. Leases'!$B$3*'3. Leases'!$C$3,IF(D5&lt;'2. Inputs'!$B$7,0,'3. Leases'!$B$3*'2. Inputs'!$B$3*(1+'2. Inputs'!$B$4)^(('3. Leases'!$D$3+'2. Inputs'!$B$7+E5*('2. Inputs'!$B$7+'2. Inputs'!$B$9))/4)))</f>
        <v>1335600</v>
      </c>
      <c r="H5" s="14" t="n">
        <f aca="false">IF($A5&lt;='3. Leases'!$D$3,0,IF(D5=0,'3. Leases'!$B$3*'2. Inputs'!$B$5*(1+'2. Inputs'!$B$6)^(('3. Leases'!$D$3+E5*('2. Inputs'!$B$7+'2. Inputs'!$B$9))/4),0)+IF(D5='2. Inputs'!$B$7,'2. Inputs'!$B$10*'2. Inputs'!$B$3*(1+'2. Inputs'!$B$4)^(('3. Leases'!$D$3+'2. Inputs'!$B$7+E5*('2. Inputs'!$B$7+'2. Inputs'!$B$9))/4)*'3. Leases'!$B$3,0))</f>
        <v>0</v>
      </c>
      <c r="I5" s="14" t="n">
        <f aca="false">IF($A5&lt;='3. Leases'!$D$3,0,IF(D5&lt;'2. Inputs'!$B$7,'3. Leases'!$B$3,0))</f>
        <v>0</v>
      </c>
      <c r="J5" s="13" t="n">
        <f aca="false">$A5-'3. Leases'!$D$4-1</f>
        <v>-15</v>
      </c>
      <c r="K5" s="13" t="n">
        <f aca="false">IF(J5&lt;0,-1,MOD(J5,'2. Inputs'!$B$7+'2. Inputs'!$B$9))</f>
        <v>-1</v>
      </c>
      <c r="L5" s="13" t="n">
        <f aca="false">IF(J5&lt;0,0,INT(J5/('2. Inputs'!$B$7+'2. Inputs'!$B$9)))</f>
        <v>0</v>
      </c>
      <c r="M5" s="14" t="n">
        <f aca="false">IF($A5&lt;='3. Leases'!$D$4,'3. Leases'!$B$4*'3. Leases'!$C$4/4,IF(K5&lt;'2. Inputs'!$B$7+'2. Inputs'!$B$8,0,'3. Leases'!$B$4*'2. Inputs'!$B$3*(1+'2. Inputs'!$B$4)^(('3. Leases'!$D$4+'2. Inputs'!$B$7+L5*('2. Inputs'!$B$7+'2. Inputs'!$B$9))/4)/4))</f>
        <v>236375</v>
      </c>
      <c r="N5" s="14" t="n">
        <f aca="false">IF($A5&lt;='3. Leases'!$D$4,'3. Leases'!$B$4*'3. Leases'!$C$4,IF(K5&lt;'2. Inputs'!$B$7,0,'3. Leases'!$B$4*'2. Inputs'!$B$3*(1+'2. Inputs'!$B$4)^(('3. Leases'!$D$4+'2. Inputs'!$B$7+L5*('2. Inputs'!$B$7+'2. Inputs'!$B$9))/4)))</f>
        <v>945500</v>
      </c>
      <c r="O5" s="14" t="n">
        <f aca="false">IF($A5&lt;='3. Leases'!$D$4,0,IF(K5=0,'3. Leases'!$B$4*'2. Inputs'!$B$5*(1+'2. Inputs'!$B$6)^(('3. Leases'!$D$4+L5*('2. Inputs'!$B$7+'2. Inputs'!$B$9))/4),0)+IF(K5='2. Inputs'!$B$7,'2. Inputs'!$B$10*'2. Inputs'!$B$3*(1+'2. Inputs'!$B$4)^(('3. Leases'!$D$4+'2. Inputs'!$B$7+L5*('2. Inputs'!$B$7+'2. Inputs'!$B$9))/4)*'3. Leases'!$B$4,0))</f>
        <v>0</v>
      </c>
      <c r="P5" s="14" t="n">
        <f aca="false">IF($A5&lt;='3. Leases'!$D$4,0,IF(K5&lt;'2. Inputs'!$B$7,'3. Leases'!$B$4,0))</f>
        <v>0</v>
      </c>
      <c r="Q5" s="13" t="n">
        <f aca="false">$A5-'3. Leases'!$D$5-1</f>
        <v>-25</v>
      </c>
      <c r="R5" s="13" t="n">
        <f aca="false">IF(Q5&lt;0,-1,MOD(Q5,'2. Inputs'!$B$7+'2. Inputs'!$B$9))</f>
        <v>-1</v>
      </c>
      <c r="S5" s="13" t="n">
        <f aca="false">IF(Q5&lt;0,0,INT(Q5/('2. Inputs'!$B$7+'2. Inputs'!$B$9)))</f>
        <v>0</v>
      </c>
      <c r="T5" s="14" t="n">
        <f aca="false">IF($A5&lt;='3. Leases'!$D$5,'3. Leases'!$B$5*'3. Leases'!$C$5/4,IF(R5&lt;'2. Inputs'!$B$7+'2. Inputs'!$B$8,0,'3. Leases'!$B$5*'2. Inputs'!$B$3*(1+'2. Inputs'!$B$4)^(('3. Leases'!$D$5+'2. Inputs'!$B$7+S5*('2. Inputs'!$B$7+'2. Inputs'!$B$9))/4)/4))</f>
        <v>113960</v>
      </c>
      <c r="U5" s="14" t="n">
        <f aca="false">IF($A5&lt;='3. Leases'!$D$5,'3. Leases'!$B$5*'3. Leases'!$C$5,IF(R5&lt;'2. Inputs'!$B$7,0,'3. Leases'!$B$5*'2. Inputs'!$B$3*(1+'2. Inputs'!$B$4)^(('3. Leases'!$D$5+'2. Inputs'!$B$7+S5*('2. Inputs'!$B$7+'2. Inputs'!$B$9))/4)))</f>
        <v>455840</v>
      </c>
      <c r="V5" s="14" t="n">
        <f aca="false">IF($A5&lt;='3. Leases'!$D$5,0,IF(R5=0,'3. Leases'!$B$5*'2. Inputs'!$B$5*(1+'2. Inputs'!$B$6)^(('3. Leases'!$D$5+S5*('2. Inputs'!$B$7+'2. Inputs'!$B$9))/4),0)+IF(R5='2. Inputs'!$B$7,'2. Inputs'!$B$10*'2. Inputs'!$B$3*(1+'2. Inputs'!$B$4)^(('3. Leases'!$D$5+'2. Inputs'!$B$7+S5*('2. Inputs'!$B$7+'2. Inputs'!$B$9))/4)*'3. Leases'!$B$5,0))</f>
        <v>0</v>
      </c>
      <c r="W5" s="14" t="n">
        <f aca="false">IF($A5&lt;='3. Leases'!$D$5,0,IF(R5&lt;'2. Inputs'!$B$7,'3. Leases'!$B$5,0))</f>
        <v>0</v>
      </c>
      <c r="X5" s="13" t="n">
        <f aca="false">$A5-'3. Leases'!$D$6-1</f>
        <v>-5</v>
      </c>
      <c r="Y5" s="13" t="n">
        <f aca="false">IF(X5&lt;0,-1,MOD(X5,'2. Inputs'!$B$7+'2. Inputs'!$B$9))</f>
        <v>-1</v>
      </c>
      <c r="Z5" s="13" t="n">
        <f aca="false">IF(X5&lt;0,0,INT(X5/('2. Inputs'!$B$7+'2. Inputs'!$B$9)))</f>
        <v>0</v>
      </c>
      <c r="AA5" s="14" t="n">
        <f aca="false">IF($A5&lt;='3. Leases'!$D$6,'3. Leases'!$B$6*'3. Leases'!$C$6/4,IF(Y5&lt;'2. Inputs'!$B$7+'2. Inputs'!$B$8,0,'3. Leases'!$B$6*'2. Inputs'!$B$3*(1+'2. Inputs'!$B$4)^(('3. Leases'!$D$6+'2. Inputs'!$B$7+Z5*('2. Inputs'!$B$7+'2. Inputs'!$B$9))/4)/4))</f>
        <v>78000</v>
      </c>
      <c r="AB5" s="14" t="n">
        <f aca="false">IF($A5&lt;='3. Leases'!$D$6,'3. Leases'!$B$6*'3. Leases'!$C$6,IF(Y5&lt;'2. Inputs'!$B$7,0,'3. Leases'!$B$6*'2. Inputs'!$B$3*(1+'2. Inputs'!$B$4)^(('3. Leases'!$D$6+'2. Inputs'!$B$7+Z5*('2. Inputs'!$B$7+'2. Inputs'!$B$9))/4)))</f>
        <v>312000</v>
      </c>
      <c r="AC5" s="14" t="n">
        <f aca="false">IF($A5&lt;='3. Leases'!$D$6,0,IF(Y5=0,'3. Leases'!$B$6*'2. Inputs'!$B$5*(1+'2. Inputs'!$B$6)^(('3. Leases'!$D$6+Z5*('2. Inputs'!$B$7+'2. Inputs'!$B$9))/4),0)+IF(Y5='2. Inputs'!$B$7,'2. Inputs'!$B$10*'2. Inputs'!$B$3*(1+'2. Inputs'!$B$4)^(('3. Leases'!$D$6+'2. Inputs'!$B$7+Z5*('2. Inputs'!$B$7+'2. Inputs'!$B$9))/4)*'3. Leases'!$B$6,0))</f>
        <v>0</v>
      </c>
      <c r="AD5" s="14" t="n">
        <f aca="false">IF($A5&lt;='3. Leases'!$D$6,0,IF(Y5&lt;'2. Inputs'!$B$7,'3. Leases'!$B$6,0))</f>
        <v>0</v>
      </c>
      <c r="AE5" s="13" t="n">
        <f aca="false">$A5-'3. Leases'!$D$7-1</f>
        <v>1</v>
      </c>
      <c r="AF5" s="13" t="n">
        <f aca="false">IF(AE5&lt;0,-1,MOD(AE5,'2. Inputs'!$B$7+'2. Inputs'!$B$9))</f>
        <v>1</v>
      </c>
      <c r="AG5" s="13" t="n">
        <f aca="false">IF(AE5&lt;0,0,INT(AE5/('2. Inputs'!$B$7+'2. Inputs'!$B$9)))</f>
        <v>0</v>
      </c>
      <c r="AH5" s="14" t="n">
        <f aca="false">IF($A5&lt;='3. Leases'!$D$7,'3. Leases'!$B$7*'3. Leases'!$C$7/4,IF(AF5&lt;'2. Inputs'!$B$7+'2. Inputs'!$B$8,0,'3. Leases'!$B$7*'2. Inputs'!$B$3*(1+'2. Inputs'!$B$4)^(('3. Leases'!$D$7+'2. Inputs'!$B$7+AG5*('2. Inputs'!$B$7+'2. Inputs'!$B$9))/4)/4))</f>
        <v>0</v>
      </c>
      <c r="AI5" s="14" t="n">
        <f aca="false">IF($A5&lt;='3. Leases'!$D$7,'3. Leases'!$B$7*'3. Leases'!$C$7,IF(AF5&lt;'2. Inputs'!$B$7,0,'3. Leases'!$B$7*'2. Inputs'!$B$3*(1+'2. Inputs'!$B$4)^(('3. Leases'!$D$7+'2. Inputs'!$B$7+AG5*('2. Inputs'!$B$7+'2. Inputs'!$B$9))/4)))</f>
        <v>0</v>
      </c>
      <c r="AJ5" s="14" t="n">
        <f aca="false">IF($A5&lt;='3. Leases'!$D$7,0,IF(AF5=0,'3. Leases'!$B$7*'2. Inputs'!$B$5*(1+'2. Inputs'!$B$6)^(('3. Leases'!$D$7+AG5*('2. Inputs'!$B$7+'2. Inputs'!$B$9))/4),0)+IF(AF5='2. Inputs'!$B$7,'2. Inputs'!$B$10*'2. Inputs'!$B$3*(1+'2. Inputs'!$B$4)^(('3. Leases'!$D$7+'2. Inputs'!$B$7+AG5*('2. Inputs'!$B$7+'2. Inputs'!$B$9))/4)*'3. Leases'!$B$7,0))</f>
        <v>0</v>
      </c>
      <c r="AK5" s="14" t="n">
        <f aca="false">IF($A5&lt;='3. Leases'!$D$7,0,IF(AF5&lt;'2. Inputs'!$B$7,'3. Leases'!$B$7,0))</f>
        <v>2160</v>
      </c>
      <c r="AL5" s="14" t="n">
        <f aca="false">F5+M5+T5+AA5+AH5</f>
        <v>762235</v>
      </c>
      <c r="AM5" s="14" t="n">
        <f aca="false">G5+N5+U5+AB5+AI5</f>
        <v>3048940</v>
      </c>
      <c r="AN5" s="14" t="n">
        <f aca="false">H5+O5+V5+AC5+AJ5+IF($A5='2. Inputs'!$B$14,'2. Inputs'!$B$13,0)</f>
        <v>0</v>
      </c>
      <c r="AO5" s="14" t="n">
        <f aca="false">I5+P5+W5+AD5+AK5</f>
        <v>2160</v>
      </c>
      <c r="AP5" s="14" t="n">
        <f aca="false">AL5*(1-'2. Inputs'!$B$11)-AO5*'2. Inputs'!$B$12/4</f>
        <v>686800.9</v>
      </c>
      <c r="AQ5" s="14" t="n">
        <f aca="false">AP5-AN5</f>
        <v>686800.9</v>
      </c>
      <c r="AR5" s="15" t="n">
        <f aca="false">1/(1+((1+'2. Inputs'!$B$15)^0.25-1))^$A5</f>
        <v>0.963366101718176</v>
      </c>
      <c r="AS5" s="14" t="n">
        <f aca="false">AQ5*AR5</f>
        <v>661640.705689535</v>
      </c>
    </row>
    <row r="6" customFormat="false" ht="15" hidden="false" customHeight="false" outlineLevel="0" collapsed="false">
      <c r="A6" s="0" t="n">
        <v>3</v>
      </c>
      <c r="B6" s="0" t="n">
        <f aca="false">CEILING(A6/4,1)</f>
        <v>1</v>
      </c>
      <c r="C6" s="13" t="n">
        <f aca="false">$A6-'3. Leases'!$D$3-1</f>
        <v>-8</v>
      </c>
      <c r="D6" s="13" t="n">
        <f aca="false">IF(C6&lt;0,-1,MOD(C6,'2. Inputs'!$B$7+'2. Inputs'!$B$9))</f>
        <v>-1</v>
      </c>
      <c r="E6" s="13" t="n">
        <f aca="false">IF(C6&lt;0,0,INT(C6/('2. Inputs'!$B$7+'2. Inputs'!$B$9)))</f>
        <v>0</v>
      </c>
      <c r="F6" s="14" t="n">
        <f aca="false">IF($A6&lt;='3. Leases'!$D$3,'3. Leases'!$B$3*'3. Leases'!$C$3/4,IF(D6&lt;'2. Inputs'!$B$7+'2. Inputs'!$B$8,0,'3. Leases'!$B$3*'2. Inputs'!$B$3*(1+'2. Inputs'!$B$4)^(('3. Leases'!$D$3+'2. Inputs'!$B$7+E6*('2. Inputs'!$B$7+'2. Inputs'!$B$9))/4)/4))</f>
        <v>333900</v>
      </c>
      <c r="G6" s="14" t="n">
        <f aca="false">IF($A6&lt;='3. Leases'!$D$3,'3. Leases'!$B$3*'3. Leases'!$C$3,IF(D6&lt;'2. Inputs'!$B$7,0,'3. Leases'!$B$3*'2. Inputs'!$B$3*(1+'2. Inputs'!$B$4)^(('3. Leases'!$D$3+'2. Inputs'!$B$7+E6*('2. Inputs'!$B$7+'2. Inputs'!$B$9))/4)))</f>
        <v>1335600</v>
      </c>
      <c r="H6" s="14" t="n">
        <f aca="false">IF($A6&lt;='3. Leases'!$D$3,0,IF(D6=0,'3. Leases'!$B$3*'2. Inputs'!$B$5*(1+'2. Inputs'!$B$6)^(('3. Leases'!$D$3+E6*('2. Inputs'!$B$7+'2. Inputs'!$B$9))/4),0)+IF(D6='2. Inputs'!$B$7,'2. Inputs'!$B$10*'2. Inputs'!$B$3*(1+'2. Inputs'!$B$4)^(('3. Leases'!$D$3+'2. Inputs'!$B$7+E6*('2. Inputs'!$B$7+'2. Inputs'!$B$9))/4)*'3. Leases'!$B$3,0))</f>
        <v>0</v>
      </c>
      <c r="I6" s="14" t="n">
        <f aca="false">IF($A6&lt;='3. Leases'!$D$3,0,IF(D6&lt;'2. Inputs'!$B$7,'3. Leases'!$B$3,0))</f>
        <v>0</v>
      </c>
      <c r="J6" s="13" t="n">
        <f aca="false">$A6-'3. Leases'!$D$4-1</f>
        <v>-14</v>
      </c>
      <c r="K6" s="13" t="n">
        <f aca="false">IF(J6&lt;0,-1,MOD(J6,'2. Inputs'!$B$7+'2. Inputs'!$B$9))</f>
        <v>-1</v>
      </c>
      <c r="L6" s="13" t="n">
        <f aca="false">IF(J6&lt;0,0,INT(J6/('2. Inputs'!$B$7+'2. Inputs'!$B$9)))</f>
        <v>0</v>
      </c>
      <c r="M6" s="14" t="n">
        <f aca="false">IF($A6&lt;='3. Leases'!$D$4,'3. Leases'!$B$4*'3. Leases'!$C$4/4,IF(K6&lt;'2. Inputs'!$B$7+'2. Inputs'!$B$8,0,'3. Leases'!$B$4*'2. Inputs'!$B$3*(1+'2. Inputs'!$B$4)^(('3. Leases'!$D$4+'2. Inputs'!$B$7+L6*('2. Inputs'!$B$7+'2. Inputs'!$B$9))/4)/4))</f>
        <v>236375</v>
      </c>
      <c r="N6" s="14" t="n">
        <f aca="false">IF($A6&lt;='3. Leases'!$D$4,'3. Leases'!$B$4*'3. Leases'!$C$4,IF(K6&lt;'2. Inputs'!$B$7,0,'3. Leases'!$B$4*'2. Inputs'!$B$3*(1+'2. Inputs'!$B$4)^(('3. Leases'!$D$4+'2. Inputs'!$B$7+L6*('2. Inputs'!$B$7+'2. Inputs'!$B$9))/4)))</f>
        <v>945500</v>
      </c>
      <c r="O6" s="14" t="n">
        <f aca="false">IF($A6&lt;='3. Leases'!$D$4,0,IF(K6=0,'3. Leases'!$B$4*'2. Inputs'!$B$5*(1+'2. Inputs'!$B$6)^(('3. Leases'!$D$4+L6*('2. Inputs'!$B$7+'2. Inputs'!$B$9))/4),0)+IF(K6='2. Inputs'!$B$7,'2. Inputs'!$B$10*'2. Inputs'!$B$3*(1+'2. Inputs'!$B$4)^(('3. Leases'!$D$4+'2. Inputs'!$B$7+L6*('2. Inputs'!$B$7+'2. Inputs'!$B$9))/4)*'3. Leases'!$B$4,0))</f>
        <v>0</v>
      </c>
      <c r="P6" s="14" t="n">
        <f aca="false">IF($A6&lt;='3. Leases'!$D$4,0,IF(K6&lt;'2. Inputs'!$B$7,'3. Leases'!$B$4,0))</f>
        <v>0</v>
      </c>
      <c r="Q6" s="13" t="n">
        <f aca="false">$A6-'3. Leases'!$D$5-1</f>
        <v>-24</v>
      </c>
      <c r="R6" s="13" t="n">
        <f aca="false">IF(Q6&lt;0,-1,MOD(Q6,'2. Inputs'!$B$7+'2. Inputs'!$B$9))</f>
        <v>-1</v>
      </c>
      <c r="S6" s="13" t="n">
        <f aca="false">IF(Q6&lt;0,0,INT(Q6/('2. Inputs'!$B$7+'2. Inputs'!$B$9)))</f>
        <v>0</v>
      </c>
      <c r="T6" s="14" t="n">
        <f aca="false">IF($A6&lt;='3. Leases'!$D$5,'3. Leases'!$B$5*'3. Leases'!$C$5/4,IF(R6&lt;'2. Inputs'!$B$7+'2. Inputs'!$B$8,0,'3. Leases'!$B$5*'2. Inputs'!$B$3*(1+'2. Inputs'!$B$4)^(('3. Leases'!$D$5+'2. Inputs'!$B$7+S6*('2. Inputs'!$B$7+'2. Inputs'!$B$9))/4)/4))</f>
        <v>113960</v>
      </c>
      <c r="U6" s="14" t="n">
        <f aca="false">IF($A6&lt;='3. Leases'!$D$5,'3. Leases'!$B$5*'3. Leases'!$C$5,IF(R6&lt;'2. Inputs'!$B$7,0,'3. Leases'!$B$5*'2. Inputs'!$B$3*(1+'2. Inputs'!$B$4)^(('3. Leases'!$D$5+'2. Inputs'!$B$7+S6*('2. Inputs'!$B$7+'2. Inputs'!$B$9))/4)))</f>
        <v>455840</v>
      </c>
      <c r="V6" s="14" t="n">
        <f aca="false">IF($A6&lt;='3. Leases'!$D$5,0,IF(R6=0,'3. Leases'!$B$5*'2. Inputs'!$B$5*(1+'2. Inputs'!$B$6)^(('3. Leases'!$D$5+S6*('2. Inputs'!$B$7+'2. Inputs'!$B$9))/4),0)+IF(R6='2. Inputs'!$B$7,'2. Inputs'!$B$10*'2. Inputs'!$B$3*(1+'2. Inputs'!$B$4)^(('3. Leases'!$D$5+'2. Inputs'!$B$7+S6*('2. Inputs'!$B$7+'2. Inputs'!$B$9))/4)*'3. Leases'!$B$5,0))</f>
        <v>0</v>
      </c>
      <c r="W6" s="14" t="n">
        <f aca="false">IF($A6&lt;='3. Leases'!$D$5,0,IF(R6&lt;'2. Inputs'!$B$7,'3. Leases'!$B$5,0))</f>
        <v>0</v>
      </c>
      <c r="X6" s="13" t="n">
        <f aca="false">$A6-'3. Leases'!$D$6-1</f>
        <v>-4</v>
      </c>
      <c r="Y6" s="13" t="n">
        <f aca="false">IF(X6&lt;0,-1,MOD(X6,'2. Inputs'!$B$7+'2. Inputs'!$B$9))</f>
        <v>-1</v>
      </c>
      <c r="Z6" s="13" t="n">
        <f aca="false">IF(X6&lt;0,0,INT(X6/('2. Inputs'!$B$7+'2. Inputs'!$B$9)))</f>
        <v>0</v>
      </c>
      <c r="AA6" s="14" t="n">
        <f aca="false">IF($A6&lt;='3. Leases'!$D$6,'3. Leases'!$B$6*'3. Leases'!$C$6/4,IF(Y6&lt;'2. Inputs'!$B$7+'2. Inputs'!$B$8,0,'3. Leases'!$B$6*'2. Inputs'!$B$3*(1+'2. Inputs'!$B$4)^(('3. Leases'!$D$6+'2. Inputs'!$B$7+Z6*('2. Inputs'!$B$7+'2. Inputs'!$B$9))/4)/4))</f>
        <v>78000</v>
      </c>
      <c r="AB6" s="14" t="n">
        <f aca="false">IF($A6&lt;='3. Leases'!$D$6,'3. Leases'!$B$6*'3. Leases'!$C$6,IF(Y6&lt;'2. Inputs'!$B$7,0,'3. Leases'!$B$6*'2. Inputs'!$B$3*(1+'2. Inputs'!$B$4)^(('3. Leases'!$D$6+'2. Inputs'!$B$7+Z6*('2. Inputs'!$B$7+'2. Inputs'!$B$9))/4)))</f>
        <v>312000</v>
      </c>
      <c r="AC6" s="14" t="n">
        <f aca="false">IF($A6&lt;='3. Leases'!$D$6,0,IF(Y6=0,'3. Leases'!$B$6*'2. Inputs'!$B$5*(1+'2. Inputs'!$B$6)^(('3. Leases'!$D$6+Z6*('2. Inputs'!$B$7+'2. Inputs'!$B$9))/4),0)+IF(Y6='2. Inputs'!$B$7,'2. Inputs'!$B$10*'2. Inputs'!$B$3*(1+'2. Inputs'!$B$4)^(('3. Leases'!$D$6+'2. Inputs'!$B$7+Z6*('2. Inputs'!$B$7+'2. Inputs'!$B$9))/4)*'3. Leases'!$B$6,0))</f>
        <v>0</v>
      </c>
      <c r="AD6" s="14" t="n">
        <f aca="false">IF($A6&lt;='3. Leases'!$D$6,0,IF(Y6&lt;'2. Inputs'!$B$7,'3. Leases'!$B$6,0))</f>
        <v>0</v>
      </c>
      <c r="AE6" s="13" t="n">
        <f aca="false">$A6-'3. Leases'!$D$7-1</f>
        <v>2</v>
      </c>
      <c r="AF6" s="13" t="n">
        <f aca="false">IF(AE6&lt;0,-1,MOD(AE6,'2. Inputs'!$B$7+'2. Inputs'!$B$9))</f>
        <v>2</v>
      </c>
      <c r="AG6" s="13" t="n">
        <f aca="false">IF(AE6&lt;0,0,INT(AE6/('2. Inputs'!$B$7+'2. Inputs'!$B$9)))</f>
        <v>0</v>
      </c>
      <c r="AH6" s="14" t="n">
        <f aca="false">IF($A6&lt;='3. Leases'!$D$7,'3. Leases'!$B$7*'3. Leases'!$C$7/4,IF(AF6&lt;'2. Inputs'!$B$7+'2. Inputs'!$B$8,0,'3. Leases'!$B$7*'2. Inputs'!$B$3*(1+'2. Inputs'!$B$4)^(('3. Leases'!$D$7+'2. Inputs'!$B$7+AG6*('2. Inputs'!$B$7+'2. Inputs'!$B$9))/4)/4))</f>
        <v>0</v>
      </c>
      <c r="AI6" s="14" t="n">
        <f aca="false">IF($A6&lt;='3. Leases'!$D$7,'3. Leases'!$B$7*'3. Leases'!$C$7,IF(AF6&lt;'2. Inputs'!$B$7,0,'3. Leases'!$B$7*'2. Inputs'!$B$3*(1+'2. Inputs'!$B$4)^(('3. Leases'!$D$7+'2. Inputs'!$B$7+AG6*('2. Inputs'!$B$7+'2. Inputs'!$B$9))/4)))</f>
        <v>0</v>
      </c>
      <c r="AJ6" s="14" t="n">
        <f aca="false">IF($A6&lt;='3. Leases'!$D$7,0,IF(AF6=0,'3. Leases'!$B$7*'2. Inputs'!$B$5*(1+'2. Inputs'!$B$6)^(('3. Leases'!$D$7+AG6*('2. Inputs'!$B$7+'2. Inputs'!$B$9))/4),0)+IF(AF6='2. Inputs'!$B$7,'2. Inputs'!$B$10*'2. Inputs'!$B$3*(1+'2. Inputs'!$B$4)^(('3. Leases'!$D$7+'2. Inputs'!$B$7+AG6*('2. Inputs'!$B$7+'2. Inputs'!$B$9))/4)*'3. Leases'!$B$7,0))</f>
        <v>0</v>
      </c>
      <c r="AK6" s="14" t="n">
        <f aca="false">IF($A6&lt;='3. Leases'!$D$7,0,IF(AF6&lt;'2. Inputs'!$B$7,'3. Leases'!$B$7,0))</f>
        <v>2160</v>
      </c>
      <c r="AL6" s="14" t="n">
        <f aca="false">F6+M6+T6+AA6+AH6</f>
        <v>762235</v>
      </c>
      <c r="AM6" s="14" t="n">
        <f aca="false">G6+N6+U6+AB6+AI6</f>
        <v>3048940</v>
      </c>
      <c r="AN6" s="14" t="n">
        <f aca="false">H6+O6+V6+AC6+AJ6+IF($A6='2. Inputs'!$B$14,'2. Inputs'!$B$13,0)</f>
        <v>0</v>
      </c>
      <c r="AO6" s="14" t="n">
        <f aca="false">I6+P6+W6+AD6+AK6</f>
        <v>2160</v>
      </c>
      <c r="AP6" s="14" t="n">
        <f aca="false">AL6*(1-'2. Inputs'!$B$11)-AO6*'2. Inputs'!$B$12/4</f>
        <v>686800.9</v>
      </c>
      <c r="AQ6" s="14" t="n">
        <f aca="false">AP6-AN6</f>
        <v>686800.9</v>
      </c>
      <c r="AR6" s="15" t="n">
        <f aca="false">1/(1+((1+'2. Inputs'!$B$15)^0.25-1))^$A6</f>
        <v>0.945555534284444</v>
      </c>
      <c r="AS6" s="14" t="n">
        <f aca="false">AQ6*AR6</f>
        <v>649408.391946537</v>
      </c>
    </row>
    <row r="7" customFormat="false" ht="15" hidden="false" customHeight="false" outlineLevel="0" collapsed="false">
      <c r="A7" s="0" t="n">
        <v>4</v>
      </c>
      <c r="B7" s="0" t="n">
        <f aca="false">CEILING(A7/4,1)</f>
        <v>1</v>
      </c>
      <c r="C7" s="13" t="n">
        <f aca="false">$A7-'3. Leases'!$D$3-1</f>
        <v>-7</v>
      </c>
      <c r="D7" s="13" t="n">
        <f aca="false">IF(C7&lt;0,-1,MOD(C7,'2. Inputs'!$B$7+'2. Inputs'!$B$9))</f>
        <v>-1</v>
      </c>
      <c r="E7" s="13" t="n">
        <f aca="false">IF(C7&lt;0,0,INT(C7/('2. Inputs'!$B$7+'2. Inputs'!$B$9)))</f>
        <v>0</v>
      </c>
      <c r="F7" s="14" t="n">
        <f aca="false">IF($A7&lt;='3. Leases'!$D$3,'3. Leases'!$B$3*'3. Leases'!$C$3/4,IF(D7&lt;'2. Inputs'!$B$7+'2. Inputs'!$B$8,0,'3. Leases'!$B$3*'2. Inputs'!$B$3*(1+'2. Inputs'!$B$4)^(('3. Leases'!$D$3+'2. Inputs'!$B$7+E7*('2. Inputs'!$B$7+'2. Inputs'!$B$9))/4)/4))</f>
        <v>333900</v>
      </c>
      <c r="G7" s="14" t="n">
        <f aca="false">IF($A7&lt;='3. Leases'!$D$3,'3. Leases'!$B$3*'3. Leases'!$C$3,IF(D7&lt;'2. Inputs'!$B$7,0,'3. Leases'!$B$3*'2. Inputs'!$B$3*(1+'2. Inputs'!$B$4)^(('3. Leases'!$D$3+'2. Inputs'!$B$7+E7*('2. Inputs'!$B$7+'2. Inputs'!$B$9))/4)))</f>
        <v>1335600</v>
      </c>
      <c r="H7" s="14" t="n">
        <f aca="false">IF($A7&lt;='3. Leases'!$D$3,0,IF(D7=0,'3. Leases'!$B$3*'2. Inputs'!$B$5*(1+'2. Inputs'!$B$6)^(('3. Leases'!$D$3+E7*('2. Inputs'!$B$7+'2. Inputs'!$B$9))/4),0)+IF(D7='2. Inputs'!$B$7,'2. Inputs'!$B$10*'2. Inputs'!$B$3*(1+'2. Inputs'!$B$4)^(('3. Leases'!$D$3+'2. Inputs'!$B$7+E7*('2. Inputs'!$B$7+'2. Inputs'!$B$9))/4)*'3. Leases'!$B$3,0))</f>
        <v>0</v>
      </c>
      <c r="I7" s="14" t="n">
        <f aca="false">IF($A7&lt;='3. Leases'!$D$3,0,IF(D7&lt;'2. Inputs'!$B$7,'3. Leases'!$B$3,0))</f>
        <v>0</v>
      </c>
      <c r="J7" s="13" t="n">
        <f aca="false">$A7-'3. Leases'!$D$4-1</f>
        <v>-13</v>
      </c>
      <c r="K7" s="13" t="n">
        <f aca="false">IF(J7&lt;0,-1,MOD(J7,'2. Inputs'!$B$7+'2. Inputs'!$B$9))</f>
        <v>-1</v>
      </c>
      <c r="L7" s="13" t="n">
        <f aca="false">IF(J7&lt;0,0,INT(J7/('2. Inputs'!$B$7+'2. Inputs'!$B$9)))</f>
        <v>0</v>
      </c>
      <c r="M7" s="14" t="n">
        <f aca="false">IF($A7&lt;='3. Leases'!$D$4,'3. Leases'!$B$4*'3. Leases'!$C$4/4,IF(K7&lt;'2. Inputs'!$B$7+'2. Inputs'!$B$8,0,'3. Leases'!$B$4*'2. Inputs'!$B$3*(1+'2. Inputs'!$B$4)^(('3. Leases'!$D$4+'2. Inputs'!$B$7+L7*('2. Inputs'!$B$7+'2. Inputs'!$B$9))/4)/4))</f>
        <v>236375</v>
      </c>
      <c r="N7" s="14" t="n">
        <f aca="false">IF($A7&lt;='3. Leases'!$D$4,'3. Leases'!$B$4*'3. Leases'!$C$4,IF(K7&lt;'2. Inputs'!$B$7,0,'3. Leases'!$B$4*'2. Inputs'!$B$3*(1+'2. Inputs'!$B$4)^(('3. Leases'!$D$4+'2. Inputs'!$B$7+L7*('2. Inputs'!$B$7+'2. Inputs'!$B$9))/4)))</f>
        <v>945500</v>
      </c>
      <c r="O7" s="14" t="n">
        <f aca="false">IF($A7&lt;='3. Leases'!$D$4,0,IF(K7=0,'3. Leases'!$B$4*'2. Inputs'!$B$5*(1+'2. Inputs'!$B$6)^(('3. Leases'!$D$4+L7*('2. Inputs'!$B$7+'2. Inputs'!$B$9))/4),0)+IF(K7='2. Inputs'!$B$7,'2. Inputs'!$B$10*'2. Inputs'!$B$3*(1+'2. Inputs'!$B$4)^(('3. Leases'!$D$4+'2. Inputs'!$B$7+L7*('2. Inputs'!$B$7+'2. Inputs'!$B$9))/4)*'3. Leases'!$B$4,0))</f>
        <v>0</v>
      </c>
      <c r="P7" s="14" t="n">
        <f aca="false">IF($A7&lt;='3. Leases'!$D$4,0,IF(K7&lt;'2. Inputs'!$B$7,'3. Leases'!$B$4,0))</f>
        <v>0</v>
      </c>
      <c r="Q7" s="13" t="n">
        <f aca="false">$A7-'3. Leases'!$D$5-1</f>
        <v>-23</v>
      </c>
      <c r="R7" s="13" t="n">
        <f aca="false">IF(Q7&lt;0,-1,MOD(Q7,'2. Inputs'!$B$7+'2. Inputs'!$B$9))</f>
        <v>-1</v>
      </c>
      <c r="S7" s="13" t="n">
        <f aca="false">IF(Q7&lt;0,0,INT(Q7/('2. Inputs'!$B$7+'2. Inputs'!$B$9)))</f>
        <v>0</v>
      </c>
      <c r="T7" s="14" t="n">
        <f aca="false">IF($A7&lt;='3. Leases'!$D$5,'3. Leases'!$B$5*'3. Leases'!$C$5/4,IF(R7&lt;'2. Inputs'!$B$7+'2. Inputs'!$B$8,0,'3. Leases'!$B$5*'2. Inputs'!$B$3*(1+'2. Inputs'!$B$4)^(('3. Leases'!$D$5+'2. Inputs'!$B$7+S7*('2. Inputs'!$B$7+'2. Inputs'!$B$9))/4)/4))</f>
        <v>113960</v>
      </c>
      <c r="U7" s="14" t="n">
        <f aca="false">IF($A7&lt;='3. Leases'!$D$5,'3. Leases'!$B$5*'3. Leases'!$C$5,IF(R7&lt;'2. Inputs'!$B$7,0,'3. Leases'!$B$5*'2. Inputs'!$B$3*(1+'2. Inputs'!$B$4)^(('3. Leases'!$D$5+'2. Inputs'!$B$7+S7*('2. Inputs'!$B$7+'2. Inputs'!$B$9))/4)))</f>
        <v>455840</v>
      </c>
      <c r="V7" s="14" t="n">
        <f aca="false">IF($A7&lt;='3. Leases'!$D$5,0,IF(R7=0,'3. Leases'!$B$5*'2. Inputs'!$B$5*(1+'2. Inputs'!$B$6)^(('3. Leases'!$D$5+S7*('2. Inputs'!$B$7+'2. Inputs'!$B$9))/4),0)+IF(R7='2. Inputs'!$B$7,'2. Inputs'!$B$10*'2. Inputs'!$B$3*(1+'2. Inputs'!$B$4)^(('3. Leases'!$D$5+'2. Inputs'!$B$7+S7*('2. Inputs'!$B$7+'2. Inputs'!$B$9))/4)*'3. Leases'!$B$5,0))</f>
        <v>0</v>
      </c>
      <c r="W7" s="14" t="n">
        <f aca="false">IF($A7&lt;='3. Leases'!$D$5,0,IF(R7&lt;'2. Inputs'!$B$7,'3. Leases'!$B$5,0))</f>
        <v>0</v>
      </c>
      <c r="X7" s="13" t="n">
        <f aca="false">$A7-'3. Leases'!$D$6-1</f>
        <v>-3</v>
      </c>
      <c r="Y7" s="13" t="n">
        <f aca="false">IF(X7&lt;0,-1,MOD(X7,'2. Inputs'!$B$7+'2. Inputs'!$B$9))</f>
        <v>-1</v>
      </c>
      <c r="Z7" s="13" t="n">
        <f aca="false">IF(X7&lt;0,0,INT(X7/('2. Inputs'!$B$7+'2. Inputs'!$B$9)))</f>
        <v>0</v>
      </c>
      <c r="AA7" s="14" t="n">
        <f aca="false">IF($A7&lt;='3. Leases'!$D$6,'3. Leases'!$B$6*'3. Leases'!$C$6/4,IF(Y7&lt;'2. Inputs'!$B$7+'2. Inputs'!$B$8,0,'3. Leases'!$B$6*'2. Inputs'!$B$3*(1+'2. Inputs'!$B$4)^(('3. Leases'!$D$6+'2. Inputs'!$B$7+Z7*('2. Inputs'!$B$7+'2. Inputs'!$B$9))/4)/4))</f>
        <v>78000</v>
      </c>
      <c r="AB7" s="14" t="n">
        <f aca="false">IF($A7&lt;='3. Leases'!$D$6,'3. Leases'!$B$6*'3. Leases'!$C$6,IF(Y7&lt;'2. Inputs'!$B$7,0,'3. Leases'!$B$6*'2. Inputs'!$B$3*(1+'2. Inputs'!$B$4)^(('3. Leases'!$D$6+'2. Inputs'!$B$7+Z7*('2. Inputs'!$B$7+'2. Inputs'!$B$9))/4)))</f>
        <v>312000</v>
      </c>
      <c r="AC7" s="14" t="n">
        <f aca="false">IF($A7&lt;='3. Leases'!$D$6,0,IF(Y7=0,'3. Leases'!$B$6*'2. Inputs'!$B$5*(1+'2. Inputs'!$B$6)^(('3. Leases'!$D$6+Z7*('2. Inputs'!$B$7+'2. Inputs'!$B$9))/4),0)+IF(Y7='2. Inputs'!$B$7,'2. Inputs'!$B$10*'2. Inputs'!$B$3*(1+'2. Inputs'!$B$4)^(('3. Leases'!$D$6+'2. Inputs'!$B$7+Z7*('2. Inputs'!$B$7+'2. Inputs'!$B$9))/4)*'3. Leases'!$B$6,0))</f>
        <v>0</v>
      </c>
      <c r="AD7" s="14" t="n">
        <f aca="false">IF($A7&lt;='3. Leases'!$D$6,0,IF(Y7&lt;'2. Inputs'!$B$7,'3. Leases'!$B$6,0))</f>
        <v>0</v>
      </c>
      <c r="AE7" s="13" t="n">
        <f aca="false">$A7-'3. Leases'!$D$7-1</f>
        <v>3</v>
      </c>
      <c r="AF7" s="13" t="n">
        <f aca="false">IF(AE7&lt;0,-1,MOD(AE7,'2. Inputs'!$B$7+'2. Inputs'!$B$9))</f>
        <v>3</v>
      </c>
      <c r="AG7" s="13" t="n">
        <f aca="false">IF(AE7&lt;0,0,INT(AE7/('2. Inputs'!$B$7+'2. Inputs'!$B$9)))</f>
        <v>0</v>
      </c>
      <c r="AH7" s="14" t="n">
        <f aca="false">IF($A7&lt;='3. Leases'!$D$7,'3. Leases'!$B$7*'3. Leases'!$C$7/4,IF(AF7&lt;'2. Inputs'!$B$7+'2. Inputs'!$B$8,0,'3. Leases'!$B$7*'2. Inputs'!$B$3*(1+'2. Inputs'!$B$4)^(('3. Leases'!$D$7+'2. Inputs'!$B$7+AG7*('2. Inputs'!$B$7+'2. Inputs'!$B$9))/4)/4))</f>
        <v>0</v>
      </c>
      <c r="AI7" s="14" t="n">
        <f aca="false">IF($A7&lt;='3. Leases'!$D$7,'3. Leases'!$B$7*'3. Leases'!$C$7,IF(AF7&lt;'2. Inputs'!$B$7,0,'3. Leases'!$B$7*'2. Inputs'!$B$3*(1+'2. Inputs'!$B$4)^(('3. Leases'!$D$7+'2. Inputs'!$B$7+AG7*('2. Inputs'!$B$7+'2. Inputs'!$B$9))/4)))</f>
        <v>655276.415965829</v>
      </c>
      <c r="AJ7" s="14" t="n">
        <f aca="false">IF($A7&lt;='3. Leases'!$D$7,0,IF(AF7=0,'3. Leases'!$B$7*'2. Inputs'!$B$5*(1+'2. Inputs'!$B$6)^(('3. Leases'!$D$7+AG7*('2. Inputs'!$B$7+'2. Inputs'!$B$9))/4),0)+IF(AF7='2. Inputs'!$B$7,'2. Inputs'!$B$10*'2. Inputs'!$B$3*(1+'2. Inputs'!$B$4)^(('3. Leases'!$D$7+'2. Inputs'!$B$7+AG7*('2. Inputs'!$B$7+'2. Inputs'!$B$9))/4)*'3. Leases'!$B$7,0))</f>
        <v>78633.1699158994</v>
      </c>
      <c r="AK7" s="14" t="n">
        <f aca="false">IF($A7&lt;='3. Leases'!$D$7,0,IF(AF7&lt;'2. Inputs'!$B$7,'3. Leases'!$B$7,0))</f>
        <v>0</v>
      </c>
      <c r="AL7" s="14" t="n">
        <f aca="false">F7+M7+T7+AA7+AH7</f>
        <v>762235</v>
      </c>
      <c r="AM7" s="14" t="n">
        <f aca="false">G7+N7+U7+AB7+AI7</f>
        <v>3704216.41596583</v>
      </c>
      <c r="AN7" s="14" t="n">
        <f aca="false">H7+O7+V7+AC7+AJ7+IF($A7='2. Inputs'!$B$14,'2. Inputs'!$B$13,0)</f>
        <v>78633.1699158994</v>
      </c>
      <c r="AO7" s="14" t="n">
        <f aca="false">I7+P7+W7+AD7+AK7</f>
        <v>0</v>
      </c>
      <c r="AP7" s="14" t="n">
        <f aca="false">AL7*(1-'2. Inputs'!$B$11)-AO7*'2. Inputs'!$B$12/4</f>
        <v>716500.9</v>
      </c>
      <c r="AQ7" s="14" t="n">
        <f aca="false">AP7-AN7</f>
        <v>637867.730084101</v>
      </c>
      <c r="AR7" s="15" t="n">
        <f aca="false">1/(1+((1+'2. Inputs'!$B$15)^0.25-1))^$A7</f>
        <v>0.928074245939675</v>
      </c>
      <c r="AS7" s="14" t="n">
        <f aca="false">AQ7*AR7</f>
        <v>591988.612607054</v>
      </c>
    </row>
    <row r="8" customFormat="false" ht="15" hidden="false" customHeight="false" outlineLevel="0" collapsed="false">
      <c r="A8" s="0" t="n">
        <v>5</v>
      </c>
      <c r="B8" s="0" t="n">
        <f aca="false">CEILING(A8/4,1)</f>
        <v>2</v>
      </c>
      <c r="C8" s="13" t="n">
        <f aca="false">$A8-'3. Leases'!$D$3-1</f>
        <v>-6</v>
      </c>
      <c r="D8" s="13" t="n">
        <f aca="false">IF(C8&lt;0,-1,MOD(C8,'2. Inputs'!$B$7+'2. Inputs'!$B$9))</f>
        <v>-1</v>
      </c>
      <c r="E8" s="13" t="n">
        <f aca="false">IF(C8&lt;0,0,INT(C8/('2. Inputs'!$B$7+'2. Inputs'!$B$9)))</f>
        <v>0</v>
      </c>
      <c r="F8" s="14" t="n">
        <f aca="false">IF($A8&lt;='3. Leases'!$D$3,'3. Leases'!$B$3*'3. Leases'!$C$3/4,IF(D8&lt;'2. Inputs'!$B$7+'2. Inputs'!$B$8,0,'3. Leases'!$B$3*'2. Inputs'!$B$3*(1+'2. Inputs'!$B$4)^(('3. Leases'!$D$3+'2. Inputs'!$B$7+E8*('2. Inputs'!$B$7+'2. Inputs'!$B$9))/4)/4))</f>
        <v>333900</v>
      </c>
      <c r="G8" s="14" t="n">
        <f aca="false">IF($A8&lt;='3. Leases'!$D$3,'3. Leases'!$B$3*'3. Leases'!$C$3,IF(D8&lt;'2. Inputs'!$B$7,0,'3. Leases'!$B$3*'2. Inputs'!$B$3*(1+'2. Inputs'!$B$4)^(('3. Leases'!$D$3+'2. Inputs'!$B$7+E8*('2. Inputs'!$B$7+'2. Inputs'!$B$9))/4)))</f>
        <v>1335600</v>
      </c>
      <c r="H8" s="14" t="n">
        <f aca="false">IF($A8&lt;='3. Leases'!$D$3,0,IF(D8=0,'3. Leases'!$B$3*'2. Inputs'!$B$5*(1+'2. Inputs'!$B$6)^(('3. Leases'!$D$3+E8*('2. Inputs'!$B$7+'2. Inputs'!$B$9))/4),0)+IF(D8='2. Inputs'!$B$7,'2. Inputs'!$B$10*'2. Inputs'!$B$3*(1+'2. Inputs'!$B$4)^(('3. Leases'!$D$3+'2. Inputs'!$B$7+E8*('2. Inputs'!$B$7+'2. Inputs'!$B$9))/4)*'3. Leases'!$B$3,0))</f>
        <v>0</v>
      </c>
      <c r="I8" s="14" t="n">
        <f aca="false">IF($A8&lt;='3. Leases'!$D$3,0,IF(D8&lt;'2. Inputs'!$B$7,'3. Leases'!$B$3,0))</f>
        <v>0</v>
      </c>
      <c r="J8" s="13" t="n">
        <f aca="false">$A8-'3. Leases'!$D$4-1</f>
        <v>-12</v>
      </c>
      <c r="K8" s="13" t="n">
        <f aca="false">IF(J8&lt;0,-1,MOD(J8,'2. Inputs'!$B$7+'2. Inputs'!$B$9))</f>
        <v>-1</v>
      </c>
      <c r="L8" s="13" t="n">
        <f aca="false">IF(J8&lt;0,0,INT(J8/('2. Inputs'!$B$7+'2. Inputs'!$B$9)))</f>
        <v>0</v>
      </c>
      <c r="M8" s="14" t="n">
        <f aca="false">IF($A8&lt;='3. Leases'!$D$4,'3. Leases'!$B$4*'3. Leases'!$C$4/4,IF(K8&lt;'2. Inputs'!$B$7+'2. Inputs'!$B$8,0,'3. Leases'!$B$4*'2. Inputs'!$B$3*(1+'2. Inputs'!$B$4)^(('3. Leases'!$D$4+'2. Inputs'!$B$7+L8*('2. Inputs'!$B$7+'2. Inputs'!$B$9))/4)/4))</f>
        <v>236375</v>
      </c>
      <c r="N8" s="14" t="n">
        <f aca="false">IF($A8&lt;='3. Leases'!$D$4,'3. Leases'!$B$4*'3. Leases'!$C$4,IF(K8&lt;'2. Inputs'!$B$7,0,'3. Leases'!$B$4*'2. Inputs'!$B$3*(1+'2. Inputs'!$B$4)^(('3. Leases'!$D$4+'2. Inputs'!$B$7+L8*('2. Inputs'!$B$7+'2. Inputs'!$B$9))/4)))</f>
        <v>945500</v>
      </c>
      <c r="O8" s="14" t="n">
        <f aca="false">IF($A8&lt;='3. Leases'!$D$4,0,IF(K8=0,'3. Leases'!$B$4*'2. Inputs'!$B$5*(1+'2. Inputs'!$B$6)^(('3. Leases'!$D$4+L8*('2. Inputs'!$B$7+'2. Inputs'!$B$9))/4),0)+IF(K8='2. Inputs'!$B$7,'2. Inputs'!$B$10*'2. Inputs'!$B$3*(1+'2. Inputs'!$B$4)^(('3. Leases'!$D$4+'2. Inputs'!$B$7+L8*('2. Inputs'!$B$7+'2. Inputs'!$B$9))/4)*'3. Leases'!$B$4,0))</f>
        <v>0</v>
      </c>
      <c r="P8" s="14" t="n">
        <f aca="false">IF($A8&lt;='3. Leases'!$D$4,0,IF(K8&lt;'2. Inputs'!$B$7,'3. Leases'!$B$4,0))</f>
        <v>0</v>
      </c>
      <c r="Q8" s="13" t="n">
        <f aca="false">$A8-'3. Leases'!$D$5-1</f>
        <v>-22</v>
      </c>
      <c r="R8" s="13" t="n">
        <f aca="false">IF(Q8&lt;0,-1,MOD(Q8,'2. Inputs'!$B$7+'2. Inputs'!$B$9))</f>
        <v>-1</v>
      </c>
      <c r="S8" s="13" t="n">
        <f aca="false">IF(Q8&lt;0,0,INT(Q8/('2. Inputs'!$B$7+'2. Inputs'!$B$9)))</f>
        <v>0</v>
      </c>
      <c r="T8" s="14" t="n">
        <f aca="false">IF($A8&lt;='3. Leases'!$D$5,'3. Leases'!$B$5*'3. Leases'!$C$5/4,IF(R8&lt;'2. Inputs'!$B$7+'2. Inputs'!$B$8,0,'3. Leases'!$B$5*'2. Inputs'!$B$3*(1+'2. Inputs'!$B$4)^(('3. Leases'!$D$5+'2. Inputs'!$B$7+S8*('2. Inputs'!$B$7+'2. Inputs'!$B$9))/4)/4))</f>
        <v>113960</v>
      </c>
      <c r="U8" s="14" t="n">
        <f aca="false">IF($A8&lt;='3. Leases'!$D$5,'3. Leases'!$B$5*'3. Leases'!$C$5,IF(R8&lt;'2. Inputs'!$B$7,0,'3. Leases'!$B$5*'2. Inputs'!$B$3*(1+'2. Inputs'!$B$4)^(('3. Leases'!$D$5+'2. Inputs'!$B$7+S8*('2. Inputs'!$B$7+'2. Inputs'!$B$9))/4)))</f>
        <v>455840</v>
      </c>
      <c r="V8" s="14" t="n">
        <f aca="false">IF($A8&lt;='3. Leases'!$D$5,0,IF(R8=0,'3. Leases'!$B$5*'2. Inputs'!$B$5*(1+'2. Inputs'!$B$6)^(('3. Leases'!$D$5+S8*('2. Inputs'!$B$7+'2. Inputs'!$B$9))/4),0)+IF(R8='2. Inputs'!$B$7,'2. Inputs'!$B$10*'2. Inputs'!$B$3*(1+'2. Inputs'!$B$4)^(('3. Leases'!$D$5+'2. Inputs'!$B$7+S8*('2. Inputs'!$B$7+'2. Inputs'!$B$9))/4)*'3. Leases'!$B$5,0))</f>
        <v>0</v>
      </c>
      <c r="W8" s="14" t="n">
        <f aca="false">IF($A8&lt;='3. Leases'!$D$5,0,IF(R8&lt;'2. Inputs'!$B$7,'3. Leases'!$B$5,0))</f>
        <v>0</v>
      </c>
      <c r="X8" s="13" t="n">
        <f aca="false">$A8-'3. Leases'!$D$6-1</f>
        <v>-2</v>
      </c>
      <c r="Y8" s="13" t="n">
        <f aca="false">IF(X8&lt;0,-1,MOD(X8,'2. Inputs'!$B$7+'2. Inputs'!$B$9))</f>
        <v>-1</v>
      </c>
      <c r="Z8" s="13" t="n">
        <f aca="false">IF(X8&lt;0,0,INT(X8/('2. Inputs'!$B$7+'2. Inputs'!$B$9)))</f>
        <v>0</v>
      </c>
      <c r="AA8" s="14" t="n">
        <f aca="false">IF($A8&lt;='3. Leases'!$D$6,'3. Leases'!$B$6*'3. Leases'!$C$6/4,IF(Y8&lt;'2. Inputs'!$B$7+'2. Inputs'!$B$8,0,'3. Leases'!$B$6*'2. Inputs'!$B$3*(1+'2. Inputs'!$B$4)^(('3. Leases'!$D$6+'2. Inputs'!$B$7+Z8*('2. Inputs'!$B$7+'2. Inputs'!$B$9))/4)/4))</f>
        <v>78000</v>
      </c>
      <c r="AB8" s="14" t="n">
        <f aca="false">IF($A8&lt;='3. Leases'!$D$6,'3. Leases'!$B$6*'3. Leases'!$C$6,IF(Y8&lt;'2. Inputs'!$B$7,0,'3. Leases'!$B$6*'2. Inputs'!$B$3*(1+'2. Inputs'!$B$4)^(('3. Leases'!$D$6+'2. Inputs'!$B$7+Z8*('2. Inputs'!$B$7+'2. Inputs'!$B$9))/4)))</f>
        <v>312000</v>
      </c>
      <c r="AC8" s="14" t="n">
        <f aca="false">IF($A8&lt;='3. Leases'!$D$6,0,IF(Y8=0,'3. Leases'!$B$6*'2. Inputs'!$B$5*(1+'2. Inputs'!$B$6)^(('3. Leases'!$D$6+Z8*('2. Inputs'!$B$7+'2. Inputs'!$B$9))/4),0)+IF(Y8='2. Inputs'!$B$7,'2. Inputs'!$B$10*'2. Inputs'!$B$3*(1+'2. Inputs'!$B$4)^(('3. Leases'!$D$6+'2. Inputs'!$B$7+Z8*('2. Inputs'!$B$7+'2. Inputs'!$B$9))/4)*'3. Leases'!$B$6,0))</f>
        <v>0</v>
      </c>
      <c r="AD8" s="14" t="n">
        <f aca="false">IF($A8&lt;='3. Leases'!$D$6,0,IF(Y8&lt;'2. Inputs'!$B$7,'3. Leases'!$B$6,0))</f>
        <v>0</v>
      </c>
      <c r="AE8" s="13" t="n">
        <f aca="false">$A8-'3. Leases'!$D$7-1</f>
        <v>4</v>
      </c>
      <c r="AF8" s="13" t="n">
        <f aca="false">IF(AE8&lt;0,-1,MOD(AE8,'2. Inputs'!$B$7+'2. Inputs'!$B$9))</f>
        <v>4</v>
      </c>
      <c r="AG8" s="13" t="n">
        <f aca="false">IF(AE8&lt;0,0,INT(AE8/('2. Inputs'!$B$7+'2. Inputs'!$B$9)))</f>
        <v>0</v>
      </c>
      <c r="AH8" s="14" t="n">
        <f aca="false">IF($A8&lt;='3. Leases'!$D$7,'3. Leases'!$B$7*'3. Leases'!$C$7/4,IF(AF8&lt;'2. Inputs'!$B$7+'2. Inputs'!$B$8,0,'3. Leases'!$B$7*'2. Inputs'!$B$3*(1+'2. Inputs'!$B$4)^(('3. Leases'!$D$7+'2. Inputs'!$B$7+AG8*('2. Inputs'!$B$7+'2. Inputs'!$B$9))/4)/4))</f>
        <v>0</v>
      </c>
      <c r="AI8" s="14" t="n">
        <f aca="false">IF($A8&lt;='3. Leases'!$D$7,'3. Leases'!$B$7*'3. Leases'!$C$7,IF(AF8&lt;'2. Inputs'!$B$7,0,'3. Leases'!$B$7*'2. Inputs'!$B$3*(1+'2. Inputs'!$B$4)^(('3. Leases'!$D$7+'2. Inputs'!$B$7+AG8*('2. Inputs'!$B$7+'2. Inputs'!$B$9))/4)))</f>
        <v>655276.415965829</v>
      </c>
      <c r="AJ8" s="14" t="n">
        <f aca="false">IF($A8&lt;='3. Leases'!$D$7,0,IF(AF8=0,'3. Leases'!$B$7*'2. Inputs'!$B$5*(1+'2. Inputs'!$B$6)^(('3. Leases'!$D$7+AG8*('2. Inputs'!$B$7+'2. Inputs'!$B$9))/4),0)+IF(AF8='2. Inputs'!$B$7,'2. Inputs'!$B$10*'2. Inputs'!$B$3*(1+'2. Inputs'!$B$4)^(('3. Leases'!$D$7+'2. Inputs'!$B$7+AG8*('2. Inputs'!$B$7+'2. Inputs'!$B$9))/4)*'3. Leases'!$B$7,0))</f>
        <v>0</v>
      </c>
      <c r="AK8" s="14" t="n">
        <f aca="false">IF($A8&lt;='3. Leases'!$D$7,0,IF(AF8&lt;'2. Inputs'!$B$7,'3. Leases'!$B$7,0))</f>
        <v>0</v>
      </c>
      <c r="AL8" s="14" t="n">
        <f aca="false">F8+M8+T8+AA8+AH8</f>
        <v>762235</v>
      </c>
      <c r="AM8" s="14" t="n">
        <f aca="false">G8+N8+U8+AB8+AI8</f>
        <v>3704216.41596583</v>
      </c>
      <c r="AN8" s="14" t="n">
        <f aca="false">H8+O8+V8+AC8+AJ8+IF($A8='2. Inputs'!$B$14,'2. Inputs'!$B$13,0)</f>
        <v>0</v>
      </c>
      <c r="AO8" s="14" t="n">
        <f aca="false">I8+P8+W8+AD8+AK8</f>
        <v>0</v>
      </c>
      <c r="AP8" s="14" t="n">
        <f aca="false">AL8*(1-'2. Inputs'!$B$11)-AO8*'2. Inputs'!$B$12/4</f>
        <v>716500.9</v>
      </c>
      <c r="AQ8" s="14" t="n">
        <f aca="false">AP8-AN8</f>
        <v>716500.9</v>
      </c>
      <c r="AR8" s="15" t="n">
        <f aca="false">1/(1+((1+'2. Inputs'!$B$15)^0.25-1))^$A8</f>
        <v>0.910916149021652</v>
      </c>
      <c r="AS8" s="14" t="n">
        <f aca="false">AQ8*AR8</f>
        <v>652672.240598548</v>
      </c>
    </row>
    <row r="9" customFormat="false" ht="15" hidden="false" customHeight="false" outlineLevel="0" collapsed="false">
      <c r="A9" s="0" t="n">
        <v>6</v>
      </c>
      <c r="B9" s="0" t="n">
        <f aca="false">CEILING(A9/4,1)</f>
        <v>2</v>
      </c>
      <c r="C9" s="13" t="n">
        <f aca="false">$A9-'3. Leases'!$D$3-1</f>
        <v>-5</v>
      </c>
      <c r="D9" s="13" t="n">
        <f aca="false">IF(C9&lt;0,-1,MOD(C9,'2. Inputs'!$B$7+'2. Inputs'!$B$9))</f>
        <v>-1</v>
      </c>
      <c r="E9" s="13" t="n">
        <f aca="false">IF(C9&lt;0,0,INT(C9/('2. Inputs'!$B$7+'2. Inputs'!$B$9)))</f>
        <v>0</v>
      </c>
      <c r="F9" s="14" t="n">
        <f aca="false">IF($A9&lt;='3. Leases'!$D$3,'3. Leases'!$B$3*'3. Leases'!$C$3/4,IF(D9&lt;'2. Inputs'!$B$7+'2. Inputs'!$B$8,0,'3. Leases'!$B$3*'2. Inputs'!$B$3*(1+'2. Inputs'!$B$4)^(('3. Leases'!$D$3+'2. Inputs'!$B$7+E9*('2. Inputs'!$B$7+'2. Inputs'!$B$9))/4)/4))</f>
        <v>333900</v>
      </c>
      <c r="G9" s="14" t="n">
        <f aca="false">IF($A9&lt;='3. Leases'!$D$3,'3. Leases'!$B$3*'3. Leases'!$C$3,IF(D9&lt;'2. Inputs'!$B$7,0,'3. Leases'!$B$3*'2. Inputs'!$B$3*(1+'2. Inputs'!$B$4)^(('3. Leases'!$D$3+'2. Inputs'!$B$7+E9*('2. Inputs'!$B$7+'2. Inputs'!$B$9))/4)))</f>
        <v>1335600</v>
      </c>
      <c r="H9" s="14" t="n">
        <f aca="false">IF($A9&lt;='3. Leases'!$D$3,0,IF(D9=0,'3. Leases'!$B$3*'2. Inputs'!$B$5*(1+'2. Inputs'!$B$6)^(('3. Leases'!$D$3+E9*('2. Inputs'!$B$7+'2. Inputs'!$B$9))/4),0)+IF(D9='2. Inputs'!$B$7,'2. Inputs'!$B$10*'2. Inputs'!$B$3*(1+'2. Inputs'!$B$4)^(('3. Leases'!$D$3+'2. Inputs'!$B$7+E9*('2. Inputs'!$B$7+'2. Inputs'!$B$9))/4)*'3. Leases'!$B$3,0))</f>
        <v>0</v>
      </c>
      <c r="I9" s="14" t="n">
        <f aca="false">IF($A9&lt;='3. Leases'!$D$3,0,IF(D9&lt;'2. Inputs'!$B$7,'3. Leases'!$B$3,0))</f>
        <v>0</v>
      </c>
      <c r="J9" s="13" t="n">
        <f aca="false">$A9-'3. Leases'!$D$4-1</f>
        <v>-11</v>
      </c>
      <c r="K9" s="13" t="n">
        <f aca="false">IF(J9&lt;0,-1,MOD(J9,'2. Inputs'!$B$7+'2. Inputs'!$B$9))</f>
        <v>-1</v>
      </c>
      <c r="L9" s="13" t="n">
        <f aca="false">IF(J9&lt;0,0,INT(J9/('2. Inputs'!$B$7+'2. Inputs'!$B$9)))</f>
        <v>0</v>
      </c>
      <c r="M9" s="14" t="n">
        <f aca="false">IF($A9&lt;='3. Leases'!$D$4,'3. Leases'!$B$4*'3. Leases'!$C$4/4,IF(K9&lt;'2. Inputs'!$B$7+'2. Inputs'!$B$8,0,'3. Leases'!$B$4*'2. Inputs'!$B$3*(1+'2. Inputs'!$B$4)^(('3. Leases'!$D$4+'2. Inputs'!$B$7+L9*('2. Inputs'!$B$7+'2. Inputs'!$B$9))/4)/4))</f>
        <v>236375</v>
      </c>
      <c r="N9" s="14" t="n">
        <f aca="false">IF($A9&lt;='3. Leases'!$D$4,'3. Leases'!$B$4*'3. Leases'!$C$4,IF(K9&lt;'2. Inputs'!$B$7,0,'3. Leases'!$B$4*'2. Inputs'!$B$3*(1+'2. Inputs'!$B$4)^(('3. Leases'!$D$4+'2. Inputs'!$B$7+L9*('2. Inputs'!$B$7+'2. Inputs'!$B$9))/4)))</f>
        <v>945500</v>
      </c>
      <c r="O9" s="14" t="n">
        <f aca="false">IF($A9&lt;='3. Leases'!$D$4,0,IF(K9=0,'3. Leases'!$B$4*'2. Inputs'!$B$5*(1+'2. Inputs'!$B$6)^(('3. Leases'!$D$4+L9*('2. Inputs'!$B$7+'2. Inputs'!$B$9))/4),0)+IF(K9='2. Inputs'!$B$7,'2. Inputs'!$B$10*'2. Inputs'!$B$3*(1+'2. Inputs'!$B$4)^(('3. Leases'!$D$4+'2. Inputs'!$B$7+L9*('2. Inputs'!$B$7+'2. Inputs'!$B$9))/4)*'3. Leases'!$B$4,0))</f>
        <v>0</v>
      </c>
      <c r="P9" s="14" t="n">
        <f aca="false">IF($A9&lt;='3. Leases'!$D$4,0,IF(K9&lt;'2. Inputs'!$B$7,'3. Leases'!$B$4,0))</f>
        <v>0</v>
      </c>
      <c r="Q9" s="13" t="n">
        <f aca="false">$A9-'3. Leases'!$D$5-1</f>
        <v>-21</v>
      </c>
      <c r="R9" s="13" t="n">
        <f aca="false">IF(Q9&lt;0,-1,MOD(Q9,'2. Inputs'!$B$7+'2. Inputs'!$B$9))</f>
        <v>-1</v>
      </c>
      <c r="S9" s="13" t="n">
        <f aca="false">IF(Q9&lt;0,0,INT(Q9/('2. Inputs'!$B$7+'2. Inputs'!$B$9)))</f>
        <v>0</v>
      </c>
      <c r="T9" s="14" t="n">
        <f aca="false">IF($A9&lt;='3. Leases'!$D$5,'3. Leases'!$B$5*'3. Leases'!$C$5/4,IF(R9&lt;'2. Inputs'!$B$7+'2. Inputs'!$B$8,0,'3. Leases'!$B$5*'2. Inputs'!$B$3*(1+'2. Inputs'!$B$4)^(('3. Leases'!$D$5+'2. Inputs'!$B$7+S9*('2. Inputs'!$B$7+'2. Inputs'!$B$9))/4)/4))</f>
        <v>113960</v>
      </c>
      <c r="U9" s="14" t="n">
        <f aca="false">IF($A9&lt;='3. Leases'!$D$5,'3. Leases'!$B$5*'3. Leases'!$C$5,IF(R9&lt;'2. Inputs'!$B$7,0,'3. Leases'!$B$5*'2. Inputs'!$B$3*(1+'2. Inputs'!$B$4)^(('3. Leases'!$D$5+'2. Inputs'!$B$7+S9*('2. Inputs'!$B$7+'2. Inputs'!$B$9))/4)))</f>
        <v>455840</v>
      </c>
      <c r="V9" s="14" t="n">
        <f aca="false">IF($A9&lt;='3. Leases'!$D$5,0,IF(R9=0,'3. Leases'!$B$5*'2. Inputs'!$B$5*(1+'2. Inputs'!$B$6)^(('3. Leases'!$D$5+S9*('2. Inputs'!$B$7+'2. Inputs'!$B$9))/4),0)+IF(R9='2. Inputs'!$B$7,'2. Inputs'!$B$10*'2. Inputs'!$B$3*(1+'2. Inputs'!$B$4)^(('3. Leases'!$D$5+'2. Inputs'!$B$7+S9*('2. Inputs'!$B$7+'2. Inputs'!$B$9))/4)*'3. Leases'!$B$5,0))</f>
        <v>0</v>
      </c>
      <c r="W9" s="14" t="n">
        <f aca="false">IF($A9&lt;='3. Leases'!$D$5,0,IF(R9&lt;'2. Inputs'!$B$7,'3. Leases'!$B$5,0))</f>
        <v>0</v>
      </c>
      <c r="X9" s="13" t="n">
        <f aca="false">$A9-'3. Leases'!$D$6-1</f>
        <v>-1</v>
      </c>
      <c r="Y9" s="13" t="n">
        <f aca="false">IF(X9&lt;0,-1,MOD(X9,'2. Inputs'!$B$7+'2. Inputs'!$B$9))</f>
        <v>-1</v>
      </c>
      <c r="Z9" s="13" t="n">
        <f aca="false">IF(X9&lt;0,0,INT(X9/('2. Inputs'!$B$7+'2. Inputs'!$B$9)))</f>
        <v>0</v>
      </c>
      <c r="AA9" s="14" t="n">
        <f aca="false">IF($A9&lt;='3. Leases'!$D$6,'3. Leases'!$B$6*'3. Leases'!$C$6/4,IF(Y9&lt;'2. Inputs'!$B$7+'2. Inputs'!$B$8,0,'3. Leases'!$B$6*'2. Inputs'!$B$3*(1+'2. Inputs'!$B$4)^(('3. Leases'!$D$6+'2. Inputs'!$B$7+Z9*('2. Inputs'!$B$7+'2. Inputs'!$B$9))/4)/4))</f>
        <v>78000</v>
      </c>
      <c r="AB9" s="14" t="n">
        <f aca="false">IF($A9&lt;='3. Leases'!$D$6,'3. Leases'!$B$6*'3. Leases'!$C$6,IF(Y9&lt;'2. Inputs'!$B$7,0,'3. Leases'!$B$6*'2. Inputs'!$B$3*(1+'2. Inputs'!$B$4)^(('3. Leases'!$D$6+'2. Inputs'!$B$7+Z9*('2. Inputs'!$B$7+'2. Inputs'!$B$9))/4)))</f>
        <v>312000</v>
      </c>
      <c r="AC9" s="14" t="n">
        <f aca="false">IF($A9&lt;='3. Leases'!$D$6,0,IF(Y9=0,'3. Leases'!$B$6*'2. Inputs'!$B$5*(1+'2. Inputs'!$B$6)^(('3. Leases'!$D$6+Z9*('2. Inputs'!$B$7+'2. Inputs'!$B$9))/4),0)+IF(Y9='2. Inputs'!$B$7,'2. Inputs'!$B$10*'2. Inputs'!$B$3*(1+'2. Inputs'!$B$4)^(('3. Leases'!$D$6+'2. Inputs'!$B$7+Z9*('2. Inputs'!$B$7+'2. Inputs'!$B$9))/4)*'3. Leases'!$B$6,0))</f>
        <v>0</v>
      </c>
      <c r="AD9" s="14" t="n">
        <f aca="false">IF($A9&lt;='3. Leases'!$D$6,0,IF(Y9&lt;'2. Inputs'!$B$7,'3. Leases'!$B$6,0))</f>
        <v>0</v>
      </c>
      <c r="AE9" s="13" t="n">
        <f aca="false">$A9-'3. Leases'!$D$7-1</f>
        <v>5</v>
      </c>
      <c r="AF9" s="13" t="n">
        <f aca="false">IF(AE9&lt;0,-1,MOD(AE9,'2. Inputs'!$B$7+'2. Inputs'!$B$9))</f>
        <v>5</v>
      </c>
      <c r="AG9" s="13" t="n">
        <f aca="false">IF(AE9&lt;0,0,INT(AE9/('2. Inputs'!$B$7+'2. Inputs'!$B$9)))</f>
        <v>0</v>
      </c>
      <c r="AH9" s="14" t="n">
        <f aca="false">IF($A9&lt;='3. Leases'!$D$7,'3. Leases'!$B$7*'3. Leases'!$C$7/4,IF(AF9&lt;'2. Inputs'!$B$7+'2. Inputs'!$B$8,0,'3. Leases'!$B$7*'2. Inputs'!$B$3*(1+'2. Inputs'!$B$4)^(('3. Leases'!$D$7+'2. Inputs'!$B$7+AG9*('2. Inputs'!$B$7+'2. Inputs'!$B$9))/4)/4))</f>
        <v>0</v>
      </c>
      <c r="AI9" s="14" t="n">
        <f aca="false">IF($A9&lt;='3. Leases'!$D$7,'3. Leases'!$B$7*'3. Leases'!$C$7,IF(AF9&lt;'2. Inputs'!$B$7,0,'3. Leases'!$B$7*'2. Inputs'!$B$3*(1+'2. Inputs'!$B$4)^(('3. Leases'!$D$7+'2. Inputs'!$B$7+AG9*('2. Inputs'!$B$7+'2. Inputs'!$B$9))/4)))</f>
        <v>655276.415965829</v>
      </c>
      <c r="AJ9" s="14" t="n">
        <f aca="false">IF($A9&lt;='3. Leases'!$D$7,0,IF(AF9=0,'3. Leases'!$B$7*'2. Inputs'!$B$5*(1+'2. Inputs'!$B$6)^(('3. Leases'!$D$7+AG9*('2. Inputs'!$B$7+'2. Inputs'!$B$9))/4),0)+IF(AF9='2. Inputs'!$B$7,'2. Inputs'!$B$10*'2. Inputs'!$B$3*(1+'2. Inputs'!$B$4)^(('3. Leases'!$D$7+'2. Inputs'!$B$7+AG9*('2. Inputs'!$B$7+'2. Inputs'!$B$9))/4)*'3. Leases'!$B$7,0))</f>
        <v>0</v>
      </c>
      <c r="AK9" s="14" t="n">
        <f aca="false">IF($A9&lt;='3. Leases'!$D$7,0,IF(AF9&lt;'2. Inputs'!$B$7,'3. Leases'!$B$7,0))</f>
        <v>0</v>
      </c>
      <c r="AL9" s="14" t="n">
        <f aca="false">F9+M9+T9+AA9+AH9</f>
        <v>762235</v>
      </c>
      <c r="AM9" s="14" t="n">
        <f aca="false">G9+N9+U9+AB9+AI9</f>
        <v>3704216.41596583</v>
      </c>
      <c r="AN9" s="14" t="n">
        <f aca="false">H9+O9+V9+AC9+AJ9+IF($A9='2. Inputs'!$B$14,'2. Inputs'!$B$13,0)</f>
        <v>0</v>
      </c>
      <c r="AO9" s="14" t="n">
        <f aca="false">I9+P9+W9+AD9+AK9</f>
        <v>0</v>
      </c>
      <c r="AP9" s="14" t="n">
        <f aca="false">AL9*(1-'2. Inputs'!$B$11)-AO9*'2. Inputs'!$B$12/4</f>
        <v>716500.9</v>
      </c>
      <c r="AQ9" s="14" t="n">
        <f aca="false">AP9-AN9</f>
        <v>716500.9</v>
      </c>
      <c r="AR9" s="15" t="n">
        <f aca="false">1/(1+((1+'2. Inputs'!$B$15)^0.25-1))^$A9</f>
        <v>0.894075268415941</v>
      </c>
      <c r="AS9" s="14" t="n">
        <f aca="false">AQ9*AR9</f>
        <v>640605.734487763</v>
      </c>
    </row>
    <row r="10" customFormat="false" ht="15" hidden="false" customHeight="false" outlineLevel="0" collapsed="false">
      <c r="A10" s="0" t="n">
        <v>7</v>
      </c>
      <c r="B10" s="0" t="n">
        <f aca="false">CEILING(A10/4,1)</f>
        <v>2</v>
      </c>
      <c r="C10" s="13" t="n">
        <f aca="false">$A10-'3. Leases'!$D$3-1</f>
        <v>-4</v>
      </c>
      <c r="D10" s="13" t="n">
        <f aca="false">IF(C10&lt;0,-1,MOD(C10,'2. Inputs'!$B$7+'2. Inputs'!$B$9))</f>
        <v>-1</v>
      </c>
      <c r="E10" s="13" t="n">
        <f aca="false">IF(C10&lt;0,0,INT(C10/('2. Inputs'!$B$7+'2. Inputs'!$B$9)))</f>
        <v>0</v>
      </c>
      <c r="F10" s="14" t="n">
        <f aca="false">IF($A10&lt;='3. Leases'!$D$3,'3. Leases'!$B$3*'3. Leases'!$C$3/4,IF(D10&lt;'2. Inputs'!$B$7+'2. Inputs'!$B$8,0,'3. Leases'!$B$3*'2. Inputs'!$B$3*(1+'2. Inputs'!$B$4)^(('3. Leases'!$D$3+'2. Inputs'!$B$7+E10*('2. Inputs'!$B$7+'2. Inputs'!$B$9))/4)/4))</f>
        <v>333900</v>
      </c>
      <c r="G10" s="14" t="n">
        <f aca="false">IF($A10&lt;='3. Leases'!$D$3,'3. Leases'!$B$3*'3. Leases'!$C$3,IF(D10&lt;'2. Inputs'!$B$7,0,'3. Leases'!$B$3*'2. Inputs'!$B$3*(1+'2. Inputs'!$B$4)^(('3. Leases'!$D$3+'2. Inputs'!$B$7+E10*('2. Inputs'!$B$7+'2. Inputs'!$B$9))/4)))</f>
        <v>1335600</v>
      </c>
      <c r="H10" s="14" t="n">
        <f aca="false">IF($A10&lt;='3. Leases'!$D$3,0,IF(D10=0,'3. Leases'!$B$3*'2. Inputs'!$B$5*(1+'2. Inputs'!$B$6)^(('3. Leases'!$D$3+E10*('2. Inputs'!$B$7+'2. Inputs'!$B$9))/4),0)+IF(D10='2. Inputs'!$B$7,'2. Inputs'!$B$10*'2. Inputs'!$B$3*(1+'2. Inputs'!$B$4)^(('3. Leases'!$D$3+'2. Inputs'!$B$7+E10*('2. Inputs'!$B$7+'2. Inputs'!$B$9))/4)*'3. Leases'!$B$3,0))</f>
        <v>0</v>
      </c>
      <c r="I10" s="14" t="n">
        <f aca="false">IF($A10&lt;='3. Leases'!$D$3,0,IF(D10&lt;'2. Inputs'!$B$7,'3. Leases'!$B$3,0))</f>
        <v>0</v>
      </c>
      <c r="J10" s="13" t="n">
        <f aca="false">$A10-'3. Leases'!$D$4-1</f>
        <v>-10</v>
      </c>
      <c r="K10" s="13" t="n">
        <f aca="false">IF(J10&lt;0,-1,MOD(J10,'2. Inputs'!$B$7+'2. Inputs'!$B$9))</f>
        <v>-1</v>
      </c>
      <c r="L10" s="13" t="n">
        <f aca="false">IF(J10&lt;0,0,INT(J10/('2. Inputs'!$B$7+'2. Inputs'!$B$9)))</f>
        <v>0</v>
      </c>
      <c r="M10" s="14" t="n">
        <f aca="false">IF($A10&lt;='3. Leases'!$D$4,'3. Leases'!$B$4*'3. Leases'!$C$4/4,IF(K10&lt;'2. Inputs'!$B$7+'2. Inputs'!$B$8,0,'3. Leases'!$B$4*'2. Inputs'!$B$3*(1+'2. Inputs'!$B$4)^(('3. Leases'!$D$4+'2. Inputs'!$B$7+L10*('2. Inputs'!$B$7+'2. Inputs'!$B$9))/4)/4))</f>
        <v>236375</v>
      </c>
      <c r="N10" s="14" t="n">
        <f aca="false">IF($A10&lt;='3. Leases'!$D$4,'3. Leases'!$B$4*'3. Leases'!$C$4,IF(K10&lt;'2. Inputs'!$B$7,0,'3. Leases'!$B$4*'2. Inputs'!$B$3*(1+'2. Inputs'!$B$4)^(('3. Leases'!$D$4+'2. Inputs'!$B$7+L10*('2. Inputs'!$B$7+'2. Inputs'!$B$9))/4)))</f>
        <v>945500</v>
      </c>
      <c r="O10" s="14" t="n">
        <f aca="false">IF($A10&lt;='3. Leases'!$D$4,0,IF(K10=0,'3. Leases'!$B$4*'2. Inputs'!$B$5*(1+'2. Inputs'!$B$6)^(('3. Leases'!$D$4+L10*('2. Inputs'!$B$7+'2. Inputs'!$B$9))/4),0)+IF(K10='2. Inputs'!$B$7,'2. Inputs'!$B$10*'2. Inputs'!$B$3*(1+'2. Inputs'!$B$4)^(('3. Leases'!$D$4+'2. Inputs'!$B$7+L10*('2. Inputs'!$B$7+'2. Inputs'!$B$9))/4)*'3. Leases'!$B$4,0))</f>
        <v>0</v>
      </c>
      <c r="P10" s="14" t="n">
        <f aca="false">IF($A10&lt;='3. Leases'!$D$4,0,IF(K10&lt;'2. Inputs'!$B$7,'3. Leases'!$B$4,0))</f>
        <v>0</v>
      </c>
      <c r="Q10" s="13" t="n">
        <f aca="false">$A10-'3. Leases'!$D$5-1</f>
        <v>-20</v>
      </c>
      <c r="R10" s="13" t="n">
        <f aca="false">IF(Q10&lt;0,-1,MOD(Q10,'2. Inputs'!$B$7+'2. Inputs'!$B$9))</f>
        <v>-1</v>
      </c>
      <c r="S10" s="13" t="n">
        <f aca="false">IF(Q10&lt;0,0,INT(Q10/('2. Inputs'!$B$7+'2. Inputs'!$B$9)))</f>
        <v>0</v>
      </c>
      <c r="T10" s="14" t="n">
        <f aca="false">IF($A10&lt;='3. Leases'!$D$5,'3. Leases'!$B$5*'3. Leases'!$C$5/4,IF(R10&lt;'2. Inputs'!$B$7+'2. Inputs'!$B$8,0,'3. Leases'!$B$5*'2. Inputs'!$B$3*(1+'2. Inputs'!$B$4)^(('3. Leases'!$D$5+'2. Inputs'!$B$7+S10*('2. Inputs'!$B$7+'2. Inputs'!$B$9))/4)/4))</f>
        <v>113960</v>
      </c>
      <c r="U10" s="14" t="n">
        <f aca="false">IF($A10&lt;='3. Leases'!$D$5,'3. Leases'!$B$5*'3. Leases'!$C$5,IF(R10&lt;'2. Inputs'!$B$7,0,'3. Leases'!$B$5*'2. Inputs'!$B$3*(1+'2. Inputs'!$B$4)^(('3. Leases'!$D$5+'2. Inputs'!$B$7+S10*('2. Inputs'!$B$7+'2. Inputs'!$B$9))/4)))</f>
        <v>455840</v>
      </c>
      <c r="V10" s="14" t="n">
        <f aca="false">IF($A10&lt;='3. Leases'!$D$5,0,IF(R10=0,'3. Leases'!$B$5*'2. Inputs'!$B$5*(1+'2. Inputs'!$B$6)^(('3. Leases'!$D$5+S10*('2. Inputs'!$B$7+'2. Inputs'!$B$9))/4),0)+IF(R10='2. Inputs'!$B$7,'2. Inputs'!$B$10*'2. Inputs'!$B$3*(1+'2. Inputs'!$B$4)^(('3. Leases'!$D$5+'2. Inputs'!$B$7+S10*('2. Inputs'!$B$7+'2. Inputs'!$B$9))/4)*'3. Leases'!$B$5,0))</f>
        <v>0</v>
      </c>
      <c r="W10" s="14" t="n">
        <f aca="false">IF($A10&lt;='3. Leases'!$D$5,0,IF(R10&lt;'2. Inputs'!$B$7,'3. Leases'!$B$5,0))</f>
        <v>0</v>
      </c>
      <c r="X10" s="13" t="n">
        <f aca="false">$A10-'3. Leases'!$D$6-1</f>
        <v>0</v>
      </c>
      <c r="Y10" s="13" t="n">
        <f aca="false">IF(X10&lt;0,-1,MOD(X10,'2. Inputs'!$B$7+'2. Inputs'!$B$9))</f>
        <v>0</v>
      </c>
      <c r="Z10" s="13" t="n">
        <f aca="false">IF(X10&lt;0,0,INT(X10/('2. Inputs'!$B$7+'2. Inputs'!$B$9)))</f>
        <v>0</v>
      </c>
      <c r="AA10" s="14" t="n">
        <f aca="false">IF($A10&lt;='3. Leases'!$D$6,'3. Leases'!$B$6*'3. Leases'!$C$6/4,IF(Y10&lt;'2. Inputs'!$B$7+'2. Inputs'!$B$8,0,'3. Leases'!$B$6*'2. Inputs'!$B$3*(1+'2. Inputs'!$B$4)^(('3. Leases'!$D$6+'2. Inputs'!$B$7+Z10*('2. Inputs'!$B$7+'2. Inputs'!$B$9))/4)/4))</f>
        <v>0</v>
      </c>
      <c r="AB10" s="14" t="n">
        <f aca="false">IF($A10&lt;='3. Leases'!$D$6,'3. Leases'!$B$6*'3. Leases'!$C$6,IF(Y10&lt;'2. Inputs'!$B$7,0,'3. Leases'!$B$6*'2. Inputs'!$B$3*(1+'2. Inputs'!$B$4)^(('3. Leases'!$D$6+'2. Inputs'!$B$7+Z10*('2. Inputs'!$B$7+'2. Inputs'!$B$9))/4)))</f>
        <v>0</v>
      </c>
      <c r="AC10" s="14" t="n">
        <f aca="false">IF($A10&lt;='3. Leases'!$D$6,0,IF(Y10=0,'3. Leases'!$B$6*'2. Inputs'!$B$5*(1+'2. Inputs'!$B$6)^(('3. Leases'!$D$6+Z10*('2. Inputs'!$B$7+'2. Inputs'!$B$9))/4),0)+IF(Y10='2. Inputs'!$B$7,'2. Inputs'!$B$10*'2. Inputs'!$B$3*(1+'2. Inputs'!$B$4)^(('3. Leases'!$D$6+'2. Inputs'!$B$7+Z10*('2. Inputs'!$B$7+'2. Inputs'!$B$9))/4)*'3. Leases'!$B$6,0))</f>
        <v>435848.031141589</v>
      </c>
      <c r="AD10" s="14" t="n">
        <f aca="false">IF($A10&lt;='3. Leases'!$D$6,0,IF(Y10&lt;'2. Inputs'!$B$7,'3. Leases'!$B$6,0))</f>
        <v>1000</v>
      </c>
      <c r="AE10" s="13" t="n">
        <f aca="false">$A10-'3. Leases'!$D$7-1</f>
        <v>6</v>
      </c>
      <c r="AF10" s="13" t="n">
        <f aca="false">IF(AE10&lt;0,-1,MOD(AE10,'2. Inputs'!$B$7+'2. Inputs'!$B$9))</f>
        <v>6</v>
      </c>
      <c r="AG10" s="13" t="n">
        <f aca="false">IF(AE10&lt;0,0,INT(AE10/('2. Inputs'!$B$7+'2. Inputs'!$B$9)))</f>
        <v>0</v>
      </c>
      <c r="AH10" s="14" t="n">
        <f aca="false">IF($A10&lt;='3. Leases'!$D$7,'3. Leases'!$B$7*'3. Leases'!$C$7/4,IF(AF10&lt;'2. Inputs'!$B$7+'2. Inputs'!$B$8,0,'3. Leases'!$B$7*'2. Inputs'!$B$3*(1+'2. Inputs'!$B$4)^(('3. Leases'!$D$7+'2. Inputs'!$B$7+AG10*('2. Inputs'!$B$7+'2. Inputs'!$B$9))/4)/4))</f>
        <v>163819.103991457</v>
      </c>
      <c r="AI10" s="14" t="n">
        <f aca="false">IF($A10&lt;='3. Leases'!$D$7,'3. Leases'!$B$7*'3. Leases'!$C$7,IF(AF10&lt;'2. Inputs'!$B$7,0,'3. Leases'!$B$7*'2. Inputs'!$B$3*(1+'2. Inputs'!$B$4)^(('3. Leases'!$D$7+'2. Inputs'!$B$7+AG10*('2. Inputs'!$B$7+'2. Inputs'!$B$9))/4)))</f>
        <v>655276.415965829</v>
      </c>
      <c r="AJ10" s="14" t="n">
        <f aca="false">IF($A10&lt;='3. Leases'!$D$7,0,IF(AF10=0,'3. Leases'!$B$7*'2. Inputs'!$B$5*(1+'2. Inputs'!$B$6)^(('3. Leases'!$D$7+AG10*('2. Inputs'!$B$7+'2. Inputs'!$B$9))/4),0)+IF(AF10='2. Inputs'!$B$7,'2. Inputs'!$B$10*'2. Inputs'!$B$3*(1+'2. Inputs'!$B$4)^(('3. Leases'!$D$7+'2. Inputs'!$B$7+AG10*('2. Inputs'!$B$7+'2. Inputs'!$B$9))/4)*'3. Leases'!$B$7,0))</f>
        <v>0</v>
      </c>
      <c r="AK10" s="14" t="n">
        <f aca="false">IF($A10&lt;='3. Leases'!$D$7,0,IF(AF10&lt;'2. Inputs'!$B$7,'3. Leases'!$B$7,0))</f>
        <v>0</v>
      </c>
      <c r="AL10" s="14" t="n">
        <f aca="false">F10+M10+T10+AA10+AH10</f>
        <v>848054.103991457</v>
      </c>
      <c r="AM10" s="14" t="n">
        <f aca="false">G10+N10+U10+AB10+AI10</f>
        <v>3392216.41596583</v>
      </c>
      <c r="AN10" s="14" t="n">
        <f aca="false">H10+O10+V10+AC10+AJ10+IF($A10='2. Inputs'!$B$14,'2. Inputs'!$B$13,0)</f>
        <v>435848.031141589</v>
      </c>
      <c r="AO10" s="14" t="n">
        <f aca="false">I10+P10+W10+AD10+AK10</f>
        <v>1000</v>
      </c>
      <c r="AP10" s="14" t="n">
        <f aca="false">AL10*(1-'2. Inputs'!$B$11)-AO10*'2. Inputs'!$B$12/4</f>
        <v>783420.85775197</v>
      </c>
      <c r="AQ10" s="14" t="n">
        <f aca="false">AP10-AN10</f>
        <v>347572.82661038</v>
      </c>
      <c r="AR10" s="15" t="n">
        <f aca="false">1/(1+((1+'2. Inputs'!$B$15)^0.25-1))^$A10</f>
        <v>0.877545739475122</v>
      </c>
      <c r="AS10" s="14" t="n">
        <f aca="false">AQ10*AR10</f>
        <v>305011.053149265</v>
      </c>
    </row>
    <row r="11" customFormat="false" ht="15" hidden="false" customHeight="false" outlineLevel="0" collapsed="false">
      <c r="A11" s="0" t="n">
        <v>8</v>
      </c>
      <c r="B11" s="0" t="n">
        <f aca="false">CEILING(A11/4,1)</f>
        <v>2</v>
      </c>
      <c r="C11" s="13" t="n">
        <f aca="false">$A11-'3. Leases'!$D$3-1</f>
        <v>-3</v>
      </c>
      <c r="D11" s="13" t="n">
        <f aca="false">IF(C11&lt;0,-1,MOD(C11,'2. Inputs'!$B$7+'2. Inputs'!$B$9))</f>
        <v>-1</v>
      </c>
      <c r="E11" s="13" t="n">
        <f aca="false">IF(C11&lt;0,0,INT(C11/('2. Inputs'!$B$7+'2. Inputs'!$B$9)))</f>
        <v>0</v>
      </c>
      <c r="F11" s="14" t="n">
        <f aca="false">IF($A11&lt;='3. Leases'!$D$3,'3. Leases'!$B$3*'3. Leases'!$C$3/4,IF(D11&lt;'2. Inputs'!$B$7+'2. Inputs'!$B$8,0,'3. Leases'!$B$3*'2. Inputs'!$B$3*(1+'2. Inputs'!$B$4)^(('3. Leases'!$D$3+'2. Inputs'!$B$7+E11*('2. Inputs'!$B$7+'2. Inputs'!$B$9))/4)/4))</f>
        <v>333900</v>
      </c>
      <c r="G11" s="14" t="n">
        <f aca="false">IF($A11&lt;='3. Leases'!$D$3,'3. Leases'!$B$3*'3. Leases'!$C$3,IF(D11&lt;'2. Inputs'!$B$7,0,'3. Leases'!$B$3*'2. Inputs'!$B$3*(1+'2. Inputs'!$B$4)^(('3. Leases'!$D$3+'2. Inputs'!$B$7+E11*('2. Inputs'!$B$7+'2. Inputs'!$B$9))/4)))</f>
        <v>1335600</v>
      </c>
      <c r="H11" s="14" t="n">
        <f aca="false">IF($A11&lt;='3. Leases'!$D$3,0,IF(D11=0,'3. Leases'!$B$3*'2. Inputs'!$B$5*(1+'2. Inputs'!$B$6)^(('3. Leases'!$D$3+E11*('2. Inputs'!$B$7+'2. Inputs'!$B$9))/4),0)+IF(D11='2. Inputs'!$B$7,'2. Inputs'!$B$10*'2. Inputs'!$B$3*(1+'2. Inputs'!$B$4)^(('3. Leases'!$D$3+'2. Inputs'!$B$7+E11*('2. Inputs'!$B$7+'2. Inputs'!$B$9))/4)*'3. Leases'!$B$3,0))</f>
        <v>0</v>
      </c>
      <c r="I11" s="14" t="n">
        <f aca="false">IF($A11&lt;='3. Leases'!$D$3,0,IF(D11&lt;'2. Inputs'!$B$7,'3. Leases'!$B$3,0))</f>
        <v>0</v>
      </c>
      <c r="J11" s="13" t="n">
        <f aca="false">$A11-'3. Leases'!$D$4-1</f>
        <v>-9</v>
      </c>
      <c r="K11" s="13" t="n">
        <f aca="false">IF(J11&lt;0,-1,MOD(J11,'2. Inputs'!$B$7+'2. Inputs'!$B$9))</f>
        <v>-1</v>
      </c>
      <c r="L11" s="13" t="n">
        <f aca="false">IF(J11&lt;0,0,INT(J11/('2. Inputs'!$B$7+'2. Inputs'!$B$9)))</f>
        <v>0</v>
      </c>
      <c r="M11" s="14" t="n">
        <f aca="false">IF($A11&lt;='3. Leases'!$D$4,'3. Leases'!$B$4*'3. Leases'!$C$4/4,IF(K11&lt;'2. Inputs'!$B$7+'2. Inputs'!$B$8,0,'3. Leases'!$B$4*'2. Inputs'!$B$3*(1+'2. Inputs'!$B$4)^(('3. Leases'!$D$4+'2. Inputs'!$B$7+L11*('2. Inputs'!$B$7+'2. Inputs'!$B$9))/4)/4))</f>
        <v>236375</v>
      </c>
      <c r="N11" s="14" t="n">
        <f aca="false">IF($A11&lt;='3. Leases'!$D$4,'3. Leases'!$B$4*'3. Leases'!$C$4,IF(K11&lt;'2. Inputs'!$B$7,0,'3. Leases'!$B$4*'2. Inputs'!$B$3*(1+'2. Inputs'!$B$4)^(('3. Leases'!$D$4+'2. Inputs'!$B$7+L11*('2. Inputs'!$B$7+'2. Inputs'!$B$9))/4)))</f>
        <v>945500</v>
      </c>
      <c r="O11" s="14" t="n">
        <f aca="false">IF($A11&lt;='3. Leases'!$D$4,0,IF(K11=0,'3. Leases'!$B$4*'2. Inputs'!$B$5*(1+'2. Inputs'!$B$6)^(('3. Leases'!$D$4+L11*('2. Inputs'!$B$7+'2. Inputs'!$B$9))/4),0)+IF(K11='2. Inputs'!$B$7,'2. Inputs'!$B$10*'2. Inputs'!$B$3*(1+'2. Inputs'!$B$4)^(('3. Leases'!$D$4+'2. Inputs'!$B$7+L11*('2. Inputs'!$B$7+'2. Inputs'!$B$9))/4)*'3. Leases'!$B$4,0))</f>
        <v>0</v>
      </c>
      <c r="P11" s="14" t="n">
        <f aca="false">IF($A11&lt;='3. Leases'!$D$4,0,IF(K11&lt;'2. Inputs'!$B$7,'3. Leases'!$B$4,0))</f>
        <v>0</v>
      </c>
      <c r="Q11" s="13" t="n">
        <f aca="false">$A11-'3. Leases'!$D$5-1</f>
        <v>-19</v>
      </c>
      <c r="R11" s="13" t="n">
        <f aca="false">IF(Q11&lt;0,-1,MOD(Q11,'2. Inputs'!$B$7+'2. Inputs'!$B$9))</f>
        <v>-1</v>
      </c>
      <c r="S11" s="13" t="n">
        <f aca="false">IF(Q11&lt;0,0,INT(Q11/('2. Inputs'!$B$7+'2. Inputs'!$B$9)))</f>
        <v>0</v>
      </c>
      <c r="T11" s="14" t="n">
        <f aca="false">IF($A11&lt;='3. Leases'!$D$5,'3. Leases'!$B$5*'3. Leases'!$C$5/4,IF(R11&lt;'2. Inputs'!$B$7+'2. Inputs'!$B$8,0,'3. Leases'!$B$5*'2. Inputs'!$B$3*(1+'2. Inputs'!$B$4)^(('3. Leases'!$D$5+'2. Inputs'!$B$7+S11*('2. Inputs'!$B$7+'2. Inputs'!$B$9))/4)/4))</f>
        <v>113960</v>
      </c>
      <c r="U11" s="14" t="n">
        <f aca="false">IF($A11&lt;='3. Leases'!$D$5,'3. Leases'!$B$5*'3. Leases'!$C$5,IF(R11&lt;'2. Inputs'!$B$7,0,'3. Leases'!$B$5*'2. Inputs'!$B$3*(1+'2. Inputs'!$B$4)^(('3. Leases'!$D$5+'2. Inputs'!$B$7+S11*('2. Inputs'!$B$7+'2. Inputs'!$B$9))/4)))</f>
        <v>455840</v>
      </c>
      <c r="V11" s="14" t="n">
        <f aca="false">IF($A11&lt;='3. Leases'!$D$5,0,IF(R11=0,'3. Leases'!$B$5*'2. Inputs'!$B$5*(1+'2. Inputs'!$B$6)^(('3. Leases'!$D$5+S11*('2. Inputs'!$B$7+'2. Inputs'!$B$9))/4),0)+IF(R11='2. Inputs'!$B$7,'2. Inputs'!$B$10*'2. Inputs'!$B$3*(1+'2. Inputs'!$B$4)^(('3. Leases'!$D$5+'2. Inputs'!$B$7+S11*('2. Inputs'!$B$7+'2. Inputs'!$B$9))/4)*'3. Leases'!$B$5,0))</f>
        <v>0</v>
      </c>
      <c r="W11" s="14" t="n">
        <f aca="false">IF($A11&lt;='3. Leases'!$D$5,0,IF(R11&lt;'2. Inputs'!$B$7,'3. Leases'!$B$5,0))</f>
        <v>0</v>
      </c>
      <c r="X11" s="13" t="n">
        <f aca="false">$A11-'3. Leases'!$D$6-1</f>
        <v>1</v>
      </c>
      <c r="Y11" s="13" t="n">
        <f aca="false">IF(X11&lt;0,-1,MOD(X11,'2. Inputs'!$B$7+'2. Inputs'!$B$9))</f>
        <v>1</v>
      </c>
      <c r="Z11" s="13" t="n">
        <f aca="false">IF(X11&lt;0,0,INT(X11/('2. Inputs'!$B$7+'2. Inputs'!$B$9)))</f>
        <v>0</v>
      </c>
      <c r="AA11" s="14" t="n">
        <f aca="false">IF($A11&lt;='3. Leases'!$D$6,'3. Leases'!$B$6*'3. Leases'!$C$6/4,IF(Y11&lt;'2. Inputs'!$B$7+'2. Inputs'!$B$8,0,'3. Leases'!$B$6*'2. Inputs'!$B$3*(1+'2. Inputs'!$B$4)^(('3. Leases'!$D$6+'2. Inputs'!$B$7+Z11*('2. Inputs'!$B$7+'2. Inputs'!$B$9))/4)/4))</f>
        <v>0</v>
      </c>
      <c r="AB11" s="14" t="n">
        <f aca="false">IF($A11&lt;='3. Leases'!$D$6,'3. Leases'!$B$6*'3. Leases'!$C$6,IF(Y11&lt;'2. Inputs'!$B$7,0,'3. Leases'!$B$6*'2. Inputs'!$B$3*(1+'2. Inputs'!$B$4)^(('3. Leases'!$D$6+'2. Inputs'!$B$7+Z11*('2. Inputs'!$B$7+'2. Inputs'!$B$9))/4)))</f>
        <v>0</v>
      </c>
      <c r="AC11" s="14" t="n">
        <f aca="false">IF($A11&lt;='3. Leases'!$D$6,0,IF(Y11=0,'3. Leases'!$B$6*'2. Inputs'!$B$5*(1+'2. Inputs'!$B$6)^(('3. Leases'!$D$6+Z11*('2. Inputs'!$B$7+'2. Inputs'!$B$9))/4),0)+IF(Y11='2. Inputs'!$B$7,'2. Inputs'!$B$10*'2. Inputs'!$B$3*(1+'2. Inputs'!$B$4)^(('3. Leases'!$D$6+'2. Inputs'!$B$7+Z11*('2. Inputs'!$B$7+'2. Inputs'!$B$9))/4)*'3. Leases'!$B$6,0))</f>
        <v>0</v>
      </c>
      <c r="AD11" s="14" t="n">
        <f aca="false">IF($A11&lt;='3. Leases'!$D$6,0,IF(Y11&lt;'2. Inputs'!$B$7,'3. Leases'!$B$6,0))</f>
        <v>1000</v>
      </c>
      <c r="AE11" s="13" t="n">
        <f aca="false">$A11-'3. Leases'!$D$7-1</f>
        <v>7</v>
      </c>
      <c r="AF11" s="13" t="n">
        <f aca="false">IF(AE11&lt;0,-1,MOD(AE11,'2. Inputs'!$B$7+'2. Inputs'!$B$9))</f>
        <v>7</v>
      </c>
      <c r="AG11" s="13" t="n">
        <f aca="false">IF(AE11&lt;0,0,INT(AE11/('2. Inputs'!$B$7+'2. Inputs'!$B$9)))</f>
        <v>0</v>
      </c>
      <c r="AH11" s="14" t="n">
        <f aca="false">IF($A11&lt;='3. Leases'!$D$7,'3. Leases'!$B$7*'3. Leases'!$C$7/4,IF(AF11&lt;'2. Inputs'!$B$7+'2. Inputs'!$B$8,0,'3. Leases'!$B$7*'2. Inputs'!$B$3*(1+'2. Inputs'!$B$4)^(('3. Leases'!$D$7+'2. Inputs'!$B$7+AG11*('2. Inputs'!$B$7+'2. Inputs'!$B$9))/4)/4))</f>
        <v>163819.103991457</v>
      </c>
      <c r="AI11" s="14" t="n">
        <f aca="false">IF($A11&lt;='3. Leases'!$D$7,'3. Leases'!$B$7*'3. Leases'!$C$7,IF(AF11&lt;'2. Inputs'!$B$7,0,'3. Leases'!$B$7*'2. Inputs'!$B$3*(1+'2. Inputs'!$B$4)^(('3. Leases'!$D$7+'2. Inputs'!$B$7+AG11*('2. Inputs'!$B$7+'2. Inputs'!$B$9))/4)))</f>
        <v>655276.415965829</v>
      </c>
      <c r="AJ11" s="14" t="n">
        <f aca="false">IF($A11&lt;='3. Leases'!$D$7,0,IF(AF11=0,'3. Leases'!$B$7*'2. Inputs'!$B$5*(1+'2. Inputs'!$B$6)^(('3. Leases'!$D$7+AG11*('2. Inputs'!$B$7+'2. Inputs'!$B$9))/4),0)+IF(AF11='2. Inputs'!$B$7,'2. Inputs'!$B$10*'2. Inputs'!$B$3*(1+'2. Inputs'!$B$4)^(('3. Leases'!$D$7+'2. Inputs'!$B$7+AG11*('2. Inputs'!$B$7+'2. Inputs'!$B$9))/4)*'3. Leases'!$B$7,0))</f>
        <v>0</v>
      </c>
      <c r="AK11" s="14" t="n">
        <f aca="false">IF($A11&lt;='3. Leases'!$D$7,0,IF(AF11&lt;'2. Inputs'!$B$7,'3. Leases'!$B$7,0))</f>
        <v>0</v>
      </c>
      <c r="AL11" s="14" t="n">
        <f aca="false">F11+M11+T11+AA11+AH11</f>
        <v>848054.103991457</v>
      </c>
      <c r="AM11" s="14" t="n">
        <f aca="false">G11+N11+U11+AB11+AI11</f>
        <v>3392216.41596583</v>
      </c>
      <c r="AN11" s="14" t="n">
        <f aca="false">H11+O11+V11+AC11+AJ11+IF($A11='2. Inputs'!$B$14,'2. Inputs'!$B$13,0)</f>
        <v>0</v>
      </c>
      <c r="AO11" s="14" t="n">
        <f aca="false">I11+P11+W11+AD11+AK11</f>
        <v>1000</v>
      </c>
      <c r="AP11" s="14" t="n">
        <f aca="false">AL11*(1-'2. Inputs'!$B$11)-AO11*'2. Inputs'!$B$12/4</f>
        <v>783420.85775197</v>
      </c>
      <c r="AQ11" s="14" t="n">
        <f aca="false">AP11-AN11</f>
        <v>783420.85775197</v>
      </c>
      <c r="AR11" s="15" t="n">
        <f aca="false">1/(1+((1+'2. Inputs'!$B$15)^0.25-1))^$A11</f>
        <v>0.861321805976497</v>
      </c>
      <c r="AS11" s="14" t="n">
        <f aca="false">AQ11*AR11</f>
        <v>674777.468038583</v>
      </c>
    </row>
    <row r="12" customFormat="false" ht="15" hidden="false" customHeight="false" outlineLevel="0" collapsed="false">
      <c r="A12" s="0" t="n">
        <v>9</v>
      </c>
      <c r="B12" s="0" t="n">
        <f aca="false">CEILING(A12/4,1)</f>
        <v>3</v>
      </c>
      <c r="C12" s="13" t="n">
        <f aca="false">$A12-'3. Leases'!$D$3-1</f>
        <v>-2</v>
      </c>
      <c r="D12" s="13" t="n">
        <f aca="false">IF(C12&lt;0,-1,MOD(C12,'2. Inputs'!$B$7+'2. Inputs'!$B$9))</f>
        <v>-1</v>
      </c>
      <c r="E12" s="13" t="n">
        <f aca="false">IF(C12&lt;0,0,INT(C12/('2. Inputs'!$B$7+'2. Inputs'!$B$9)))</f>
        <v>0</v>
      </c>
      <c r="F12" s="14" t="n">
        <f aca="false">IF($A12&lt;='3. Leases'!$D$3,'3. Leases'!$B$3*'3. Leases'!$C$3/4,IF(D12&lt;'2. Inputs'!$B$7+'2. Inputs'!$B$8,0,'3. Leases'!$B$3*'2. Inputs'!$B$3*(1+'2. Inputs'!$B$4)^(('3. Leases'!$D$3+'2. Inputs'!$B$7+E12*('2. Inputs'!$B$7+'2. Inputs'!$B$9))/4)/4))</f>
        <v>333900</v>
      </c>
      <c r="G12" s="14" t="n">
        <f aca="false">IF($A12&lt;='3. Leases'!$D$3,'3. Leases'!$B$3*'3. Leases'!$C$3,IF(D12&lt;'2. Inputs'!$B$7,0,'3. Leases'!$B$3*'2. Inputs'!$B$3*(1+'2. Inputs'!$B$4)^(('3. Leases'!$D$3+'2. Inputs'!$B$7+E12*('2. Inputs'!$B$7+'2. Inputs'!$B$9))/4)))</f>
        <v>1335600</v>
      </c>
      <c r="H12" s="14" t="n">
        <f aca="false">IF($A12&lt;='3. Leases'!$D$3,0,IF(D12=0,'3. Leases'!$B$3*'2. Inputs'!$B$5*(1+'2. Inputs'!$B$6)^(('3. Leases'!$D$3+E12*('2. Inputs'!$B$7+'2. Inputs'!$B$9))/4),0)+IF(D12='2. Inputs'!$B$7,'2. Inputs'!$B$10*'2. Inputs'!$B$3*(1+'2. Inputs'!$B$4)^(('3. Leases'!$D$3+'2. Inputs'!$B$7+E12*('2. Inputs'!$B$7+'2. Inputs'!$B$9))/4)*'3. Leases'!$B$3,0))</f>
        <v>0</v>
      </c>
      <c r="I12" s="14" t="n">
        <f aca="false">IF($A12&lt;='3. Leases'!$D$3,0,IF(D12&lt;'2. Inputs'!$B$7,'3. Leases'!$B$3,0))</f>
        <v>0</v>
      </c>
      <c r="J12" s="13" t="n">
        <f aca="false">$A12-'3. Leases'!$D$4-1</f>
        <v>-8</v>
      </c>
      <c r="K12" s="13" t="n">
        <f aca="false">IF(J12&lt;0,-1,MOD(J12,'2. Inputs'!$B$7+'2. Inputs'!$B$9))</f>
        <v>-1</v>
      </c>
      <c r="L12" s="13" t="n">
        <f aca="false">IF(J12&lt;0,0,INT(J12/('2. Inputs'!$B$7+'2. Inputs'!$B$9)))</f>
        <v>0</v>
      </c>
      <c r="M12" s="14" t="n">
        <f aca="false">IF($A12&lt;='3. Leases'!$D$4,'3. Leases'!$B$4*'3. Leases'!$C$4/4,IF(K12&lt;'2. Inputs'!$B$7+'2. Inputs'!$B$8,0,'3. Leases'!$B$4*'2. Inputs'!$B$3*(1+'2. Inputs'!$B$4)^(('3. Leases'!$D$4+'2. Inputs'!$B$7+L12*('2. Inputs'!$B$7+'2. Inputs'!$B$9))/4)/4))</f>
        <v>236375</v>
      </c>
      <c r="N12" s="14" t="n">
        <f aca="false">IF($A12&lt;='3. Leases'!$D$4,'3. Leases'!$B$4*'3. Leases'!$C$4,IF(K12&lt;'2. Inputs'!$B$7,0,'3. Leases'!$B$4*'2. Inputs'!$B$3*(1+'2. Inputs'!$B$4)^(('3. Leases'!$D$4+'2. Inputs'!$B$7+L12*('2. Inputs'!$B$7+'2. Inputs'!$B$9))/4)))</f>
        <v>945500</v>
      </c>
      <c r="O12" s="14" t="n">
        <f aca="false">IF($A12&lt;='3. Leases'!$D$4,0,IF(K12=0,'3. Leases'!$B$4*'2. Inputs'!$B$5*(1+'2. Inputs'!$B$6)^(('3. Leases'!$D$4+L12*('2. Inputs'!$B$7+'2. Inputs'!$B$9))/4),0)+IF(K12='2. Inputs'!$B$7,'2. Inputs'!$B$10*'2. Inputs'!$B$3*(1+'2. Inputs'!$B$4)^(('3. Leases'!$D$4+'2. Inputs'!$B$7+L12*('2. Inputs'!$B$7+'2. Inputs'!$B$9))/4)*'3. Leases'!$B$4,0))</f>
        <v>0</v>
      </c>
      <c r="P12" s="14" t="n">
        <f aca="false">IF($A12&lt;='3. Leases'!$D$4,0,IF(K12&lt;'2. Inputs'!$B$7,'3. Leases'!$B$4,0))</f>
        <v>0</v>
      </c>
      <c r="Q12" s="13" t="n">
        <f aca="false">$A12-'3. Leases'!$D$5-1</f>
        <v>-18</v>
      </c>
      <c r="R12" s="13" t="n">
        <f aca="false">IF(Q12&lt;0,-1,MOD(Q12,'2. Inputs'!$B$7+'2. Inputs'!$B$9))</f>
        <v>-1</v>
      </c>
      <c r="S12" s="13" t="n">
        <f aca="false">IF(Q12&lt;0,0,INT(Q12/('2. Inputs'!$B$7+'2. Inputs'!$B$9)))</f>
        <v>0</v>
      </c>
      <c r="T12" s="14" t="n">
        <f aca="false">IF($A12&lt;='3. Leases'!$D$5,'3. Leases'!$B$5*'3. Leases'!$C$5/4,IF(R12&lt;'2. Inputs'!$B$7+'2. Inputs'!$B$8,0,'3. Leases'!$B$5*'2. Inputs'!$B$3*(1+'2. Inputs'!$B$4)^(('3. Leases'!$D$5+'2. Inputs'!$B$7+S12*('2. Inputs'!$B$7+'2. Inputs'!$B$9))/4)/4))</f>
        <v>113960</v>
      </c>
      <c r="U12" s="14" t="n">
        <f aca="false">IF($A12&lt;='3. Leases'!$D$5,'3. Leases'!$B$5*'3. Leases'!$C$5,IF(R12&lt;'2. Inputs'!$B$7,0,'3. Leases'!$B$5*'2. Inputs'!$B$3*(1+'2. Inputs'!$B$4)^(('3. Leases'!$D$5+'2. Inputs'!$B$7+S12*('2. Inputs'!$B$7+'2. Inputs'!$B$9))/4)))</f>
        <v>455840</v>
      </c>
      <c r="V12" s="14" t="n">
        <f aca="false">IF($A12&lt;='3. Leases'!$D$5,0,IF(R12=0,'3. Leases'!$B$5*'2. Inputs'!$B$5*(1+'2. Inputs'!$B$6)^(('3. Leases'!$D$5+S12*('2. Inputs'!$B$7+'2. Inputs'!$B$9))/4),0)+IF(R12='2. Inputs'!$B$7,'2. Inputs'!$B$10*'2. Inputs'!$B$3*(1+'2. Inputs'!$B$4)^(('3. Leases'!$D$5+'2. Inputs'!$B$7+S12*('2. Inputs'!$B$7+'2. Inputs'!$B$9))/4)*'3. Leases'!$B$5,0))</f>
        <v>0</v>
      </c>
      <c r="W12" s="14" t="n">
        <f aca="false">IF($A12&lt;='3. Leases'!$D$5,0,IF(R12&lt;'2. Inputs'!$B$7,'3. Leases'!$B$5,0))</f>
        <v>0</v>
      </c>
      <c r="X12" s="13" t="n">
        <f aca="false">$A12-'3. Leases'!$D$6-1</f>
        <v>2</v>
      </c>
      <c r="Y12" s="13" t="n">
        <f aca="false">IF(X12&lt;0,-1,MOD(X12,'2. Inputs'!$B$7+'2. Inputs'!$B$9))</f>
        <v>2</v>
      </c>
      <c r="Z12" s="13" t="n">
        <f aca="false">IF(X12&lt;0,0,INT(X12/('2. Inputs'!$B$7+'2. Inputs'!$B$9)))</f>
        <v>0</v>
      </c>
      <c r="AA12" s="14" t="n">
        <f aca="false">IF($A12&lt;='3. Leases'!$D$6,'3. Leases'!$B$6*'3. Leases'!$C$6/4,IF(Y12&lt;'2. Inputs'!$B$7+'2. Inputs'!$B$8,0,'3. Leases'!$B$6*'2. Inputs'!$B$3*(1+'2. Inputs'!$B$4)^(('3. Leases'!$D$6+'2. Inputs'!$B$7+Z12*('2. Inputs'!$B$7+'2. Inputs'!$B$9))/4)/4))</f>
        <v>0</v>
      </c>
      <c r="AB12" s="14" t="n">
        <f aca="false">IF($A12&lt;='3. Leases'!$D$6,'3. Leases'!$B$6*'3. Leases'!$C$6,IF(Y12&lt;'2. Inputs'!$B$7,0,'3. Leases'!$B$6*'2. Inputs'!$B$3*(1+'2. Inputs'!$B$4)^(('3. Leases'!$D$6+'2. Inputs'!$B$7+Z12*('2. Inputs'!$B$7+'2. Inputs'!$B$9))/4)))</f>
        <v>0</v>
      </c>
      <c r="AC12" s="14" t="n">
        <f aca="false">IF($A12&lt;='3. Leases'!$D$6,0,IF(Y12=0,'3. Leases'!$B$6*'2. Inputs'!$B$5*(1+'2. Inputs'!$B$6)^(('3. Leases'!$D$6+Z12*('2. Inputs'!$B$7+'2. Inputs'!$B$9))/4),0)+IF(Y12='2. Inputs'!$B$7,'2. Inputs'!$B$10*'2. Inputs'!$B$3*(1+'2. Inputs'!$B$4)^(('3. Leases'!$D$6+'2. Inputs'!$B$7+Z12*('2. Inputs'!$B$7+'2. Inputs'!$B$9))/4)*'3. Leases'!$B$6,0))</f>
        <v>0</v>
      </c>
      <c r="AD12" s="14" t="n">
        <f aca="false">IF($A12&lt;='3. Leases'!$D$6,0,IF(Y12&lt;'2. Inputs'!$B$7,'3. Leases'!$B$6,0))</f>
        <v>1000</v>
      </c>
      <c r="AE12" s="13" t="n">
        <f aca="false">$A12-'3. Leases'!$D$7-1</f>
        <v>8</v>
      </c>
      <c r="AF12" s="13" t="n">
        <f aca="false">IF(AE12&lt;0,-1,MOD(AE12,'2. Inputs'!$B$7+'2. Inputs'!$B$9))</f>
        <v>8</v>
      </c>
      <c r="AG12" s="13" t="n">
        <f aca="false">IF(AE12&lt;0,0,INT(AE12/('2. Inputs'!$B$7+'2. Inputs'!$B$9)))</f>
        <v>0</v>
      </c>
      <c r="AH12" s="14" t="n">
        <f aca="false">IF($A12&lt;='3. Leases'!$D$7,'3. Leases'!$B$7*'3. Leases'!$C$7/4,IF(AF12&lt;'2. Inputs'!$B$7+'2. Inputs'!$B$8,0,'3. Leases'!$B$7*'2. Inputs'!$B$3*(1+'2. Inputs'!$B$4)^(('3. Leases'!$D$7+'2. Inputs'!$B$7+AG12*('2. Inputs'!$B$7+'2. Inputs'!$B$9))/4)/4))</f>
        <v>163819.103991457</v>
      </c>
      <c r="AI12" s="14" t="n">
        <f aca="false">IF($A12&lt;='3. Leases'!$D$7,'3. Leases'!$B$7*'3. Leases'!$C$7,IF(AF12&lt;'2. Inputs'!$B$7,0,'3. Leases'!$B$7*'2. Inputs'!$B$3*(1+'2. Inputs'!$B$4)^(('3. Leases'!$D$7+'2. Inputs'!$B$7+AG12*('2. Inputs'!$B$7+'2. Inputs'!$B$9))/4)))</f>
        <v>655276.415965829</v>
      </c>
      <c r="AJ12" s="14" t="n">
        <f aca="false">IF($A12&lt;='3. Leases'!$D$7,0,IF(AF12=0,'3. Leases'!$B$7*'2. Inputs'!$B$5*(1+'2. Inputs'!$B$6)^(('3. Leases'!$D$7+AG12*('2. Inputs'!$B$7+'2. Inputs'!$B$9))/4),0)+IF(AF12='2. Inputs'!$B$7,'2. Inputs'!$B$10*'2. Inputs'!$B$3*(1+'2. Inputs'!$B$4)^(('3. Leases'!$D$7+'2. Inputs'!$B$7+AG12*('2. Inputs'!$B$7+'2. Inputs'!$B$9))/4)*'3. Leases'!$B$7,0))</f>
        <v>0</v>
      </c>
      <c r="AK12" s="14" t="n">
        <f aca="false">IF($A12&lt;='3. Leases'!$D$7,0,IF(AF12&lt;'2. Inputs'!$B$7,'3. Leases'!$B$7,0))</f>
        <v>0</v>
      </c>
      <c r="AL12" s="14" t="n">
        <f aca="false">F12+M12+T12+AA12+AH12</f>
        <v>848054.103991457</v>
      </c>
      <c r="AM12" s="14" t="n">
        <f aca="false">G12+N12+U12+AB12+AI12</f>
        <v>3392216.41596583</v>
      </c>
      <c r="AN12" s="14" t="n">
        <f aca="false">H12+O12+V12+AC12+AJ12+IF($A12='2. Inputs'!$B$14,'2. Inputs'!$B$13,0)</f>
        <v>0</v>
      </c>
      <c r="AO12" s="14" t="n">
        <f aca="false">I12+P12+W12+AD12+AK12</f>
        <v>1000</v>
      </c>
      <c r="AP12" s="14" t="n">
        <f aca="false">AL12*(1-'2. Inputs'!$B$11)-AO12*'2. Inputs'!$B$12/4</f>
        <v>783420.85775197</v>
      </c>
      <c r="AQ12" s="14" t="n">
        <f aca="false">AP12-AN12</f>
        <v>783420.85775197</v>
      </c>
      <c r="AR12" s="15" t="n">
        <f aca="false">1/(1+((1+'2. Inputs'!$B$15)^0.25-1))^$A12</f>
        <v>0.845397818117542</v>
      </c>
      <c r="AS12" s="14" t="n">
        <f aca="false">AQ12*AR12</f>
        <v>662302.283811289</v>
      </c>
    </row>
    <row r="13" customFormat="false" ht="15" hidden="false" customHeight="false" outlineLevel="0" collapsed="false">
      <c r="A13" s="0" t="n">
        <v>10</v>
      </c>
      <c r="B13" s="0" t="n">
        <f aca="false">CEILING(A13/4,1)</f>
        <v>3</v>
      </c>
      <c r="C13" s="13" t="n">
        <f aca="false">$A13-'3. Leases'!$D$3-1</f>
        <v>-1</v>
      </c>
      <c r="D13" s="13" t="n">
        <f aca="false">IF(C13&lt;0,-1,MOD(C13,'2. Inputs'!$B$7+'2. Inputs'!$B$9))</f>
        <v>-1</v>
      </c>
      <c r="E13" s="13" t="n">
        <f aca="false">IF(C13&lt;0,0,INT(C13/('2. Inputs'!$B$7+'2. Inputs'!$B$9)))</f>
        <v>0</v>
      </c>
      <c r="F13" s="14" t="n">
        <f aca="false">IF($A13&lt;='3. Leases'!$D$3,'3. Leases'!$B$3*'3. Leases'!$C$3/4,IF(D13&lt;'2. Inputs'!$B$7+'2. Inputs'!$B$8,0,'3. Leases'!$B$3*'2. Inputs'!$B$3*(1+'2. Inputs'!$B$4)^(('3. Leases'!$D$3+'2. Inputs'!$B$7+E13*('2. Inputs'!$B$7+'2. Inputs'!$B$9))/4)/4))</f>
        <v>333900</v>
      </c>
      <c r="G13" s="14" t="n">
        <f aca="false">IF($A13&lt;='3. Leases'!$D$3,'3. Leases'!$B$3*'3. Leases'!$C$3,IF(D13&lt;'2. Inputs'!$B$7,0,'3. Leases'!$B$3*'2. Inputs'!$B$3*(1+'2. Inputs'!$B$4)^(('3. Leases'!$D$3+'2. Inputs'!$B$7+E13*('2. Inputs'!$B$7+'2. Inputs'!$B$9))/4)))</f>
        <v>1335600</v>
      </c>
      <c r="H13" s="14" t="n">
        <f aca="false">IF($A13&lt;='3. Leases'!$D$3,0,IF(D13=0,'3. Leases'!$B$3*'2. Inputs'!$B$5*(1+'2. Inputs'!$B$6)^(('3. Leases'!$D$3+E13*('2. Inputs'!$B$7+'2. Inputs'!$B$9))/4),0)+IF(D13='2. Inputs'!$B$7,'2. Inputs'!$B$10*'2. Inputs'!$B$3*(1+'2. Inputs'!$B$4)^(('3. Leases'!$D$3+'2. Inputs'!$B$7+E13*('2. Inputs'!$B$7+'2. Inputs'!$B$9))/4)*'3. Leases'!$B$3,0))</f>
        <v>0</v>
      </c>
      <c r="I13" s="14" t="n">
        <f aca="false">IF($A13&lt;='3. Leases'!$D$3,0,IF(D13&lt;'2. Inputs'!$B$7,'3. Leases'!$B$3,0))</f>
        <v>0</v>
      </c>
      <c r="J13" s="13" t="n">
        <f aca="false">$A13-'3. Leases'!$D$4-1</f>
        <v>-7</v>
      </c>
      <c r="K13" s="13" t="n">
        <f aca="false">IF(J13&lt;0,-1,MOD(J13,'2. Inputs'!$B$7+'2. Inputs'!$B$9))</f>
        <v>-1</v>
      </c>
      <c r="L13" s="13" t="n">
        <f aca="false">IF(J13&lt;0,0,INT(J13/('2. Inputs'!$B$7+'2. Inputs'!$B$9)))</f>
        <v>0</v>
      </c>
      <c r="M13" s="14" t="n">
        <f aca="false">IF($A13&lt;='3. Leases'!$D$4,'3. Leases'!$B$4*'3. Leases'!$C$4/4,IF(K13&lt;'2. Inputs'!$B$7+'2. Inputs'!$B$8,0,'3. Leases'!$B$4*'2. Inputs'!$B$3*(1+'2. Inputs'!$B$4)^(('3. Leases'!$D$4+'2. Inputs'!$B$7+L13*('2. Inputs'!$B$7+'2. Inputs'!$B$9))/4)/4))</f>
        <v>236375</v>
      </c>
      <c r="N13" s="14" t="n">
        <f aca="false">IF($A13&lt;='3. Leases'!$D$4,'3. Leases'!$B$4*'3. Leases'!$C$4,IF(K13&lt;'2. Inputs'!$B$7,0,'3. Leases'!$B$4*'2. Inputs'!$B$3*(1+'2. Inputs'!$B$4)^(('3. Leases'!$D$4+'2. Inputs'!$B$7+L13*('2. Inputs'!$B$7+'2. Inputs'!$B$9))/4)))</f>
        <v>945500</v>
      </c>
      <c r="O13" s="14" t="n">
        <f aca="false">IF($A13&lt;='3. Leases'!$D$4,0,IF(K13=0,'3. Leases'!$B$4*'2. Inputs'!$B$5*(1+'2. Inputs'!$B$6)^(('3. Leases'!$D$4+L13*('2. Inputs'!$B$7+'2. Inputs'!$B$9))/4),0)+IF(K13='2. Inputs'!$B$7,'2. Inputs'!$B$10*'2. Inputs'!$B$3*(1+'2. Inputs'!$B$4)^(('3. Leases'!$D$4+'2. Inputs'!$B$7+L13*('2. Inputs'!$B$7+'2. Inputs'!$B$9))/4)*'3. Leases'!$B$4,0))</f>
        <v>0</v>
      </c>
      <c r="P13" s="14" t="n">
        <f aca="false">IF($A13&lt;='3. Leases'!$D$4,0,IF(K13&lt;'2. Inputs'!$B$7,'3. Leases'!$B$4,0))</f>
        <v>0</v>
      </c>
      <c r="Q13" s="13" t="n">
        <f aca="false">$A13-'3. Leases'!$D$5-1</f>
        <v>-17</v>
      </c>
      <c r="R13" s="13" t="n">
        <f aca="false">IF(Q13&lt;0,-1,MOD(Q13,'2. Inputs'!$B$7+'2. Inputs'!$B$9))</f>
        <v>-1</v>
      </c>
      <c r="S13" s="13" t="n">
        <f aca="false">IF(Q13&lt;0,0,INT(Q13/('2. Inputs'!$B$7+'2. Inputs'!$B$9)))</f>
        <v>0</v>
      </c>
      <c r="T13" s="14" t="n">
        <f aca="false">IF($A13&lt;='3. Leases'!$D$5,'3. Leases'!$B$5*'3. Leases'!$C$5/4,IF(R13&lt;'2. Inputs'!$B$7+'2. Inputs'!$B$8,0,'3. Leases'!$B$5*'2. Inputs'!$B$3*(1+'2. Inputs'!$B$4)^(('3. Leases'!$D$5+'2. Inputs'!$B$7+S13*('2. Inputs'!$B$7+'2. Inputs'!$B$9))/4)/4))</f>
        <v>113960</v>
      </c>
      <c r="U13" s="14" t="n">
        <f aca="false">IF($A13&lt;='3. Leases'!$D$5,'3. Leases'!$B$5*'3. Leases'!$C$5,IF(R13&lt;'2. Inputs'!$B$7,0,'3. Leases'!$B$5*'2. Inputs'!$B$3*(1+'2. Inputs'!$B$4)^(('3. Leases'!$D$5+'2. Inputs'!$B$7+S13*('2. Inputs'!$B$7+'2. Inputs'!$B$9))/4)))</f>
        <v>455840</v>
      </c>
      <c r="V13" s="14" t="n">
        <f aca="false">IF($A13&lt;='3. Leases'!$D$5,0,IF(R13=0,'3. Leases'!$B$5*'2. Inputs'!$B$5*(1+'2. Inputs'!$B$6)^(('3. Leases'!$D$5+S13*('2. Inputs'!$B$7+'2. Inputs'!$B$9))/4),0)+IF(R13='2. Inputs'!$B$7,'2. Inputs'!$B$10*'2. Inputs'!$B$3*(1+'2. Inputs'!$B$4)^(('3. Leases'!$D$5+'2. Inputs'!$B$7+S13*('2. Inputs'!$B$7+'2. Inputs'!$B$9))/4)*'3. Leases'!$B$5,0))</f>
        <v>0</v>
      </c>
      <c r="W13" s="14" t="n">
        <f aca="false">IF($A13&lt;='3. Leases'!$D$5,0,IF(R13&lt;'2. Inputs'!$B$7,'3. Leases'!$B$5,0))</f>
        <v>0</v>
      </c>
      <c r="X13" s="13" t="n">
        <f aca="false">$A13-'3. Leases'!$D$6-1</f>
        <v>3</v>
      </c>
      <c r="Y13" s="13" t="n">
        <f aca="false">IF(X13&lt;0,-1,MOD(X13,'2. Inputs'!$B$7+'2. Inputs'!$B$9))</f>
        <v>3</v>
      </c>
      <c r="Z13" s="13" t="n">
        <f aca="false">IF(X13&lt;0,0,INT(X13/('2. Inputs'!$B$7+'2. Inputs'!$B$9)))</f>
        <v>0</v>
      </c>
      <c r="AA13" s="14" t="n">
        <f aca="false">IF($A13&lt;='3. Leases'!$D$6,'3. Leases'!$B$6*'3. Leases'!$C$6/4,IF(Y13&lt;'2. Inputs'!$B$7+'2. Inputs'!$B$8,0,'3. Leases'!$B$6*'2. Inputs'!$B$3*(1+'2. Inputs'!$B$4)^(('3. Leases'!$D$6+'2. Inputs'!$B$7+Z13*('2. Inputs'!$B$7+'2. Inputs'!$B$9))/4)/4))</f>
        <v>0</v>
      </c>
      <c r="AB13" s="14" t="n">
        <f aca="false">IF($A13&lt;='3. Leases'!$D$6,'3. Leases'!$B$6*'3. Leases'!$C$6,IF(Y13&lt;'2. Inputs'!$B$7,0,'3. Leases'!$B$6*'2. Inputs'!$B$3*(1+'2. Inputs'!$B$4)^(('3. Leases'!$D$6+'2. Inputs'!$B$7+Z13*('2. Inputs'!$B$7+'2. Inputs'!$B$9))/4)))</f>
        <v>310220.040195374</v>
      </c>
      <c r="AC13" s="14" t="n">
        <f aca="false">IF($A13&lt;='3. Leases'!$D$6,0,IF(Y13=0,'3. Leases'!$B$6*'2. Inputs'!$B$5*(1+'2. Inputs'!$B$6)^(('3. Leases'!$D$6+Z13*('2. Inputs'!$B$7+'2. Inputs'!$B$9))/4),0)+IF(Y13='2. Inputs'!$B$7,'2. Inputs'!$B$10*'2. Inputs'!$B$3*(1+'2. Inputs'!$B$4)^(('3. Leases'!$D$6+'2. Inputs'!$B$7+Z13*('2. Inputs'!$B$7+'2. Inputs'!$B$9))/4)*'3. Leases'!$B$6,0))</f>
        <v>37226.4048234449</v>
      </c>
      <c r="AD13" s="14" t="n">
        <f aca="false">IF($A13&lt;='3. Leases'!$D$6,0,IF(Y13&lt;'2. Inputs'!$B$7,'3. Leases'!$B$6,0))</f>
        <v>0</v>
      </c>
      <c r="AE13" s="13" t="n">
        <f aca="false">$A13-'3. Leases'!$D$7-1</f>
        <v>9</v>
      </c>
      <c r="AF13" s="13" t="n">
        <f aca="false">IF(AE13&lt;0,-1,MOD(AE13,'2. Inputs'!$B$7+'2. Inputs'!$B$9))</f>
        <v>9</v>
      </c>
      <c r="AG13" s="13" t="n">
        <f aca="false">IF(AE13&lt;0,0,INT(AE13/('2. Inputs'!$B$7+'2. Inputs'!$B$9)))</f>
        <v>0</v>
      </c>
      <c r="AH13" s="14" t="n">
        <f aca="false">IF($A13&lt;='3. Leases'!$D$7,'3. Leases'!$B$7*'3. Leases'!$C$7/4,IF(AF13&lt;'2. Inputs'!$B$7+'2. Inputs'!$B$8,0,'3. Leases'!$B$7*'2. Inputs'!$B$3*(1+'2. Inputs'!$B$4)^(('3. Leases'!$D$7+'2. Inputs'!$B$7+AG13*('2. Inputs'!$B$7+'2. Inputs'!$B$9))/4)/4))</f>
        <v>163819.103991457</v>
      </c>
      <c r="AI13" s="14" t="n">
        <f aca="false">IF($A13&lt;='3. Leases'!$D$7,'3. Leases'!$B$7*'3. Leases'!$C$7,IF(AF13&lt;'2. Inputs'!$B$7,0,'3. Leases'!$B$7*'2. Inputs'!$B$3*(1+'2. Inputs'!$B$4)^(('3. Leases'!$D$7+'2. Inputs'!$B$7+AG13*('2. Inputs'!$B$7+'2. Inputs'!$B$9))/4)))</f>
        <v>655276.415965829</v>
      </c>
      <c r="AJ13" s="14" t="n">
        <f aca="false">IF($A13&lt;='3. Leases'!$D$7,0,IF(AF13=0,'3. Leases'!$B$7*'2. Inputs'!$B$5*(1+'2. Inputs'!$B$6)^(('3. Leases'!$D$7+AG13*('2. Inputs'!$B$7+'2. Inputs'!$B$9))/4),0)+IF(AF13='2. Inputs'!$B$7,'2. Inputs'!$B$10*'2. Inputs'!$B$3*(1+'2. Inputs'!$B$4)^(('3. Leases'!$D$7+'2. Inputs'!$B$7+AG13*('2. Inputs'!$B$7+'2. Inputs'!$B$9))/4)*'3. Leases'!$B$7,0))</f>
        <v>0</v>
      </c>
      <c r="AK13" s="14" t="n">
        <f aca="false">IF($A13&lt;='3. Leases'!$D$7,0,IF(AF13&lt;'2. Inputs'!$B$7,'3. Leases'!$B$7,0))</f>
        <v>0</v>
      </c>
      <c r="AL13" s="14" t="n">
        <f aca="false">F13+M13+T13+AA13+AH13</f>
        <v>848054.103991457</v>
      </c>
      <c r="AM13" s="14" t="n">
        <f aca="false">G13+N13+U13+AB13+AI13</f>
        <v>3702436.4561612</v>
      </c>
      <c r="AN13" s="14" t="n">
        <f aca="false">H13+O13+V13+AC13+AJ13+IF($A13='2. Inputs'!$B$14,'2. Inputs'!$B$13,0)</f>
        <v>37226.4048234449</v>
      </c>
      <c r="AO13" s="14" t="n">
        <f aca="false">I13+P13+W13+AD13+AK13</f>
        <v>0</v>
      </c>
      <c r="AP13" s="14" t="n">
        <f aca="false">AL13*(1-'2. Inputs'!$B$11)-AO13*'2. Inputs'!$B$12/4</f>
        <v>797170.85775197</v>
      </c>
      <c r="AQ13" s="14" t="n">
        <f aca="false">AP13-AN13</f>
        <v>759944.452928525</v>
      </c>
      <c r="AR13" s="15" t="n">
        <f aca="false">1/(1+((1+'2. Inputs'!$B$15)^0.25-1))^$A13</f>
        <v>0.829768230548437</v>
      </c>
      <c r="AS13" s="14" t="n">
        <f aca="false">AQ13*AR13</f>
        <v>630577.764021602</v>
      </c>
    </row>
    <row r="14" customFormat="false" ht="15" hidden="false" customHeight="false" outlineLevel="0" collapsed="false">
      <c r="A14" s="0" t="n">
        <v>11</v>
      </c>
      <c r="B14" s="0" t="n">
        <f aca="false">CEILING(A14/4,1)</f>
        <v>3</v>
      </c>
      <c r="C14" s="13" t="n">
        <f aca="false">$A14-'3. Leases'!$D$3-1</f>
        <v>0</v>
      </c>
      <c r="D14" s="13" t="n">
        <f aca="false">IF(C14&lt;0,-1,MOD(C14,'2. Inputs'!$B$7+'2. Inputs'!$B$9))</f>
        <v>0</v>
      </c>
      <c r="E14" s="13" t="n">
        <f aca="false">IF(C14&lt;0,0,INT(C14/('2. Inputs'!$B$7+'2. Inputs'!$B$9)))</f>
        <v>0</v>
      </c>
      <c r="F14" s="14" t="n">
        <f aca="false">IF($A14&lt;='3. Leases'!$D$3,'3. Leases'!$B$3*'3. Leases'!$C$3/4,IF(D14&lt;'2. Inputs'!$B$7+'2. Inputs'!$B$8,0,'3. Leases'!$B$3*'2. Inputs'!$B$3*(1+'2. Inputs'!$B$4)^(('3. Leases'!$D$3+'2. Inputs'!$B$7+E14*('2. Inputs'!$B$7+'2. Inputs'!$B$9))/4)/4))</f>
        <v>0</v>
      </c>
      <c r="G14" s="14" t="n">
        <f aca="false">IF($A14&lt;='3. Leases'!$D$3,'3. Leases'!$B$3*'3. Leases'!$C$3,IF(D14&lt;'2. Inputs'!$B$7,0,'3. Leases'!$B$3*'2. Inputs'!$B$3*(1+'2. Inputs'!$B$4)^(('3. Leases'!$D$3+'2. Inputs'!$B$7+E14*('2. Inputs'!$B$7+'2. Inputs'!$B$9))/4)))</f>
        <v>0</v>
      </c>
      <c r="H14" s="14" t="n">
        <f aca="false">IF($A14&lt;='3. Leases'!$D$3,0,IF(D14=0,'3. Leases'!$B$3*'2. Inputs'!$B$5*(1+'2. Inputs'!$B$6)^(('3. Leases'!$D$3+E14*('2. Inputs'!$B$7+'2. Inputs'!$B$9))/4),0)+IF(D14='2. Inputs'!$B$7,'2. Inputs'!$B$10*'2. Inputs'!$B$3*(1+'2. Inputs'!$B$4)^(('3. Leases'!$D$3+'2. Inputs'!$B$7+E14*('2. Inputs'!$B$7+'2. Inputs'!$B$9))/4)*'3. Leases'!$B$3,0))</f>
        <v>1876325.77406454</v>
      </c>
      <c r="I14" s="14" t="n">
        <f aca="false">IF($A14&lt;='3. Leases'!$D$3,0,IF(D14&lt;'2. Inputs'!$B$7,'3. Leases'!$B$3,0))</f>
        <v>4200</v>
      </c>
      <c r="J14" s="13" t="n">
        <f aca="false">$A14-'3. Leases'!$D$4-1</f>
        <v>-6</v>
      </c>
      <c r="K14" s="13" t="n">
        <f aca="false">IF(J14&lt;0,-1,MOD(J14,'2. Inputs'!$B$7+'2. Inputs'!$B$9))</f>
        <v>-1</v>
      </c>
      <c r="L14" s="13" t="n">
        <f aca="false">IF(J14&lt;0,0,INT(J14/('2. Inputs'!$B$7+'2. Inputs'!$B$9)))</f>
        <v>0</v>
      </c>
      <c r="M14" s="14" t="n">
        <f aca="false">IF($A14&lt;='3. Leases'!$D$4,'3. Leases'!$B$4*'3. Leases'!$C$4/4,IF(K14&lt;'2. Inputs'!$B$7+'2. Inputs'!$B$8,0,'3. Leases'!$B$4*'2. Inputs'!$B$3*(1+'2. Inputs'!$B$4)^(('3. Leases'!$D$4+'2. Inputs'!$B$7+L14*('2. Inputs'!$B$7+'2. Inputs'!$B$9))/4)/4))</f>
        <v>236375</v>
      </c>
      <c r="N14" s="14" t="n">
        <f aca="false">IF($A14&lt;='3. Leases'!$D$4,'3. Leases'!$B$4*'3. Leases'!$C$4,IF(K14&lt;'2. Inputs'!$B$7,0,'3. Leases'!$B$4*'2. Inputs'!$B$3*(1+'2. Inputs'!$B$4)^(('3. Leases'!$D$4+'2. Inputs'!$B$7+L14*('2. Inputs'!$B$7+'2. Inputs'!$B$9))/4)))</f>
        <v>945500</v>
      </c>
      <c r="O14" s="14" t="n">
        <f aca="false">IF($A14&lt;='3. Leases'!$D$4,0,IF(K14=0,'3. Leases'!$B$4*'2. Inputs'!$B$5*(1+'2. Inputs'!$B$6)^(('3. Leases'!$D$4+L14*('2. Inputs'!$B$7+'2. Inputs'!$B$9))/4),0)+IF(K14='2. Inputs'!$B$7,'2. Inputs'!$B$10*'2. Inputs'!$B$3*(1+'2. Inputs'!$B$4)^(('3. Leases'!$D$4+'2. Inputs'!$B$7+L14*('2. Inputs'!$B$7+'2. Inputs'!$B$9))/4)*'3. Leases'!$B$4,0))</f>
        <v>0</v>
      </c>
      <c r="P14" s="14" t="n">
        <f aca="false">IF($A14&lt;='3. Leases'!$D$4,0,IF(K14&lt;'2. Inputs'!$B$7,'3. Leases'!$B$4,0))</f>
        <v>0</v>
      </c>
      <c r="Q14" s="13" t="n">
        <f aca="false">$A14-'3. Leases'!$D$5-1</f>
        <v>-16</v>
      </c>
      <c r="R14" s="13" t="n">
        <f aca="false">IF(Q14&lt;0,-1,MOD(Q14,'2. Inputs'!$B$7+'2. Inputs'!$B$9))</f>
        <v>-1</v>
      </c>
      <c r="S14" s="13" t="n">
        <f aca="false">IF(Q14&lt;0,0,INT(Q14/('2. Inputs'!$B$7+'2. Inputs'!$B$9)))</f>
        <v>0</v>
      </c>
      <c r="T14" s="14" t="n">
        <f aca="false">IF($A14&lt;='3. Leases'!$D$5,'3. Leases'!$B$5*'3. Leases'!$C$5/4,IF(R14&lt;'2. Inputs'!$B$7+'2. Inputs'!$B$8,0,'3. Leases'!$B$5*'2. Inputs'!$B$3*(1+'2. Inputs'!$B$4)^(('3. Leases'!$D$5+'2. Inputs'!$B$7+S14*('2. Inputs'!$B$7+'2. Inputs'!$B$9))/4)/4))</f>
        <v>113960</v>
      </c>
      <c r="U14" s="14" t="n">
        <f aca="false">IF($A14&lt;='3. Leases'!$D$5,'3. Leases'!$B$5*'3. Leases'!$C$5,IF(R14&lt;'2. Inputs'!$B$7,0,'3. Leases'!$B$5*'2. Inputs'!$B$3*(1+'2. Inputs'!$B$4)^(('3. Leases'!$D$5+'2. Inputs'!$B$7+S14*('2. Inputs'!$B$7+'2. Inputs'!$B$9))/4)))</f>
        <v>455840</v>
      </c>
      <c r="V14" s="14" t="n">
        <f aca="false">IF($A14&lt;='3. Leases'!$D$5,0,IF(R14=0,'3. Leases'!$B$5*'2. Inputs'!$B$5*(1+'2. Inputs'!$B$6)^(('3. Leases'!$D$5+S14*('2. Inputs'!$B$7+'2. Inputs'!$B$9))/4),0)+IF(R14='2. Inputs'!$B$7,'2. Inputs'!$B$10*'2. Inputs'!$B$3*(1+'2. Inputs'!$B$4)^(('3. Leases'!$D$5+'2. Inputs'!$B$7+S14*('2. Inputs'!$B$7+'2. Inputs'!$B$9))/4)*'3. Leases'!$B$5,0))</f>
        <v>0</v>
      </c>
      <c r="W14" s="14" t="n">
        <f aca="false">IF($A14&lt;='3. Leases'!$D$5,0,IF(R14&lt;'2. Inputs'!$B$7,'3. Leases'!$B$5,0))</f>
        <v>0</v>
      </c>
      <c r="X14" s="13" t="n">
        <f aca="false">$A14-'3. Leases'!$D$6-1</f>
        <v>4</v>
      </c>
      <c r="Y14" s="13" t="n">
        <f aca="false">IF(X14&lt;0,-1,MOD(X14,'2. Inputs'!$B$7+'2. Inputs'!$B$9))</f>
        <v>4</v>
      </c>
      <c r="Z14" s="13" t="n">
        <f aca="false">IF(X14&lt;0,0,INT(X14/('2. Inputs'!$B$7+'2. Inputs'!$B$9)))</f>
        <v>0</v>
      </c>
      <c r="AA14" s="14" t="n">
        <f aca="false">IF($A14&lt;='3. Leases'!$D$6,'3. Leases'!$B$6*'3. Leases'!$C$6/4,IF(Y14&lt;'2. Inputs'!$B$7+'2. Inputs'!$B$8,0,'3. Leases'!$B$6*'2. Inputs'!$B$3*(1+'2. Inputs'!$B$4)^(('3. Leases'!$D$6+'2. Inputs'!$B$7+Z14*('2. Inputs'!$B$7+'2. Inputs'!$B$9))/4)/4))</f>
        <v>0</v>
      </c>
      <c r="AB14" s="14" t="n">
        <f aca="false">IF($A14&lt;='3. Leases'!$D$6,'3. Leases'!$B$6*'3. Leases'!$C$6,IF(Y14&lt;'2. Inputs'!$B$7,0,'3. Leases'!$B$6*'2. Inputs'!$B$3*(1+'2. Inputs'!$B$4)^(('3. Leases'!$D$6+'2. Inputs'!$B$7+Z14*('2. Inputs'!$B$7+'2. Inputs'!$B$9))/4)))</f>
        <v>310220.040195374</v>
      </c>
      <c r="AC14" s="14" t="n">
        <f aca="false">IF($A14&lt;='3. Leases'!$D$6,0,IF(Y14=0,'3. Leases'!$B$6*'2. Inputs'!$B$5*(1+'2. Inputs'!$B$6)^(('3. Leases'!$D$6+Z14*('2. Inputs'!$B$7+'2. Inputs'!$B$9))/4),0)+IF(Y14='2. Inputs'!$B$7,'2. Inputs'!$B$10*'2. Inputs'!$B$3*(1+'2. Inputs'!$B$4)^(('3. Leases'!$D$6+'2. Inputs'!$B$7+Z14*('2. Inputs'!$B$7+'2. Inputs'!$B$9))/4)*'3. Leases'!$B$6,0))</f>
        <v>0</v>
      </c>
      <c r="AD14" s="14" t="n">
        <f aca="false">IF($A14&lt;='3. Leases'!$D$6,0,IF(Y14&lt;'2. Inputs'!$B$7,'3. Leases'!$B$6,0))</f>
        <v>0</v>
      </c>
      <c r="AE14" s="13" t="n">
        <f aca="false">$A14-'3. Leases'!$D$7-1</f>
        <v>10</v>
      </c>
      <c r="AF14" s="13" t="n">
        <f aca="false">IF(AE14&lt;0,-1,MOD(AE14,'2. Inputs'!$B$7+'2. Inputs'!$B$9))</f>
        <v>10</v>
      </c>
      <c r="AG14" s="13" t="n">
        <f aca="false">IF(AE14&lt;0,0,INT(AE14/('2. Inputs'!$B$7+'2. Inputs'!$B$9)))</f>
        <v>0</v>
      </c>
      <c r="AH14" s="14" t="n">
        <f aca="false">IF($A14&lt;='3. Leases'!$D$7,'3. Leases'!$B$7*'3. Leases'!$C$7/4,IF(AF14&lt;'2. Inputs'!$B$7+'2. Inputs'!$B$8,0,'3. Leases'!$B$7*'2. Inputs'!$B$3*(1+'2. Inputs'!$B$4)^(('3. Leases'!$D$7+'2. Inputs'!$B$7+AG14*('2. Inputs'!$B$7+'2. Inputs'!$B$9))/4)/4))</f>
        <v>163819.103991457</v>
      </c>
      <c r="AI14" s="14" t="n">
        <f aca="false">IF($A14&lt;='3. Leases'!$D$7,'3. Leases'!$B$7*'3. Leases'!$C$7,IF(AF14&lt;'2. Inputs'!$B$7,0,'3. Leases'!$B$7*'2. Inputs'!$B$3*(1+'2. Inputs'!$B$4)^(('3. Leases'!$D$7+'2. Inputs'!$B$7+AG14*('2. Inputs'!$B$7+'2. Inputs'!$B$9))/4)))</f>
        <v>655276.415965829</v>
      </c>
      <c r="AJ14" s="14" t="n">
        <f aca="false">IF($A14&lt;='3. Leases'!$D$7,0,IF(AF14=0,'3. Leases'!$B$7*'2. Inputs'!$B$5*(1+'2. Inputs'!$B$6)^(('3. Leases'!$D$7+AG14*('2. Inputs'!$B$7+'2. Inputs'!$B$9))/4),0)+IF(AF14='2. Inputs'!$B$7,'2. Inputs'!$B$10*'2. Inputs'!$B$3*(1+'2. Inputs'!$B$4)^(('3. Leases'!$D$7+'2. Inputs'!$B$7+AG14*('2. Inputs'!$B$7+'2. Inputs'!$B$9))/4)*'3. Leases'!$B$7,0))</f>
        <v>0</v>
      </c>
      <c r="AK14" s="14" t="n">
        <f aca="false">IF($A14&lt;='3. Leases'!$D$7,0,IF(AF14&lt;'2. Inputs'!$B$7,'3. Leases'!$B$7,0))</f>
        <v>0</v>
      </c>
      <c r="AL14" s="14" t="n">
        <f aca="false">F14+M14+T14+AA14+AH14</f>
        <v>514154.103991457</v>
      </c>
      <c r="AM14" s="14" t="n">
        <f aca="false">G14+N14+U14+AB14+AI14</f>
        <v>2366836.4561612</v>
      </c>
      <c r="AN14" s="14" t="n">
        <f aca="false">H14+O14+V14+AC14+AJ14+IF($A14='2. Inputs'!$B$14,'2. Inputs'!$B$13,0)</f>
        <v>1876325.77406454</v>
      </c>
      <c r="AO14" s="14" t="n">
        <f aca="false">I14+P14+W14+AD14+AK14</f>
        <v>4200</v>
      </c>
      <c r="AP14" s="14" t="n">
        <f aca="false">AL14*(1-'2. Inputs'!$B$11)-AO14*'2. Inputs'!$B$12/4</f>
        <v>425554.85775197</v>
      </c>
      <c r="AQ14" s="14" t="n">
        <f aca="false">AP14-AN14</f>
        <v>-1450770.91631257</v>
      </c>
      <c r="AR14" s="15" t="n">
        <f aca="false">1/(1+((1+'2. Inputs'!$B$15)^0.25-1))^$A14</f>
        <v>0.814427600440948</v>
      </c>
      <c r="AS14" s="14" t="n">
        <f aca="false">AQ14*AR14</f>
        <v>-1181547.87616196</v>
      </c>
    </row>
    <row r="15" customFormat="false" ht="15" hidden="false" customHeight="false" outlineLevel="0" collapsed="false">
      <c r="A15" s="0" t="n">
        <v>12</v>
      </c>
      <c r="B15" s="0" t="n">
        <f aca="false">CEILING(A15/4,1)</f>
        <v>3</v>
      </c>
      <c r="C15" s="13" t="n">
        <f aca="false">$A15-'3. Leases'!$D$3-1</f>
        <v>1</v>
      </c>
      <c r="D15" s="13" t="n">
        <f aca="false">IF(C15&lt;0,-1,MOD(C15,'2. Inputs'!$B$7+'2. Inputs'!$B$9))</f>
        <v>1</v>
      </c>
      <c r="E15" s="13" t="n">
        <f aca="false">IF(C15&lt;0,0,INT(C15/('2. Inputs'!$B$7+'2. Inputs'!$B$9)))</f>
        <v>0</v>
      </c>
      <c r="F15" s="14" t="n">
        <f aca="false">IF($A15&lt;='3. Leases'!$D$3,'3. Leases'!$B$3*'3. Leases'!$C$3/4,IF(D15&lt;'2. Inputs'!$B$7+'2. Inputs'!$B$8,0,'3. Leases'!$B$3*'2. Inputs'!$B$3*(1+'2. Inputs'!$B$4)^(('3. Leases'!$D$3+'2. Inputs'!$B$7+E15*('2. Inputs'!$B$7+'2. Inputs'!$B$9))/4)/4))</f>
        <v>0</v>
      </c>
      <c r="G15" s="14" t="n">
        <f aca="false">IF($A15&lt;='3. Leases'!$D$3,'3. Leases'!$B$3*'3. Leases'!$C$3,IF(D15&lt;'2. Inputs'!$B$7,0,'3. Leases'!$B$3*'2. Inputs'!$B$3*(1+'2. Inputs'!$B$4)^(('3. Leases'!$D$3+'2. Inputs'!$B$7+E15*('2. Inputs'!$B$7+'2. Inputs'!$B$9))/4)))</f>
        <v>0</v>
      </c>
      <c r="H15" s="14" t="n">
        <f aca="false">IF($A15&lt;='3. Leases'!$D$3,0,IF(D15=0,'3. Leases'!$B$3*'2. Inputs'!$B$5*(1+'2. Inputs'!$B$6)^(('3. Leases'!$D$3+E15*('2. Inputs'!$B$7+'2. Inputs'!$B$9))/4),0)+IF(D15='2. Inputs'!$B$7,'2. Inputs'!$B$10*'2. Inputs'!$B$3*(1+'2. Inputs'!$B$4)^(('3. Leases'!$D$3+'2. Inputs'!$B$7+E15*('2. Inputs'!$B$7+'2. Inputs'!$B$9))/4)*'3. Leases'!$B$3,0))</f>
        <v>0</v>
      </c>
      <c r="I15" s="14" t="n">
        <f aca="false">IF($A15&lt;='3. Leases'!$D$3,0,IF(D15&lt;'2. Inputs'!$B$7,'3. Leases'!$B$3,0))</f>
        <v>4200</v>
      </c>
      <c r="J15" s="13" t="n">
        <f aca="false">$A15-'3. Leases'!$D$4-1</f>
        <v>-5</v>
      </c>
      <c r="K15" s="13" t="n">
        <f aca="false">IF(J15&lt;0,-1,MOD(J15,'2. Inputs'!$B$7+'2. Inputs'!$B$9))</f>
        <v>-1</v>
      </c>
      <c r="L15" s="13" t="n">
        <f aca="false">IF(J15&lt;0,0,INT(J15/('2. Inputs'!$B$7+'2. Inputs'!$B$9)))</f>
        <v>0</v>
      </c>
      <c r="M15" s="14" t="n">
        <f aca="false">IF($A15&lt;='3. Leases'!$D$4,'3. Leases'!$B$4*'3. Leases'!$C$4/4,IF(K15&lt;'2. Inputs'!$B$7+'2. Inputs'!$B$8,0,'3. Leases'!$B$4*'2. Inputs'!$B$3*(1+'2. Inputs'!$B$4)^(('3. Leases'!$D$4+'2. Inputs'!$B$7+L15*('2. Inputs'!$B$7+'2. Inputs'!$B$9))/4)/4))</f>
        <v>236375</v>
      </c>
      <c r="N15" s="14" t="n">
        <f aca="false">IF($A15&lt;='3. Leases'!$D$4,'3. Leases'!$B$4*'3. Leases'!$C$4,IF(K15&lt;'2. Inputs'!$B$7,0,'3. Leases'!$B$4*'2. Inputs'!$B$3*(1+'2. Inputs'!$B$4)^(('3. Leases'!$D$4+'2. Inputs'!$B$7+L15*('2. Inputs'!$B$7+'2. Inputs'!$B$9))/4)))</f>
        <v>945500</v>
      </c>
      <c r="O15" s="14" t="n">
        <f aca="false">IF($A15&lt;='3. Leases'!$D$4,0,IF(K15=0,'3. Leases'!$B$4*'2. Inputs'!$B$5*(1+'2. Inputs'!$B$6)^(('3. Leases'!$D$4+L15*('2. Inputs'!$B$7+'2. Inputs'!$B$9))/4),0)+IF(K15='2. Inputs'!$B$7,'2. Inputs'!$B$10*'2. Inputs'!$B$3*(1+'2. Inputs'!$B$4)^(('3. Leases'!$D$4+'2. Inputs'!$B$7+L15*('2. Inputs'!$B$7+'2. Inputs'!$B$9))/4)*'3. Leases'!$B$4,0))</f>
        <v>0</v>
      </c>
      <c r="P15" s="14" t="n">
        <f aca="false">IF($A15&lt;='3. Leases'!$D$4,0,IF(K15&lt;'2. Inputs'!$B$7,'3. Leases'!$B$4,0))</f>
        <v>0</v>
      </c>
      <c r="Q15" s="13" t="n">
        <f aca="false">$A15-'3. Leases'!$D$5-1</f>
        <v>-15</v>
      </c>
      <c r="R15" s="13" t="n">
        <f aca="false">IF(Q15&lt;0,-1,MOD(Q15,'2. Inputs'!$B$7+'2. Inputs'!$B$9))</f>
        <v>-1</v>
      </c>
      <c r="S15" s="13" t="n">
        <f aca="false">IF(Q15&lt;0,0,INT(Q15/('2. Inputs'!$B$7+'2. Inputs'!$B$9)))</f>
        <v>0</v>
      </c>
      <c r="T15" s="14" t="n">
        <f aca="false">IF($A15&lt;='3. Leases'!$D$5,'3. Leases'!$B$5*'3. Leases'!$C$5/4,IF(R15&lt;'2. Inputs'!$B$7+'2. Inputs'!$B$8,0,'3. Leases'!$B$5*'2. Inputs'!$B$3*(1+'2. Inputs'!$B$4)^(('3. Leases'!$D$5+'2. Inputs'!$B$7+S15*('2. Inputs'!$B$7+'2. Inputs'!$B$9))/4)/4))</f>
        <v>113960</v>
      </c>
      <c r="U15" s="14" t="n">
        <f aca="false">IF($A15&lt;='3. Leases'!$D$5,'3. Leases'!$B$5*'3. Leases'!$C$5,IF(R15&lt;'2. Inputs'!$B$7,0,'3. Leases'!$B$5*'2. Inputs'!$B$3*(1+'2. Inputs'!$B$4)^(('3. Leases'!$D$5+'2. Inputs'!$B$7+S15*('2. Inputs'!$B$7+'2. Inputs'!$B$9))/4)))</f>
        <v>455840</v>
      </c>
      <c r="V15" s="14" t="n">
        <f aca="false">IF($A15&lt;='3. Leases'!$D$5,0,IF(R15=0,'3. Leases'!$B$5*'2. Inputs'!$B$5*(1+'2. Inputs'!$B$6)^(('3. Leases'!$D$5+S15*('2. Inputs'!$B$7+'2. Inputs'!$B$9))/4),0)+IF(R15='2. Inputs'!$B$7,'2. Inputs'!$B$10*'2. Inputs'!$B$3*(1+'2. Inputs'!$B$4)^(('3. Leases'!$D$5+'2. Inputs'!$B$7+S15*('2. Inputs'!$B$7+'2. Inputs'!$B$9))/4)*'3. Leases'!$B$5,0))</f>
        <v>0</v>
      </c>
      <c r="W15" s="14" t="n">
        <f aca="false">IF($A15&lt;='3. Leases'!$D$5,0,IF(R15&lt;'2. Inputs'!$B$7,'3. Leases'!$B$5,0))</f>
        <v>0</v>
      </c>
      <c r="X15" s="13" t="n">
        <f aca="false">$A15-'3. Leases'!$D$6-1</f>
        <v>5</v>
      </c>
      <c r="Y15" s="13" t="n">
        <f aca="false">IF(X15&lt;0,-1,MOD(X15,'2. Inputs'!$B$7+'2. Inputs'!$B$9))</f>
        <v>5</v>
      </c>
      <c r="Z15" s="13" t="n">
        <f aca="false">IF(X15&lt;0,0,INT(X15/('2. Inputs'!$B$7+'2. Inputs'!$B$9)))</f>
        <v>0</v>
      </c>
      <c r="AA15" s="14" t="n">
        <f aca="false">IF($A15&lt;='3. Leases'!$D$6,'3. Leases'!$B$6*'3. Leases'!$C$6/4,IF(Y15&lt;'2. Inputs'!$B$7+'2. Inputs'!$B$8,0,'3. Leases'!$B$6*'2. Inputs'!$B$3*(1+'2. Inputs'!$B$4)^(('3. Leases'!$D$6+'2. Inputs'!$B$7+Z15*('2. Inputs'!$B$7+'2. Inputs'!$B$9))/4)/4))</f>
        <v>0</v>
      </c>
      <c r="AB15" s="14" t="n">
        <f aca="false">IF($A15&lt;='3. Leases'!$D$6,'3. Leases'!$B$6*'3. Leases'!$C$6,IF(Y15&lt;'2. Inputs'!$B$7,0,'3. Leases'!$B$6*'2. Inputs'!$B$3*(1+'2. Inputs'!$B$4)^(('3. Leases'!$D$6+'2. Inputs'!$B$7+Z15*('2. Inputs'!$B$7+'2. Inputs'!$B$9))/4)))</f>
        <v>310220.040195374</v>
      </c>
      <c r="AC15" s="14" t="n">
        <f aca="false">IF($A15&lt;='3. Leases'!$D$6,0,IF(Y15=0,'3. Leases'!$B$6*'2. Inputs'!$B$5*(1+'2. Inputs'!$B$6)^(('3. Leases'!$D$6+Z15*('2. Inputs'!$B$7+'2. Inputs'!$B$9))/4),0)+IF(Y15='2. Inputs'!$B$7,'2. Inputs'!$B$10*'2. Inputs'!$B$3*(1+'2. Inputs'!$B$4)^(('3. Leases'!$D$6+'2. Inputs'!$B$7+Z15*('2. Inputs'!$B$7+'2. Inputs'!$B$9))/4)*'3. Leases'!$B$6,0))</f>
        <v>0</v>
      </c>
      <c r="AD15" s="14" t="n">
        <f aca="false">IF($A15&lt;='3. Leases'!$D$6,0,IF(Y15&lt;'2. Inputs'!$B$7,'3. Leases'!$B$6,0))</f>
        <v>0</v>
      </c>
      <c r="AE15" s="13" t="n">
        <f aca="false">$A15-'3. Leases'!$D$7-1</f>
        <v>11</v>
      </c>
      <c r="AF15" s="13" t="n">
        <f aca="false">IF(AE15&lt;0,-1,MOD(AE15,'2. Inputs'!$B$7+'2. Inputs'!$B$9))</f>
        <v>11</v>
      </c>
      <c r="AG15" s="13" t="n">
        <f aca="false">IF(AE15&lt;0,0,INT(AE15/('2. Inputs'!$B$7+'2. Inputs'!$B$9)))</f>
        <v>0</v>
      </c>
      <c r="AH15" s="14" t="n">
        <f aca="false">IF($A15&lt;='3. Leases'!$D$7,'3. Leases'!$B$7*'3. Leases'!$C$7/4,IF(AF15&lt;'2. Inputs'!$B$7+'2. Inputs'!$B$8,0,'3. Leases'!$B$7*'2. Inputs'!$B$3*(1+'2. Inputs'!$B$4)^(('3. Leases'!$D$7+'2. Inputs'!$B$7+AG15*('2. Inputs'!$B$7+'2. Inputs'!$B$9))/4)/4))</f>
        <v>163819.103991457</v>
      </c>
      <c r="AI15" s="14" t="n">
        <f aca="false">IF($A15&lt;='3. Leases'!$D$7,'3. Leases'!$B$7*'3. Leases'!$C$7,IF(AF15&lt;'2. Inputs'!$B$7,0,'3. Leases'!$B$7*'2. Inputs'!$B$3*(1+'2. Inputs'!$B$4)^(('3. Leases'!$D$7+'2. Inputs'!$B$7+AG15*('2. Inputs'!$B$7+'2. Inputs'!$B$9))/4)))</f>
        <v>655276.415965829</v>
      </c>
      <c r="AJ15" s="14" t="n">
        <f aca="false">IF($A15&lt;='3. Leases'!$D$7,0,IF(AF15=0,'3. Leases'!$B$7*'2. Inputs'!$B$5*(1+'2. Inputs'!$B$6)^(('3. Leases'!$D$7+AG15*('2. Inputs'!$B$7+'2. Inputs'!$B$9))/4),0)+IF(AF15='2. Inputs'!$B$7,'2. Inputs'!$B$10*'2. Inputs'!$B$3*(1+'2. Inputs'!$B$4)^(('3. Leases'!$D$7+'2. Inputs'!$B$7+AG15*('2. Inputs'!$B$7+'2. Inputs'!$B$9))/4)*'3. Leases'!$B$7,0))</f>
        <v>0</v>
      </c>
      <c r="AK15" s="14" t="n">
        <f aca="false">IF($A15&lt;='3. Leases'!$D$7,0,IF(AF15&lt;'2. Inputs'!$B$7,'3. Leases'!$B$7,0))</f>
        <v>0</v>
      </c>
      <c r="AL15" s="14" t="n">
        <f aca="false">F15+M15+T15+AA15+AH15</f>
        <v>514154.103991457</v>
      </c>
      <c r="AM15" s="14" t="n">
        <f aca="false">G15+N15+U15+AB15+AI15</f>
        <v>2366836.4561612</v>
      </c>
      <c r="AN15" s="14" t="n">
        <f aca="false">H15+O15+V15+AC15+AJ15+IF($A15='2. Inputs'!$B$14,'2. Inputs'!$B$13,0)</f>
        <v>1900000</v>
      </c>
      <c r="AO15" s="14" t="n">
        <f aca="false">I15+P15+W15+AD15+AK15</f>
        <v>4200</v>
      </c>
      <c r="AP15" s="14" t="n">
        <f aca="false">AL15*(1-'2. Inputs'!$B$11)-AO15*'2. Inputs'!$B$12/4</f>
        <v>425554.85775197</v>
      </c>
      <c r="AQ15" s="14" t="n">
        <f aca="false">AP15-AN15</f>
        <v>-1474445.14224803</v>
      </c>
      <c r="AR15" s="15" t="n">
        <f aca="false">1/(1+((1+'2. Inputs'!$B$15)^0.25-1))^$A15</f>
        <v>0.799370585593036</v>
      </c>
      <c r="AS15" s="14" t="n">
        <f aca="false">AQ15*AR15</f>
        <v>-1178628.07678362</v>
      </c>
    </row>
    <row r="16" customFormat="false" ht="15" hidden="false" customHeight="false" outlineLevel="0" collapsed="false">
      <c r="A16" s="0" t="n">
        <v>13</v>
      </c>
      <c r="B16" s="0" t="n">
        <f aca="false">CEILING(A16/4,1)</f>
        <v>4</v>
      </c>
      <c r="C16" s="13" t="n">
        <f aca="false">$A16-'3. Leases'!$D$3-1</f>
        <v>2</v>
      </c>
      <c r="D16" s="13" t="n">
        <f aca="false">IF(C16&lt;0,-1,MOD(C16,'2. Inputs'!$B$7+'2. Inputs'!$B$9))</f>
        <v>2</v>
      </c>
      <c r="E16" s="13" t="n">
        <f aca="false">IF(C16&lt;0,0,INT(C16/('2. Inputs'!$B$7+'2. Inputs'!$B$9)))</f>
        <v>0</v>
      </c>
      <c r="F16" s="14" t="n">
        <f aca="false">IF($A16&lt;='3. Leases'!$D$3,'3. Leases'!$B$3*'3. Leases'!$C$3/4,IF(D16&lt;'2. Inputs'!$B$7+'2. Inputs'!$B$8,0,'3. Leases'!$B$3*'2. Inputs'!$B$3*(1+'2. Inputs'!$B$4)^(('3. Leases'!$D$3+'2. Inputs'!$B$7+E16*('2. Inputs'!$B$7+'2. Inputs'!$B$9))/4)/4))</f>
        <v>0</v>
      </c>
      <c r="G16" s="14" t="n">
        <f aca="false">IF($A16&lt;='3. Leases'!$D$3,'3. Leases'!$B$3*'3. Leases'!$C$3,IF(D16&lt;'2. Inputs'!$B$7,0,'3. Leases'!$B$3*'2. Inputs'!$B$3*(1+'2. Inputs'!$B$4)^(('3. Leases'!$D$3+'2. Inputs'!$B$7+E16*('2. Inputs'!$B$7+'2. Inputs'!$B$9))/4)))</f>
        <v>0</v>
      </c>
      <c r="H16" s="14" t="n">
        <f aca="false">IF($A16&lt;='3. Leases'!$D$3,0,IF(D16=0,'3. Leases'!$B$3*'2. Inputs'!$B$5*(1+'2. Inputs'!$B$6)^(('3. Leases'!$D$3+E16*('2. Inputs'!$B$7+'2. Inputs'!$B$9))/4),0)+IF(D16='2. Inputs'!$B$7,'2. Inputs'!$B$10*'2. Inputs'!$B$3*(1+'2. Inputs'!$B$4)^(('3. Leases'!$D$3+'2. Inputs'!$B$7+E16*('2. Inputs'!$B$7+'2. Inputs'!$B$9))/4)*'3. Leases'!$B$3,0))</f>
        <v>0</v>
      </c>
      <c r="I16" s="14" t="n">
        <f aca="false">IF($A16&lt;='3. Leases'!$D$3,0,IF(D16&lt;'2. Inputs'!$B$7,'3. Leases'!$B$3,0))</f>
        <v>4200</v>
      </c>
      <c r="J16" s="13" t="n">
        <f aca="false">$A16-'3. Leases'!$D$4-1</f>
        <v>-4</v>
      </c>
      <c r="K16" s="13" t="n">
        <f aca="false">IF(J16&lt;0,-1,MOD(J16,'2. Inputs'!$B$7+'2. Inputs'!$B$9))</f>
        <v>-1</v>
      </c>
      <c r="L16" s="13" t="n">
        <f aca="false">IF(J16&lt;0,0,INT(J16/('2. Inputs'!$B$7+'2. Inputs'!$B$9)))</f>
        <v>0</v>
      </c>
      <c r="M16" s="14" t="n">
        <f aca="false">IF($A16&lt;='3. Leases'!$D$4,'3. Leases'!$B$4*'3. Leases'!$C$4/4,IF(K16&lt;'2. Inputs'!$B$7+'2. Inputs'!$B$8,0,'3. Leases'!$B$4*'2. Inputs'!$B$3*(1+'2. Inputs'!$B$4)^(('3. Leases'!$D$4+'2. Inputs'!$B$7+L16*('2. Inputs'!$B$7+'2. Inputs'!$B$9))/4)/4))</f>
        <v>236375</v>
      </c>
      <c r="N16" s="14" t="n">
        <f aca="false">IF($A16&lt;='3. Leases'!$D$4,'3. Leases'!$B$4*'3. Leases'!$C$4,IF(K16&lt;'2. Inputs'!$B$7,0,'3. Leases'!$B$4*'2. Inputs'!$B$3*(1+'2. Inputs'!$B$4)^(('3. Leases'!$D$4+'2. Inputs'!$B$7+L16*('2. Inputs'!$B$7+'2. Inputs'!$B$9))/4)))</f>
        <v>945500</v>
      </c>
      <c r="O16" s="14" t="n">
        <f aca="false">IF($A16&lt;='3. Leases'!$D$4,0,IF(K16=0,'3. Leases'!$B$4*'2. Inputs'!$B$5*(1+'2. Inputs'!$B$6)^(('3. Leases'!$D$4+L16*('2. Inputs'!$B$7+'2. Inputs'!$B$9))/4),0)+IF(K16='2. Inputs'!$B$7,'2. Inputs'!$B$10*'2. Inputs'!$B$3*(1+'2. Inputs'!$B$4)^(('3. Leases'!$D$4+'2. Inputs'!$B$7+L16*('2. Inputs'!$B$7+'2. Inputs'!$B$9))/4)*'3. Leases'!$B$4,0))</f>
        <v>0</v>
      </c>
      <c r="P16" s="14" t="n">
        <f aca="false">IF($A16&lt;='3. Leases'!$D$4,0,IF(K16&lt;'2. Inputs'!$B$7,'3. Leases'!$B$4,0))</f>
        <v>0</v>
      </c>
      <c r="Q16" s="13" t="n">
        <f aca="false">$A16-'3. Leases'!$D$5-1</f>
        <v>-14</v>
      </c>
      <c r="R16" s="13" t="n">
        <f aca="false">IF(Q16&lt;0,-1,MOD(Q16,'2. Inputs'!$B$7+'2. Inputs'!$B$9))</f>
        <v>-1</v>
      </c>
      <c r="S16" s="13" t="n">
        <f aca="false">IF(Q16&lt;0,0,INT(Q16/('2. Inputs'!$B$7+'2. Inputs'!$B$9)))</f>
        <v>0</v>
      </c>
      <c r="T16" s="14" t="n">
        <f aca="false">IF($A16&lt;='3. Leases'!$D$5,'3. Leases'!$B$5*'3. Leases'!$C$5/4,IF(R16&lt;'2. Inputs'!$B$7+'2. Inputs'!$B$8,0,'3. Leases'!$B$5*'2. Inputs'!$B$3*(1+'2. Inputs'!$B$4)^(('3. Leases'!$D$5+'2. Inputs'!$B$7+S16*('2. Inputs'!$B$7+'2. Inputs'!$B$9))/4)/4))</f>
        <v>113960</v>
      </c>
      <c r="U16" s="14" t="n">
        <f aca="false">IF($A16&lt;='3. Leases'!$D$5,'3. Leases'!$B$5*'3. Leases'!$C$5,IF(R16&lt;'2. Inputs'!$B$7,0,'3. Leases'!$B$5*'2. Inputs'!$B$3*(1+'2. Inputs'!$B$4)^(('3. Leases'!$D$5+'2. Inputs'!$B$7+S16*('2. Inputs'!$B$7+'2. Inputs'!$B$9))/4)))</f>
        <v>455840</v>
      </c>
      <c r="V16" s="14" t="n">
        <f aca="false">IF($A16&lt;='3. Leases'!$D$5,0,IF(R16=0,'3. Leases'!$B$5*'2. Inputs'!$B$5*(1+'2. Inputs'!$B$6)^(('3. Leases'!$D$5+S16*('2. Inputs'!$B$7+'2. Inputs'!$B$9))/4),0)+IF(R16='2. Inputs'!$B$7,'2. Inputs'!$B$10*'2. Inputs'!$B$3*(1+'2. Inputs'!$B$4)^(('3. Leases'!$D$5+'2. Inputs'!$B$7+S16*('2. Inputs'!$B$7+'2. Inputs'!$B$9))/4)*'3. Leases'!$B$5,0))</f>
        <v>0</v>
      </c>
      <c r="W16" s="14" t="n">
        <f aca="false">IF($A16&lt;='3. Leases'!$D$5,0,IF(R16&lt;'2. Inputs'!$B$7,'3. Leases'!$B$5,0))</f>
        <v>0</v>
      </c>
      <c r="X16" s="13" t="n">
        <f aca="false">$A16-'3. Leases'!$D$6-1</f>
        <v>6</v>
      </c>
      <c r="Y16" s="13" t="n">
        <f aca="false">IF(X16&lt;0,-1,MOD(X16,'2. Inputs'!$B$7+'2. Inputs'!$B$9))</f>
        <v>6</v>
      </c>
      <c r="Z16" s="13" t="n">
        <f aca="false">IF(X16&lt;0,0,INT(X16/('2. Inputs'!$B$7+'2. Inputs'!$B$9)))</f>
        <v>0</v>
      </c>
      <c r="AA16" s="14" t="n">
        <f aca="false">IF($A16&lt;='3. Leases'!$D$6,'3. Leases'!$B$6*'3. Leases'!$C$6/4,IF(Y16&lt;'2. Inputs'!$B$7+'2. Inputs'!$B$8,0,'3. Leases'!$B$6*'2. Inputs'!$B$3*(1+'2. Inputs'!$B$4)^(('3. Leases'!$D$6+'2. Inputs'!$B$7+Z16*('2. Inputs'!$B$7+'2. Inputs'!$B$9))/4)/4))</f>
        <v>77555.0100488435</v>
      </c>
      <c r="AB16" s="14" t="n">
        <f aca="false">IF($A16&lt;='3. Leases'!$D$6,'3. Leases'!$B$6*'3. Leases'!$C$6,IF(Y16&lt;'2. Inputs'!$B$7,0,'3. Leases'!$B$6*'2. Inputs'!$B$3*(1+'2. Inputs'!$B$4)^(('3. Leases'!$D$6+'2. Inputs'!$B$7+Z16*('2. Inputs'!$B$7+'2. Inputs'!$B$9))/4)))</f>
        <v>310220.040195374</v>
      </c>
      <c r="AC16" s="14" t="n">
        <f aca="false">IF($A16&lt;='3. Leases'!$D$6,0,IF(Y16=0,'3. Leases'!$B$6*'2. Inputs'!$B$5*(1+'2. Inputs'!$B$6)^(('3. Leases'!$D$6+Z16*('2. Inputs'!$B$7+'2. Inputs'!$B$9))/4),0)+IF(Y16='2. Inputs'!$B$7,'2. Inputs'!$B$10*'2. Inputs'!$B$3*(1+'2. Inputs'!$B$4)^(('3. Leases'!$D$6+'2. Inputs'!$B$7+Z16*('2. Inputs'!$B$7+'2. Inputs'!$B$9))/4)*'3. Leases'!$B$6,0))</f>
        <v>0</v>
      </c>
      <c r="AD16" s="14" t="n">
        <f aca="false">IF($A16&lt;='3. Leases'!$D$6,0,IF(Y16&lt;'2. Inputs'!$B$7,'3. Leases'!$B$6,0))</f>
        <v>0</v>
      </c>
      <c r="AE16" s="13" t="n">
        <f aca="false">$A16-'3. Leases'!$D$7-1</f>
        <v>12</v>
      </c>
      <c r="AF16" s="13" t="n">
        <f aca="false">IF(AE16&lt;0,-1,MOD(AE16,'2. Inputs'!$B$7+'2. Inputs'!$B$9))</f>
        <v>12</v>
      </c>
      <c r="AG16" s="13" t="n">
        <f aca="false">IF(AE16&lt;0,0,INT(AE16/('2. Inputs'!$B$7+'2. Inputs'!$B$9)))</f>
        <v>0</v>
      </c>
      <c r="AH16" s="14" t="n">
        <f aca="false">IF($A16&lt;='3. Leases'!$D$7,'3. Leases'!$B$7*'3. Leases'!$C$7/4,IF(AF16&lt;'2. Inputs'!$B$7+'2. Inputs'!$B$8,0,'3. Leases'!$B$7*'2. Inputs'!$B$3*(1+'2. Inputs'!$B$4)^(('3. Leases'!$D$7+'2. Inputs'!$B$7+AG16*('2. Inputs'!$B$7+'2. Inputs'!$B$9))/4)/4))</f>
        <v>163819.103991457</v>
      </c>
      <c r="AI16" s="14" t="n">
        <f aca="false">IF($A16&lt;='3. Leases'!$D$7,'3. Leases'!$B$7*'3. Leases'!$C$7,IF(AF16&lt;'2. Inputs'!$B$7,0,'3. Leases'!$B$7*'2. Inputs'!$B$3*(1+'2. Inputs'!$B$4)^(('3. Leases'!$D$7+'2. Inputs'!$B$7+AG16*('2. Inputs'!$B$7+'2. Inputs'!$B$9))/4)))</f>
        <v>655276.415965829</v>
      </c>
      <c r="AJ16" s="14" t="n">
        <f aca="false">IF($A16&lt;='3. Leases'!$D$7,0,IF(AF16=0,'3. Leases'!$B$7*'2. Inputs'!$B$5*(1+'2. Inputs'!$B$6)^(('3. Leases'!$D$7+AG16*('2. Inputs'!$B$7+'2. Inputs'!$B$9))/4),0)+IF(AF16='2. Inputs'!$B$7,'2. Inputs'!$B$10*'2. Inputs'!$B$3*(1+'2. Inputs'!$B$4)^(('3. Leases'!$D$7+'2. Inputs'!$B$7+AG16*('2. Inputs'!$B$7+'2. Inputs'!$B$9))/4)*'3. Leases'!$B$7,0))</f>
        <v>0</v>
      </c>
      <c r="AK16" s="14" t="n">
        <f aca="false">IF($A16&lt;='3. Leases'!$D$7,0,IF(AF16&lt;'2. Inputs'!$B$7,'3. Leases'!$B$7,0))</f>
        <v>0</v>
      </c>
      <c r="AL16" s="14" t="n">
        <f aca="false">F16+M16+T16+AA16+AH16</f>
        <v>591709.114040301</v>
      </c>
      <c r="AM16" s="14" t="n">
        <f aca="false">G16+N16+U16+AB16+AI16</f>
        <v>2366836.4561612</v>
      </c>
      <c r="AN16" s="14" t="n">
        <f aca="false">H16+O16+V16+AC16+AJ16+IF($A16='2. Inputs'!$B$14,'2. Inputs'!$B$13,0)</f>
        <v>0</v>
      </c>
      <c r="AO16" s="14" t="n">
        <f aca="false">I16+P16+W16+AD16+AK16</f>
        <v>4200</v>
      </c>
      <c r="AP16" s="14" t="n">
        <f aca="false">AL16*(1-'2. Inputs'!$B$11)-AO16*'2. Inputs'!$B$12/4</f>
        <v>498456.567197883</v>
      </c>
      <c r="AQ16" s="14" t="n">
        <f aca="false">AP16-AN16</f>
        <v>498456.567197883</v>
      </c>
      <c r="AR16" s="15" t="n">
        <f aca="false">1/(1+((1+'2. Inputs'!$B$15)^0.25-1))^$A16</f>
        <v>0.784591942568485</v>
      </c>
      <c r="AS16" s="14" t="n">
        <f aca="false">AQ16*AR16</f>
        <v>391085.006343805</v>
      </c>
    </row>
    <row r="17" customFormat="false" ht="15" hidden="false" customHeight="false" outlineLevel="0" collapsed="false">
      <c r="A17" s="0" t="n">
        <v>14</v>
      </c>
      <c r="B17" s="0" t="n">
        <f aca="false">CEILING(A17/4,1)</f>
        <v>4</v>
      </c>
      <c r="C17" s="13" t="n">
        <f aca="false">$A17-'3. Leases'!$D$3-1</f>
        <v>3</v>
      </c>
      <c r="D17" s="13" t="n">
        <f aca="false">IF(C17&lt;0,-1,MOD(C17,'2. Inputs'!$B$7+'2. Inputs'!$B$9))</f>
        <v>3</v>
      </c>
      <c r="E17" s="13" t="n">
        <f aca="false">IF(C17&lt;0,0,INT(C17/('2. Inputs'!$B$7+'2. Inputs'!$B$9)))</f>
        <v>0</v>
      </c>
      <c r="F17" s="14" t="n">
        <f aca="false">IF($A17&lt;='3. Leases'!$D$3,'3. Leases'!$B$3*'3. Leases'!$C$3/4,IF(D17&lt;'2. Inputs'!$B$7+'2. Inputs'!$B$8,0,'3. Leases'!$B$3*'2. Inputs'!$B$3*(1+'2. Inputs'!$B$4)^(('3. Leases'!$D$3+'2. Inputs'!$B$7+E17*('2. Inputs'!$B$7+'2. Inputs'!$B$9))/4)/4))</f>
        <v>0</v>
      </c>
      <c r="G17" s="14" t="n">
        <f aca="false">IF($A17&lt;='3. Leases'!$D$3,'3. Leases'!$B$3*'3. Leases'!$C$3,IF(D17&lt;'2. Inputs'!$B$7,0,'3. Leases'!$B$3*'2. Inputs'!$B$3*(1+'2. Inputs'!$B$4)^(('3. Leases'!$D$3+'2. Inputs'!$B$7+E17*('2. Inputs'!$B$7+'2. Inputs'!$B$9))/4)))</f>
        <v>1322468.03135288</v>
      </c>
      <c r="H17" s="14" t="n">
        <f aca="false">IF($A17&lt;='3. Leases'!$D$3,0,IF(D17=0,'3. Leases'!$B$3*'2. Inputs'!$B$5*(1+'2. Inputs'!$B$6)^(('3. Leases'!$D$3+E17*('2. Inputs'!$B$7+'2. Inputs'!$B$9))/4),0)+IF(D17='2. Inputs'!$B$7,'2. Inputs'!$B$10*'2. Inputs'!$B$3*(1+'2. Inputs'!$B$4)^(('3. Leases'!$D$3+'2. Inputs'!$B$7+E17*('2. Inputs'!$B$7+'2. Inputs'!$B$9))/4)*'3. Leases'!$B$3,0))</f>
        <v>158696.163762346</v>
      </c>
      <c r="I17" s="14" t="n">
        <f aca="false">IF($A17&lt;='3. Leases'!$D$3,0,IF(D17&lt;'2. Inputs'!$B$7,'3. Leases'!$B$3,0))</f>
        <v>0</v>
      </c>
      <c r="J17" s="13" t="n">
        <f aca="false">$A17-'3. Leases'!$D$4-1</f>
        <v>-3</v>
      </c>
      <c r="K17" s="13" t="n">
        <f aca="false">IF(J17&lt;0,-1,MOD(J17,'2. Inputs'!$B$7+'2. Inputs'!$B$9))</f>
        <v>-1</v>
      </c>
      <c r="L17" s="13" t="n">
        <f aca="false">IF(J17&lt;0,0,INT(J17/('2. Inputs'!$B$7+'2. Inputs'!$B$9)))</f>
        <v>0</v>
      </c>
      <c r="M17" s="14" t="n">
        <f aca="false">IF($A17&lt;='3. Leases'!$D$4,'3. Leases'!$B$4*'3. Leases'!$C$4/4,IF(K17&lt;'2. Inputs'!$B$7+'2. Inputs'!$B$8,0,'3. Leases'!$B$4*'2. Inputs'!$B$3*(1+'2. Inputs'!$B$4)^(('3. Leases'!$D$4+'2. Inputs'!$B$7+L17*('2. Inputs'!$B$7+'2. Inputs'!$B$9))/4)/4))</f>
        <v>236375</v>
      </c>
      <c r="N17" s="14" t="n">
        <f aca="false">IF($A17&lt;='3. Leases'!$D$4,'3. Leases'!$B$4*'3. Leases'!$C$4,IF(K17&lt;'2. Inputs'!$B$7,0,'3. Leases'!$B$4*'2. Inputs'!$B$3*(1+'2. Inputs'!$B$4)^(('3. Leases'!$D$4+'2. Inputs'!$B$7+L17*('2. Inputs'!$B$7+'2. Inputs'!$B$9))/4)))</f>
        <v>945500</v>
      </c>
      <c r="O17" s="14" t="n">
        <f aca="false">IF($A17&lt;='3. Leases'!$D$4,0,IF(K17=0,'3. Leases'!$B$4*'2. Inputs'!$B$5*(1+'2. Inputs'!$B$6)^(('3. Leases'!$D$4+L17*('2. Inputs'!$B$7+'2. Inputs'!$B$9))/4),0)+IF(K17='2. Inputs'!$B$7,'2. Inputs'!$B$10*'2. Inputs'!$B$3*(1+'2. Inputs'!$B$4)^(('3. Leases'!$D$4+'2. Inputs'!$B$7+L17*('2. Inputs'!$B$7+'2. Inputs'!$B$9))/4)*'3. Leases'!$B$4,0))</f>
        <v>0</v>
      </c>
      <c r="P17" s="14" t="n">
        <f aca="false">IF($A17&lt;='3. Leases'!$D$4,0,IF(K17&lt;'2. Inputs'!$B$7,'3. Leases'!$B$4,0))</f>
        <v>0</v>
      </c>
      <c r="Q17" s="13" t="n">
        <f aca="false">$A17-'3. Leases'!$D$5-1</f>
        <v>-13</v>
      </c>
      <c r="R17" s="13" t="n">
        <f aca="false">IF(Q17&lt;0,-1,MOD(Q17,'2. Inputs'!$B$7+'2. Inputs'!$B$9))</f>
        <v>-1</v>
      </c>
      <c r="S17" s="13" t="n">
        <f aca="false">IF(Q17&lt;0,0,INT(Q17/('2. Inputs'!$B$7+'2. Inputs'!$B$9)))</f>
        <v>0</v>
      </c>
      <c r="T17" s="14" t="n">
        <f aca="false">IF($A17&lt;='3. Leases'!$D$5,'3. Leases'!$B$5*'3. Leases'!$C$5/4,IF(R17&lt;'2. Inputs'!$B$7+'2. Inputs'!$B$8,0,'3. Leases'!$B$5*'2. Inputs'!$B$3*(1+'2. Inputs'!$B$4)^(('3. Leases'!$D$5+'2. Inputs'!$B$7+S17*('2. Inputs'!$B$7+'2. Inputs'!$B$9))/4)/4))</f>
        <v>113960</v>
      </c>
      <c r="U17" s="14" t="n">
        <f aca="false">IF($A17&lt;='3. Leases'!$D$5,'3. Leases'!$B$5*'3. Leases'!$C$5,IF(R17&lt;'2. Inputs'!$B$7,0,'3. Leases'!$B$5*'2. Inputs'!$B$3*(1+'2. Inputs'!$B$4)^(('3. Leases'!$D$5+'2. Inputs'!$B$7+S17*('2. Inputs'!$B$7+'2. Inputs'!$B$9))/4)))</f>
        <v>455840</v>
      </c>
      <c r="V17" s="14" t="n">
        <f aca="false">IF($A17&lt;='3. Leases'!$D$5,0,IF(R17=0,'3. Leases'!$B$5*'2. Inputs'!$B$5*(1+'2. Inputs'!$B$6)^(('3. Leases'!$D$5+S17*('2. Inputs'!$B$7+'2. Inputs'!$B$9))/4),0)+IF(R17='2. Inputs'!$B$7,'2. Inputs'!$B$10*'2. Inputs'!$B$3*(1+'2. Inputs'!$B$4)^(('3. Leases'!$D$5+'2. Inputs'!$B$7+S17*('2. Inputs'!$B$7+'2. Inputs'!$B$9))/4)*'3. Leases'!$B$5,0))</f>
        <v>0</v>
      </c>
      <c r="W17" s="14" t="n">
        <f aca="false">IF($A17&lt;='3. Leases'!$D$5,0,IF(R17&lt;'2. Inputs'!$B$7,'3. Leases'!$B$5,0))</f>
        <v>0</v>
      </c>
      <c r="X17" s="13" t="n">
        <f aca="false">$A17-'3. Leases'!$D$6-1</f>
        <v>7</v>
      </c>
      <c r="Y17" s="13" t="n">
        <f aca="false">IF(X17&lt;0,-1,MOD(X17,'2. Inputs'!$B$7+'2. Inputs'!$B$9))</f>
        <v>7</v>
      </c>
      <c r="Z17" s="13" t="n">
        <f aca="false">IF(X17&lt;0,0,INT(X17/('2. Inputs'!$B$7+'2. Inputs'!$B$9)))</f>
        <v>0</v>
      </c>
      <c r="AA17" s="14" t="n">
        <f aca="false">IF($A17&lt;='3. Leases'!$D$6,'3. Leases'!$B$6*'3. Leases'!$C$6/4,IF(Y17&lt;'2. Inputs'!$B$7+'2. Inputs'!$B$8,0,'3. Leases'!$B$6*'2. Inputs'!$B$3*(1+'2. Inputs'!$B$4)^(('3. Leases'!$D$6+'2. Inputs'!$B$7+Z17*('2. Inputs'!$B$7+'2. Inputs'!$B$9))/4)/4))</f>
        <v>77555.0100488435</v>
      </c>
      <c r="AB17" s="14" t="n">
        <f aca="false">IF($A17&lt;='3. Leases'!$D$6,'3. Leases'!$B$6*'3. Leases'!$C$6,IF(Y17&lt;'2. Inputs'!$B$7,0,'3. Leases'!$B$6*'2. Inputs'!$B$3*(1+'2. Inputs'!$B$4)^(('3. Leases'!$D$6+'2. Inputs'!$B$7+Z17*('2. Inputs'!$B$7+'2. Inputs'!$B$9))/4)))</f>
        <v>310220.040195374</v>
      </c>
      <c r="AC17" s="14" t="n">
        <f aca="false">IF($A17&lt;='3. Leases'!$D$6,0,IF(Y17=0,'3. Leases'!$B$6*'2. Inputs'!$B$5*(1+'2. Inputs'!$B$6)^(('3. Leases'!$D$6+Z17*('2. Inputs'!$B$7+'2. Inputs'!$B$9))/4),0)+IF(Y17='2. Inputs'!$B$7,'2. Inputs'!$B$10*'2. Inputs'!$B$3*(1+'2. Inputs'!$B$4)^(('3. Leases'!$D$6+'2. Inputs'!$B$7+Z17*('2. Inputs'!$B$7+'2. Inputs'!$B$9))/4)*'3. Leases'!$B$6,0))</f>
        <v>0</v>
      </c>
      <c r="AD17" s="14" t="n">
        <f aca="false">IF($A17&lt;='3. Leases'!$D$6,0,IF(Y17&lt;'2. Inputs'!$B$7,'3. Leases'!$B$6,0))</f>
        <v>0</v>
      </c>
      <c r="AE17" s="13" t="n">
        <f aca="false">$A17-'3. Leases'!$D$7-1</f>
        <v>13</v>
      </c>
      <c r="AF17" s="13" t="n">
        <f aca="false">IF(AE17&lt;0,-1,MOD(AE17,'2. Inputs'!$B$7+'2. Inputs'!$B$9))</f>
        <v>13</v>
      </c>
      <c r="AG17" s="13" t="n">
        <f aca="false">IF(AE17&lt;0,0,INT(AE17/('2. Inputs'!$B$7+'2. Inputs'!$B$9)))</f>
        <v>0</v>
      </c>
      <c r="AH17" s="14" t="n">
        <f aca="false">IF($A17&lt;='3. Leases'!$D$7,'3. Leases'!$B$7*'3. Leases'!$C$7/4,IF(AF17&lt;'2. Inputs'!$B$7+'2. Inputs'!$B$8,0,'3. Leases'!$B$7*'2. Inputs'!$B$3*(1+'2. Inputs'!$B$4)^(('3. Leases'!$D$7+'2. Inputs'!$B$7+AG17*('2. Inputs'!$B$7+'2. Inputs'!$B$9))/4)/4))</f>
        <v>163819.103991457</v>
      </c>
      <c r="AI17" s="14" t="n">
        <f aca="false">IF($A17&lt;='3. Leases'!$D$7,'3. Leases'!$B$7*'3. Leases'!$C$7,IF(AF17&lt;'2. Inputs'!$B$7,0,'3. Leases'!$B$7*'2. Inputs'!$B$3*(1+'2. Inputs'!$B$4)^(('3. Leases'!$D$7+'2. Inputs'!$B$7+AG17*('2. Inputs'!$B$7+'2. Inputs'!$B$9))/4)))</f>
        <v>655276.415965829</v>
      </c>
      <c r="AJ17" s="14" t="n">
        <f aca="false">IF($A17&lt;='3. Leases'!$D$7,0,IF(AF17=0,'3. Leases'!$B$7*'2. Inputs'!$B$5*(1+'2. Inputs'!$B$6)^(('3. Leases'!$D$7+AG17*('2. Inputs'!$B$7+'2. Inputs'!$B$9))/4),0)+IF(AF17='2. Inputs'!$B$7,'2. Inputs'!$B$10*'2. Inputs'!$B$3*(1+'2. Inputs'!$B$4)^(('3. Leases'!$D$7+'2. Inputs'!$B$7+AG17*('2. Inputs'!$B$7+'2. Inputs'!$B$9))/4)*'3. Leases'!$B$7,0))</f>
        <v>0</v>
      </c>
      <c r="AK17" s="14" t="n">
        <f aca="false">IF($A17&lt;='3. Leases'!$D$7,0,IF(AF17&lt;'2. Inputs'!$B$7,'3. Leases'!$B$7,0))</f>
        <v>0</v>
      </c>
      <c r="AL17" s="14" t="n">
        <f aca="false">F17+M17+T17+AA17+AH17</f>
        <v>591709.114040301</v>
      </c>
      <c r="AM17" s="14" t="n">
        <f aca="false">G17+N17+U17+AB17+AI17</f>
        <v>3689304.48751408</v>
      </c>
      <c r="AN17" s="14" t="n">
        <f aca="false">H17+O17+V17+AC17+AJ17+IF($A17='2. Inputs'!$B$14,'2. Inputs'!$B$13,0)</f>
        <v>158696.163762346</v>
      </c>
      <c r="AO17" s="14" t="n">
        <f aca="false">I17+P17+W17+AD17+AK17</f>
        <v>0</v>
      </c>
      <c r="AP17" s="14" t="n">
        <f aca="false">AL17*(1-'2. Inputs'!$B$11)-AO17*'2. Inputs'!$B$12/4</f>
        <v>556206.567197883</v>
      </c>
      <c r="AQ17" s="14" t="n">
        <f aca="false">AP17-AN17</f>
        <v>397510.403435537</v>
      </c>
      <c r="AR17" s="15" t="n">
        <f aca="false">1/(1+((1+'2. Inputs'!$B$15)^0.25-1))^$A17</f>
        <v>0.770086524870939</v>
      </c>
      <c r="AS17" s="14" t="n">
        <f aca="false">AQ17*AR17</f>
        <v>306117.405181718</v>
      </c>
    </row>
    <row r="18" customFormat="false" ht="15" hidden="false" customHeight="false" outlineLevel="0" collapsed="false">
      <c r="A18" s="0" t="n">
        <v>15</v>
      </c>
      <c r="B18" s="0" t="n">
        <f aca="false">CEILING(A18/4,1)</f>
        <v>4</v>
      </c>
      <c r="C18" s="13" t="n">
        <f aca="false">$A18-'3. Leases'!$D$3-1</f>
        <v>4</v>
      </c>
      <c r="D18" s="13" t="n">
        <f aca="false">IF(C18&lt;0,-1,MOD(C18,'2. Inputs'!$B$7+'2. Inputs'!$B$9))</f>
        <v>4</v>
      </c>
      <c r="E18" s="13" t="n">
        <f aca="false">IF(C18&lt;0,0,INT(C18/('2. Inputs'!$B$7+'2. Inputs'!$B$9)))</f>
        <v>0</v>
      </c>
      <c r="F18" s="14" t="n">
        <f aca="false">IF($A18&lt;='3. Leases'!$D$3,'3. Leases'!$B$3*'3. Leases'!$C$3/4,IF(D18&lt;'2. Inputs'!$B$7+'2. Inputs'!$B$8,0,'3. Leases'!$B$3*'2. Inputs'!$B$3*(1+'2. Inputs'!$B$4)^(('3. Leases'!$D$3+'2. Inputs'!$B$7+E18*('2. Inputs'!$B$7+'2. Inputs'!$B$9))/4)/4))</f>
        <v>0</v>
      </c>
      <c r="G18" s="14" t="n">
        <f aca="false">IF($A18&lt;='3. Leases'!$D$3,'3. Leases'!$B$3*'3. Leases'!$C$3,IF(D18&lt;'2. Inputs'!$B$7,0,'3. Leases'!$B$3*'2. Inputs'!$B$3*(1+'2. Inputs'!$B$4)^(('3. Leases'!$D$3+'2. Inputs'!$B$7+E18*('2. Inputs'!$B$7+'2. Inputs'!$B$9))/4)))</f>
        <v>1322468.03135288</v>
      </c>
      <c r="H18" s="14" t="n">
        <f aca="false">IF($A18&lt;='3. Leases'!$D$3,0,IF(D18=0,'3. Leases'!$B$3*'2. Inputs'!$B$5*(1+'2. Inputs'!$B$6)^(('3. Leases'!$D$3+E18*('2. Inputs'!$B$7+'2. Inputs'!$B$9))/4),0)+IF(D18='2. Inputs'!$B$7,'2. Inputs'!$B$10*'2. Inputs'!$B$3*(1+'2. Inputs'!$B$4)^(('3. Leases'!$D$3+'2. Inputs'!$B$7+E18*('2. Inputs'!$B$7+'2. Inputs'!$B$9))/4)*'3. Leases'!$B$3,0))</f>
        <v>0</v>
      </c>
      <c r="I18" s="14" t="n">
        <f aca="false">IF($A18&lt;='3. Leases'!$D$3,0,IF(D18&lt;'2. Inputs'!$B$7,'3. Leases'!$B$3,0))</f>
        <v>0</v>
      </c>
      <c r="J18" s="13" t="n">
        <f aca="false">$A18-'3. Leases'!$D$4-1</f>
        <v>-2</v>
      </c>
      <c r="K18" s="13" t="n">
        <f aca="false">IF(J18&lt;0,-1,MOD(J18,'2. Inputs'!$B$7+'2. Inputs'!$B$9))</f>
        <v>-1</v>
      </c>
      <c r="L18" s="13" t="n">
        <f aca="false">IF(J18&lt;0,0,INT(J18/('2. Inputs'!$B$7+'2. Inputs'!$B$9)))</f>
        <v>0</v>
      </c>
      <c r="M18" s="14" t="n">
        <f aca="false">IF($A18&lt;='3. Leases'!$D$4,'3. Leases'!$B$4*'3. Leases'!$C$4/4,IF(K18&lt;'2. Inputs'!$B$7+'2. Inputs'!$B$8,0,'3. Leases'!$B$4*'2. Inputs'!$B$3*(1+'2. Inputs'!$B$4)^(('3. Leases'!$D$4+'2. Inputs'!$B$7+L18*('2. Inputs'!$B$7+'2. Inputs'!$B$9))/4)/4))</f>
        <v>236375</v>
      </c>
      <c r="N18" s="14" t="n">
        <f aca="false">IF($A18&lt;='3. Leases'!$D$4,'3. Leases'!$B$4*'3. Leases'!$C$4,IF(K18&lt;'2. Inputs'!$B$7,0,'3. Leases'!$B$4*'2. Inputs'!$B$3*(1+'2. Inputs'!$B$4)^(('3. Leases'!$D$4+'2. Inputs'!$B$7+L18*('2. Inputs'!$B$7+'2. Inputs'!$B$9))/4)))</f>
        <v>945500</v>
      </c>
      <c r="O18" s="14" t="n">
        <f aca="false">IF($A18&lt;='3. Leases'!$D$4,0,IF(K18=0,'3. Leases'!$B$4*'2. Inputs'!$B$5*(1+'2. Inputs'!$B$6)^(('3. Leases'!$D$4+L18*('2. Inputs'!$B$7+'2. Inputs'!$B$9))/4),0)+IF(K18='2. Inputs'!$B$7,'2. Inputs'!$B$10*'2. Inputs'!$B$3*(1+'2. Inputs'!$B$4)^(('3. Leases'!$D$4+'2. Inputs'!$B$7+L18*('2. Inputs'!$B$7+'2. Inputs'!$B$9))/4)*'3. Leases'!$B$4,0))</f>
        <v>0</v>
      </c>
      <c r="P18" s="14" t="n">
        <f aca="false">IF($A18&lt;='3. Leases'!$D$4,0,IF(K18&lt;'2. Inputs'!$B$7,'3. Leases'!$B$4,0))</f>
        <v>0</v>
      </c>
      <c r="Q18" s="13" t="n">
        <f aca="false">$A18-'3. Leases'!$D$5-1</f>
        <v>-12</v>
      </c>
      <c r="R18" s="13" t="n">
        <f aca="false">IF(Q18&lt;0,-1,MOD(Q18,'2. Inputs'!$B$7+'2. Inputs'!$B$9))</f>
        <v>-1</v>
      </c>
      <c r="S18" s="13" t="n">
        <f aca="false">IF(Q18&lt;0,0,INT(Q18/('2. Inputs'!$B$7+'2. Inputs'!$B$9)))</f>
        <v>0</v>
      </c>
      <c r="T18" s="14" t="n">
        <f aca="false">IF($A18&lt;='3. Leases'!$D$5,'3. Leases'!$B$5*'3. Leases'!$C$5/4,IF(R18&lt;'2. Inputs'!$B$7+'2. Inputs'!$B$8,0,'3. Leases'!$B$5*'2. Inputs'!$B$3*(1+'2. Inputs'!$B$4)^(('3. Leases'!$D$5+'2. Inputs'!$B$7+S18*('2. Inputs'!$B$7+'2. Inputs'!$B$9))/4)/4))</f>
        <v>113960</v>
      </c>
      <c r="U18" s="14" t="n">
        <f aca="false">IF($A18&lt;='3. Leases'!$D$5,'3. Leases'!$B$5*'3. Leases'!$C$5,IF(R18&lt;'2. Inputs'!$B$7,0,'3. Leases'!$B$5*'2. Inputs'!$B$3*(1+'2. Inputs'!$B$4)^(('3. Leases'!$D$5+'2. Inputs'!$B$7+S18*('2. Inputs'!$B$7+'2. Inputs'!$B$9))/4)))</f>
        <v>455840</v>
      </c>
      <c r="V18" s="14" t="n">
        <f aca="false">IF($A18&lt;='3. Leases'!$D$5,0,IF(R18=0,'3. Leases'!$B$5*'2. Inputs'!$B$5*(1+'2. Inputs'!$B$6)^(('3. Leases'!$D$5+S18*('2. Inputs'!$B$7+'2. Inputs'!$B$9))/4),0)+IF(R18='2. Inputs'!$B$7,'2. Inputs'!$B$10*'2. Inputs'!$B$3*(1+'2. Inputs'!$B$4)^(('3. Leases'!$D$5+'2. Inputs'!$B$7+S18*('2. Inputs'!$B$7+'2. Inputs'!$B$9))/4)*'3. Leases'!$B$5,0))</f>
        <v>0</v>
      </c>
      <c r="W18" s="14" t="n">
        <f aca="false">IF($A18&lt;='3. Leases'!$D$5,0,IF(R18&lt;'2. Inputs'!$B$7,'3. Leases'!$B$5,0))</f>
        <v>0</v>
      </c>
      <c r="X18" s="13" t="n">
        <f aca="false">$A18-'3. Leases'!$D$6-1</f>
        <v>8</v>
      </c>
      <c r="Y18" s="13" t="n">
        <f aca="false">IF(X18&lt;0,-1,MOD(X18,'2. Inputs'!$B$7+'2. Inputs'!$B$9))</f>
        <v>8</v>
      </c>
      <c r="Z18" s="13" t="n">
        <f aca="false">IF(X18&lt;0,0,INT(X18/('2. Inputs'!$B$7+'2. Inputs'!$B$9)))</f>
        <v>0</v>
      </c>
      <c r="AA18" s="14" t="n">
        <f aca="false">IF($A18&lt;='3. Leases'!$D$6,'3. Leases'!$B$6*'3. Leases'!$C$6/4,IF(Y18&lt;'2. Inputs'!$B$7+'2. Inputs'!$B$8,0,'3. Leases'!$B$6*'2. Inputs'!$B$3*(1+'2. Inputs'!$B$4)^(('3. Leases'!$D$6+'2. Inputs'!$B$7+Z18*('2. Inputs'!$B$7+'2. Inputs'!$B$9))/4)/4))</f>
        <v>77555.0100488435</v>
      </c>
      <c r="AB18" s="14" t="n">
        <f aca="false">IF($A18&lt;='3. Leases'!$D$6,'3. Leases'!$B$6*'3. Leases'!$C$6,IF(Y18&lt;'2. Inputs'!$B$7,0,'3. Leases'!$B$6*'2. Inputs'!$B$3*(1+'2. Inputs'!$B$4)^(('3. Leases'!$D$6+'2. Inputs'!$B$7+Z18*('2. Inputs'!$B$7+'2. Inputs'!$B$9))/4)))</f>
        <v>310220.040195374</v>
      </c>
      <c r="AC18" s="14" t="n">
        <f aca="false">IF($A18&lt;='3. Leases'!$D$6,0,IF(Y18=0,'3. Leases'!$B$6*'2. Inputs'!$B$5*(1+'2. Inputs'!$B$6)^(('3. Leases'!$D$6+Z18*('2. Inputs'!$B$7+'2. Inputs'!$B$9))/4),0)+IF(Y18='2. Inputs'!$B$7,'2. Inputs'!$B$10*'2. Inputs'!$B$3*(1+'2. Inputs'!$B$4)^(('3. Leases'!$D$6+'2. Inputs'!$B$7+Z18*('2. Inputs'!$B$7+'2. Inputs'!$B$9))/4)*'3. Leases'!$B$6,0))</f>
        <v>0</v>
      </c>
      <c r="AD18" s="14" t="n">
        <f aca="false">IF($A18&lt;='3. Leases'!$D$6,0,IF(Y18&lt;'2. Inputs'!$B$7,'3. Leases'!$B$6,0))</f>
        <v>0</v>
      </c>
      <c r="AE18" s="13" t="n">
        <f aca="false">$A18-'3. Leases'!$D$7-1</f>
        <v>14</v>
      </c>
      <c r="AF18" s="13" t="n">
        <f aca="false">IF(AE18&lt;0,-1,MOD(AE18,'2. Inputs'!$B$7+'2. Inputs'!$B$9))</f>
        <v>14</v>
      </c>
      <c r="AG18" s="13" t="n">
        <f aca="false">IF(AE18&lt;0,0,INT(AE18/('2. Inputs'!$B$7+'2. Inputs'!$B$9)))</f>
        <v>0</v>
      </c>
      <c r="AH18" s="14" t="n">
        <f aca="false">IF($A18&lt;='3. Leases'!$D$7,'3. Leases'!$B$7*'3. Leases'!$C$7/4,IF(AF18&lt;'2. Inputs'!$B$7+'2. Inputs'!$B$8,0,'3. Leases'!$B$7*'2. Inputs'!$B$3*(1+'2. Inputs'!$B$4)^(('3. Leases'!$D$7+'2. Inputs'!$B$7+AG18*('2. Inputs'!$B$7+'2. Inputs'!$B$9))/4)/4))</f>
        <v>163819.103991457</v>
      </c>
      <c r="AI18" s="14" t="n">
        <f aca="false">IF($A18&lt;='3. Leases'!$D$7,'3. Leases'!$B$7*'3. Leases'!$C$7,IF(AF18&lt;'2. Inputs'!$B$7,0,'3. Leases'!$B$7*'2. Inputs'!$B$3*(1+'2. Inputs'!$B$4)^(('3. Leases'!$D$7+'2. Inputs'!$B$7+AG18*('2. Inputs'!$B$7+'2. Inputs'!$B$9))/4)))</f>
        <v>655276.415965829</v>
      </c>
      <c r="AJ18" s="14" t="n">
        <f aca="false">IF($A18&lt;='3. Leases'!$D$7,0,IF(AF18=0,'3. Leases'!$B$7*'2. Inputs'!$B$5*(1+'2. Inputs'!$B$6)^(('3. Leases'!$D$7+AG18*('2. Inputs'!$B$7+'2. Inputs'!$B$9))/4),0)+IF(AF18='2. Inputs'!$B$7,'2. Inputs'!$B$10*'2. Inputs'!$B$3*(1+'2. Inputs'!$B$4)^(('3. Leases'!$D$7+'2. Inputs'!$B$7+AG18*('2. Inputs'!$B$7+'2. Inputs'!$B$9))/4)*'3. Leases'!$B$7,0))</f>
        <v>0</v>
      </c>
      <c r="AK18" s="14" t="n">
        <f aca="false">IF($A18&lt;='3. Leases'!$D$7,0,IF(AF18&lt;'2. Inputs'!$B$7,'3. Leases'!$B$7,0))</f>
        <v>0</v>
      </c>
      <c r="AL18" s="14" t="n">
        <f aca="false">F18+M18+T18+AA18+AH18</f>
        <v>591709.114040301</v>
      </c>
      <c r="AM18" s="14" t="n">
        <f aca="false">G18+N18+U18+AB18+AI18</f>
        <v>3689304.48751408</v>
      </c>
      <c r="AN18" s="14" t="n">
        <f aca="false">H18+O18+V18+AC18+AJ18+IF($A18='2. Inputs'!$B$14,'2. Inputs'!$B$13,0)</f>
        <v>0</v>
      </c>
      <c r="AO18" s="14" t="n">
        <f aca="false">I18+P18+W18+AD18+AK18</f>
        <v>0</v>
      </c>
      <c r="AP18" s="14" t="n">
        <f aca="false">AL18*(1-'2. Inputs'!$B$11)-AO18*'2. Inputs'!$B$12/4</f>
        <v>556206.567197883</v>
      </c>
      <c r="AQ18" s="14" t="n">
        <f aca="false">AP18-AN18</f>
        <v>556206.567197883</v>
      </c>
      <c r="AR18" s="15" t="n">
        <f aca="false">1/(1+((1+'2. Inputs'!$B$15)^0.25-1))^$A18</f>
        <v>0.755849281151692</v>
      </c>
      <c r="AS18" s="14" t="n">
        <f aca="false">AQ18*AR18</f>
        <v>420408.33398837</v>
      </c>
    </row>
    <row r="19" customFormat="false" ht="15" hidden="false" customHeight="false" outlineLevel="0" collapsed="false">
      <c r="A19" s="0" t="n">
        <v>16</v>
      </c>
      <c r="B19" s="0" t="n">
        <f aca="false">CEILING(A19/4,1)</f>
        <v>4</v>
      </c>
      <c r="C19" s="13" t="n">
        <f aca="false">$A19-'3. Leases'!$D$3-1</f>
        <v>5</v>
      </c>
      <c r="D19" s="13" t="n">
        <f aca="false">IF(C19&lt;0,-1,MOD(C19,'2. Inputs'!$B$7+'2. Inputs'!$B$9))</f>
        <v>5</v>
      </c>
      <c r="E19" s="13" t="n">
        <f aca="false">IF(C19&lt;0,0,INT(C19/('2. Inputs'!$B$7+'2. Inputs'!$B$9)))</f>
        <v>0</v>
      </c>
      <c r="F19" s="14" t="n">
        <f aca="false">IF($A19&lt;='3. Leases'!$D$3,'3. Leases'!$B$3*'3. Leases'!$C$3/4,IF(D19&lt;'2. Inputs'!$B$7+'2. Inputs'!$B$8,0,'3. Leases'!$B$3*'2. Inputs'!$B$3*(1+'2. Inputs'!$B$4)^(('3. Leases'!$D$3+'2. Inputs'!$B$7+E19*('2. Inputs'!$B$7+'2. Inputs'!$B$9))/4)/4))</f>
        <v>0</v>
      </c>
      <c r="G19" s="14" t="n">
        <f aca="false">IF($A19&lt;='3. Leases'!$D$3,'3. Leases'!$B$3*'3. Leases'!$C$3,IF(D19&lt;'2. Inputs'!$B$7,0,'3. Leases'!$B$3*'2. Inputs'!$B$3*(1+'2. Inputs'!$B$4)^(('3. Leases'!$D$3+'2. Inputs'!$B$7+E19*('2. Inputs'!$B$7+'2. Inputs'!$B$9))/4)))</f>
        <v>1322468.03135288</v>
      </c>
      <c r="H19" s="14" t="n">
        <f aca="false">IF($A19&lt;='3. Leases'!$D$3,0,IF(D19=0,'3. Leases'!$B$3*'2. Inputs'!$B$5*(1+'2. Inputs'!$B$6)^(('3. Leases'!$D$3+E19*('2. Inputs'!$B$7+'2. Inputs'!$B$9))/4),0)+IF(D19='2. Inputs'!$B$7,'2. Inputs'!$B$10*'2. Inputs'!$B$3*(1+'2. Inputs'!$B$4)^(('3. Leases'!$D$3+'2. Inputs'!$B$7+E19*('2. Inputs'!$B$7+'2. Inputs'!$B$9))/4)*'3. Leases'!$B$3,0))</f>
        <v>0</v>
      </c>
      <c r="I19" s="14" t="n">
        <f aca="false">IF($A19&lt;='3. Leases'!$D$3,0,IF(D19&lt;'2. Inputs'!$B$7,'3. Leases'!$B$3,0))</f>
        <v>0</v>
      </c>
      <c r="J19" s="13" t="n">
        <f aca="false">$A19-'3. Leases'!$D$4-1</f>
        <v>-1</v>
      </c>
      <c r="K19" s="13" t="n">
        <f aca="false">IF(J19&lt;0,-1,MOD(J19,'2. Inputs'!$B$7+'2. Inputs'!$B$9))</f>
        <v>-1</v>
      </c>
      <c r="L19" s="13" t="n">
        <f aca="false">IF(J19&lt;0,0,INT(J19/('2. Inputs'!$B$7+'2. Inputs'!$B$9)))</f>
        <v>0</v>
      </c>
      <c r="M19" s="14" t="n">
        <f aca="false">IF($A19&lt;='3. Leases'!$D$4,'3. Leases'!$B$4*'3. Leases'!$C$4/4,IF(K19&lt;'2. Inputs'!$B$7+'2. Inputs'!$B$8,0,'3. Leases'!$B$4*'2. Inputs'!$B$3*(1+'2. Inputs'!$B$4)^(('3. Leases'!$D$4+'2. Inputs'!$B$7+L19*('2. Inputs'!$B$7+'2. Inputs'!$B$9))/4)/4))</f>
        <v>236375</v>
      </c>
      <c r="N19" s="14" t="n">
        <f aca="false">IF($A19&lt;='3. Leases'!$D$4,'3. Leases'!$B$4*'3. Leases'!$C$4,IF(K19&lt;'2. Inputs'!$B$7,0,'3. Leases'!$B$4*'2. Inputs'!$B$3*(1+'2. Inputs'!$B$4)^(('3. Leases'!$D$4+'2. Inputs'!$B$7+L19*('2. Inputs'!$B$7+'2. Inputs'!$B$9))/4)))</f>
        <v>945500</v>
      </c>
      <c r="O19" s="14" t="n">
        <f aca="false">IF($A19&lt;='3. Leases'!$D$4,0,IF(K19=0,'3. Leases'!$B$4*'2. Inputs'!$B$5*(1+'2. Inputs'!$B$6)^(('3. Leases'!$D$4+L19*('2. Inputs'!$B$7+'2. Inputs'!$B$9))/4),0)+IF(K19='2. Inputs'!$B$7,'2. Inputs'!$B$10*'2. Inputs'!$B$3*(1+'2. Inputs'!$B$4)^(('3. Leases'!$D$4+'2. Inputs'!$B$7+L19*('2. Inputs'!$B$7+'2. Inputs'!$B$9))/4)*'3. Leases'!$B$4,0))</f>
        <v>0</v>
      </c>
      <c r="P19" s="14" t="n">
        <f aca="false">IF($A19&lt;='3. Leases'!$D$4,0,IF(K19&lt;'2. Inputs'!$B$7,'3. Leases'!$B$4,0))</f>
        <v>0</v>
      </c>
      <c r="Q19" s="13" t="n">
        <f aca="false">$A19-'3. Leases'!$D$5-1</f>
        <v>-11</v>
      </c>
      <c r="R19" s="13" t="n">
        <f aca="false">IF(Q19&lt;0,-1,MOD(Q19,'2. Inputs'!$B$7+'2. Inputs'!$B$9))</f>
        <v>-1</v>
      </c>
      <c r="S19" s="13" t="n">
        <f aca="false">IF(Q19&lt;0,0,INT(Q19/('2. Inputs'!$B$7+'2. Inputs'!$B$9)))</f>
        <v>0</v>
      </c>
      <c r="T19" s="14" t="n">
        <f aca="false">IF($A19&lt;='3. Leases'!$D$5,'3. Leases'!$B$5*'3. Leases'!$C$5/4,IF(R19&lt;'2. Inputs'!$B$7+'2. Inputs'!$B$8,0,'3. Leases'!$B$5*'2. Inputs'!$B$3*(1+'2. Inputs'!$B$4)^(('3. Leases'!$D$5+'2. Inputs'!$B$7+S19*('2. Inputs'!$B$7+'2. Inputs'!$B$9))/4)/4))</f>
        <v>113960</v>
      </c>
      <c r="U19" s="14" t="n">
        <f aca="false">IF($A19&lt;='3. Leases'!$D$5,'3. Leases'!$B$5*'3. Leases'!$C$5,IF(R19&lt;'2. Inputs'!$B$7,0,'3. Leases'!$B$5*'2. Inputs'!$B$3*(1+'2. Inputs'!$B$4)^(('3. Leases'!$D$5+'2. Inputs'!$B$7+S19*('2. Inputs'!$B$7+'2. Inputs'!$B$9))/4)))</f>
        <v>455840</v>
      </c>
      <c r="V19" s="14" t="n">
        <f aca="false">IF($A19&lt;='3. Leases'!$D$5,0,IF(R19=0,'3. Leases'!$B$5*'2. Inputs'!$B$5*(1+'2. Inputs'!$B$6)^(('3. Leases'!$D$5+S19*('2. Inputs'!$B$7+'2. Inputs'!$B$9))/4),0)+IF(R19='2. Inputs'!$B$7,'2. Inputs'!$B$10*'2. Inputs'!$B$3*(1+'2. Inputs'!$B$4)^(('3. Leases'!$D$5+'2. Inputs'!$B$7+S19*('2. Inputs'!$B$7+'2. Inputs'!$B$9))/4)*'3. Leases'!$B$5,0))</f>
        <v>0</v>
      </c>
      <c r="W19" s="14" t="n">
        <f aca="false">IF($A19&lt;='3. Leases'!$D$5,0,IF(R19&lt;'2. Inputs'!$B$7,'3. Leases'!$B$5,0))</f>
        <v>0</v>
      </c>
      <c r="X19" s="13" t="n">
        <f aca="false">$A19-'3. Leases'!$D$6-1</f>
        <v>9</v>
      </c>
      <c r="Y19" s="13" t="n">
        <f aca="false">IF(X19&lt;0,-1,MOD(X19,'2. Inputs'!$B$7+'2. Inputs'!$B$9))</f>
        <v>9</v>
      </c>
      <c r="Z19" s="13" t="n">
        <f aca="false">IF(X19&lt;0,0,INT(X19/('2. Inputs'!$B$7+'2. Inputs'!$B$9)))</f>
        <v>0</v>
      </c>
      <c r="AA19" s="14" t="n">
        <f aca="false">IF($A19&lt;='3. Leases'!$D$6,'3. Leases'!$B$6*'3. Leases'!$C$6/4,IF(Y19&lt;'2. Inputs'!$B$7+'2. Inputs'!$B$8,0,'3. Leases'!$B$6*'2. Inputs'!$B$3*(1+'2. Inputs'!$B$4)^(('3. Leases'!$D$6+'2. Inputs'!$B$7+Z19*('2. Inputs'!$B$7+'2. Inputs'!$B$9))/4)/4))</f>
        <v>77555.0100488435</v>
      </c>
      <c r="AB19" s="14" t="n">
        <f aca="false">IF($A19&lt;='3. Leases'!$D$6,'3. Leases'!$B$6*'3. Leases'!$C$6,IF(Y19&lt;'2. Inputs'!$B$7,0,'3. Leases'!$B$6*'2. Inputs'!$B$3*(1+'2. Inputs'!$B$4)^(('3. Leases'!$D$6+'2. Inputs'!$B$7+Z19*('2. Inputs'!$B$7+'2. Inputs'!$B$9))/4)))</f>
        <v>310220.040195374</v>
      </c>
      <c r="AC19" s="14" t="n">
        <f aca="false">IF($A19&lt;='3. Leases'!$D$6,0,IF(Y19=0,'3. Leases'!$B$6*'2. Inputs'!$B$5*(1+'2. Inputs'!$B$6)^(('3. Leases'!$D$6+Z19*('2. Inputs'!$B$7+'2. Inputs'!$B$9))/4),0)+IF(Y19='2. Inputs'!$B$7,'2. Inputs'!$B$10*'2. Inputs'!$B$3*(1+'2. Inputs'!$B$4)^(('3. Leases'!$D$6+'2. Inputs'!$B$7+Z19*('2. Inputs'!$B$7+'2. Inputs'!$B$9))/4)*'3. Leases'!$B$6,0))</f>
        <v>0</v>
      </c>
      <c r="AD19" s="14" t="n">
        <f aca="false">IF($A19&lt;='3. Leases'!$D$6,0,IF(Y19&lt;'2. Inputs'!$B$7,'3. Leases'!$B$6,0))</f>
        <v>0</v>
      </c>
      <c r="AE19" s="13" t="n">
        <f aca="false">$A19-'3. Leases'!$D$7-1</f>
        <v>15</v>
      </c>
      <c r="AF19" s="13" t="n">
        <f aca="false">IF(AE19&lt;0,-1,MOD(AE19,'2. Inputs'!$B$7+'2. Inputs'!$B$9))</f>
        <v>15</v>
      </c>
      <c r="AG19" s="13" t="n">
        <f aca="false">IF(AE19&lt;0,0,INT(AE19/('2. Inputs'!$B$7+'2. Inputs'!$B$9)))</f>
        <v>0</v>
      </c>
      <c r="AH19" s="14" t="n">
        <f aca="false">IF($A19&lt;='3. Leases'!$D$7,'3. Leases'!$B$7*'3. Leases'!$C$7/4,IF(AF19&lt;'2. Inputs'!$B$7+'2. Inputs'!$B$8,0,'3. Leases'!$B$7*'2. Inputs'!$B$3*(1+'2. Inputs'!$B$4)^(('3. Leases'!$D$7+'2. Inputs'!$B$7+AG19*('2. Inputs'!$B$7+'2. Inputs'!$B$9))/4)/4))</f>
        <v>163819.103991457</v>
      </c>
      <c r="AI19" s="14" t="n">
        <f aca="false">IF($A19&lt;='3. Leases'!$D$7,'3. Leases'!$B$7*'3. Leases'!$C$7,IF(AF19&lt;'2. Inputs'!$B$7,0,'3. Leases'!$B$7*'2. Inputs'!$B$3*(1+'2. Inputs'!$B$4)^(('3. Leases'!$D$7+'2. Inputs'!$B$7+AG19*('2. Inputs'!$B$7+'2. Inputs'!$B$9))/4)))</f>
        <v>655276.415965829</v>
      </c>
      <c r="AJ19" s="14" t="n">
        <f aca="false">IF($A19&lt;='3. Leases'!$D$7,0,IF(AF19=0,'3. Leases'!$B$7*'2. Inputs'!$B$5*(1+'2. Inputs'!$B$6)^(('3. Leases'!$D$7+AG19*('2. Inputs'!$B$7+'2. Inputs'!$B$9))/4),0)+IF(AF19='2. Inputs'!$B$7,'2. Inputs'!$B$10*'2. Inputs'!$B$3*(1+'2. Inputs'!$B$4)^(('3. Leases'!$D$7+'2. Inputs'!$B$7+AG19*('2. Inputs'!$B$7+'2. Inputs'!$B$9))/4)*'3. Leases'!$B$7,0))</f>
        <v>0</v>
      </c>
      <c r="AK19" s="14" t="n">
        <f aca="false">IF($A19&lt;='3. Leases'!$D$7,0,IF(AF19&lt;'2. Inputs'!$B$7,'3. Leases'!$B$7,0))</f>
        <v>0</v>
      </c>
      <c r="AL19" s="14" t="n">
        <f aca="false">F19+M19+T19+AA19+AH19</f>
        <v>591709.114040301</v>
      </c>
      <c r="AM19" s="14" t="n">
        <f aca="false">G19+N19+U19+AB19+AI19</f>
        <v>3689304.48751408</v>
      </c>
      <c r="AN19" s="14" t="n">
        <f aca="false">H19+O19+V19+AC19+AJ19+IF($A19='2. Inputs'!$B$14,'2. Inputs'!$B$13,0)</f>
        <v>0</v>
      </c>
      <c r="AO19" s="14" t="n">
        <f aca="false">I19+P19+W19+AD19+AK19</f>
        <v>0</v>
      </c>
      <c r="AP19" s="14" t="n">
        <f aca="false">AL19*(1-'2. Inputs'!$B$11)-AO19*'2. Inputs'!$B$12/4</f>
        <v>556206.567197883</v>
      </c>
      <c r="AQ19" s="14" t="n">
        <f aca="false">AP19-AN19</f>
        <v>556206.567197883</v>
      </c>
      <c r="AR19" s="15" t="n">
        <f aca="false">1/(1+((1+'2. Inputs'!$B$15)^0.25-1))^$A19</f>
        <v>0.741875253450613</v>
      </c>
      <c r="AS19" s="14" t="n">
        <f aca="false">AQ19*AR19</f>
        <v>412635.888010825</v>
      </c>
    </row>
    <row r="20" customFormat="false" ht="15" hidden="false" customHeight="false" outlineLevel="0" collapsed="false">
      <c r="A20" s="0" t="n">
        <v>17</v>
      </c>
      <c r="B20" s="0" t="n">
        <f aca="false">CEILING(A20/4,1)</f>
        <v>5</v>
      </c>
      <c r="C20" s="13" t="n">
        <f aca="false">$A20-'3. Leases'!$D$3-1</f>
        <v>6</v>
      </c>
      <c r="D20" s="13" t="n">
        <f aca="false">IF(C20&lt;0,-1,MOD(C20,'2. Inputs'!$B$7+'2. Inputs'!$B$9))</f>
        <v>6</v>
      </c>
      <c r="E20" s="13" t="n">
        <f aca="false">IF(C20&lt;0,0,INT(C20/('2. Inputs'!$B$7+'2. Inputs'!$B$9)))</f>
        <v>0</v>
      </c>
      <c r="F20" s="14" t="n">
        <f aca="false">IF($A20&lt;='3. Leases'!$D$3,'3. Leases'!$B$3*'3. Leases'!$C$3/4,IF(D20&lt;'2. Inputs'!$B$7+'2. Inputs'!$B$8,0,'3. Leases'!$B$3*'2. Inputs'!$B$3*(1+'2. Inputs'!$B$4)^(('3. Leases'!$D$3+'2. Inputs'!$B$7+E20*('2. Inputs'!$B$7+'2. Inputs'!$B$9))/4)/4))</f>
        <v>330617.00783822</v>
      </c>
      <c r="G20" s="14" t="n">
        <f aca="false">IF($A20&lt;='3. Leases'!$D$3,'3. Leases'!$B$3*'3. Leases'!$C$3,IF(D20&lt;'2. Inputs'!$B$7,0,'3. Leases'!$B$3*'2. Inputs'!$B$3*(1+'2. Inputs'!$B$4)^(('3. Leases'!$D$3+'2. Inputs'!$B$7+E20*('2. Inputs'!$B$7+'2. Inputs'!$B$9))/4)))</f>
        <v>1322468.03135288</v>
      </c>
      <c r="H20" s="14" t="n">
        <f aca="false">IF($A20&lt;='3. Leases'!$D$3,0,IF(D20=0,'3. Leases'!$B$3*'2. Inputs'!$B$5*(1+'2. Inputs'!$B$6)^(('3. Leases'!$D$3+E20*('2. Inputs'!$B$7+'2. Inputs'!$B$9))/4),0)+IF(D20='2. Inputs'!$B$7,'2. Inputs'!$B$10*'2. Inputs'!$B$3*(1+'2. Inputs'!$B$4)^(('3. Leases'!$D$3+'2. Inputs'!$B$7+E20*('2. Inputs'!$B$7+'2. Inputs'!$B$9))/4)*'3. Leases'!$B$3,0))</f>
        <v>0</v>
      </c>
      <c r="I20" s="14" t="n">
        <f aca="false">IF($A20&lt;='3. Leases'!$D$3,0,IF(D20&lt;'2. Inputs'!$B$7,'3. Leases'!$B$3,0))</f>
        <v>0</v>
      </c>
      <c r="J20" s="13" t="n">
        <f aca="false">$A20-'3. Leases'!$D$4-1</f>
        <v>0</v>
      </c>
      <c r="K20" s="13" t="n">
        <f aca="false">IF(J20&lt;0,-1,MOD(J20,'2. Inputs'!$B$7+'2. Inputs'!$B$9))</f>
        <v>0</v>
      </c>
      <c r="L20" s="13" t="n">
        <f aca="false">IF(J20&lt;0,0,INT(J20/('2. Inputs'!$B$7+'2. Inputs'!$B$9)))</f>
        <v>0</v>
      </c>
      <c r="M20" s="14" t="n">
        <f aca="false">IF($A20&lt;='3. Leases'!$D$4,'3. Leases'!$B$4*'3. Leases'!$C$4/4,IF(K20&lt;'2. Inputs'!$B$7+'2. Inputs'!$B$8,0,'3. Leases'!$B$4*'2. Inputs'!$B$3*(1+'2. Inputs'!$B$4)^(('3. Leases'!$D$4+'2. Inputs'!$B$7+L20*('2. Inputs'!$B$7+'2. Inputs'!$B$9))/4)/4))</f>
        <v>0</v>
      </c>
      <c r="N20" s="14" t="n">
        <f aca="false">IF($A20&lt;='3. Leases'!$D$4,'3. Leases'!$B$4*'3. Leases'!$C$4,IF(K20&lt;'2. Inputs'!$B$7,0,'3. Leases'!$B$4*'2. Inputs'!$B$3*(1+'2. Inputs'!$B$4)^(('3. Leases'!$D$4+'2. Inputs'!$B$7+L20*('2. Inputs'!$B$7+'2. Inputs'!$B$9))/4)))</f>
        <v>0</v>
      </c>
      <c r="O20" s="14" t="n">
        <f aca="false">IF($A20&lt;='3. Leases'!$D$4,0,IF(K20=0,'3. Leases'!$B$4*'2. Inputs'!$B$5*(1+'2. Inputs'!$B$6)^(('3. Leases'!$D$4+L20*('2. Inputs'!$B$7+'2. Inputs'!$B$9))/4),0)+IF(K20='2. Inputs'!$B$7,'2. Inputs'!$B$10*'2. Inputs'!$B$3*(1+'2. Inputs'!$B$4)^(('3. Leases'!$D$4+'2. Inputs'!$B$7+L20*('2. Inputs'!$B$7+'2. Inputs'!$B$9))/4)*'3. Leases'!$B$4,0))</f>
        <v>1437164.38359375</v>
      </c>
      <c r="P20" s="14" t="n">
        <f aca="false">IF($A20&lt;='3. Leases'!$D$4,0,IF(K20&lt;'2. Inputs'!$B$7,'3. Leases'!$B$4,0))</f>
        <v>3100</v>
      </c>
      <c r="Q20" s="13" t="n">
        <f aca="false">$A20-'3. Leases'!$D$5-1</f>
        <v>-10</v>
      </c>
      <c r="R20" s="13" t="n">
        <f aca="false">IF(Q20&lt;0,-1,MOD(Q20,'2. Inputs'!$B$7+'2. Inputs'!$B$9))</f>
        <v>-1</v>
      </c>
      <c r="S20" s="13" t="n">
        <f aca="false">IF(Q20&lt;0,0,INT(Q20/('2. Inputs'!$B$7+'2. Inputs'!$B$9)))</f>
        <v>0</v>
      </c>
      <c r="T20" s="14" t="n">
        <f aca="false">IF($A20&lt;='3. Leases'!$D$5,'3. Leases'!$B$5*'3. Leases'!$C$5/4,IF(R20&lt;'2. Inputs'!$B$7+'2. Inputs'!$B$8,0,'3. Leases'!$B$5*'2. Inputs'!$B$3*(1+'2. Inputs'!$B$4)^(('3. Leases'!$D$5+'2. Inputs'!$B$7+S20*('2. Inputs'!$B$7+'2. Inputs'!$B$9))/4)/4))</f>
        <v>113960</v>
      </c>
      <c r="U20" s="14" t="n">
        <f aca="false">IF($A20&lt;='3. Leases'!$D$5,'3. Leases'!$B$5*'3. Leases'!$C$5,IF(R20&lt;'2. Inputs'!$B$7,0,'3. Leases'!$B$5*'2. Inputs'!$B$3*(1+'2. Inputs'!$B$4)^(('3. Leases'!$D$5+'2. Inputs'!$B$7+S20*('2. Inputs'!$B$7+'2. Inputs'!$B$9))/4)))</f>
        <v>455840</v>
      </c>
      <c r="V20" s="14" t="n">
        <f aca="false">IF($A20&lt;='3. Leases'!$D$5,0,IF(R20=0,'3. Leases'!$B$5*'2. Inputs'!$B$5*(1+'2. Inputs'!$B$6)^(('3. Leases'!$D$5+S20*('2. Inputs'!$B$7+'2. Inputs'!$B$9))/4),0)+IF(R20='2. Inputs'!$B$7,'2. Inputs'!$B$10*'2. Inputs'!$B$3*(1+'2. Inputs'!$B$4)^(('3. Leases'!$D$5+'2. Inputs'!$B$7+S20*('2. Inputs'!$B$7+'2. Inputs'!$B$9))/4)*'3. Leases'!$B$5,0))</f>
        <v>0</v>
      </c>
      <c r="W20" s="14" t="n">
        <f aca="false">IF($A20&lt;='3. Leases'!$D$5,0,IF(R20&lt;'2. Inputs'!$B$7,'3. Leases'!$B$5,0))</f>
        <v>0</v>
      </c>
      <c r="X20" s="13" t="n">
        <f aca="false">$A20-'3. Leases'!$D$6-1</f>
        <v>10</v>
      </c>
      <c r="Y20" s="13" t="n">
        <f aca="false">IF(X20&lt;0,-1,MOD(X20,'2. Inputs'!$B$7+'2. Inputs'!$B$9))</f>
        <v>10</v>
      </c>
      <c r="Z20" s="13" t="n">
        <f aca="false">IF(X20&lt;0,0,INT(X20/('2. Inputs'!$B$7+'2. Inputs'!$B$9)))</f>
        <v>0</v>
      </c>
      <c r="AA20" s="14" t="n">
        <f aca="false">IF($A20&lt;='3. Leases'!$D$6,'3. Leases'!$B$6*'3. Leases'!$C$6/4,IF(Y20&lt;'2. Inputs'!$B$7+'2. Inputs'!$B$8,0,'3. Leases'!$B$6*'2. Inputs'!$B$3*(1+'2. Inputs'!$B$4)^(('3. Leases'!$D$6+'2. Inputs'!$B$7+Z20*('2. Inputs'!$B$7+'2. Inputs'!$B$9))/4)/4))</f>
        <v>77555.0100488435</v>
      </c>
      <c r="AB20" s="14" t="n">
        <f aca="false">IF($A20&lt;='3. Leases'!$D$6,'3. Leases'!$B$6*'3. Leases'!$C$6,IF(Y20&lt;'2. Inputs'!$B$7,0,'3. Leases'!$B$6*'2. Inputs'!$B$3*(1+'2. Inputs'!$B$4)^(('3. Leases'!$D$6+'2. Inputs'!$B$7+Z20*('2. Inputs'!$B$7+'2. Inputs'!$B$9))/4)))</f>
        <v>310220.040195374</v>
      </c>
      <c r="AC20" s="14" t="n">
        <f aca="false">IF($A20&lt;='3. Leases'!$D$6,0,IF(Y20=0,'3. Leases'!$B$6*'2. Inputs'!$B$5*(1+'2. Inputs'!$B$6)^(('3. Leases'!$D$6+Z20*('2. Inputs'!$B$7+'2. Inputs'!$B$9))/4),0)+IF(Y20='2. Inputs'!$B$7,'2. Inputs'!$B$10*'2. Inputs'!$B$3*(1+'2. Inputs'!$B$4)^(('3. Leases'!$D$6+'2. Inputs'!$B$7+Z20*('2. Inputs'!$B$7+'2. Inputs'!$B$9))/4)*'3. Leases'!$B$6,0))</f>
        <v>0</v>
      </c>
      <c r="AD20" s="14" t="n">
        <f aca="false">IF($A20&lt;='3. Leases'!$D$6,0,IF(Y20&lt;'2. Inputs'!$B$7,'3. Leases'!$B$6,0))</f>
        <v>0</v>
      </c>
      <c r="AE20" s="13" t="n">
        <f aca="false">$A20-'3. Leases'!$D$7-1</f>
        <v>16</v>
      </c>
      <c r="AF20" s="13" t="n">
        <f aca="false">IF(AE20&lt;0,-1,MOD(AE20,'2. Inputs'!$B$7+'2. Inputs'!$B$9))</f>
        <v>16</v>
      </c>
      <c r="AG20" s="13" t="n">
        <f aca="false">IF(AE20&lt;0,0,INT(AE20/('2. Inputs'!$B$7+'2. Inputs'!$B$9)))</f>
        <v>0</v>
      </c>
      <c r="AH20" s="14" t="n">
        <f aca="false">IF($A20&lt;='3. Leases'!$D$7,'3. Leases'!$B$7*'3. Leases'!$C$7/4,IF(AF20&lt;'2. Inputs'!$B$7+'2. Inputs'!$B$8,0,'3. Leases'!$B$7*'2. Inputs'!$B$3*(1+'2. Inputs'!$B$4)^(('3. Leases'!$D$7+'2. Inputs'!$B$7+AG20*('2. Inputs'!$B$7+'2. Inputs'!$B$9))/4)/4))</f>
        <v>163819.103991457</v>
      </c>
      <c r="AI20" s="14" t="n">
        <f aca="false">IF($A20&lt;='3. Leases'!$D$7,'3. Leases'!$B$7*'3. Leases'!$C$7,IF(AF20&lt;'2. Inputs'!$B$7,0,'3. Leases'!$B$7*'2. Inputs'!$B$3*(1+'2. Inputs'!$B$4)^(('3. Leases'!$D$7+'2. Inputs'!$B$7+AG20*('2. Inputs'!$B$7+'2. Inputs'!$B$9))/4)))</f>
        <v>655276.415965829</v>
      </c>
      <c r="AJ20" s="14" t="n">
        <f aca="false">IF($A20&lt;='3. Leases'!$D$7,0,IF(AF20=0,'3. Leases'!$B$7*'2. Inputs'!$B$5*(1+'2. Inputs'!$B$6)^(('3. Leases'!$D$7+AG20*('2. Inputs'!$B$7+'2. Inputs'!$B$9))/4),0)+IF(AF20='2. Inputs'!$B$7,'2. Inputs'!$B$10*'2. Inputs'!$B$3*(1+'2. Inputs'!$B$4)^(('3. Leases'!$D$7+'2. Inputs'!$B$7+AG20*('2. Inputs'!$B$7+'2. Inputs'!$B$9))/4)*'3. Leases'!$B$7,0))</f>
        <v>0</v>
      </c>
      <c r="AK20" s="14" t="n">
        <f aca="false">IF($A20&lt;='3. Leases'!$D$7,0,IF(AF20&lt;'2. Inputs'!$B$7,'3. Leases'!$B$7,0))</f>
        <v>0</v>
      </c>
      <c r="AL20" s="14" t="n">
        <f aca="false">F20+M20+T20+AA20+AH20</f>
        <v>685951.121878521</v>
      </c>
      <c r="AM20" s="14" t="n">
        <f aca="false">G20+N20+U20+AB20+AI20</f>
        <v>2743804.48751408</v>
      </c>
      <c r="AN20" s="14" t="n">
        <f aca="false">H20+O20+V20+AC20+AJ20+IF($A20='2. Inputs'!$B$14,'2. Inputs'!$B$13,0)</f>
        <v>1437164.38359375</v>
      </c>
      <c r="AO20" s="14" t="n">
        <f aca="false">I20+P20+W20+AD20+AK20</f>
        <v>3100</v>
      </c>
      <c r="AP20" s="14" t="n">
        <f aca="false">AL20*(1-'2. Inputs'!$B$11)-AO20*'2. Inputs'!$B$12/4</f>
        <v>602169.054565809</v>
      </c>
      <c r="AQ20" s="14" t="n">
        <f aca="false">AP20-AN20</f>
        <v>-834995.32902794</v>
      </c>
      <c r="AR20" s="15" t="n">
        <f aca="false">1/(1+((1+'2. Inputs'!$B$15)^0.25-1))^$A20</f>
        <v>0.728159575469591</v>
      </c>
      <c r="AS20" s="14" t="n">
        <f aca="false">AQ20*AR20</f>
        <v>-608009.844304077</v>
      </c>
    </row>
    <row r="21" customFormat="false" ht="15" hidden="false" customHeight="false" outlineLevel="0" collapsed="false">
      <c r="A21" s="0" t="n">
        <v>18</v>
      </c>
      <c r="B21" s="0" t="n">
        <f aca="false">CEILING(A21/4,1)</f>
        <v>5</v>
      </c>
      <c r="C21" s="13" t="n">
        <f aca="false">$A21-'3. Leases'!$D$3-1</f>
        <v>7</v>
      </c>
      <c r="D21" s="13" t="n">
        <f aca="false">IF(C21&lt;0,-1,MOD(C21,'2. Inputs'!$B$7+'2. Inputs'!$B$9))</f>
        <v>7</v>
      </c>
      <c r="E21" s="13" t="n">
        <f aca="false">IF(C21&lt;0,0,INT(C21/('2. Inputs'!$B$7+'2. Inputs'!$B$9)))</f>
        <v>0</v>
      </c>
      <c r="F21" s="14" t="n">
        <f aca="false">IF($A21&lt;='3. Leases'!$D$3,'3. Leases'!$B$3*'3. Leases'!$C$3/4,IF(D21&lt;'2. Inputs'!$B$7+'2. Inputs'!$B$8,0,'3. Leases'!$B$3*'2. Inputs'!$B$3*(1+'2. Inputs'!$B$4)^(('3. Leases'!$D$3+'2. Inputs'!$B$7+E21*('2. Inputs'!$B$7+'2. Inputs'!$B$9))/4)/4))</f>
        <v>330617.00783822</v>
      </c>
      <c r="G21" s="14" t="n">
        <f aca="false">IF($A21&lt;='3. Leases'!$D$3,'3. Leases'!$B$3*'3. Leases'!$C$3,IF(D21&lt;'2. Inputs'!$B$7,0,'3. Leases'!$B$3*'2. Inputs'!$B$3*(1+'2. Inputs'!$B$4)^(('3. Leases'!$D$3+'2. Inputs'!$B$7+E21*('2. Inputs'!$B$7+'2. Inputs'!$B$9))/4)))</f>
        <v>1322468.03135288</v>
      </c>
      <c r="H21" s="14" t="n">
        <f aca="false">IF($A21&lt;='3. Leases'!$D$3,0,IF(D21=0,'3. Leases'!$B$3*'2. Inputs'!$B$5*(1+'2. Inputs'!$B$6)^(('3. Leases'!$D$3+E21*('2. Inputs'!$B$7+'2. Inputs'!$B$9))/4),0)+IF(D21='2. Inputs'!$B$7,'2. Inputs'!$B$10*'2. Inputs'!$B$3*(1+'2. Inputs'!$B$4)^(('3. Leases'!$D$3+'2. Inputs'!$B$7+E21*('2. Inputs'!$B$7+'2. Inputs'!$B$9))/4)*'3. Leases'!$B$3,0))</f>
        <v>0</v>
      </c>
      <c r="I21" s="14" t="n">
        <f aca="false">IF($A21&lt;='3. Leases'!$D$3,0,IF(D21&lt;'2. Inputs'!$B$7,'3. Leases'!$B$3,0))</f>
        <v>0</v>
      </c>
      <c r="J21" s="13" t="n">
        <f aca="false">$A21-'3. Leases'!$D$4-1</f>
        <v>1</v>
      </c>
      <c r="K21" s="13" t="n">
        <f aca="false">IF(J21&lt;0,-1,MOD(J21,'2. Inputs'!$B$7+'2. Inputs'!$B$9))</f>
        <v>1</v>
      </c>
      <c r="L21" s="13" t="n">
        <f aca="false">IF(J21&lt;0,0,INT(J21/('2. Inputs'!$B$7+'2. Inputs'!$B$9)))</f>
        <v>0</v>
      </c>
      <c r="M21" s="14" t="n">
        <f aca="false">IF($A21&lt;='3. Leases'!$D$4,'3. Leases'!$B$4*'3. Leases'!$C$4/4,IF(K21&lt;'2. Inputs'!$B$7+'2. Inputs'!$B$8,0,'3. Leases'!$B$4*'2. Inputs'!$B$3*(1+'2. Inputs'!$B$4)^(('3. Leases'!$D$4+'2. Inputs'!$B$7+L21*('2. Inputs'!$B$7+'2. Inputs'!$B$9))/4)/4))</f>
        <v>0</v>
      </c>
      <c r="N21" s="14" t="n">
        <f aca="false">IF($A21&lt;='3. Leases'!$D$4,'3. Leases'!$B$4*'3. Leases'!$C$4,IF(K21&lt;'2. Inputs'!$B$7,0,'3. Leases'!$B$4*'2. Inputs'!$B$3*(1+'2. Inputs'!$B$4)^(('3. Leases'!$D$4+'2. Inputs'!$B$7+L21*('2. Inputs'!$B$7+'2. Inputs'!$B$9))/4)))</f>
        <v>0</v>
      </c>
      <c r="O21" s="14" t="n">
        <f aca="false">IF($A21&lt;='3. Leases'!$D$4,0,IF(K21=0,'3. Leases'!$B$4*'2. Inputs'!$B$5*(1+'2. Inputs'!$B$6)^(('3. Leases'!$D$4+L21*('2. Inputs'!$B$7+'2. Inputs'!$B$9))/4),0)+IF(K21='2. Inputs'!$B$7,'2. Inputs'!$B$10*'2. Inputs'!$B$3*(1+'2. Inputs'!$B$4)^(('3. Leases'!$D$4+'2. Inputs'!$B$7+L21*('2. Inputs'!$B$7+'2. Inputs'!$B$9))/4)*'3. Leases'!$B$4,0))</f>
        <v>0</v>
      </c>
      <c r="P21" s="14" t="n">
        <f aca="false">IF($A21&lt;='3. Leases'!$D$4,0,IF(K21&lt;'2. Inputs'!$B$7,'3. Leases'!$B$4,0))</f>
        <v>3100</v>
      </c>
      <c r="Q21" s="13" t="n">
        <f aca="false">$A21-'3. Leases'!$D$5-1</f>
        <v>-9</v>
      </c>
      <c r="R21" s="13" t="n">
        <f aca="false">IF(Q21&lt;0,-1,MOD(Q21,'2. Inputs'!$B$7+'2. Inputs'!$B$9))</f>
        <v>-1</v>
      </c>
      <c r="S21" s="13" t="n">
        <f aca="false">IF(Q21&lt;0,0,INT(Q21/('2. Inputs'!$B$7+'2. Inputs'!$B$9)))</f>
        <v>0</v>
      </c>
      <c r="T21" s="14" t="n">
        <f aca="false">IF($A21&lt;='3. Leases'!$D$5,'3. Leases'!$B$5*'3. Leases'!$C$5/4,IF(R21&lt;'2. Inputs'!$B$7+'2. Inputs'!$B$8,0,'3. Leases'!$B$5*'2. Inputs'!$B$3*(1+'2. Inputs'!$B$4)^(('3. Leases'!$D$5+'2. Inputs'!$B$7+S21*('2. Inputs'!$B$7+'2. Inputs'!$B$9))/4)/4))</f>
        <v>113960</v>
      </c>
      <c r="U21" s="14" t="n">
        <f aca="false">IF($A21&lt;='3. Leases'!$D$5,'3. Leases'!$B$5*'3. Leases'!$C$5,IF(R21&lt;'2. Inputs'!$B$7,0,'3. Leases'!$B$5*'2. Inputs'!$B$3*(1+'2. Inputs'!$B$4)^(('3. Leases'!$D$5+'2. Inputs'!$B$7+S21*('2. Inputs'!$B$7+'2. Inputs'!$B$9))/4)))</f>
        <v>455840</v>
      </c>
      <c r="V21" s="14" t="n">
        <f aca="false">IF($A21&lt;='3. Leases'!$D$5,0,IF(R21=0,'3. Leases'!$B$5*'2. Inputs'!$B$5*(1+'2. Inputs'!$B$6)^(('3. Leases'!$D$5+S21*('2. Inputs'!$B$7+'2. Inputs'!$B$9))/4),0)+IF(R21='2. Inputs'!$B$7,'2. Inputs'!$B$10*'2. Inputs'!$B$3*(1+'2. Inputs'!$B$4)^(('3. Leases'!$D$5+'2. Inputs'!$B$7+S21*('2. Inputs'!$B$7+'2. Inputs'!$B$9))/4)*'3. Leases'!$B$5,0))</f>
        <v>0</v>
      </c>
      <c r="W21" s="14" t="n">
        <f aca="false">IF($A21&lt;='3. Leases'!$D$5,0,IF(R21&lt;'2. Inputs'!$B$7,'3. Leases'!$B$5,0))</f>
        <v>0</v>
      </c>
      <c r="X21" s="13" t="n">
        <f aca="false">$A21-'3. Leases'!$D$6-1</f>
        <v>11</v>
      </c>
      <c r="Y21" s="13" t="n">
        <f aca="false">IF(X21&lt;0,-1,MOD(X21,'2. Inputs'!$B$7+'2. Inputs'!$B$9))</f>
        <v>11</v>
      </c>
      <c r="Z21" s="13" t="n">
        <f aca="false">IF(X21&lt;0,0,INT(X21/('2. Inputs'!$B$7+'2. Inputs'!$B$9)))</f>
        <v>0</v>
      </c>
      <c r="AA21" s="14" t="n">
        <f aca="false">IF($A21&lt;='3. Leases'!$D$6,'3. Leases'!$B$6*'3. Leases'!$C$6/4,IF(Y21&lt;'2. Inputs'!$B$7+'2. Inputs'!$B$8,0,'3. Leases'!$B$6*'2. Inputs'!$B$3*(1+'2. Inputs'!$B$4)^(('3. Leases'!$D$6+'2. Inputs'!$B$7+Z21*('2. Inputs'!$B$7+'2. Inputs'!$B$9))/4)/4))</f>
        <v>77555.0100488435</v>
      </c>
      <c r="AB21" s="14" t="n">
        <f aca="false">IF($A21&lt;='3. Leases'!$D$6,'3. Leases'!$B$6*'3. Leases'!$C$6,IF(Y21&lt;'2. Inputs'!$B$7,0,'3. Leases'!$B$6*'2. Inputs'!$B$3*(1+'2. Inputs'!$B$4)^(('3. Leases'!$D$6+'2. Inputs'!$B$7+Z21*('2. Inputs'!$B$7+'2. Inputs'!$B$9))/4)))</f>
        <v>310220.040195374</v>
      </c>
      <c r="AC21" s="14" t="n">
        <f aca="false">IF($A21&lt;='3. Leases'!$D$6,0,IF(Y21=0,'3. Leases'!$B$6*'2. Inputs'!$B$5*(1+'2. Inputs'!$B$6)^(('3. Leases'!$D$6+Z21*('2. Inputs'!$B$7+'2. Inputs'!$B$9))/4),0)+IF(Y21='2. Inputs'!$B$7,'2. Inputs'!$B$10*'2. Inputs'!$B$3*(1+'2. Inputs'!$B$4)^(('3. Leases'!$D$6+'2. Inputs'!$B$7+Z21*('2. Inputs'!$B$7+'2. Inputs'!$B$9))/4)*'3. Leases'!$B$6,0))</f>
        <v>0</v>
      </c>
      <c r="AD21" s="14" t="n">
        <f aca="false">IF($A21&lt;='3. Leases'!$D$6,0,IF(Y21&lt;'2. Inputs'!$B$7,'3. Leases'!$B$6,0))</f>
        <v>0</v>
      </c>
      <c r="AE21" s="13" t="n">
        <f aca="false">$A21-'3. Leases'!$D$7-1</f>
        <v>17</v>
      </c>
      <c r="AF21" s="13" t="n">
        <f aca="false">IF(AE21&lt;0,-1,MOD(AE21,'2. Inputs'!$B$7+'2. Inputs'!$B$9))</f>
        <v>17</v>
      </c>
      <c r="AG21" s="13" t="n">
        <f aca="false">IF(AE21&lt;0,0,INT(AE21/('2. Inputs'!$B$7+'2. Inputs'!$B$9)))</f>
        <v>0</v>
      </c>
      <c r="AH21" s="14" t="n">
        <f aca="false">IF($A21&lt;='3. Leases'!$D$7,'3. Leases'!$B$7*'3. Leases'!$C$7/4,IF(AF21&lt;'2. Inputs'!$B$7+'2. Inputs'!$B$8,0,'3. Leases'!$B$7*'2. Inputs'!$B$3*(1+'2. Inputs'!$B$4)^(('3. Leases'!$D$7+'2. Inputs'!$B$7+AG21*('2. Inputs'!$B$7+'2. Inputs'!$B$9))/4)/4))</f>
        <v>163819.103991457</v>
      </c>
      <c r="AI21" s="14" t="n">
        <f aca="false">IF($A21&lt;='3. Leases'!$D$7,'3. Leases'!$B$7*'3. Leases'!$C$7,IF(AF21&lt;'2. Inputs'!$B$7,0,'3. Leases'!$B$7*'2. Inputs'!$B$3*(1+'2. Inputs'!$B$4)^(('3. Leases'!$D$7+'2. Inputs'!$B$7+AG21*('2. Inputs'!$B$7+'2. Inputs'!$B$9))/4)))</f>
        <v>655276.415965829</v>
      </c>
      <c r="AJ21" s="14" t="n">
        <f aca="false">IF($A21&lt;='3. Leases'!$D$7,0,IF(AF21=0,'3. Leases'!$B$7*'2. Inputs'!$B$5*(1+'2. Inputs'!$B$6)^(('3. Leases'!$D$7+AG21*('2. Inputs'!$B$7+'2. Inputs'!$B$9))/4),0)+IF(AF21='2. Inputs'!$B$7,'2. Inputs'!$B$10*'2. Inputs'!$B$3*(1+'2. Inputs'!$B$4)^(('3. Leases'!$D$7+'2. Inputs'!$B$7+AG21*('2. Inputs'!$B$7+'2. Inputs'!$B$9))/4)*'3. Leases'!$B$7,0))</f>
        <v>0</v>
      </c>
      <c r="AK21" s="14" t="n">
        <f aca="false">IF($A21&lt;='3. Leases'!$D$7,0,IF(AF21&lt;'2. Inputs'!$B$7,'3. Leases'!$B$7,0))</f>
        <v>0</v>
      </c>
      <c r="AL21" s="14" t="n">
        <f aca="false">F21+M21+T21+AA21+AH21</f>
        <v>685951.121878521</v>
      </c>
      <c r="AM21" s="14" t="n">
        <f aca="false">G21+N21+U21+AB21+AI21</f>
        <v>2743804.48751408</v>
      </c>
      <c r="AN21" s="14" t="n">
        <f aca="false">H21+O21+V21+AC21+AJ21+IF($A21='2. Inputs'!$B$14,'2. Inputs'!$B$13,0)</f>
        <v>0</v>
      </c>
      <c r="AO21" s="14" t="n">
        <f aca="false">I21+P21+W21+AD21+AK21</f>
        <v>3100</v>
      </c>
      <c r="AP21" s="14" t="n">
        <f aca="false">AL21*(1-'2. Inputs'!$B$11)-AO21*'2. Inputs'!$B$12/4</f>
        <v>602169.054565809</v>
      </c>
      <c r="AQ21" s="14" t="n">
        <f aca="false">AP21-AN21</f>
        <v>602169.054565809</v>
      </c>
      <c r="AR21" s="15" t="n">
        <f aca="false">1/(1+((1+'2. Inputs'!$B$15)^0.25-1))^$A21</f>
        <v>0.714697470877901</v>
      </c>
      <c r="AS21" s="14" t="n">
        <f aca="false">AQ21*AR21</f>
        <v>430368.700339121</v>
      </c>
    </row>
    <row r="22" customFormat="false" ht="15" hidden="false" customHeight="false" outlineLevel="0" collapsed="false">
      <c r="A22" s="0" t="n">
        <v>19</v>
      </c>
      <c r="B22" s="0" t="n">
        <f aca="false">CEILING(A22/4,1)</f>
        <v>5</v>
      </c>
      <c r="C22" s="13" t="n">
        <f aca="false">$A22-'3. Leases'!$D$3-1</f>
        <v>8</v>
      </c>
      <c r="D22" s="13" t="n">
        <f aca="false">IF(C22&lt;0,-1,MOD(C22,'2. Inputs'!$B$7+'2. Inputs'!$B$9))</f>
        <v>8</v>
      </c>
      <c r="E22" s="13" t="n">
        <f aca="false">IF(C22&lt;0,0,INT(C22/('2. Inputs'!$B$7+'2. Inputs'!$B$9)))</f>
        <v>0</v>
      </c>
      <c r="F22" s="14" t="n">
        <f aca="false">IF($A22&lt;='3. Leases'!$D$3,'3. Leases'!$B$3*'3. Leases'!$C$3/4,IF(D22&lt;'2. Inputs'!$B$7+'2. Inputs'!$B$8,0,'3. Leases'!$B$3*'2. Inputs'!$B$3*(1+'2. Inputs'!$B$4)^(('3. Leases'!$D$3+'2. Inputs'!$B$7+E22*('2. Inputs'!$B$7+'2. Inputs'!$B$9))/4)/4))</f>
        <v>330617.00783822</v>
      </c>
      <c r="G22" s="14" t="n">
        <f aca="false">IF($A22&lt;='3. Leases'!$D$3,'3. Leases'!$B$3*'3. Leases'!$C$3,IF(D22&lt;'2. Inputs'!$B$7,0,'3. Leases'!$B$3*'2. Inputs'!$B$3*(1+'2. Inputs'!$B$4)^(('3. Leases'!$D$3+'2. Inputs'!$B$7+E22*('2. Inputs'!$B$7+'2. Inputs'!$B$9))/4)))</f>
        <v>1322468.03135288</v>
      </c>
      <c r="H22" s="14" t="n">
        <f aca="false">IF($A22&lt;='3. Leases'!$D$3,0,IF(D22=0,'3. Leases'!$B$3*'2. Inputs'!$B$5*(1+'2. Inputs'!$B$6)^(('3. Leases'!$D$3+E22*('2. Inputs'!$B$7+'2. Inputs'!$B$9))/4),0)+IF(D22='2. Inputs'!$B$7,'2. Inputs'!$B$10*'2. Inputs'!$B$3*(1+'2. Inputs'!$B$4)^(('3. Leases'!$D$3+'2. Inputs'!$B$7+E22*('2. Inputs'!$B$7+'2. Inputs'!$B$9))/4)*'3. Leases'!$B$3,0))</f>
        <v>0</v>
      </c>
      <c r="I22" s="14" t="n">
        <f aca="false">IF($A22&lt;='3. Leases'!$D$3,0,IF(D22&lt;'2. Inputs'!$B$7,'3. Leases'!$B$3,0))</f>
        <v>0</v>
      </c>
      <c r="J22" s="13" t="n">
        <f aca="false">$A22-'3. Leases'!$D$4-1</f>
        <v>2</v>
      </c>
      <c r="K22" s="13" t="n">
        <f aca="false">IF(J22&lt;0,-1,MOD(J22,'2. Inputs'!$B$7+'2. Inputs'!$B$9))</f>
        <v>2</v>
      </c>
      <c r="L22" s="13" t="n">
        <f aca="false">IF(J22&lt;0,0,INT(J22/('2. Inputs'!$B$7+'2. Inputs'!$B$9)))</f>
        <v>0</v>
      </c>
      <c r="M22" s="14" t="n">
        <f aca="false">IF($A22&lt;='3. Leases'!$D$4,'3. Leases'!$B$4*'3. Leases'!$C$4/4,IF(K22&lt;'2. Inputs'!$B$7+'2. Inputs'!$B$8,0,'3. Leases'!$B$4*'2. Inputs'!$B$3*(1+'2. Inputs'!$B$4)^(('3. Leases'!$D$4+'2. Inputs'!$B$7+L22*('2. Inputs'!$B$7+'2. Inputs'!$B$9))/4)/4))</f>
        <v>0</v>
      </c>
      <c r="N22" s="14" t="n">
        <f aca="false">IF($A22&lt;='3. Leases'!$D$4,'3. Leases'!$B$4*'3. Leases'!$C$4,IF(K22&lt;'2. Inputs'!$B$7,0,'3. Leases'!$B$4*'2. Inputs'!$B$3*(1+'2. Inputs'!$B$4)^(('3. Leases'!$D$4+'2. Inputs'!$B$7+L22*('2. Inputs'!$B$7+'2. Inputs'!$B$9))/4)))</f>
        <v>0</v>
      </c>
      <c r="O22" s="14" t="n">
        <f aca="false">IF($A22&lt;='3. Leases'!$D$4,0,IF(K22=0,'3. Leases'!$B$4*'2. Inputs'!$B$5*(1+'2. Inputs'!$B$6)^(('3. Leases'!$D$4+L22*('2. Inputs'!$B$7+'2. Inputs'!$B$9))/4),0)+IF(K22='2. Inputs'!$B$7,'2. Inputs'!$B$10*'2. Inputs'!$B$3*(1+'2. Inputs'!$B$4)^(('3. Leases'!$D$4+'2. Inputs'!$B$7+L22*('2. Inputs'!$B$7+'2. Inputs'!$B$9))/4)*'3. Leases'!$B$4,0))</f>
        <v>0</v>
      </c>
      <c r="P22" s="14" t="n">
        <f aca="false">IF($A22&lt;='3. Leases'!$D$4,0,IF(K22&lt;'2. Inputs'!$B$7,'3. Leases'!$B$4,0))</f>
        <v>3100</v>
      </c>
      <c r="Q22" s="13" t="n">
        <f aca="false">$A22-'3. Leases'!$D$5-1</f>
        <v>-8</v>
      </c>
      <c r="R22" s="13" t="n">
        <f aca="false">IF(Q22&lt;0,-1,MOD(Q22,'2. Inputs'!$B$7+'2. Inputs'!$B$9))</f>
        <v>-1</v>
      </c>
      <c r="S22" s="13" t="n">
        <f aca="false">IF(Q22&lt;0,0,INT(Q22/('2. Inputs'!$B$7+'2. Inputs'!$B$9)))</f>
        <v>0</v>
      </c>
      <c r="T22" s="14" t="n">
        <f aca="false">IF($A22&lt;='3. Leases'!$D$5,'3. Leases'!$B$5*'3. Leases'!$C$5/4,IF(R22&lt;'2. Inputs'!$B$7+'2. Inputs'!$B$8,0,'3. Leases'!$B$5*'2. Inputs'!$B$3*(1+'2. Inputs'!$B$4)^(('3. Leases'!$D$5+'2. Inputs'!$B$7+S22*('2. Inputs'!$B$7+'2. Inputs'!$B$9))/4)/4))</f>
        <v>113960</v>
      </c>
      <c r="U22" s="14" t="n">
        <f aca="false">IF($A22&lt;='3. Leases'!$D$5,'3. Leases'!$B$5*'3. Leases'!$C$5,IF(R22&lt;'2. Inputs'!$B$7,0,'3. Leases'!$B$5*'2. Inputs'!$B$3*(1+'2. Inputs'!$B$4)^(('3. Leases'!$D$5+'2. Inputs'!$B$7+S22*('2. Inputs'!$B$7+'2. Inputs'!$B$9))/4)))</f>
        <v>455840</v>
      </c>
      <c r="V22" s="14" t="n">
        <f aca="false">IF($A22&lt;='3. Leases'!$D$5,0,IF(R22=0,'3. Leases'!$B$5*'2. Inputs'!$B$5*(1+'2. Inputs'!$B$6)^(('3. Leases'!$D$5+S22*('2. Inputs'!$B$7+'2. Inputs'!$B$9))/4),0)+IF(R22='2. Inputs'!$B$7,'2. Inputs'!$B$10*'2. Inputs'!$B$3*(1+'2. Inputs'!$B$4)^(('3. Leases'!$D$5+'2. Inputs'!$B$7+S22*('2. Inputs'!$B$7+'2. Inputs'!$B$9))/4)*'3. Leases'!$B$5,0))</f>
        <v>0</v>
      </c>
      <c r="W22" s="14" t="n">
        <f aca="false">IF($A22&lt;='3. Leases'!$D$5,0,IF(R22&lt;'2. Inputs'!$B$7,'3. Leases'!$B$5,0))</f>
        <v>0</v>
      </c>
      <c r="X22" s="13" t="n">
        <f aca="false">$A22-'3. Leases'!$D$6-1</f>
        <v>12</v>
      </c>
      <c r="Y22" s="13" t="n">
        <f aca="false">IF(X22&lt;0,-1,MOD(X22,'2. Inputs'!$B$7+'2. Inputs'!$B$9))</f>
        <v>12</v>
      </c>
      <c r="Z22" s="13" t="n">
        <f aca="false">IF(X22&lt;0,0,INT(X22/('2. Inputs'!$B$7+'2. Inputs'!$B$9)))</f>
        <v>0</v>
      </c>
      <c r="AA22" s="14" t="n">
        <f aca="false">IF($A22&lt;='3. Leases'!$D$6,'3. Leases'!$B$6*'3. Leases'!$C$6/4,IF(Y22&lt;'2. Inputs'!$B$7+'2. Inputs'!$B$8,0,'3. Leases'!$B$6*'2. Inputs'!$B$3*(1+'2. Inputs'!$B$4)^(('3. Leases'!$D$6+'2. Inputs'!$B$7+Z22*('2. Inputs'!$B$7+'2. Inputs'!$B$9))/4)/4))</f>
        <v>77555.0100488435</v>
      </c>
      <c r="AB22" s="14" t="n">
        <f aca="false">IF($A22&lt;='3. Leases'!$D$6,'3. Leases'!$B$6*'3. Leases'!$C$6,IF(Y22&lt;'2. Inputs'!$B$7,0,'3. Leases'!$B$6*'2. Inputs'!$B$3*(1+'2. Inputs'!$B$4)^(('3. Leases'!$D$6+'2. Inputs'!$B$7+Z22*('2. Inputs'!$B$7+'2. Inputs'!$B$9))/4)))</f>
        <v>310220.040195374</v>
      </c>
      <c r="AC22" s="14" t="n">
        <f aca="false">IF($A22&lt;='3. Leases'!$D$6,0,IF(Y22=0,'3. Leases'!$B$6*'2. Inputs'!$B$5*(1+'2. Inputs'!$B$6)^(('3. Leases'!$D$6+Z22*('2. Inputs'!$B$7+'2. Inputs'!$B$9))/4),0)+IF(Y22='2. Inputs'!$B$7,'2. Inputs'!$B$10*'2. Inputs'!$B$3*(1+'2. Inputs'!$B$4)^(('3. Leases'!$D$6+'2. Inputs'!$B$7+Z22*('2. Inputs'!$B$7+'2. Inputs'!$B$9))/4)*'3. Leases'!$B$6,0))</f>
        <v>0</v>
      </c>
      <c r="AD22" s="14" t="n">
        <f aca="false">IF($A22&lt;='3. Leases'!$D$6,0,IF(Y22&lt;'2. Inputs'!$B$7,'3. Leases'!$B$6,0))</f>
        <v>0</v>
      </c>
      <c r="AE22" s="13" t="n">
        <f aca="false">$A22-'3. Leases'!$D$7-1</f>
        <v>18</v>
      </c>
      <c r="AF22" s="13" t="n">
        <f aca="false">IF(AE22&lt;0,-1,MOD(AE22,'2. Inputs'!$B$7+'2. Inputs'!$B$9))</f>
        <v>18</v>
      </c>
      <c r="AG22" s="13" t="n">
        <f aca="false">IF(AE22&lt;0,0,INT(AE22/('2. Inputs'!$B$7+'2. Inputs'!$B$9)))</f>
        <v>0</v>
      </c>
      <c r="AH22" s="14" t="n">
        <f aca="false">IF($A22&lt;='3. Leases'!$D$7,'3. Leases'!$B$7*'3. Leases'!$C$7/4,IF(AF22&lt;'2. Inputs'!$B$7+'2. Inputs'!$B$8,0,'3. Leases'!$B$7*'2. Inputs'!$B$3*(1+'2. Inputs'!$B$4)^(('3. Leases'!$D$7+'2. Inputs'!$B$7+AG22*('2. Inputs'!$B$7+'2. Inputs'!$B$9))/4)/4))</f>
        <v>163819.103991457</v>
      </c>
      <c r="AI22" s="14" t="n">
        <f aca="false">IF($A22&lt;='3. Leases'!$D$7,'3. Leases'!$B$7*'3. Leases'!$C$7,IF(AF22&lt;'2. Inputs'!$B$7,0,'3. Leases'!$B$7*'2. Inputs'!$B$3*(1+'2. Inputs'!$B$4)^(('3. Leases'!$D$7+'2. Inputs'!$B$7+AG22*('2. Inputs'!$B$7+'2. Inputs'!$B$9))/4)))</f>
        <v>655276.415965829</v>
      </c>
      <c r="AJ22" s="14" t="n">
        <f aca="false">IF($A22&lt;='3. Leases'!$D$7,0,IF(AF22=0,'3. Leases'!$B$7*'2. Inputs'!$B$5*(1+'2. Inputs'!$B$6)^(('3. Leases'!$D$7+AG22*('2. Inputs'!$B$7+'2. Inputs'!$B$9))/4),0)+IF(AF22='2. Inputs'!$B$7,'2. Inputs'!$B$10*'2. Inputs'!$B$3*(1+'2. Inputs'!$B$4)^(('3. Leases'!$D$7+'2. Inputs'!$B$7+AG22*('2. Inputs'!$B$7+'2. Inputs'!$B$9))/4)*'3. Leases'!$B$7,0))</f>
        <v>0</v>
      </c>
      <c r="AK22" s="14" t="n">
        <f aca="false">IF($A22&lt;='3. Leases'!$D$7,0,IF(AF22&lt;'2. Inputs'!$B$7,'3. Leases'!$B$7,0))</f>
        <v>0</v>
      </c>
      <c r="AL22" s="14" t="n">
        <f aca="false">F22+M22+T22+AA22+AH22</f>
        <v>685951.121878521</v>
      </c>
      <c r="AM22" s="14" t="n">
        <f aca="false">G22+N22+U22+AB22+AI22</f>
        <v>2743804.48751408</v>
      </c>
      <c r="AN22" s="14" t="n">
        <f aca="false">H22+O22+V22+AC22+AJ22+IF($A22='2. Inputs'!$B$14,'2. Inputs'!$B$13,0)</f>
        <v>0</v>
      </c>
      <c r="AO22" s="14" t="n">
        <f aca="false">I22+P22+W22+AD22+AK22</f>
        <v>3100</v>
      </c>
      <c r="AP22" s="14" t="n">
        <f aca="false">AL22*(1-'2. Inputs'!$B$11)-AO22*'2. Inputs'!$B$12/4</f>
        <v>602169.054565809</v>
      </c>
      <c r="AQ22" s="14" t="n">
        <f aca="false">AP22-AN22</f>
        <v>602169.054565809</v>
      </c>
      <c r="AR22" s="15" t="n">
        <f aca="false">1/(1+((1+'2. Inputs'!$B$15)^0.25-1))^$A22</f>
        <v>0.701484251648902</v>
      </c>
      <c r="AS22" s="14" t="n">
        <f aca="false">AQ22*AR22</f>
        <v>422412.108608224</v>
      </c>
    </row>
    <row r="23" customFormat="false" ht="15" hidden="false" customHeight="false" outlineLevel="0" collapsed="false">
      <c r="A23" s="0" t="n">
        <v>20</v>
      </c>
      <c r="B23" s="0" t="n">
        <f aca="false">CEILING(A23/4,1)</f>
        <v>5</v>
      </c>
      <c r="C23" s="13" t="n">
        <f aca="false">$A23-'3. Leases'!$D$3-1</f>
        <v>9</v>
      </c>
      <c r="D23" s="13" t="n">
        <f aca="false">IF(C23&lt;0,-1,MOD(C23,'2. Inputs'!$B$7+'2. Inputs'!$B$9))</f>
        <v>9</v>
      </c>
      <c r="E23" s="13" t="n">
        <f aca="false">IF(C23&lt;0,0,INT(C23/('2. Inputs'!$B$7+'2. Inputs'!$B$9)))</f>
        <v>0</v>
      </c>
      <c r="F23" s="14" t="n">
        <f aca="false">IF($A23&lt;='3. Leases'!$D$3,'3. Leases'!$B$3*'3. Leases'!$C$3/4,IF(D23&lt;'2. Inputs'!$B$7+'2. Inputs'!$B$8,0,'3. Leases'!$B$3*'2. Inputs'!$B$3*(1+'2. Inputs'!$B$4)^(('3. Leases'!$D$3+'2. Inputs'!$B$7+E23*('2. Inputs'!$B$7+'2. Inputs'!$B$9))/4)/4))</f>
        <v>330617.00783822</v>
      </c>
      <c r="G23" s="14" t="n">
        <f aca="false">IF($A23&lt;='3. Leases'!$D$3,'3. Leases'!$B$3*'3. Leases'!$C$3,IF(D23&lt;'2. Inputs'!$B$7,0,'3. Leases'!$B$3*'2. Inputs'!$B$3*(1+'2. Inputs'!$B$4)^(('3. Leases'!$D$3+'2. Inputs'!$B$7+E23*('2. Inputs'!$B$7+'2. Inputs'!$B$9))/4)))</f>
        <v>1322468.03135288</v>
      </c>
      <c r="H23" s="14" t="n">
        <f aca="false">IF($A23&lt;='3. Leases'!$D$3,0,IF(D23=0,'3. Leases'!$B$3*'2. Inputs'!$B$5*(1+'2. Inputs'!$B$6)^(('3. Leases'!$D$3+E23*('2. Inputs'!$B$7+'2. Inputs'!$B$9))/4),0)+IF(D23='2. Inputs'!$B$7,'2. Inputs'!$B$10*'2. Inputs'!$B$3*(1+'2. Inputs'!$B$4)^(('3. Leases'!$D$3+'2. Inputs'!$B$7+E23*('2. Inputs'!$B$7+'2. Inputs'!$B$9))/4)*'3. Leases'!$B$3,0))</f>
        <v>0</v>
      </c>
      <c r="I23" s="14" t="n">
        <f aca="false">IF($A23&lt;='3. Leases'!$D$3,0,IF(D23&lt;'2. Inputs'!$B$7,'3. Leases'!$B$3,0))</f>
        <v>0</v>
      </c>
      <c r="J23" s="13" t="n">
        <f aca="false">$A23-'3. Leases'!$D$4-1</f>
        <v>3</v>
      </c>
      <c r="K23" s="13" t="n">
        <f aca="false">IF(J23&lt;0,-1,MOD(J23,'2. Inputs'!$B$7+'2. Inputs'!$B$9))</f>
        <v>3</v>
      </c>
      <c r="L23" s="13" t="n">
        <f aca="false">IF(J23&lt;0,0,INT(J23/('2. Inputs'!$B$7+'2. Inputs'!$B$9)))</f>
        <v>0</v>
      </c>
      <c r="M23" s="14" t="n">
        <f aca="false">IF($A23&lt;='3. Leases'!$D$4,'3. Leases'!$B$4*'3. Leases'!$C$4/4,IF(K23&lt;'2. Inputs'!$B$7+'2. Inputs'!$B$8,0,'3. Leases'!$B$4*'2. Inputs'!$B$3*(1+'2. Inputs'!$B$4)^(('3. Leases'!$D$4+'2. Inputs'!$B$7+L23*('2. Inputs'!$B$7+'2. Inputs'!$B$9))/4)/4))</f>
        <v>0</v>
      </c>
      <c r="N23" s="14" t="n">
        <f aca="false">IF($A23&lt;='3. Leases'!$D$4,'3. Leases'!$B$4*'3. Leases'!$C$4,IF(K23&lt;'2. Inputs'!$B$7,0,'3. Leases'!$B$4*'2. Inputs'!$B$3*(1+'2. Inputs'!$B$4)^(('3. Leases'!$D$4+'2. Inputs'!$B$7+L23*('2. Inputs'!$B$7+'2. Inputs'!$B$9))/4)))</f>
        <v>998151.926305546</v>
      </c>
      <c r="O23" s="14" t="n">
        <f aca="false">IF($A23&lt;='3. Leases'!$D$4,0,IF(K23=0,'3. Leases'!$B$4*'2. Inputs'!$B$5*(1+'2. Inputs'!$B$6)^(('3. Leases'!$D$4+L23*('2. Inputs'!$B$7+'2. Inputs'!$B$9))/4),0)+IF(K23='2. Inputs'!$B$7,'2. Inputs'!$B$10*'2. Inputs'!$B$3*(1+'2. Inputs'!$B$4)^(('3. Leases'!$D$4+'2. Inputs'!$B$7+L23*('2. Inputs'!$B$7+'2. Inputs'!$B$9))/4)*'3. Leases'!$B$4,0))</f>
        <v>119778.231156666</v>
      </c>
      <c r="P23" s="14" t="n">
        <f aca="false">IF($A23&lt;='3. Leases'!$D$4,0,IF(K23&lt;'2. Inputs'!$B$7,'3. Leases'!$B$4,0))</f>
        <v>0</v>
      </c>
      <c r="Q23" s="13" t="n">
        <f aca="false">$A23-'3. Leases'!$D$5-1</f>
        <v>-7</v>
      </c>
      <c r="R23" s="13" t="n">
        <f aca="false">IF(Q23&lt;0,-1,MOD(Q23,'2. Inputs'!$B$7+'2. Inputs'!$B$9))</f>
        <v>-1</v>
      </c>
      <c r="S23" s="13" t="n">
        <f aca="false">IF(Q23&lt;0,0,INT(Q23/('2. Inputs'!$B$7+'2. Inputs'!$B$9)))</f>
        <v>0</v>
      </c>
      <c r="T23" s="14" t="n">
        <f aca="false">IF($A23&lt;='3. Leases'!$D$5,'3. Leases'!$B$5*'3. Leases'!$C$5/4,IF(R23&lt;'2. Inputs'!$B$7+'2. Inputs'!$B$8,0,'3. Leases'!$B$5*'2. Inputs'!$B$3*(1+'2. Inputs'!$B$4)^(('3. Leases'!$D$5+'2. Inputs'!$B$7+S23*('2. Inputs'!$B$7+'2. Inputs'!$B$9))/4)/4))</f>
        <v>113960</v>
      </c>
      <c r="U23" s="14" t="n">
        <f aca="false">IF($A23&lt;='3. Leases'!$D$5,'3. Leases'!$B$5*'3. Leases'!$C$5,IF(R23&lt;'2. Inputs'!$B$7,0,'3. Leases'!$B$5*'2. Inputs'!$B$3*(1+'2. Inputs'!$B$4)^(('3. Leases'!$D$5+'2. Inputs'!$B$7+S23*('2. Inputs'!$B$7+'2. Inputs'!$B$9))/4)))</f>
        <v>455840</v>
      </c>
      <c r="V23" s="14" t="n">
        <f aca="false">IF($A23&lt;='3. Leases'!$D$5,0,IF(R23=0,'3. Leases'!$B$5*'2. Inputs'!$B$5*(1+'2. Inputs'!$B$6)^(('3. Leases'!$D$5+S23*('2. Inputs'!$B$7+'2. Inputs'!$B$9))/4),0)+IF(R23='2. Inputs'!$B$7,'2. Inputs'!$B$10*'2. Inputs'!$B$3*(1+'2. Inputs'!$B$4)^(('3. Leases'!$D$5+'2. Inputs'!$B$7+S23*('2. Inputs'!$B$7+'2. Inputs'!$B$9))/4)*'3. Leases'!$B$5,0))</f>
        <v>0</v>
      </c>
      <c r="W23" s="14" t="n">
        <f aca="false">IF($A23&lt;='3. Leases'!$D$5,0,IF(R23&lt;'2. Inputs'!$B$7,'3. Leases'!$B$5,0))</f>
        <v>0</v>
      </c>
      <c r="X23" s="13" t="n">
        <f aca="false">$A23-'3. Leases'!$D$6-1</f>
        <v>13</v>
      </c>
      <c r="Y23" s="13" t="n">
        <f aca="false">IF(X23&lt;0,-1,MOD(X23,'2. Inputs'!$B$7+'2. Inputs'!$B$9))</f>
        <v>13</v>
      </c>
      <c r="Z23" s="13" t="n">
        <f aca="false">IF(X23&lt;0,0,INT(X23/('2. Inputs'!$B$7+'2. Inputs'!$B$9)))</f>
        <v>0</v>
      </c>
      <c r="AA23" s="14" t="n">
        <f aca="false">IF($A23&lt;='3. Leases'!$D$6,'3. Leases'!$B$6*'3. Leases'!$C$6/4,IF(Y23&lt;'2. Inputs'!$B$7+'2. Inputs'!$B$8,0,'3. Leases'!$B$6*'2. Inputs'!$B$3*(1+'2. Inputs'!$B$4)^(('3. Leases'!$D$6+'2. Inputs'!$B$7+Z23*('2. Inputs'!$B$7+'2. Inputs'!$B$9))/4)/4))</f>
        <v>77555.0100488435</v>
      </c>
      <c r="AB23" s="14" t="n">
        <f aca="false">IF($A23&lt;='3. Leases'!$D$6,'3. Leases'!$B$6*'3. Leases'!$C$6,IF(Y23&lt;'2. Inputs'!$B$7,0,'3. Leases'!$B$6*'2. Inputs'!$B$3*(1+'2. Inputs'!$B$4)^(('3. Leases'!$D$6+'2. Inputs'!$B$7+Z23*('2. Inputs'!$B$7+'2. Inputs'!$B$9))/4)))</f>
        <v>310220.040195374</v>
      </c>
      <c r="AC23" s="14" t="n">
        <f aca="false">IF($A23&lt;='3. Leases'!$D$6,0,IF(Y23=0,'3. Leases'!$B$6*'2. Inputs'!$B$5*(1+'2. Inputs'!$B$6)^(('3. Leases'!$D$6+Z23*('2. Inputs'!$B$7+'2. Inputs'!$B$9))/4),0)+IF(Y23='2. Inputs'!$B$7,'2. Inputs'!$B$10*'2. Inputs'!$B$3*(1+'2. Inputs'!$B$4)^(('3. Leases'!$D$6+'2. Inputs'!$B$7+Z23*('2. Inputs'!$B$7+'2. Inputs'!$B$9))/4)*'3. Leases'!$B$6,0))</f>
        <v>0</v>
      </c>
      <c r="AD23" s="14" t="n">
        <f aca="false">IF($A23&lt;='3. Leases'!$D$6,0,IF(Y23&lt;'2. Inputs'!$B$7,'3. Leases'!$B$6,0))</f>
        <v>0</v>
      </c>
      <c r="AE23" s="13" t="n">
        <f aca="false">$A23-'3. Leases'!$D$7-1</f>
        <v>19</v>
      </c>
      <c r="AF23" s="13" t="n">
        <f aca="false">IF(AE23&lt;0,-1,MOD(AE23,'2. Inputs'!$B$7+'2. Inputs'!$B$9))</f>
        <v>19</v>
      </c>
      <c r="AG23" s="13" t="n">
        <f aca="false">IF(AE23&lt;0,0,INT(AE23/('2. Inputs'!$B$7+'2. Inputs'!$B$9)))</f>
        <v>0</v>
      </c>
      <c r="AH23" s="14" t="n">
        <f aca="false">IF($A23&lt;='3. Leases'!$D$7,'3. Leases'!$B$7*'3. Leases'!$C$7/4,IF(AF23&lt;'2. Inputs'!$B$7+'2. Inputs'!$B$8,0,'3. Leases'!$B$7*'2. Inputs'!$B$3*(1+'2. Inputs'!$B$4)^(('3. Leases'!$D$7+'2. Inputs'!$B$7+AG23*('2. Inputs'!$B$7+'2. Inputs'!$B$9))/4)/4))</f>
        <v>163819.103991457</v>
      </c>
      <c r="AI23" s="14" t="n">
        <f aca="false">IF($A23&lt;='3. Leases'!$D$7,'3. Leases'!$B$7*'3. Leases'!$C$7,IF(AF23&lt;'2. Inputs'!$B$7,0,'3. Leases'!$B$7*'2. Inputs'!$B$3*(1+'2. Inputs'!$B$4)^(('3. Leases'!$D$7+'2. Inputs'!$B$7+AG23*('2. Inputs'!$B$7+'2. Inputs'!$B$9))/4)))</f>
        <v>655276.415965829</v>
      </c>
      <c r="AJ23" s="14" t="n">
        <f aca="false">IF($A23&lt;='3. Leases'!$D$7,0,IF(AF23=0,'3. Leases'!$B$7*'2. Inputs'!$B$5*(1+'2. Inputs'!$B$6)^(('3. Leases'!$D$7+AG23*('2. Inputs'!$B$7+'2. Inputs'!$B$9))/4),0)+IF(AF23='2. Inputs'!$B$7,'2. Inputs'!$B$10*'2. Inputs'!$B$3*(1+'2. Inputs'!$B$4)^(('3. Leases'!$D$7+'2. Inputs'!$B$7+AG23*('2. Inputs'!$B$7+'2. Inputs'!$B$9))/4)*'3. Leases'!$B$7,0))</f>
        <v>0</v>
      </c>
      <c r="AK23" s="14" t="n">
        <f aca="false">IF($A23&lt;='3. Leases'!$D$7,0,IF(AF23&lt;'2. Inputs'!$B$7,'3. Leases'!$B$7,0))</f>
        <v>0</v>
      </c>
      <c r="AL23" s="14" t="n">
        <f aca="false">F23+M23+T23+AA23+AH23</f>
        <v>685951.121878521</v>
      </c>
      <c r="AM23" s="14" t="n">
        <f aca="false">G23+N23+U23+AB23+AI23</f>
        <v>3741956.41381963</v>
      </c>
      <c r="AN23" s="14" t="n">
        <f aca="false">H23+O23+V23+AC23+AJ23+IF($A23='2. Inputs'!$B$14,'2. Inputs'!$B$13,0)</f>
        <v>119778.231156666</v>
      </c>
      <c r="AO23" s="14" t="n">
        <f aca="false">I23+P23+W23+AD23+AK23</f>
        <v>0</v>
      </c>
      <c r="AP23" s="14" t="n">
        <f aca="false">AL23*(1-'2. Inputs'!$B$11)-AO23*'2. Inputs'!$B$12/4</f>
        <v>644794.054565809</v>
      </c>
      <c r="AQ23" s="14" t="n">
        <f aca="false">AP23-AN23</f>
        <v>525015.823409144</v>
      </c>
      <c r="AR23" s="15" t="n">
        <f aca="false">1/(1+((1+'2. Inputs'!$B$15)^0.25-1))^$A23</f>
        <v>0.688515316427483</v>
      </c>
      <c r="AS23" s="14" t="n">
        <f aca="false">AQ23*AR23</f>
        <v>361481.435783982</v>
      </c>
    </row>
    <row r="24" customFormat="false" ht="15" hidden="false" customHeight="false" outlineLevel="0" collapsed="false">
      <c r="A24" s="0" t="n">
        <v>21</v>
      </c>
      <c r="B24" s="0" t="n">
        <f aca="false">CEILING(A24/4,1)</f>
        <v>6</v>
      </c>
      <c r="C24" s="13" t="n">
        <f aca="false">$A24-'3. Leases'!$D$3-1</f>
        <v>10</v>
      </c>
      <c r="D24" s="13" t="n">
        <f aca="false">IF(C24&lt;0,-1,MOD(C24,'2. Inputs'!$B$7+'2. Inputs'!$B$9))</f>
        <v>10</v>
      </c>
      <c r="E24" s="13" t="n">
        <f aca="false">IF(C24&lt;0,0,INT(C24/('2. Inputs'!$B$7+'2. Inputs'!$B$9)))</f>
        <v>0</v>
      </c>
      <c r="F24" s="14" t="n">
        <f aca="false">IF($A24&lt;='3. Leases'!$D$3,'3. Leases'!$B$3*'3. Leases'!$C$3/4,IF(D24&lt;'2. Inputs'!$B$7+'2. Inputs'!$B$8,0,'3. Leases'!$B$3*'2. Inputs'!$B$3*(1+'2. Inputs'!$B$4)^(('3. Leases'!$D$3+'2. Inputs'!$B$7+E24*('2. Inputs'!$B$7+'2. Inputs'!$B$9))/4)/4))</f>
        <v>330617.00783822</v>
      </c>
      <c r="G24" s="14" t="n">
        <f aca="false">IF($A24&lt;='3. Leases'!$D$3,'3. Leases'!$B$3*'3. Leases'!$C$3,IF(D24&lt;'2. Inputs'!$B$7,0,'3. Leases'!$B$3*'2. Inputs'!$B$3*(1+'2. Inputs'!$B$4)^(('3. Leases'!$D$3+'2. Inputs'!$B$7+E24*('2. Inputs'!$B$7+'2. Inputs'!$B$9))/4)))</f>
        <v>1322468.03135288</v>
      </c>
      <c r="H24" s="14" t="n">
        <f aca="false">IF($A24&lt;='3. Leases'!$D$3,0,IF(D24=0,'3. Leases'!$B$3*'2. Inputs'!$B$5*(1+'2. Inputs'!$B$6)^(('3. Leases'!$D$3+E24*('2. Inputs'!$B$7+'2. Inputs'!$B$9))/4),0)+IF(D24='2. Inputs'!$B$7,'2. Inputs'!$B$10*'2. Inputs'!$B$3*(1+'2. Inputs'!$B$4)^(('3. Leases'!$D$3+'2. Inputs'!$B$7+E24*('2. Inputs'!$B$7+'2. Inputs'!$B$9))/4)*'3. Leases'!$B$3,0))</f>
        <v>0</v>
      </c>
      <c r="I24" s="14" t="n">
        <f aca="false">IF($A24&lt;='3. Leases'!$D$3,0,IF(D24&lt;'2. Inputs'!$B$7,'3. Leases'!$B$3,0))</f>
        <v>0</v>
      </c>
      <c r="J24" s="13" t="n">
        <f aca="false">$A24-'3. Leases'!$D$4-1</f>
        <v>4</v>
      </c>
      <c r="K24" s="13" t="n">
        <f aca="false">IF(J24&lt;0,-1,MOD(J24,'2. Inputs'!$B$7+'2. Inputs'!$B$9))</f>
        <v>4</v>
      </c>
      <c r="L24" s="13" t="n">
        <f aca="false">IF(J24&lt;0,0,INT(J24/('2. Inputs'!$B$7+'2. Inputs'!$B$9)))</f>
        <v>0</v>
      </c>
      <c r="M24" s="14" t="n">
        <f aca="false">IF($A24&lt;='3. Leases'!$D$4,'3. Leases'!$B$4*'3. Leases'!$C$4/4,IF(K24&lt;'2. Inputs'!$B$7+'2. Inputs'!$B$8,0,'3. Leases'!$B$4*'2. Inputs'!$B$3*(1+'2. Inputs'!$B$4)^(('3. Leases'!$D$4+'2. Inputs'!$B$7+L24*('2. Inputs'!$B$7+'2. Inputs'!$B$9))/4)/4))</f>
        <v>0</v>
      </c>
      <c r="N24" s="14" t="n">
        <f aca="false">IF($A24&lt;='3. Leases'!$D$4,'3. Leases'!$B$4*'3. Leases'!$C$4,IF(K24&lt;'2. Inputs'!$B$7,0,'3. Leases'!$B$4*'2. Inputs'!$B$3*(1+'2. Inputs'!$B$4)^(('3. Leases'!$D$4+'2. Inputs'!$B$7+L24*('2. Inputs'!$B$7+'2. Inputs'!$B$9))/4)))</f>
        <v>998151.926305546</v>
      </c>
      <c r="O24" s="14" t="n">
        <f aca="false">IF($A24&lt;='3. Leases'!$D$4,0,IF(K24=0,'3. Leases'!$B$4*'2. Inputs'!$B$5*(1+'2. Inputs'!$B$6)^(('3. Leases'!$D$4+L24*('2. Inputs'!$B$7+'2. Inputs'!$B$9))/4),0)+IF(K24='2. Inputs'!$B$7,'2. Inputs'!$B$10*'2. Inputs'!$B$3*(1+'2. Inputs'!$B$4)^(('3. Leases'!$D$4+'2. Inputs'!$B$7+L24*('2. Inputs'!$B$7+'2. Inputs'!$B$9))/4)*'3. Leases'!$B$4,0))</f>
        <v>0</v>
      </c>
      <c r="P24" s="14" t="n">
        <f aca="false">IF($A24&lt;='3. Leases'!$D$4,0,IF(K24&lt;'2. Inputs'!$B$7,'3. Leases'!$B$4,0))</f>
        <v>0</v>
      </c>
      <c r="Q24" s="13" t="n">
        <f aca="false">$A24-'3. Leases'!$D$5-1</f>
        <v>-6</v>
      </c>
      <c r="R24" s="13" t="n">
        <f aca="false">IF(Q24&lt;0,-1,MOD(Q24,'2. Inputs'!$B$7+'2. Inputs'!$B$9))</f>
        <v>-1</v>
      </c>
      <c r="S24" s="13" t="n">
        <f aca="false">IF(Q24&lt;0,0,INT(Q24/('2. Inputs'!$B$7+'2. Inputs'!$B$9)))</f>
        <v>0</v>
      </c>
      <c r="T24" s="14" t="n">
        <f aca="false">IF($A24&lt;='3. Leases'!$D$5,'3. Leases'!$B$5*'3. Leases'!$C$5/4,IF(R24&lt;'2. Inputs'!$B$7+'2. Inputs'!$B$8,0,'3. Leases'!$B$5*'2. Inputs'!$B$3*(1+'2. Inputs'!$B$4)^(('3. Leases'!$D$5+'2. Inputs'!$B$7+S24*('2. Inputs'!$B$7+'2. Inputs'!$B$9))/4)/4))</f>
        <v>113960</v>
      </c>
      <c r="U24" s="14" t="n">
        <f aca="false">IF($A24&lt;='3. Leases'!$D$5,'3. Leases'!$B$5*'3. Leases'!$C$5,IF(R24&lt;'2. Inputs'!$B$7,0,'3. Leases'!$B$5*'2. Inputs'!$B$3*(1+'2. Inputs'!$B$4)^(('3. Leases'!$D$5+'2. Inputs'!$B$7+S24*('2. Inputs'!$B$7+'2. Inputs'!$B$9))/4)))</f>
        <v>455840</v>
      </c>
      <c r="V24" s="14" t="n">
        <f aca="false">IF($A24&lt;='3. Leases'!$D$5,0,IF(R24=0,'3. Leases'!$B$5*'2. Inputs'!$B$5*(1+'2. Inputs'!$B$6)^(('3. Leases'!$D$5+S24*('2. Inputs'!$B$7+'2. Inputs'!$B$9))/4),0)+IF(R24='2. Inputs'!$B$7,'2. Inputs'!$B$10*'2. Inputs'!$B$3*(1+'2. Inputs'!$B$4)^(('3. Leases'!$D$5+'2. Inputs'!$B$7+S24*('2. Inputs'!$B$7+'2. Inputs'!$B$9))/4)*'3. Leases'!$B$5,0))</f>
        <v>0</v>
      </c>
      <c r="W24" s="14" t="n">
        <f aca="false">IF($A24&lt;='3. Leases'!$D$5,0,IF(R24&lt;'2. Inputs'!$B$7,'3. Leases'!$B$5,0))</f>
        <v>0</v>
      </c>
      <c r="X24" s="13" t="n">
        <f aca="false">$A24-'3. Leases'!$D$6-1</f>
        <v>14</v>
      </c>
      <c r="Y24" s="13" t="n">
        <f aca="false">IF(X24&lt;0,-1,MOD(X24,'2. Inputs'!$B$7+'2. Inputs'!$B$9))</f>
        <v>14</v>
      </c>
      <c r="Z24" s="13" t="n">
        <f aca="false">IF(X24&lt;0,0,INT(X24/('2. Inputs'!$B$7+'2. Inputs'!$B$9)))</f>
        <v>0</v>
      </c>
      <c r="AA24" s="14" t="n">
        <f aca="false">IF($A24&lt;='3. Leases'!$D$6,'3. Leases'!$B$6*'3. Leases'!$C$6/4,IF(Y24&lt;'2. Inputs'!$B$7+'2. Inputs'!$B$8,0,'3. Leases'!$B$6*'2. Inputs'!$B$3*(1+'2. Inputs'!$B$4)^(('3. Leases'!$D$6+'2. Inputs'!$B$7+Z24*('2. Inputs'!$B$7+'2. Inputs'!$B$9))/4)/4))</f>
        <v>77555.0100488435</v>
      </c>
      <c r="AB24" s="14" t="n">
        <f aca="false">IF($A24&lt;='3. Leases'!$D$6,'3. Leases'!$B$6*'3. Leases'!$C$6,IF(Y24&lt;'2. Inputs'!$B$7,0,'3. Leases'!$B$6*'2. Inputs'!$B$3*(1+'2. Inputs'!$B$4)^(('3. Leases'!$D$6+'2. Inputs'!$B$7+Z24*('2. Inputs'!$B$7+'2. Inputs'!$B$9))/4)))</f>
        <v>310220.040195374</v>
      </c>
      <c r="AC24" s="14" t="n">
        <f aca="false">IF($A24&lt;='3. Leases'!$D$6,0,IF(Y24=0,'3. Leases'!$B$6*'2. Inputs'!$B$5*(1+'2. Inputs'!$B$6)^(('3. Leases'!$D$6+Z24*('2. Inputs'!$B$7+'2. Inputs'!$B$9))/4),0)+IF(Y24='2. Inputs'!$B$7,'2. Inputs'!$B$10*'2. Inputs'!$B$3*(1+'2. Inputs'!$B$4)^(('3. Leases'!$D$6+'2. Inputs'!$B$7+Z24*('2. Inputs'!$B$7+'2. Inputs'!$B$9))/4)*'3. Leases'!$B$6,0))</f>
        <v>0</v>
      </c>
      <c r="AD24" s="14" t="n">
        <f aca="false">IF($A24&lt;='3. Leases'!$D$6,0,IF(Y24&lt;'2. Inputs'!$B$7,'3. Leases'!$B$6,0))</f>
        <v>0</v>
      </c>
      <c r="AE24" s="13" t="n">
        <f aca="false">$A24-'3. Leases'!$D$7-1</f>
        <v>20</v>
      </c>
      <c r="AF24" s="13" t="n">
        <f aca="false">IF(AE24&lt;0,-1,MOD(AE24,'2. Inputs'!$B$7+'2. Inputs'!$B$9))</f>
        <v>20</v>
      </c>
      <c r="AG24" s="13" t="n">
        <f aca="false">IF(AE24&lt;0,0,INT(AE24/('2. Inputs'!$B$7+'2. Inputs'!$B$9)))</f>
        <v>0</v>
      </c>
      <c r="AH24" s="14" t="n">
        <f aca="false">IF($A24&lt;='3. Leases'!$D$7,'3. Leases'!$B$7*'3. Leases'!$C$7/4,IF(AF24&lt;'2. Inputs'!$B$7+'2. Inputs'!$B$8,0,'3. Leases'!$B$7*'2. Inputs'!$B$3*(1+'2. Inputs'!$B$4)^(('3. Leases'!$D$7+'2. Inputs'!$B$7+AG24*('2. Inputs'!$B$7+'2. Inputs'!$B$9))/4)/4))</f>
        <v>163819.103991457</v>
      </c>
      <c r="AI24" s="14" t="n">
        <f aca="false">IF($A24&lt;='3. Leases'!$D$7,'3. Leases'!$B$7*'3. Leases'!$C$7,IF(AF24&lt;'2. Inputs'!$B$7,0,'3. Leases'!$B$7*'2. Inputs'!$B$3*(1+'2. Inputs'!$B$4)^(('3. Leases'!$D$7+'2. Inputs'!$B$7+AG24*('2. Inputs'!$B$7+'2. Inputs'!$B$9))/4)))</f>
        <v>655276.415965829</v>
      </c>
      <c r="AJ24" s="14" t="n">
        <f aca="false">IF($A24&lt;='3. Leases'!$D$7,0,IF(AF24=0,'3. Leases'!$B$7*'2. Inputs'!$B$5*(1+'2. Inputs'!$B$6)^(('3. Leases'!$D$7+AG24*('2. Inputs'!$B$7+'2. Inputs'!$B$9))/4),0)+IF(AF24='2. Inputs'!$B$7,'2. Inputs'!$B$10*'2. Inputs'!$B$3*(1+'2. Inputs'!$B$4)^(('3. Leases'!$D$7+'2. Inputs'!$B$7+AG24*('2. Inputs'!$B$7+'2. Inputs'!$B$9))/4)*'3. Leases'!$B$7,0))</f>
        <v>0</v>
      </c>
      <c r="AK24" s="14" t="n">
        <f aca="false">IF($A24&lt;='3. Leases'!$D$7,0,IF(AF24&lt;'2. Inputs'!$B$7,'3. Leases'!$B$7,0))</f>
        <v>0</v>
      </c>
      <c r="AL24" s="14" t="n">
        <f aca="false">F24+M24+T24+AA24+AH24</f>
        <v>685951.121878521</v>
      </c>
      <c r="AM24" s="14" t="n">
        <f aca="false">G24+N24+U24+AB24+AI24</f>
        <v>3741956.41381963</v>
      </c>
      <c r="AN24" s="14" t="n">
        <f aca="false">H24+O24+V24+AC24+AJ24+IF($A24='2. Inputs'!$B$14,'2. Inputs'!$B$13,0)</f>
        <v>0</v>
      </c>
      <c r="AO24" s="14" t="n">
        <f aca="false">I24+P24+W24+AD24+AK24</f>
        <v>0</v>
      </c>
      <c r="AP24" s="14" t="n">
        <f aca="false">AL24*(1-'2. Inputs'!$B$11)-AO24*'2. Inputs'!$B$12/4</f>
        <v>644794.054565809</v>
      </c>
      <c r="AQ24" s="14" t="n">
        <f aca="false">AP24-AN24</f>
        <v>644794.054565809</v>
      </c>
      <c r="AR24" s="15" t="n">
        <f aca="false">1/(1+((1+'2. Inputs'!$B$15)^0.25-1))^$A24</f>
        <v>0.675786148927695</v>
      </c>
      <c r="AS24" s="14" t="n">
        <f aca="false">AQ24*AR24</f>
        <v>435742.890986502</v>
      </c>
    </row>
    <row r="25" customFormat="false" ht="15" hidden="false" customHeight="false" outlineLevel="0" collapsed="false">
      <c r="A25" s="0" t="n">
        <v>22</v>
      </c>
      <c r="B25" s="0" t="n">
        <f aca="false">CEILING(A25/4,1)</f>
        <v>6</v>
      </c>
      <c r="C25" s="13" t="n">
        <f aca="false">$A25-'3. Leases'!$D$3-1</f>
        <v>11</v>
      </c>
      <c r="D25" s="13" t="n">
        <f aca="false">IF(C25&lt;0,-1,MOD(C25,'2. Inputs'!$B$7+'2. Inputs'!$B$9))</f>
        <v>11</v>
      </c>
      <c r="E25" s="13" t="n">
        <f aca="false">IF(C25&lt;0,0,INT(C25/('2. Inputs'!$B$7+'2. Inputs'!$B$9)))</f>
        <v>0</v>
      </c>
      <c r="F25" s="14" t="n">
        <f aca="false">IF($A25&lt;='3. Leases'!$D$3,'3. Leases'!$B$3*'3. Leases'!$C$3/4,IF(D25&lt;'2. Inputs'!$B$7+'2. Inputs'!$B$8,0,'3. Leases'!$B$3*'2. Inputs'!$B$3*(1+'2. Inputs'!$B$4)^(('3. Leases'!$D$3+'2. Inputs'!$B$7+E25*('2. Inputs'!$B$7+'2. Inputs'!$B$9))/4)/4))</f>
        <v>330617.00783822</v>
      </c>
      <c r="G25" s="14" t="n">
        <f aca="false">IF($A25&lt;='3. Leases'!$D$3,'3. Leases'!$B$3*'3. Leases'!$C$3,IF(D25&lt;'2. Inputs'!$B$7,0,'3. Leases'!$B$3*'2. Inputs'!$B$3*(1+'2. Inputs'!$B$4)^(('3. Leases'!$D$3+'2. Inputs'!$B$7+E25*('2. Inputs'!$B$7+'2. Inputs'!$B$9))/4)))</f>
        <v>1322468.03135288</v>
      </c>
      <c r="H25" s="14" t="n">
        <f aca="false">IF($A25&lt;='3. Leases'!$D$3,0,IF(D25=0,'3. Leases'!$B$3*'2. Inputs'!$B$5*(1+'2. Inputs'!$B$6)^(('3. Leases'!$D$3+E25*('2. Inputs'!$B$7+'2. Inputs'!$B$9))/4),0)+IF(D25='2. Inputs'!$B$7,'2. Inputs'!$B$10*'2. Inputs'!$B$3*(1+'2. Inputs'!$B$4)^(('3. Leases'!$D$3+'2. Inputs'!$B$7+E25*('2. Inputs'!$B$7+'2. Inputs'!$B$9))/4)*'3. Leases'!$B$3,0))</f>
        <v>0</v>
      </c>
      <c r="I25" s="14" t="n">
        <f aca="false">IF($A25&lt;='3. Leases'!$D$3,0,IF(D25&lt;'2. Inputs'!$B$7,'3. Leases'!$B$3,0))</f>
        <v>0</v>
      </c>
      <c r="J25" s="13" t="n">
        <f aca="false">$A25-'3. Leases'!$D$4-1</f>
        <v>5</v>
      </c>
      <c r="K25" s="13" t="n">
        <f aca="false">IF(J25&lt;0,-1,MOD(J25,'2. Inputs'!$B$7+'2. Inputs'!$B$9))</f>
        <v>5</v>
      </c>
      <c r="L25" s="13" t="n">
        <f aca="false">IF(J25&lt;0,0,INT(J25/('2. Inputs'!$B$7+'2. Inputs'!$B$9)))</f>
        <v>0</v>
      </c>
      <c r="M25" s="14" t="n">
        <f aca="false">IF($A25&lt;='3. Leases'!$D$4,'3. Leases'!$B$4*'3. Leases'!$C$4/4,IF(K25&lt;'2. Inputs'!$B$7+'2. Inputs'!$B$8,0,'3. Leases'!$B$4*'2. Inputs'!$B$3*(1+'2. Inputs'!$B$4)^(('3. Leases'!$D$4+'2. Inputs'!$B$7+L25*('2. Inputs'!$B$7+'2. Inputs'!$B$9))/4)/4))</f>
        <v>0</v>
      </c>
      <c r="N25" s="14" t="n">
        <f aca="false">IF($A25&lt;='3. Leases'!$D$4,'3. Leases'!$B$4*'3. Leases'!$C$4,IF(K25&lt;'2. Inputs'!$B$7,0,'3. Leases'!$B$4*'2. Inputs'!$B$3*(1+'2. Inputs'!$B$4)^(('3. Leases'!$D$4+'2. Inputs'!$B$7+L25*('2. Inputs'!$B$7+'2. Inputs'!$B$9))/4)))</f>
        <v>998151.926305546</v>
      </c>
      <c r="O25" s="14" t="n">
        <f aca="false">IF($A25&lt;='3. Leases'!$D$4,0,IF(K25=0,'3. Leases'!$B$4*'2. Inputs'!$B$5*(1+'2. Inputs'!$B$6)^(('3. Leases'!$D$4+L25*('2. Inputs'!$B$7+'2. Inputs'!$B$9))/4),0)+IF(K25='2. Inputs'!$B$7,'2. Inputs'!$B$10*'2. Inputs'!$B$3*(1+'2. Inputs'!$B$4)^(('3. Leases'!$D$4+'2. Inputs'!$B$7+L25*('2. Inputs'!$B$7+'2. Inputs'!$B$9))/4)*'3. Leases'!$B$4,0))</f>
        <v>0</v>
      </c>
      <c r="P25" s="14" t="n">
        <f aca="false">IF($A25&lt;='3. Leases'!$D$4,0,IF(K25&lt;'2. Inputs'!$B$7,'3. Leases'!$B$4,0))</f>
        <v>0</v>
      </c>
      <c r="Q25" s="13" t="n">
        <f aca="false">$A25-'3. Leases'!$D$5-1</f>
        <v>-5</v>
      </c>
      <c r="R25" s="13" t="n">
        <f aca="false">IF(Q25&lt;0,-1,MOD(Q25,'2. Inputs'!$B$7+'2. Inputs'!$B$9))</f>
        <v>-1</v>
      </c>
      <c r="S25" s="13" t="n">
        <f aca="false">IF(Q25&lt;0,0,INT(Q25/('2. Inputs'!$B$7+'2. Inputs'!$B$9)))</f>
        <v>0</v>
      </c>
      <c r="T25" s="14" t="n">
        <f aca="false">IF($A25&lt;='3. Leases'!$D$5,'3. Leases'!$B$5*'3. Leases'!$C$5/4,IF(R25&lt;'2. Inputs'!$B$7+'2. Inputs'!$B$8,0,'3. Leases'!$B$5*'2. Inputs'!$B$3*(1+'2. Inputs'!$B$4)^(('3. Leases'!$D$5+'2. Inputs'!$B$7+S25*('2. Inputs'!$B$7+'2. Inputs'!$B$9))/4)/4))</f>
        <v>113960</v>
      </c>
      <c r="U25" s="14" t="n">
        <f aca="false">IF($A25&lt;='3. Leases'!$D$5,'3. Leases'!$B$5*'3. Leases'!$C$5,IF(R25&lt;'2. Inputs'!$B$7,0,'3. Leases'!$B$5*'2. Inputs'!$B$3*(1+'2. Inputs'!$B$4)^(('3. Leases'!$D$5+'2. Inputs'!$B$7+S25*('2. Inputs'!$B$7+'2. Inputs'!$B$9))/4)))</f>
        <v>455840</v>
      </c>
      <c r="V25" s="14" t="n">
        <f aca="false">IF($A25&lt;='3. Leases'!$D$5,0,IF(R25=0,'3. Leases'!$B$5*'2. Inputs'!$B$5*(1+'2. Inputs'!$B$6)^(('3. Leases'!$D$5+S25*('2. Inputs'!$B$7+'2. Inputs'!$B$9))/4),0)+IF(R25='2. Inputs'!$B$7,'2. Inputs'!$B$10*'2. Inputs'!$B$3*(1+'2. Inputs'!$B$4)^(('3. Leases'!$D$5+'2. Inputs'!$B$7+S25*('2. Inputs'!$B$7+'2. Inputs'!$B$9))/4)*'3. Leases'!$B$5,0))</f>
        <v>0</v>
      </c>
      <c r="W25" s="14" t="n">
        <f aca="false">IF($A25&lt;='3. Leases'!$D$5,0,IF(R25&lt;'2. Inputs'!$B$7,'3. Leases'!$B$5,0))</f>
        <v>0</v>
      </c>
      <c r="X25" s="13" t="n">
        <f aca="false">$A25-'3. Leases'!$D$6-1</f>
        <v>15</v>
      </c>
      <c r="Y25" s="13" t="n">
        <f aca="false">IF(X25&lt;0,-1,MOD(X25,'2. Inputs'!$B$7+'2. Inputs'!$B$9))</f>
        <v>15</v>
      </c>
      <c r="Z25" s="13" t="n">
        <f aca="false">IF(X25&lt;0,0,INT(X25/('2. Inputs'!$B$7+'2. Inputs'!$B$9)))</f>
        <v>0</v>
      </c>
      <c r="AA25" s="14" t="n">
        <f aca="false">IF($A25&lt;='3. Leases'!$D$6,'3. Leases'!$B$6*'3. Leases'!$C$6/4,IF(Y25&lt;'2. Inputs'!$B$7+'2. Inputs'!$B$8,0,'3. Leases'!$B$6*'2. Inputs'!$B$3*(1+'2. Inputs'!$B$4)^(('3. Leases'!$D$6+'2. Inputs'!$B$7+Z25*('2. Inputs'!$B$7+'2. Inputs'!$B$9))/4)/4))</f>
        <v>77555.0100488435</v>
      </c>
      <c r="AB25" s="14" t="n">
        <f aca="false">IF($A25&lt;='3. Leases'!$D$6,'3. Leases'!$B$6*'3. Leases'!$C$6,IF(Y25&lt;'2. Inputs'!$B$7,0,'3. Leases'!$B$6*'2. Inputs'!$B$3*(1+'2. Inputs'!$B$4)^(('3. Leases'!$D$6+'2. Inputs'!$B$7+Z25*('2. Inputs'!$B$7+'2. Inputs'!$B$9))/4)))</f>
        <v>310220.040195374</v>
      </c>
      <c r="AC25" s="14" t="n">
        <f aca="false">IF($A25&lt;='3. Leases'!$D$6,0,IF(Y25=0,'3. Leases'!$B$6*'2. Inputs'!$B$5*(1+'2. Inputs'!$B$6)^(('3. Leases'!$D$6+Z25*('2. Inputs'!$B$7+'2. Inputs'!$B$9))/4),0)+IF(Y25='2. Inputs'!$B$7,'2. Inputs'!$B$10*'2. Inputs'!$B$3*(1+'2. Inputs'!$B$4)^(('3. Leases'!$D$6+'2. Inputs'!$B$7+Z25*('2. Inputs'!$B$7+'2. Inputs'!$B$9))/4)*'3. Leases'!$B$6,0))</f>
        <v>0</v>
      </c>
      <c r="AD25" s="14" t="n">
        <f aca="false">IF($A25&lt;='3. Leases'!$D$6,0,IF(Y25&lt;'2. Inputs'!$B$7,'3. Leases'!$B$6,0))</f>
        <v>0</v>
      </c>
      <c r="AE25" s="13" t="n">
        <f aca="false">$A25-'3. Leases'!$D$7-1</f>
        <v>21</v>
      </c>
      <c r="AF25" s="13" t="n">
        <f aca="false">IF(AE25&lt;0,-1,MOD(AE25,'2. Inputs'!$B$7+'2. Inputs'!$B$9))</f>
        <v>21</v>
      </c>
      <c r="AG25" s="13" t="n">
        <f aca="false">IF(AE25&lt;0,0,INT(AE25/('2. Inputs'!$B$7+'2. Inputs'!$B$9)))</f>
        <v>0</v>
      </c>
      <c r="AH25" s="14" t="n">
        <f aca="false">IF($A25&lt;='3. Leases'!$D$7,'3. Leases'!$B$7*'3. Leases'!$C$7/4,IF(AF25&lt;'2. Inputs'!$B$7+'2. Inputs'!$B$8,0,'3. Leases'!$B$7*'2. Inputs'!$B$3*(1+'2. Inputs'!$B$4)^(('3. Leases'!$D$7+'2. Inputs'!$B$7+AG25*('2. Inputs'!$B$7+'2. Inputs'!$B$9))/4)/4))</f>
        <v>163819.103991457</v>
      </c>
      <c r="AI25" s="14" t="n">
        <f aca="false">IF($A25&lt;='3. Leases'!$D$7,'3. Leases'!$B$7*'3. Leases'!$C$7,IF(AF25&lt;'2. Inputs'!$B$7,0,'3. Leases'!$B$7*'2. Inputs'!$B$3*(1+'2. Inputs'!$B$4)^(('3. Leases'!$D$7+'2. Inputs'!$B$7+AG25*('2. Inputs'!$B$7+'2. Inputs'!$B$9))/4)))</f>
        <v>655276.415965829</v>
      </c>
      <c r="AJ25" s="14" t="n">
        <f aca="false">IF($A25&lt;='3. Leases'!$D$7,0,IF(AF25=0,'3. Leases'!$B$7*'2. Inputs'!$B$5*(1+'2. Inputs'!$B$6)^(('3. Leases'!$D$7+AG25*('2. Inputs'!$B$7+'2. Inputs'!$B$9))/4),0)+IF(AF25='2. Inputs'!$B$7,'2. Inputs'!$B$10*'2. Inputs'!$B$3*(1+'2. Inputs'!$B$4)^(('3. Leases'!$D$7+'2. Inputs'!$B$7+AG25*('2. Inputs'!$B$7+'2. Inputs'!$B$9))/4)*'3. Leases'!$B$7,0))</f>
        <v>0</v>
      </c>
      <c r="AK25" s="14" t="n">
        <f aca="false">IF($A25&lt;='3. Leases'!$D$7,0,IF(AF25&lt;'2. Inputs'!$B$7,'3. Leases'!$B$7,0))</f>
        <v>0</v>
      </c>
      <c r="AL25" s="14" t="n">
        <f aca="false">F25+M25+T25+AA25+AH25</f>
        <v>685951.121878521</v>
      </c>
      <c r="AM25" s="14" t="n">
        <f aca="false">G25+N25+U25+AB25+AI25</f>
        <v>3741956.41381963</v>
      </c>
      <c r="AN25" s="14" t="n">
        <f aca="false">H25+O25+V25+AC25+AJ25+IF($A25='2. Inputs'!$B$14,'2. Inputs'!$B$13,0)</f>
        <v>0</v>
      </c>
      <c r="AO25" s="14" t="n">
        <f aca="false">I25+P25+W25+AD25+AK25</f>
        <v>0</v>
      </c>
      <c r="AP25" s="14" t="n">
        <f aca="false">AL25*(1-'2. Inputs'!$B$11)-AO25*'2. Inputs'!$B$12/4</f>
        <v>644794.054565809</v>
      </c>
      <c r="AQ25" s="14" t="n">
        <f aca="false">AP25-AN25</f>
        <v>644794.054565809</v>
      </c>
      <c r="AR25" s="15" t="n">
        <f aca="false">1/(1+((1+'2. Inputs'!$B$15)^0.25-1))^$A25</f>
        <v>0.663292316360001</v>
      </c>
      <c r="AS25" s="14" t="n">
        <f aca="false">AQ25*AR25</f>
        <v>427686.942028113</v>
      </c>
    </row>
    <row r="26" customFormat="false" ht="15" hidden="false" customHeight="false" outlineLevel="0" collapsed="false">
      <c r="A26" s="0" t="n">
        <v>23</v>
      </c>
      <c r="B26" s="0" t="n">
        <f aca="false">CEILING(A26/4,1)</f>
        <v>6</v>
      </c>
      <c r="C26" s="13" t="n">
        <f aca="false">$A26-'3. Leases'!$D$3-1</f>
        <v>12</v>
      </c>
      <c r="D26" s="13" t="n">
        <f aca="false">IF(C26&lt;0,-1,MOD(C26,'2. Inputs'!$B$7+'2. Inputs'!$B$9))</f>
        <v>12</v>
      </c>
      <c r="E26" s="13" t="n">
        <f aca="false">IF(C26&lt;0,0,INT(C26/('2. Inputs'!$B$7+'2. Inputs'!$B$9)))</f>
        <v>0</v>
      </c>
      <c r="F26" s="14" t="n">
        <f aca="false">IF($A26&lt;='3. Leases'!$D$3,'3. Leases'!$B$3*'3. Leases'!$C$3/4,IF(D26&lt;'2. Inputs'!$B$7+'2. Inputs'!$B$8,0,'3. Leases'!$B$3*'2. Inputs'!$B$3*(1+'2. Inputs'!$B$4)^(('3. Leases'!$D$3+'2. Inputs'!$B$7+E26*('2. Inputs'!$B$7+'2. Inputs'!$B$9))/4)/4))</f>
        <v>330617.00783822</v>
      </c>
      <c r="G26" s="14" t="n">
        <f aca="false">IF($A26&lt;='3. Leases'!$D$3,'3. Leases'!$B$3*'3. Leases'!$C$3,IF(D26&lt;'2. Inputs'!$B$7,0,'3. Leases'!$B$3*'2. Inputs'!$B$3*(1+'2. Inputs'!$B$4)^(('3. Leases'!$D$3+'2. Inputs'!$B$7+E26*('2. Inputs'!$B$7+'2. Inputs'!$B$9))/4)))</f>
        <v>1322468.03135288</v>
      </c>
      <c r="H26" s="14" t="n">
        <f aca="false">IF($A26&lt;='3. Leases'!$D$3,0,IF(D26=0,'3. Leases'!$B$3*'2. Inputs'!$B$5*(1+'2. Inputs'!$B$6)^(('3. Leases'!$D$3+E26*('2. Inputs'!$B$7+'2. Inputs'!$B$9))/4),0)+IF(D26='2. Inputs'!$B$7,'2. Inputs'!$B$10*'2. Inputs'!$B$3*(1+'2. Inputs'!$B$4)^(('3. Leases'!$D$3+'2. Inputs'!$B$7+E26*('2. Inputs'!$B$7+'2. Inputs'!$B$9))/4)*'3. Leases'!$B$3,0))</f>
        <v>0</v>
      </c>
      <c r="I26" s="14" t="n">
        <f aca="false">IF($A26&lt;='3. Leases'!$D$3,0,IF(D26&lt;'2. Inputs'!$B$7,'3. Leases'!$B$3,0))</f>
        <v>0</v>
      </c>
      <c r="J26" s="13" t="n">
        <f aca="false">$A26-'3. Leases'!$D$4-1</f>
        <v>6</v>
      </c>
      <c r="K26" s="13" t="n">
        <f aca="false">IF(J26&lt;0,-1,MOD(J26,'2. Inputs'!$B$7+'2. Inputs'!$B$9))</f>
        <v>6</v>
      </c>
      <c r="L26" s="13" t="n">
        <f aca="false">IF(J26&lt;0,0,INT(J26/('2. Inputs'!$B$7+'2. Inputs'!$B$9)))</f>
        <v>0</v>
      </c>
      <c r="M26" s="14" t="n">
        <f aca="false">IF($A26&lt;='3. Leases'!$D$4,'3. Leases'!$B$4*'3. Leases'!$C$4/4,IF(K26&lt;'2. Inputs'!$B$7+'2. Inputs'!$B$8,0,'3. Leases'!$B$4*'2. Inputs'!$B$3*(1+'2. Inputs'!$B$4)^(('3. Leases'!$D$4+'2. Inputs'!$B$7+L26*('2. Inputs'!$B$7+'2. Inputs'!$B$9))/4)/4))</f>
        <v>249537.981576387</v>
      </c>
      <c r="N26" s="14" t="n">
        <f aca="false">IF($A26&lt;='3. Leases'!$D$4,'3. Leases'!$B$4*'3. Leases'!$C$4,IF(K26&lt;'2. Inputs'!$B$7,0,'3. Leases'!$B$4*'2. Inputs'!$B$3*(1+'2. Inputs'!$B$4)^(('3. Leases'!$D$4+'2. Inputs'!$B$7+L26*('2. Inputs'!$B$7+'2. Inputs'!$B$9))/4)))</f>
        <v>998151.926305546</v>
      </c>
      <c r="O26" s="14" t="n">
        <f aca="false">IF($A26&lt;='3. Leases'!$D$4,0,IF(K26=0,'3. Leases'!$B$4*'2. Inputs'!$B$5*(1+'2. Inputs'!$B$6)^(('3. Leases'!$D$4+L26*('2. Inputs'!$B$7+'2. Inputs'!$B$9))/4),0)+IF(K26='2. Inputs'!$B$7,'2. Inputs'!$B$10*'2. Inputs'!$B$3*(1+'2. Inputs'!$B$4)^(('3. Leases'!$D$4+'2. Inputs'!$B$7+L26*('2. Inputs'!$B$7+'2. Inputs'!$B$9))/4)*'3. Leases'!$B$4,0))</f>
        <v>0</v>
      </c>
      <c r="P26" s="14" t="n">
        <f aca="false">IF($A26&lt;='3. Leases'!$D$4,0,IF(K26&lt;'2. Inputs'!$B$7,'3. Leases'!$B$4,0))</f>
        <v>0</v>
      </c>
      <c r="Q26" s="13" t="n">
        <f aca="false">$A26-'3. Leases'!$D$5-1</f>
        <v>-4</v>
      </c>
      <c r="R26" s="13" t="n">
        <f aca="false">IF(Q26&lt;0,-1,MOD(Q26,'2. Inputs'!$B$7+'2. Inputs'!$B$9))</f>
        <v>-1</v>
      </c>
      <c r="S26" s="13" t="n">
        <f aca="false">IF(Q26&lt;0,0,INT(Q26/('2. Inputs'!$B$7+'2. Inputs'!$B$9)))</f>
        <v>0</v>
      </c>
      <c r="T26" s="14" t="n">
        <f aca="false">IF($A26&lt;='3. Leases'!$D$5,'3. Leases'!$B$5*'3. Leases'!$C$5/4,IF(R26&lt;'2. Inputs'!$B$7+'2. Inputs'!$B$8,0,'3. Leases'!$B$5*'2. Inputs'!$B$3*(1+'2. Inputs'!$B$4)^(('3. Leases'!$D$5+'2. Inputs'!$B$7+S26*('2. Inputs'!$B$7+'2. Inputs'!$B$9))/4)/4))</f>
        <v>113960</v>
      </c>
      <c r="U26" s="14" t="n">
        <f aca="false">IF($A26&lt;='3. Leases'!$D$5,'3. Leases'!$B$5*'3. Leases'!$C$5,IF(R26&lt;'2. Inputs'!$B$7,0,'3. Leases'!$B$5*'2. Inputs'!$B$3*(1+'2. Inputs'!$B$4)^(('3. Leases'!$D$5+'2. Inputs'!$B$7+S26*('2. Inputs'!$B$7+'2. Inputs'!$B$9))/4)))</f>
        <v>455840</v>
      </c>
      <c r="V26" s="14" t="n">
        <f aca="false">IF($A26&lt;='3. Leases'!$D$5,0,IF(R26=0,'3. Leases'!$B$5*'2. Inputs'!$B$5*(1+'2. Inputs'!$B$6)^(('3. Leases'!$D$5+S26*('2. Inputs'!$B$7+'2. Inputs'!$B$9))/4),0)+IF(R26='2. Inputs'!$B$7,'2. Inputs'!$B$10*'2. Inputs'!$B$3*(1+'2. Inputs'!$B$4)^(('3. Leases'!$D$5+'2. Inputs'!$B$7+S26*('2. Inputs'!$B$7+'2. Inputs'!$B$9))/4)*'3. Leases'!$B$5,0))</f>
        <v>0</v>
      </c>
      <c r="W26" s="14" t="n">
        <f aca="false">IF($A26&lt;='3. Leases'!$D$5,0,IF(R26&lt;'2. Inputs'!$B$7,'3. Leases'!$B$5,0))</f>
        <v>0</v>
      </c>
      <c r="X26" s="13" t="n">
        <f aca="false">$A26-'3. Leases'!$D$6-1</f>
        <v>16</v>
      </c>
      <c r="Y26" s="13" t="n">
        <f aca="false">IF(X26&lt;0,-1,MOD(X26,'2. Inputs'!$B$7+'2. Inputs'!$B$9))</f>
        <v>16</v>
      </c>
      <c r="Z26" s="13" t="n">
        <f aca="false">IF(X26&lt;0,0,INT(X26/('2. Inputs'!$B$7+'2. Inputs'!$B$9)))</f>
        <v>0</v>
      </c>
      <c r="AA26" s="14" t="n">
        <f aca="false">IF($A26&lt;='3. Leases'!$D$6,'3. Leases'!$B$6*'3. Leases'!$C$6/4,IF(Y26&lt;'2. Inputs'!$B$7+'2. Inputs'!$B$8,0,'3. Leases'!$B$6*'2. Inputs'!$B$3*(1+'2. Inputs'!$B$4)^(('3. Leases'!$D$6+'2. Inputs'!$B$7+Z26*('2. Inputs'!$B$7+'2. Inputs'!$B$9))/4)/4))</f>
        <v>77555.0100488435</v>
      </c>
      <c r="AB26" s="14" t="n">
        <f aca="false">IF($A26&lt;='3. Leases'!$D$6,'3. Leases'!$B$6*'3. Leases'!$C$6,IF(Y26&lt;'2. Inputs'!$B$7,0,'3. Leases'!$B$6*'2. Inputs'!$B$3*(1+'2. Inputs'!$B$4)^(('3. Leases'!$D$6+'2. Inputs'!$B$7+Z26*('2. Inputs'!$B$7+'2. Inputs'!$B$9))/4)))</f>
        <v>310220.040195374</v>
      </c>
      <c r="AC26" s="14" t="n">
        <f aca="false">IF($A26&lt;='3. Leases'!$D$6,0,IF(Y26=0,'3. Leases'!$B$6*'2. Inputs'!$B$5*(1+'2. Inputs'!$B$6)^(('3. Leases'!$D$6+Z26*('2. Inputs'!$B$7+'2. Inputs'!$B$9))/4),0)+IF(Y26='2. Inputs'!$B$7,'2. Inputs'!$B$10*'2. Inputs'!$B$3*(1+'2. Inputs'!$B$4)^(('3. Leases'!$D$6+'2. Inputs'!$B$7+Z26*('2. Inputs'!$B$7+'2. Inputs'!$B$9))/4)*'3. Leases'!$B$6,0))</f>
        <v>0</v>
      </c>
      <c r="AD26" s="14" t="n">
        <f aca="false">IF($A26&lt;='3. Leases'!$D$6,0,IF(Y26&lt;'2. Inputs'!$B$7,'3. Leases'!$B$6,0))</f>
        <v>0</v>
      </c>
      <c r="AE26" s="13" t="n">
        <f aca="false">$A26-'3. Leases'!$D$7-1</f>
        <v>22</v>
      </c>
      <c r="AF26" s="13" t="n">
        <f aca="false">IF(AE26&lt;0,-1,MOD(AE26,'2. Inputs'!$B$7+'2. Inputs'!$B$9))</f>
        <v>22</v>
      </c>
      <c r="AG26" s="13" t="n">
        <f aca="false">IF(AE26&lt;0,0,INT(AE26/('2. Inputs'!$B$7+'2. Inputs'!$B$9)))</f>
        <v>0</v>
      </c>
      <c r="AH26" s="14" t="n">
        <f aca="false">IF($A26&lt;='3. Leases'!$D$7,'3. Leases'!$B$7*'3. Leases'!$C$7/4,IF(AF26&lt;'2. Inputs'!$B$7+'2. Inputs'!$B$8,0,'3. Leases'!$B$7*'2. Inputs'!$B$3*(1+'2. Inputs'!$B$4)^(('3. Leases'!$D$7+'2. Inputs'!$B$7+AG26*('2. Inputs'!$B$7+'2. Inputs'!$B$9))/4)/4))</f>
        <v>163819.103991457</v>
      </c>
      <c r="AI26" s="14" t="n">
        <f aca="false">IF($A26&lt;='3. Leases'!$D$7,'3. Leases'!$B$7*'3. Leases'!$C$7,IF(AF26&lt;'2. Inputs'!$B$7,0,'3. Leases'!$B$7*'2. Inputs'!$B$3*(1+'2. Inputs'!$B$4)^(('3. Leases'!$D$7+'2. Inputs'!$B$7+AG26*('2. Inputs'!$B$7+'2. Inputs'!$B$9))/4)))</f>
        <v>655276.415965829</v>
      </c>
      <c r="AJ26" s="14" t="n">
        <f aca="false">IF($A26&lt;='3. Leases'!$D$7,0,IF(AF26=0,'3. Leases'!$B$7*'2. Inputs'!$B$5*(1+'2. Inputs'!$B$6)^(('3. Leases'!$D$7+AG26*('2. Inputs'!$B$7+'2. Inputs'!$B$9))/4),0)+IF(AF26='2. Inputs'!$B$7,'2. Inputs'!$B$10*'2. Inputs'!$B$3*(1+'2. Inputs'!$B$4)^(('3. Leases'!$D$7+'2. Inputs'!$B$7+AG26*('2. Inputs'!$B$7+'2. Inputs'!$B$9))/4)*'3. Leases'!$B$7,0))</f>
        <v>0</v>
      </c>
      <c r="AK26" s="14" t="n">
        <f aca="false">IF($A26&lt;='3. Leases'!$D$7,0,IF(AF26&lt;'2. Inputs'!$B$7,'3. Leases'!$B$7,0))</f>
        <v>0</v>
      </c>
      <c r="AL26" s="14" t="n">
        <f aca="false">F26+M26+T26+AA26+AH26</f>
        <v>935489.103454907</v>
      </c>
      <c r="AM26" s="14" t="n">
        <f aca="false">G26+N26+U26+AB26+AI26</f>
        <v>3741956.41381963</v>
      </c>
      <c r="AN26" s="14" t="n">
        <f aca="false">H26+O26+V26+AC26+AJ26+IF($A26='2. Inputs'!$B$14,'2. Inputs'!$B$13,0)</f>
        <v>0</v>
      </c>
      <c r="AO26" s="14" t="n">
        <f aca="false">I26+P26+W26+AD26+AK26</f>
        <v>0</v>
      </c>
      <c r="AP26" s="14" t="n">
        <f aca="false">AL26*(1-'2. Inputs'!$B$11)-AO26*'2. Inputs'!$B$12/4</f>
        <v>879359.757247612</v>
      </c>
      <c r="AQ26" s="14" t="n">
        <f aca="false">AP26-AN26</f>
        <v>879359.757247612</v>
      </c>
      <c r="AR26" s="15" t="n">
        <f aca="false">1/(1+((1+'2. Inputs'!$B$15)^0.25-1))^$A26</f>
        <v>0.651029467887612</v>
      </c>
      <c r="AS26" s="14" t="n">
        <f aca="false">AQ26*AR26</f>
        <v>572489.114842693</v>
      </c>
    </row>
    <row r="27" customFormat="false" ht="15" hidden="false" customHeight="false" outlineLevel="0" collapsed="false">
      <c r="A27" s="0" t="n">
        <v>24</v>
      </c>
      <c r="B27" s="0" t="n">
        <f aca="false">CEILING(A27/4,1)</f>
        <v>6</v>
      </c>
      <c r="C27" s="13" t="n">
        <f aca="false">$A27-'3. Leases'!$D$3-1</f>
        <v>13</v>
      </c>
      <c r="D27" s="13" t="n">
        <f aca="false">IF(C27&lt;0,-1,MOD(C27,'2. Inputs'!$B$7+'2. Inputs'!$B$9))</f>
        <v>13</v>
      </c>
      <c r="E27" s="13" t="n">
        <f aca="false">IF(C27&lt;0,0,INT(C27/('2. Inputs'!$B$7+'2. Inputs'!$B$9)))</f>
        <v>0</v>
      </c>
      <c r="F27" s="14" t="n">
        <f aca="false">IF($A27&lt;='3. Leases'!$D$3,'3. Leases'!$B$3*'3. Leases'!$C$3/4,IF(D27&lt;'2. Inputs'!$B$7+'2. Inputs'!$B$8,0,'3. Leases'!$B$3*'2. Inputs'!$B$3*(1+'2. Inputs'!$B$4)^(('3. Leases'!$D$3+'2. Inputs'!$B$7+E27*('2. Inputs'!$B$7+'2. Inputs'!$B$9))/4)/4))</f>
        <v>330617.00783822</v>
      </c>
      <c r="G27" s="14" t="n">
        <f aca="false">IF($A27&lt;='3. Leases'!$D$3,'3. Leases'!$B$3*'3. Leases'!$C$3,IF(D27&lt;'2. Inputs'!$B$7,0,'3. Leases'!$B$3*'2. Inputs'!$B$3*(1+'2. Inputs'!$B$4)^(('3. Leases'!$D$3+'2. Inputs'!$B$7+E27*('2. Inputs'!$B$7+'2. Inputs'!$B$9))/4)))</f>
        <v>1322468.03135288</v>
      </c>
      <c r="H27" s="14" t="n">
        <f aca="false">IF($A27&lt;='3. Leases'!$D$3,0,IF(D27=0,'3. Leases'!$B$3*'2. Inputs'!$B$5*(1+'2. Inputs'!$B$6)^(('3. Leases'!$D$3+E27*('2. Inputs'!$B$7+'2. Inputs'!$B$9))/4),0)+IF(D27='2. Inputs'!$B$7,'2. Inputs'!$B$10*'2. Inputs'!$B$3*(1+'2. Inputs'!$B$4)^(('3. Leases'!$D$3+'2. Inputs'!$B$7+E27*('2. Inputs'!$B$7+'2. Inputs'!$B$9))/4)*'3. Leases'!$B$3,0))</f>
        <v>0</v>
      </c>
      <c r="I27" s="14" t="n">
        <f aca="false">IF($A27&lt;='3. Leases'!$D$3,0,IF(D27&lt;'2. Inputs'!$B$7,'3. Leases'!$B$3,0))</f>
        <v>0</v>
      </c>
      <c r="J27" s="13" t="n">
        <f aca="false">$A27-'3. Leases'!$D$4-1</f>
        <v>7</v>
      </c>
      <c r="K27" s="13" t="n">
        <f aca="false">IF(J27&lt;0,-1,MOD(J27,'2. Inputs'!$B$7+'2. Inputs'!$B$9))</f>
        <v>7</v>
      </c>
      <c r="L27" s="13" t="n">
        <f aca="false">IF(J27&lt;0,0,INT(J27/('2. Inputs'!$B$7+'2. Inputs'!$B$9)))</f>
        <v>0</v>
      </c>
      <c r="M27" s="14" t="n">
        <f aca="false">IF($A27&lt;='3. Leases'!$D$4,'3. Leases'!$B$4*'3. Leases'!$C$4/4,IF(K27&lt;'2. Inputs'!$B$7+'2. Inputs'!$B$8,0,'3. Leases'!$B$4*'2. Inputs'!$B$3*(1+'2. Inputs'!$B$4)^(('3. Leases'!$D$4+'2. Inputs'!$B$7+L27*('2. Inputs'!$B$7+'2. Inputs'!$B$9))/4)/4))</f>
        <v>249537.981576387</v>
      </c>
      <c r="N27" s="14" t="n">
        <f aca="false">IF($A27&lt;='3. Leases'!$D$4,'3. Leases'!$B$4*'3. Leases'!$C$4,IF(K27&lt;'2. Inputs'!$B$7,0,'3. Leases'!$B$4*'2. Inputs'!$B$3*(1+'2. Inputs'!$B$4)^(('3. Leases'!$D$4+'2. Inputs'!$B$7+L27*('2. Inputs'!$B$7+'2. Inputs'!$B$9))/4)))</f>
        <v>998151.926305546</v>
      </c>
      <c r="O27" s="14" t="n">
        <f aca="false">IF($A27&lt;='3. Leases'!$D$4,0,IF(K27=0,'3. Leases'!$B$4*'2. Inputs'!$B$5*(1+'2. Inputs'!$B$6)^(('3. Leases'!$D$4+L27*('2. Inputs'!$B$7+'2. Inputs'!$B$9))/4),0)+IF(K27='2. Inputs'!$B$7,'2. Inputs'!$B$10*'2. Inputs'!$B$3*(1+'2. Inputs'!$B$4)^(('3. Leases'!$D$4+'2. Inputs'!$B$7+L27*('2. Inputs'!$B$7+'2. Inputs'!$B$9))/4)*'3. Leases'!$B$4,0))</f>
        <v>0</v>
      </c>
      <c r="P27" s="14" t="n">
        <f aca="false">IF($A27&lt;='3. Leases'!$D$4,0,IF(K27&lt;'2. Inputs'!$B$7,'3. Leases'!$B$4,0))</f>
        <v>0</v>
      </c>
      <c r="Q27" s="13" t="n">
        <f aca="false">$A27-'3. Leases'!$D$5-1</f>
        <v>-3</v>
      </c>
      <c r="R27" s="13" t="n">
        <f aca="false">IF(Q27&lt;0,-1,MOD(Q27,'2. Inputs'!$B$7+'2. Inputs'!$B$9))</f>
        <v>-1</v>
      </c>
      <c r="S27" s="13" t="n">
        <f aca="false">IF(Q27&lt;0,0,INT(Q27/('2. Inputs'!$B$7+'2. Inputs'!$B$9)))</f>
        <v>0</v>
      </c>
      <c r="T27" s="14" t="n">
        <f aca="false">IF($A27&lt;='3. Leases'!$D$5,'3. Leases'!$B$5*'3. Leases'!$C$5/4,IF(R27&lt;'2. Inputs'!$B$7+'2. Inputs'!$B$8,0,'3. Leases'!$B$5*'2. Inputs'!$B$3*(1+'2. Inputs'!$B$4)^(('3. Leases'!$D$5+'2. Inputs'!$B$7+S27*('2. Inputs'!$B$7+'2. Inputs'!$B$9))/4)/4))</f>
        <v>113960</v>
      </c>
      <c r="U27" s="14" t="n">
        <f aca="false">IF($A27&lt;='3. Leases'!$D$5,'3. Leases'!$B$5*'3. Leases'!$C$5,IF(R27&lt;'2. Inputs'!$B$7,0,'3. Leases'!$B$5*'2. Inputs'!$B$3*(1+'2. Inputs'!$B$4)^(('3. Leases'!$D$5+'2. Inputs'!$B$7+S27*('2. Inputs'!$B$7+'2. Inputs'!$B$9))/4)))</f>
        <v>455840</v>
      </c>
      <c r="V27" s="14" t="n">
        <f aca="false">IF($A27&lt;='3. Leases'!$D$5,0,IF(R27=0,'3. Leases'!$B$5*'2. Inputs'!$B$5*(1+'2. Inputs'!$B$6)^(('3. Leases'!$D$5+S27*('2. Inputs'!$B$7+'2. Inputs'!$B$9))/4),0)+IF(R27='2. Inputs'!$B$7,'2. Inputs'!$B$10*'2. Inputs'!$B$3*(1+'2. Inputs'!$B$4)^(('3. Leases'!$D$5+'2. Inputs'!$B$7+S27*('2. Inputs'!$B$7+'2. Inputs'!$B$9))/4)*'3. Leases'!$B$5,0))</f>
        <v>0</v>
      </c>
      <c r="W27" s="14" t="n">
        <f aca="false">IF($A27&lt;='3. Leases'!$D$5,0,IF(R27&lt;'2. Inputs'!$B$7,'3. Leases'!$B$5,0))</f>
        <v>0</v>
      </c>
      <c r="X27" s="13" t="n">
        <f aca="false">$A27-'3. Leases'!$D$6-1</f>
        <v>17</v>
      </c>
      <c r="Y27" s="13" t="n">
        <f aca="false">IF(X27&lt;0,-1,MOD(X27,'2. Inputs'!$B$7+'2. Inputs'!$B$9))</f>
        <v>17</v>
      </c>
      <c r="Z27" s="13" t="n">
        <f aca="false">IF(X27&lt;0,0,INT(X27/('2. Inputs'!$B$7+'2. Inputs'!$B$9)))</f>
        <v>0</v>
      </c>
      <c r="AA27" s="14" t="n">
        <f aca="false">IF($A27&lt;='3. Leases'!$D$6,'3. Leases'!$B$6*'3. Leases'!$C$6/4,IF(Y27&lt;'2. Inputs'!$B$7+'2. Inputs'!$B$8,0,'3. Leases'!$B$6*'2. Inputs'!$B$3*(1+'2. Inputs'!$B$4)^(('3. Leases'!$D$6+'2. Inputs'!$B$7+Z27*('2. Inputs'!$B$7+'2. Inputs'!$B$9))/4)/4))</f>
        <v>77555.0100488435</v>
      </c>
      <c r="AB27" s="14" t="n">
        <f aca="false">IF($A27&lt;='3. Leases'!$D$6,'3. Leases'!$B$6*'3. Leases'!$C$6,IF(Y27&lt;'2. Inputs'!$B$7,0,'3. Leases'!$B$6*'2. Inputs'!$B$3*(1+'2. Inputs'!$B$4)^(('3. Leases'!$D$6+'2. Inputs'!$B$7+Z27*('2. Inputs'!$B$7+'2. Inputs'!$B$9))/4)))</f>
        <v>310220.040195374</v>
      </c>
      <c r="AC27" s="14" t="n">
        <f aca="false">IF($A27&lt;='3. Leases'!$D$6,0,IF(Y27=0,'3. Leases'!$B$6*'2. Inputs'!$B$5*(1+'2. Inputs'!$B$6)^(('3. Leases'!$D$6+Z27*('2. Inputs'!$B$7+'2. Inputs'!$B$9))/4),0)+IF(Y27='2. Inputs'!$B$7,'2. Inputs'!$B$10*'2. Inputs'!$B$3*(1+'2. Inputs'!$B$4)^(('3. Leases'!$D$6+'2. Inputs'!$B$7+Z27*('2. Inputs'!$B$7+'2. Inputs'!$B$9))/4)*'3. Leases'!$B$6,0))</f>
        <v>0</v>
      </c>
      <c r="AD27" s="14" t="n">
        <f aca="false">IF($A27&lt;='3. Leases'!$D$6,0,IF(Y27&lt;'2. Inputs'!$B$7,'3. Leases'!$B$6,0))</f>
        <v>0</v>
      </c>
      <c r="AE27" s="13" t="n">
        <f aca="false">$A27-'3. Leases'!$D$7-1</f>
        <v>23</v>
      </c>
      <c r="AF27" s="13" t="n">
        <f aca="false">IF(AE27&lt;0,-1,MOD(AE27,'2. Inputs'!$B$7+'2. Inputs'!$B$9))</f>
        <v>0</v>
      </c>
      <c r="AG27" s="13" t="n">
        <f aca="false">IF(AE27&lt;0,0,INT(AE27/('2. Inputs'!$B$7+'2. Inputs'!$B$9)))</f>
        <v>1</v>
      </c>
      <c r="AH27" s="14" t="n">
        <f aca="false">IF($A27&lt;='3. Leases'!$D$7,'3. Leases'!$B$7*'3. Leases'!$C$7/4,IF(AF27&lt;'2. Inputs'!$B$7+'2. Inputs'!$B$8,0,'3. Leases'!$B$7*'2. Inputs'!$B$3*(1+'2. Inputs'!$B$4)^(('3. Leases'!$D$7+'2. Inputs'!$B$7+AG27*('2. Inputs'!$B$7+'2. Inputs'!$B$9))/4)/4))</f>
        <v>0</v>
      </c>
      <c r="AI27" s="14" t="n">
        <f aca="false">IF($A27&lt;='3. Leases'!$D$7,'3. Leases'!$B$7*'3. Leases'!$C$7,IF(AF27&lt;'2. Inputs'!$B$7,0,'3. Leases'!$B$7*'2. Inputs'!$B$3*(1+'2. Inputs'!$B$4)^(('3. Leases'!$D$7+'2. Inputs'!$B$7+AG27*('2. Inputs'!$B$7+'2. Inputs'!$B$9))/4)))</f>
        <v>0</v>
      </c>
      <c r="AJ27" s="14" t="n">
        <f aca="false">IF($A27&lt;='3. Leases'!$D$7,0,IF(AF27=0,'3. Leases'!$B$7*'2. Inputs'!$B$5*(1+'2. Inputs'!$B$6)^(('3. Leases'!$D$7+AG27*('2. Inputs'!$B$7+'2. Inputs'!$B$9))/4),0)+IF(AF27='2. Inputs'!$B$7,'2. Inputs'!$B$10*'2. Inputs'!$B$3*(1+'2. Inputs'!$B$4)^(('3. Leases'!$D$7+'2. Inputs'!$B$7+AG27*('2. Inputs'!$B$7+'2. Inputs'!$B$9))/4)*'3. Leases'!$B$7,0))</f>
        <v>1045599.26082182</v>
      </c>
      <c r="AK27" s="14" t="n">
        <f aca="false">IF($A27&lt;='3. Leases'!$D$7,0,IF(AF27&lt;'2. Inputs'!$B$7,'3. Leases'!$B$7,0))</f>
        <v>2160</v>
      </c>
      <c r="AL27" s="14" t="n">
        <f aca="false">F27+M27+T27+AA27+AH27</f>
        <v>771669.99946345</v>
      </c>
      <c r="AM27" s="14" t="n">
        <f aca="false">G27+N27+U27+AB27+AI27</f>
        <v>3086679.9978538</v>
      </c>
      <c r="AN27" s="14" t="n">
        <f aca="false">H27+O27+V27+AC27+AJ27+IF($A27='2. Inputs'!$B$14,'2. Inputs'!$B$13,0)</f>
        <v>1045599.26082182</v>
      </c>
      <c r="AO27" s="14" t="n">
        <f aca="false">I27+P27+W27+AD27+AK27</f>
        <v>2160</v>
      </c>
      <c r="AP27" s="14" t="n">
        <f aca="false">AL27*(1-'2. Inputs'!$B$11)-AO27*'2. Inputs'!$B$12/4</f>
        <v>695669.799495643</v>
      </c>
      <c r="AQ27" s="14" t="n">
        <f aca="false">AP27-AN27</f>
        <v>-349929.46132618</v>
      </c>
      <c r="AR27" s="15" t="n">
        <f aca="false">1/(1+((1+'2. Inputs'!$B$15)^0.25-1))^$A27</f>
        <v>0.638993333111353</v>
      </c>
      <c r="AS27" s="14" t="n">
        <f aca="false">AQ27*AR27</f>
        <v>-223602.592846676</v>
      </c>
    </row>
    <row r="28" customFormat="false" ht="15" hidden="false" customHeight="false" outlineLevel="0" collapsed="false">
      <c r="A28" s="0" t="n">
        <v>25</v>
      </c>
      <c r="B28" s="0" t="n">
        <f aca="false">CEILING(A28/4,1)</f>
        <v>7</v>
      </c>
      <c r="C28" s="13" t="n">
        <f aca="false">$A28-'3. Leases'!$D$3-1</f>
        <v>14</v>
      </c>
      <c r="D28" s="13" t="n">
        <f aca="false">IF(C28&lt;0,-1,MOD(C28,'2. Inputs'!$B$7+'2. Inputs'!$B$9))</f>
        <v>14</v>
      </c>
      <c r="E28" s="13" t="n">
        <f aca="false">IF(C28&lt;0,0,INT(C28/('2. Inputs'!$B$7+'2. Inputs'!$B$9)))</f>
        <v>0</v>
      </c>
      <c r="F28" s="14" t="n">
        <f aca="false">IF($A28&lt;='3. Leases'!$D$3,'3. Leases'!$B$3*'3. Leases'!$C$3/4,IF(D28&lt;'2. Inputs'!$B$7+'2. Inputs'!$B$8,0,'3. Leases'!$B$3*'2. Inputs'!$B$3*(1+'2. Inputs'!$B$4)^(('3. Leases'!$D$3+'2. Inputs'!$B$7+E28*('2. Inputs'!$B$7+'2. Inputs'!$B$9))/4)/4))</f>
        <v>330617.00783822</v>
      </c>
      <c r="G28" s="14" t="n">
        <f aca="false">IF($A28&lt;='3. Leases'!$D$3,'3. Leases'!$B$3*'3. Leases'!$C$3,IF(D28&lt;'2. Inputs'!$B$7,0,'3. Leases'!$B$3*'2. Inputs'!$B$3*(1+'2. Inputs'!$B$4)^(('3. Leases'!$D$3+'2. Inputs'!$B$7+E28*('2. Inputs'!$B$7+'2. Inputs'!$B$9))/4)))</f>
        <v>1322468.03135288</v>
      </c>
      <c r="H28" s="14" t="n">
        <f aca="false">IF($A28&lt;='3. Leases'!$D$3,0,IF(D28=0,'3. Leases'!$B$3*'2. Inputs'!$B$5*(1+'2. Inputs'!$B$6)^(('3. Leases'!$D$3+E28*('2. Inputs'!$B$7+'2. Inputs'!$B$9))/4),0)+IF(D28='2. Inputs'!$B$7,'2. Inputs'!$B$10*'2. Inputs'!$B$3*(1+'2. Inputs'!$B$4)^(('3. Leases'!$D$3+'2. Inputs'!$B$7+E28*('2. Inputs'!$B$7+'2. Inputs'!$B$9))/4)*'3. Leases'!$B$3,0))</f>
        <v>0</v>
      </c>
      <c r="I28" s="14" t="n">
        <f aca="false">IF($A28&lt;='3. Leases'!$D$3,0,IF(D28&lt;'2. Inputs'!$B$7,'3. Leases'!$B$3,0))</f>
        <v>0</v>
      </c>
      <c r="J28" s="13" t="n">
        <f aca="false">$A28-'3. Leases'!$D$4-1</f>
        <v>8</v>
      </c>
      <c r="K28" s="13" t="n">
        <f aca="false">IF(J28&lt;0,-1,MOD(J28,'2. Inputs'!$B$7+'2. Inputs'!$B$9))</f>
        <v>8</v>
      </c>
      <c r="L28" s="13" t="n">
        <f aca="false">IF(J28&lt;0,0,INT(J28/('2. Inputs'!$B$7+'2. Inputs'!$B$9)))</f>
        <v>0</v>
      </c>
      <c r="M28" s="14" t="n">
        <f aca="false">IF($A28&lt;='3. Leases'!$D$4,'3. Leases'!$B$4*'3. Leases'!$C$4/4,IF(K28&lt;'2. Inputs'!$B$7+'2. Inputs'!$B$8,0,'3. Leases'!$B$4*'2. Inputs'!$B$3*(1+'2. Inputs'!$B$4)^(('3. Leases'!$D$4+'2. Inputs'!$B$7+L28*('2. Inputs'!$B$7+'2. Inputs'!$B$9))/4)/4))</f>
        <v>249537.981576387</v>
      </c>
      <c r="N28" s="14" t="n">
        <f aca="false">IF($A28&lt;='3. Leases'!$D$4,'3. Leases'!$B$4*'3. Leases'!$C$4,IF(K28&lt;'2. Inputs'!$B$7,0,'3. Leases'!$B$4*'2. Inputs'!$B$3*(1+'2. Inputs'!$B$4)^(('3. Leases'!$D$4+'2. Inputs'!$B$7+L28*('2. Inputs'!$B$7+'2. Inputs'!$B$9))/4)))</f>
        <v>998151.926305546</v>
      </c>
      <c r="O28" s="14" t="n">
        <f aca="false">IF($A28&lt;='3. Leases'!$D$4,0,IF(K28=0,'3. Leases'!$B$4*'2. Inputs'!$B$5*(1+'2. Inputs'!$B$6)^(('3. Leases'!$D$4+L28*('2. Inputs'!$B$7+'2. Inputs'!$B$9))/4),0)+IF(K28='2. Inputs'!$B$7,'2. Inputs'!$B$10*'2. Inputs'!$B$3*(1+'2. Inputs'!$B$4)^(('3. Leases'!$D$4+'2. Inputs'!$B$7+L28*('2. Inputs'!$B$7+'2. Inputs'!$B$9))/4)*'3. Leases'!$B$4,0))</f>
        <v>0</v>
      </c>
      <c r="P28" s="14" t="n">
        <f aca="false">IF($A28&lt;='3. Leases'!$D$4,0,IF(K28&lt;'2. Inputs'!$B$7,'3. Leases'!$B$4,0))</f>
        <v>0</v>
      </c>
      <c r="Q28" s="13" t="n">
        <f aca="false">$A28-'3. Leases'!$D$5-1</f>
        <v>-2</v>
      </c>
      <c r="R28" s="13" t="n">
        <f aca="false">IF(Q28&lt;0,-1,MOD(Q28,'2. Inputs'!$B$7+'2. Inputs'!$B$9))</f>
        <v>-1</v>
      </c>
      <c r="S28" s="13" t="n">
        <f aca="false">IF(Q28&lt;0,0,INT(Q28/('2. Inputs'!$B$7+'2. Inputs'!$B$9)))</f>
        <v>0</v>
      </c>
      <c r="T28" s="14" t="n">
        <f aca="false">IF($A28&lt;='3. Leases'!$D$5,'3. Leases'!$B$5*'3. Leases'!$C$5/4,IF(R28&lt;'2. Inputs'!$B$7+'2. Inputs'!$B$8,0,'3. Leases'!$B$5*'2. Inputs'!$B$3*(1+'2. Inputs'!$B$4)^(('3. Leases'!$D$5+'2. Inputs'!$B$7+S28*('2. Inputs'!$B$7+'2. Inputs'!$B$9))/4)/4))</f>
        <v>113960</v>
      </c>
      <c r="U28" s="14" t="n">
        <f aca="false">IF($A28&lt;='3. Leases'!$D$5,'3. Leases'!$B$5*'3. Leases'!$C$5,IF(R28&lt;'2. Inputs'!$B$7,0,'3. Leases'!$B$5*'2. Inputs'!$B$3*(1+'2. Inputs'!$B$4)^(('3. Leases'!$D$5+'2. Inputs'!$B$7+S28*('2. Inputs'!$B$7+'2. Inputs'!$B$9))/4)))</f>
        <v>455840</v>
      </c>
      <c r="V28" s="14" t="n">
        <f aca="false">IF($A28&lt;='3. Leases'!$D$5,0,IF(R28=0,'3. Leases'!$B$5*'2. Inputs'!$B$5*(1+'2. Inputs'!$B$6)^(('3. Leases'!$D$5+S28*('2. Inputs'!$B$7+'2. Inputs'!$B$9))/4),0)+IF(R28='2. Inputs'!$B$7,'2. Inputs'!$B$10*'2. Inputs'!$B$3*(1+'2. Inputs'!$B$4)^(('3. Leases'!$D$5+'2. Inputs'!$B$7+S28*('2. Inputs'!$B$7+'2. Inputs'!$B$9))/4)*'3. Leases'!$B$5,0))</f>
        <v>0</v>
      </c>
      <c r="W28" s="14" t="n">
        <f aca="false">IF($A28&lt;='3. Leases'!$D$5,0,IF(R28&lt;'2. Inputs'!$B$7,'3. Leases'!$B$5,0))</f>
        <v>0</v>
      </c>
      <c r="X28" s="13" t="n">
        <f aca="false">$A28-'3. Leases'!$D$6-1</f>
        <v>18</v>
      </c>
      <c r="Y28" s="13" t="n">
        <f aca="false">IF(X28&lt;0,-1,MOD(X28,'2. Inputs'!$B$7+'2. Inputs'!$B$9))</f>
        <v>18</v>
      </c>
      <c r="Z28" s="13" t="n">
        <f aca="false">IF(X28&lt;0,0,INT(X28/('2. Inputs'!$B$7+'2. Inputs'!$B$9)))</f>
        <v>0</v>
      </c>
      <c r="AA28" s="14" t="n">
        <f aca="false">IF($A28&lt;='3. Leases'!$D$6,'3. Leases'!$B$6*'3. Leases'!$C$6/4,IF(Y28&lt;'2. Inputs'!$B$7+'2. Inputs'!$B$8,0,'3. Leases'!$B$6*'2. Inputs'!$B$3*(1+'2. Inputs'!$B$4)^(('3. Leases'!$D$6+'2. Inputs'!$B$7+Z28*('2. Inputs'!$B$7+'2. Inputs'!$B$9))/4)/4))</f>
        <v>77555.0100488435</v>
      </c>
      <c r="AB28" s="14" t="n">
        <f aca="false">IF($A28&lt;='3. Leases'!$D$6,'3. Leases'!$B$6*'3. Leases'!$C$6,IF(Y28&lt;'2. Inputs'!$B$7,0,'3. Leases'!$B$6*'2. Inputs'!$B$3*(1+'2. Inputs'!$B$4)^(('3. Leases'!$D$6+'2. Inputs'!$B$7+Z28*('2. Inputs'!$B$7+'2. Inputs'!$B$9))/4)))</f>
        <v>310220.040195374</v>
      </c>
      <c r="AC28" s="14" t="n">
        <f aca="false">IF($A28&lt;='3. Leases'!$D$6,0,IF(Y28=0,'3. Leases'!$B$6*'2. Inputs'!$B$5*(1+'2. Inputs'!$B$6)^(('3. Leases'!$D$6+Z28*('2. Inputs'!$B$7+'2. Inputs'!$B$9))/4),0)+IF(Y28='2. Inputs'!$B$7,'2. Inputs'!$B$10*'2. Inputs'!$B$3*(1+'2. Inputs'!$B$4)^(('3. Leases'!$D$6+'2. Inputs'!$B$7+Z28*('2. Inputs'!$B$7+'2. Inputs'!$B$9))/4)*'3. Leases'!$B$6,0))</f>
        <v>0</v>
      </c>
      <c r="AD28" s="14" t="n">
        <f aca="false">IF($A28&lt;='3. Leases'!$D$6,0,IF(Y28&lt;'2. Inputs'!$B$7,'3. Leases'!$B$6,0))</f>
        <v>0</v>
      </c>
      <c r="AE28" s="13" t="n">
        <f aca="false">$A28-'3. Leases'!$D$7-1</f>
        <v>24</v>
      </c>
      <c r="AF28" s="13" t="n">
        <f aca="false">IF(AE28&lt;0,-1,MOD(AE28,'2. Inputs'!$B$7+'2. Inputs'!$B$9))</f>
        <v>1</v>
      </c>
      <c r="AG28" s="13" t="n">
        <f aca="false">IF(AE28&lt;0,0,INT(AE28/('2. Inputs'!$B$7+'2. Inputs'!$B$9)))</f>
        <v>1</v>
      </c>
      <c r="AH28" s="14" t="n">
        <f aca="false">IF($A28&lt;='3. Leases'!$D$7,'3. Leases'!$B$7*'3. Leases'!$C$7/4,IF(AF28&lt;'2. Inputs'!$B$7+'2. Inputs'!$B$8,0,'3. Leases'!$B$7*'2. Inputs'!$B$3*(1+'2. Inputs'!$B$4)^(('3. Leases'!$D$7+'2. Inputs'!$B$7+AG28*('2. Inputs'!$B$7+'2. Inputs'!$B$9))/4)/4))</f>
        <v>0</v>
      </c>
      <c r="AI28" s="14" t="n">
        <f aca="false">IF($A28&lt;='3. Leases'!$D$7,'3. Leases'!$B$7*'3. Leases'!$C$7,IF(AF28&lt;'2. Inputs'!$B$7,0,'3. Leases'!$B$7*'2. Inputs'!$B$3*(1+'2. Inputs'!$B$4)^(('3. Leases'!$D$7+'2. Inputs'!$B$7+AG28*('2. Inputs'!$B$7+'2. Inputs'!$B$9))/4)))</f>
        <v>0</v>
      </c>
      <c r="AJ28" s="14" t="n">
        <f aca="false">IF($A28&lt;='3. Leases'!$D$7,0,IF(AF28=0,'3. Leases'!$B$7*'2. Inputs'!$B$5*(1+'2. Inputs'!$B$6)^(('3. Leases'!$D$7+AG28*('2. Inputs'!$B$7+'2. Inputs'!$B$9))/4),0)+IF(AF28='2. Inputs'!$B$7,'2. Inputs'!$B$10*'2. Inputs'!$B$3*(1+'2. Inputs'!$B$4)^(('3. Leases'!$D$7+'2. Inputs'!$B$7+AG28*('2. Inputs'!$B$7+'2. Inputs'!$B$9))/4)*'3. Leases'!$B$7,0))</f>
        <v>0</v>
      </c>
      <c r="AK28" s="14" t="n">
        <f aca="false">IF($A28&lt;='3. Leases'!$D$7,0,IF(AF28&lt;'2. Inputs'!$B$7,'3. Leases'!$B$7,0))</f>
        <v>2160</v>
      </c>
      <c r="AL28" s="14" t="n">
        <f aca="false">F28+M28+T28+AA28+AH28</f>
        <v>771669.99946345</v>
      </c>
      <c r="AM28" s="14" t="n">
        <f aca="false">G28+N28+U28+AB28+AI28</f>
        <v>3086679.9978538</v>
      </c>
      <c r="AN28" s="14" t="n">
        <f aca="false">H28+O28+V28+AC28+AJ28+IF($A28='2. Inputs'!$B$14,'2. Inputs'!$B$13,0)</f>
        <v>0</v>
      </c>
      <c r="AO28" s="14" t="n">
        <f aca="false">I28+P28+W28+AD28+AK28</f>
        <v>2160</v>
      </c>
      <c r="AP28" s="14" t="n">
        <f aca="false">AL28*(1-'2. Inputs'!$B$11)-AO28*'2. Inputs'!$B$12/4</f>
        <v>695669.799495643</v>
      </c>
      <c r="AQ28" s="14" t="n">
        <f aca="false">AP28-AN28</f>
        <v>695669.799495643</v>
      </c>
      <c r="AR28" s="15" t="n">
        <f aca="false">1/(1+((1+'2. Inputs'!$B$15)^0.25-1))^$A28</f>
        <v>0.627179720582547</v>
      </c>
      <c r="AS28" s="14" t="n">
        <f aca="false">AQ28*AR28</f>
        <v>436309.990465394</v>
      </c>
    </row>
    <row r="29" customFormat="false" ht="15" hidden="false" customHeight="false" outlineLevel="0" collapsed="false">
      <c r="A29" s="0" t="n">
        <v>26</v>
      </c>
      <c r="B29" s="0" t="n">
        <f aca="false">CEILING(A29/4,1)</f>
        <v>7</v>
      </c>
      <c r="C29" s="13" t="n">
        <f aca="false">$A29-'3. Leases'!$D$3-1</f>
        <v>15</v>
      </c>
      <c r="D29" s="13" t="n">
        <f aca="false">IF(C29&lt;0,-1,MOD(C29,'2. Inputs'!$B$7+'2. Inputs'!$B$9))</f>
        <v>15</v>
      </c>
      <c r="E29" s="13" t="n">
        <f aca="false">IF(C29&lt;0,0,INT(C29/('2. Inputs'!$B$7+'2. Inputs'!$B$9)))</f>
        <v>0</v>
      </c>
      <c r="F29" s="14" t="n">
        <f aca="false">IF($A29&lt;='3. Leases'!$D$3,'3. Leases'!$B$3*'3. Leases'!$C$3/4,IF(D29&lt;'2. Inputs'!$B$7+'2. Inputs'!$B$8,0,'3. Leases'!$B$3*'2. Inputs'!$B$3*(1+'2. Inputs'!$B$4)^(('3. Leases'!$D$3+'2. Inputs'!$B$7+E29*('2. Inputs'!$B$7+'2. Inputs'!$B$9))/4)/4))</f>
        <v>330617.00783822</v>
      </c>
      <c r="G29" s="14" t="n">
        <f aca="false">IF($A29&lt;='3. Leases'!$D$3,'3. Leases'!$B$3*'3. Leases'!$C$3,IF(D29&lt;'2. Inputs'!$B$7,0,'3. Leases'!$B$3*'2. Inputs'!$B$3*(1+'2. Inputs'!$B$4)^(('3. Leases'!$D$3+'2. Inputs'!$B$7+E29*('2. Inputs'!$B$7+'2. Inputs'!$B$9))/4)))</f>
        <v>1322468.03135288</v>
      </c>
      <c r="H29" s="14" t="n">
        <f aca="false">IF($A29&lt;='3. Leases'!$D$3,0,IF(D29=0,'3. Leases'!$B$3*'2. Inputs'!$B$5*(1+'2. Inputs'!$B$6)^(('3. Leases'!$D$3+E29*('2. Inputs'!$B$7+'2. Inputs'!$B$9))/4),0)+IF(D29='2. Inputs'!$B$7,'2. Inputs'!$B$10*'2. Inputs'!$B$3*(1+'2. Inputs'!$B$4)^(('3. Leases'!$D$3+'2. Inputs'!$B$7+E29*('2. Inputs'!$B$7+'2. Inputs'!$B$9))/4)*'3. Leases'!$B$3,0))</f>
        <v>0</v>
      </c>
      <c r="I29" s="14" t="n">
        <f aca="false">IF($A29&lt;='3. Leases'!$D$3,0,IF(D29&lt;'2. Inputs'!$B$7,'3. Leases'!$B$3,0))</f>
        <v>0</v>
      </c>
      <c r="J29" s="13" t="n">
        <f aca="false">$A29-'3. Leases'!$D$4-1</f>
        <v>9</v>
      </c>
      <c r="K29" s="13" t="n">
        <f aca="false">IF(J29&lt;0,-1,MOD(J29,'2. Inputs'!$B$7+'2. Inputs'!$B$9))</f>
        <v>9</v>
      </c>
      <c r="L29" s="13" t="n">
        <f aca="false">IF(J29&lt;0,0,INT(J29/('2. Inputs'!$B$7+'2. Inputs'!$B$9)))</f>
        <v>0</v>
      </c>
      <c r="M29" s="14" t="n">
        <f aca="false">IF($A29&lt;='3. Leases'!$D$4,'3. Leases'!$B$4*'3. Leases'!$C$4/4,IF(K29&lt;'2. Inputs'!$B$7+'2. Inputs'!$B$8,0,'3. Leases'!$B$4*'2. Inputs'!$B$3*(1+'2. Inputs'!$B$4)^(('3. Leases'!$D$4+'2. Inputs'!$B$7+L29*('2. Inputs'!$B$7+'2. Inputs'!$B$9))/4)/4))</f>
        <v>249537.981576387</v>
      </c>
      <c r="N29" s="14" t="n">
        <f aca="false">IF($A29&lt;='3. Leases'!$D$4,'3. Leases'!$B$4*'3. Leases'!$C$4,IF(K29&lt;'2. Inputs'!$B$7,0,'3. Leases'!$B$4*'2. Inputs'!$B$3*(1+'2. Inputs'!$B$4)^(('3. Leases'!$D$4+'2. Inputs'!$B$7+L29*('2. Inputs'!$B$7+'2. Inputs'!$B$9))/4)))</f>
        <v>998151.926305546</v>
      </c>
      <c r="O29" s="14" t="n">
        <f aca="false">IF($A29&lt;='3. Leases'!$D$4,0,IF(K29=0,'3. Leases'!$B$4*'2. Inputs'!$B$5*(1+'2. Inputs'!$B$6)^(('3. Leases'!$D$4+L29*('2. Inputs'!$B$7+'2. Inputs'!$B$9))/4),0)+IF(K29='2. Inputs'!$B$7,'2. Inputs'!$B$10*'2. Inputs'!$B$3*(1+'2. Inputs'!$B$4)^(('3. Leases'!$D$4+'2. Inputs'!$B$7+L29*('2. Inputs'!$B$7+'2. Inputs'!$B$9))/4)*'3. Leases'!$B$4,0))</f>
        <v>0</v>
      </c>
      <c r="P29" s="14" t="n">
        <f aca="false">IF($A29&lt;='3. Leases'!$D$4,0,IF(K29&lt;'2. Inputs'!$B$7,'3. Leases'!$B$4,0))</f>
        <v>0</v>
      </c>
      <c r="Q29" s="13" t="n">
        <f aca="false">$A29-'3. Leases'!$D$5-1</f>
        <v>-1</v>
      </c>
      <c r="R29" s="13" t="n">
        <f aca="false">IF(Q29&lt;0,-1,MOD(Q29,'2. Inputs'!$B$7+'2. Inputs'!$B$9))</f>
        <v>-1</v>
      </c>
      <c r="S29" s="13" t="n">
        <f aca="false">IF(Q29&lt;0,0,INT(Q29/('2. Inputs'!$B$7+'2. Inputs'!$B$9)))</f>
        <v>0</v>
      </c>
      <c r="T29" s="14" t="n">
        <f aca="false">IF($A29&lt;='3. Leases'!$D$5,'3. Leases'!$B$5*'3. Leases'!$C$5/4,IF(R29&lt;'2. Inputs'!$B$7+'2. Inputs'!$B$8,0,'3. Leases'!$B$5*'2. Inputs'!$B$3*(1+'2. Inputs'!$B$4)^(('3. Leases'!$D$5+'2. Inputs'!$B$7+S29*('2. Inputs'!$B$7+'2. Inputs'!$B$9))/4)/4))</f>
        <v>113960</v>
      </c>
      <c r="U29" s="14" t="n">
        <f aca="false">IF($A29&lt;='3. Leases'!$D$5,'3. Leases'!$B$5*'3. Leases'!$C$5,IF(R29&lt;'2. Inputs'!$B$7,0,'3. Leases'!$B$5*'2. Inputs'!$B$3*(1+'2. Inputs'!$B$4)^(('3. Leases'!$D$5+'2. Inputs'!$B$7+S29*('2. Inputs'!$B$7+'2. Inputs'!$B$9))/4)))</f>
        <v>455840</v>
      </c>
      <c r="V29" s="14" t="n">
        <f aca="false">IF($A29&lt;='3. Leases'!$D$5,0,IF(R29=0,'3. Leases'!$B$5*'2. Inputs'!$B$5*(1+'2. Inputs'!$B$6)^(('3. Leases'!$D$5+S29*('2. Inputs'!$B$7+'2. Inputs'!$B$9))/4),0)+IF(R29='2. Inputs'!$B$7,'2. Inputs'!$B$10*'2. Inputs'!$B$3*(1+'2. Inputs'!$B$4)^(('3. Leases'!$D$5+'2. Inputs'!$B$7+S29*('2. Inputs'!$B$7+'2. Inputs'!$B$9))/4)*'3. Leases'!$B$5,0))</f>
        <v>0</v>
      </c>
      <c r="W29" s="14" t="n">
        <f aca="false">IF($A29&lt;='3. Leases'!$D$5,0,IF(R29&lt;'2. Inputs'!$B$7,'3. Leases'!$B$5,0))</f>
        <v>0</v>
      </c>
      <c r="X29" s="13" t="n">
        <f aca="false">$A29-'3. Leases'!$D$6-1</f>
        <v>19</v>
      </c>
      <c r="Y29" s="13" t="n">
        <f aca="false">IF(X29&lt;0,-1,MOD(X29,'2. Inputs'!$B$7+'2. Inputs'!$B$9))</f>
        <v>19</v>
      </c>
      <c r="Z29" s="13" t="n">
        <f aca="false">IF(X29&lt;0,0,INT(X29/('2. Inputs'!$B$7+'2. Inputs'!$B$9)))</f>
        <v>0</v>
      </c>
      <c r="AA29" s="14" t="n">
        <f aca="false">IF($A29&lt;='3. Leases'!$D$6,'3. Leases'!$B$6*'3. Leases'!$C$6/4,IF(Y29&lt;'2. Inputs'!$B$7+'2. Inputs'!$B$8,0,'3. Leases'!$B$6*'2. Inputs'!$B$3*(1+'2. Inputs'!$B$4)^(('3. Leases'!$D$6+'2. Inputs'!$B$7+Z29*('2. Inputs'!$B$7+'2. Inputs'!$B$9))/4)/4))</f>
        <v>77555.0100488435</v>
      </c>
      <c r="AB29" s="14" t="n">
        <f aca="false">IF($A29&lt;='3. Leases'!$D$6,'3. Leases'!$B$6*'3. Leases'!$C$6,IF(Y29&lt;'2. Inputs'!$B$7,0,'3. Leases'!$B$6*'2. Inputs'!$B$3*(1+'2. Inputs'!$B$4)^(('3. Leases'!$D$6+'2. Inputs'!$B$7+Z29*('2. Inputs'!$B$7+'2. Inputs'!$B$9))/4)))</f>
        <v>310220.040195374</v>
      </c>
      <c r="AC29" s="14" t="n">
        <f aca="false">IF($A29&lt;='3. Leases'!$D$6,0,IF(Y29=0,'3. Leases'!$B$6*'2. Inputs'!$B$5*(1+'2. Inputs'!$B$6)^(('3. Leases'!$D$6+Z29*('2. Inputs'!$B$7+'2. Inputs'!$B$9))/4),0)+IF(Y29='2. Inputs'!$B$7,'2. Inputs'!$B$10*'2. Inputs'!$B$3*(1+'2. Inputs'!$B$4)^(('3. Leases'!$D$6+'2. Inputs'!$B$7+Z29*('2. Inputs'!$B$7+'2. Inputs'!$B$9))/4)*'3. Leases'!$B$6,0))</f>
        <v>0</v>
      </c>
      <c r="AD29" s="14" t="n">
        <f aca="false">IF($A29&lt;='3. Leases'!$D$6,0,IF(Y29&lt;'2. Inputs'!$B$7,'3. Leases'!$B$6,0))</f>
        <v>0</v>
      </c>
      <c r="AE29" s="13" t="n">
        <f aca="false">$A29-'3. Leases'!$D$7-1</f>
        <v>25</v>
      </c>
      <c r="AF29" s="13" t="n">
        <f aca="false">IF(AE29&lt;0,-1,MOD(AE29,'2. Inputs'!$B$7+'2. Inputs'!$B$9))</f>
        <v>2</v>
      </c>
      <c r="AG29" s="13" t="n">
        <f aca="false">IF(AE29&lt;0,0,INT(AE29/('2. Inputs'!$B$7+'2. Inputs'!$B$9)))</f>
        <v>1</v>
      </c>
      <c r="AH29" s="14" t="n">
        <f aca="false">IF($A29&lt;='3. Leases'!$D$7,'3. Leases'!$B$7*'3. Leases'!$C$7/4,IF(AF29&lt;'2. Inputs'!$B$7+'2. Inputs'!$B$8,0,'3. Leases'!$B$7*'2. Inputs'!$B$3*(1+'2. Inputs'!$B$4)^(('3. Leases'!$D$7+'2. Inputs'!$B$7+AG29*('2. Inputs'!$B$7+'2. Inputs'!$B$9))/4)/4))</f>
        <v>0</v>
      </c>
      <c r="AI29" s="14" t="n">
        <f aca="false">IF($A29&lt;='3. Leases'!$D$7,'3. Leases'!$B$7*'3. Leases'!$C$7,IF(AF29&lt;'2. Inputs'!$B$7,0,'3. Leases'!$B$7*'2. Inputs'!$B$3*(1+'2. Inputs'!$B$4)^(('3. Leases'!$D$7+'2. Inputs'!$B$7+AG29*('2. Inputs'!$B$7+'2. Inputs'!$B$9))/4)))</f>
        <v>0</v>
      </c>
      <c r="AJ29" s="14" t="n">
        <f aca="false">IF($A29&lt;='3. Leases'!$D$7,0,IF(AF29=0,'3. Leases'!$B$7*'2. Inputs'!$B$5*(1+'2. Inputs'!$B$6)^(('3. Leases'!$D$7+AG29*('2. Inputs'!$B$7+'2. Inputs'!$B$9))/4),0)+IF(AF29='2. Inputs'!$B$7,'2. Inputs'!$B$10*'2. Inputs'!$B$3*(1+'2. Inputs'!$B$4)^(('3. Leases'!$D$7+'2. Inputs'!$B$7+AG29*('2. Inputs'!$B$7+'2. Inputs'!$B$9))/4)*'3. Leases'!$B$7,0))</f>
        <v>0</v>
      </c>
      <c r="AK29" s="14" t="n">
        <f aca="false">IF($A29&lt;='3. Leases'!$D$7,0,IF(AF29&lt;'2. Inputs'!$B$7,'3. Leases'!$B$7,0))</f>
        <v>2160</v>
      </c>
      <c r="AL29" s="14" t="n">
        <f aca="false">F29+M29+T29+AA29+AH29</f>
        <v>771669.99946345</v>
      </c>
      <c r="AM29" s="14" t="n">
        <f aca="false">G29+N29+U29+AB29+AI29</f>
        <v>3086679.9978538</v>
      </c>
      <c r="AN29" s="14" t="n">
        <f aca="false">H29+O29+V29+AC29+AJ29+IF($A29='2. Inputs'!$B$14,'2. Inputs'!$B$13,0)</f>
        <v>0</v>
      </c>
      <c r="AO29" s="14" t="n">
        <f aca="false">I29+P29+W29+AD29+AK29</f>
        <v>2160</v>
      </c>
      <c r="AP29" s="14" t="n">
        <f aca="false">AL29*(1-'2. Inputs'!$B$11)-AO29*'2. Inputs'!$B$12/4</f>
        <v>695669.799495643</v>
      </c>
      <c r="AQ29" s="14" t="n">
        <f aca="false">AP29-AN29</f>
        <v>695669.799495643</v>
      </c>
      <c r="AR29" s="15" t="n">
        <f aca="false">1/(1+((1+'2. Inputs'!$B$15)^0.25-1))^$A29</f>
        <v>0.615584516343388</v>
      </c>
      <c r="AS29" s="14" t="n">
        <f aca="false">AQ29*AR29</f>
        <v>428243.557057227</v>
      </c>
    </row>
    <row r="30" customFormat="false" ht="15" hidden="false" customHeight="false" outlineLevel="0" collapsed="false">
      <c r="A30" s="0" t="n">
        <v>27</v>
      </c>
      <c r="B30" s="0" t="n">
        <f aca="false">CEILING(A30/4,1)</f>
        <v>7</v>
      </c>
      <c r="C30" s="13" t="n">
        <f aca="false">$A30-'3. Leases'!$D$3-1</f>
        <v>16</v>
      </c>
      <c r="D30" s="13" t="n">
        <f aca="false">IF(C30&lt;0,-1,MOD(C30,'2. Inputs'!$B$7+'2. Inputs'!$B$9))</f>
        <v>16</v>
      </c>
      <c r="E30" s="13" t="n">
        <f aca="false">IF(C30&lt;0,0,INT(C30/('2. Inputs'!$B$7+'2. Inputs'!$B$9)))</f>
        <v>0</v>
      </c>
      <c r="F30" s="14" t="n">
        <f aca="false">IF($A30&lt;='3. Leases'!$D$3,'3. Leases'!$B$3*'3. Leases'!$C$3/4,IF(D30&lt;'2. Inputs'!$B$7+'2. Inputs'!$B$8,0,'3. Leases'!$B$3*'2. Inputs'!$B$3*(1+'2. Inputs'!$B$4)^(('3. Leases'!$D$3+'2. Inputs'!$B$7+E30*('2. Inputs'!$B$7+'2. Inputs'!$B$9))/4)/4))</f>
        <v>330617.00783822</v>
      </c>
      <c r="G30" s="14" t="n">
        <f aca="false">IF($A30&lt;='3. Leases'!$D$3,'3. Leases'!$B$3*'3. Leases'!$C$3,IF(D30&lt;'2. Inputs'!$B$7,0,'3. Leases'!$B$3*'2. Inputs'!$B$3*(1+'2. Inputs'!$B$4)^(('3. Leases'!$D$3+'2. Inputs'!$B$7+E30*('2. Inputs'!$B$7+'2. Inputs'!$B$9))/4)))</f>
        <v>1322468.03135288</v>
      </c>
      <c r="H30" s="14" t="n">
        <f aca="false">IF($A30&lt;='3. Leases'!$D$3,0,IF(D30=0,'3. Leases'!$B$3*'2. Inputs'!$B$5*(1+'2. Inputs'!$B$6)^(('3. Leases'!$D$3+E30*('2. Inputs'!$B$7+'2. Inputs'!$B$9))/4),0)+IF(D30='2. Inputs'!$B$7,'2. Inputs'!$B$10*'2. Inputs'!$B$3*(1+'2. Inputs'!$B$4)^(('3. Leases'!$D$3+'2. Inputs'!$B$7+E30*('2. Inputs'!$B$7+'2. Inputs'!$B$9))/4)*'3. Leases'!$B$3,0))</f>
        <v>0</v>
      </c>
      <c r="I30" s="14" t="n">
        <f aca="false">IF($A30&lt;='3. Leases'!$D$3,0,IF(D30&lt;'2. Inputs'!$B$7,'3. Leases'!$B$3,0))</f>
        <v>0</v>
      </c>
      <c r="J30" s="13" t="n">
        <f aca="false">$A30-'3. Leases'!$D$4-1</f>
        <v>10</v>
      </c>
      <c r="K30" s="13" t="n">
        <f aca="false">IF(J30&lt;0,-1,MOD(J30,'2. Inputs'!$B$7+'2. Inputs'!$B$9))</f>
        <v>10</v>
      </c>
      <c r="L30" s="13" t="n">
        <f aca="false">IF(J30&lt;0,0,INT(J30/('2. Inputs'!$B$7+'2. Inputs'!$B$9)))</f>
        <v>0</v>
      </c>
      <c r="M30" s="14" t="n">
        <f aca="false">IF($A30&lt;='3. Leases'!$D$4,'3. Leases'!$B$4*'3. Leases'!$C$4/4,IF(K30&lt;'2. Inputs'!$B$7+'2. Inputs'!$B$8,0,'3. Leases'!$B$4*'2. Inputs'!$B$3*(1+'2. Inputs'!$B$4)^(('3. Leases'!$D$4+'2. Inputs'!$B$7+L30*('2. Inputs'!$B$7+'2. Inputs'!$B$9))/4)/4))</f>
        <v>249537.981576387</v>
      </c>
      <c r="N30" s="14" t="n">
        <f aca="false">IF($A30&lt;='3. Leases'!$D$4,'3. Leases'!$B$4*'3. Leases'!$C$4,IF(K30&lt;'2. Inputs'!$B$7,0,'3. Leases'!$B$4*'2. Inputs'!$B$3*(1+'2. Inputs'!$B$4)^(('3. Leases'!$D$4+'2. Inputs'!$B$7+L30*('2. Inputs'!$B$7+'2. Inputs'!$B$9))/4)))</f>
        <v>998151.926305546</v>
      </c>
      <c r="O30" s="14" t="n">
        <f aca="false">IF($A30&lt;='3. Leases'!$D$4,0,IF(K30=0,'3. Leases'!$B$4*'2. Inputs'!$B$5*(1+'2. Inputs'!$B$6)^(('3. Leases'!$D$4+L30*('2. Inputs'!$B$7+'2. Inputs'!$B$9))/4),0)+IF(K30='2. Inputs'!$B$7,'2. Inputs'!$B$10*'2. Inputs'!$B$3*(1+'2. Inputs'!$B$4)^(('3. Leases'!$D$4+'2. Inputs'!$B$7+L30*('2. Inputs'!$B$7+'2. Inputs'!$B$9))/4)*'3. Leases'!$B$4,0))</f>
        <v>0</v>
      </c>
      <c r="P30" s="14" t="n">
        <f aca="false">IF($A30&lt;='3. Leases'!$D$4,0,IF(K30&lt;'2. Inputs'!$B$7,'3. Leases'!$B$4,0))</f>
        <v>0</v>
      </c>
      <c r="Q30" s="13" t="n">
        <f aca="false">$A30-'3. Leases'!$D$5-1</f>
        <v>0</v>
      </c>
      <c r="R30" s="13" t="n">
        <f aca="false">IF(Q30&lt;0,-1,MOD(Q30,'2. Inputs'!$B$7+'2. Inputs'!$B$9))</f>
        <v>0</v>
      </c>
      <c r="S30" s="13" t="n">
        <f aca="false">IF(Q30&lt;0,0,INT(Q30/('2. Inputs'!$B$7+'2. Inputs'!$B$9)))</f>
        <v>0</v>
      </c>
      <c r="T30" s="14" t="n">
        <f aca="false">IF($A30&lt;='3. Leases'!$D$5,'3. Leases'!$B$5*'3. Leases'!$C$5/4,IF(R30&lt;'2. Inputs'!$B$7+'2. Inputs'!$B$8,0,'3. Leases'!$B$5*'2. Inputs'!$B$3*(1+'2. Inputs'!$B$4)^(('3. Leases'!$D$5+'2. Inputs'!$B$7+S30*('2. Inputs'!$B$7+'2. Inputs'!$B$9))/4)/4))</f>
        <v>0</v>
      </c>
      <c r="U30" s="14" t="n">
        <f aca="false">IF($A30&lt;='3. Leases'!$D$5,'3. Leases'!$B$5*'3. Leases'!$C$5,IF(R30&lt;'2. Inputs'!$B$7,0,'3. Leases'!$B$5*'2. Inputs'!$B$3*(1+'2. Inputs'!$B$4)^(('3. Leases'!$D$5+'2. Inputs'!$B$7+S30*('2. Inputs'!$B$7+'2. Inputs'!$B$9))/4)))</f>
        <v>0</v>
      </c>
      <c r="V30" s="14" t="n">
        <f aca="false">IF($A30&lt;='3. Leases'!$D$5,0,IF(R30=0,'3. Leases'!$B$5*'2. Inputs'!$B$5*(1+'2. Inputs'!$B$6)^(('3. Leases'!$D$5+S30*('2. Inputs'!$B$7+'2. Inputs'!$B$9))/4),0)+IF(R30='2. Inputs'!$B$7,'2. Inputs'!$B$10*'2. Inputs'!$B$3*(1+'2. Inputs'!$B$4)^(('3. Leases'!$D$5+'2. Inputs'!$B$7+S30*('2. Inputs'!$B$7+'2. Inputs'!$B$9))/4)*'3. Leases'!$B$5,0))</f>
        <v>759407.944688937</v>
      </c>
      <c r="W30" s="14" t="n">
        <f aca="false">IF($A30&lt;='3. Leases'!$D$5,0,IF(R30&lt;'2. Inputs'!$B$7,'3. Leases'!$B$5,0))</f>
        <v>1540</v>
      </c>
      <c r="X30" s="13" t="n">
        <f aca="false">$A30-'3. Leases'!$D$6-1</f>
        <v>20</v>
      </c>
      <c r="Y30" s="13" t="n">
        <f aca="false">IF(X30&lt;0,-1,MOD(X30,'2. Inputs'!$B$7+'2. Inputs'!$B$9))</f>
        <v>20</v>
      </c>
      <c r="Z30" s="13" t="n">
        <f aca="false">IF(X30&lt;0,0,INT(X30/('2. Inputs'!$B$7+'2. Inputs'!$B$9)))</f>
        <v>0</v>
      </c>
      <c r="AA30" s="14" t="n">
        <f aca="false">IF($A30&lt;='3. Leases'!$D$6,'3. Leases'!$B$6*'3. Leases'!$C$6/4,IF(Y30&lt;'2. Inputs'!$B$7+'2. Inputs'!$B$8,0,'3. Leases'!$B$6*'2. Inputs'!$B$3*(1+'2. Inputs'!$B$4)^(('3. Leases'!$D$6+'2. Inputs'!$B$7+Z30*('2. Inputs'!$B$7+'2. Inputs'!$B$9))/4)/4))</f>
        <v>77555.0100488435</v>
      </c>
      <c r="AB30" s="14" t="n">
        <f aca="false">IF($A30&lt;='3. Leases'!$D$6,'3. Leases'!$B$6*'3. Leases'!$C$6,IF(Y30&lt;'2. Inputs'!$B$7,0,'3. Leases'!$B$6*'2. Inputs'!$B$3*(1+'2. Inputs'!$B$4)^(('3. Leases'!$D$6+'2. Inputs'!$B$7+Z30*('2. Inputs'!$B$7+'2. Inputs'!$B$9))/4)))</f>
        <v>310220.040195374</v>
      </c>
      <c r="AC30" s="14" t="n">
        <f aca="false">IF($A30&lt;='3. Leases'!$D$6,0,IF(Y30=0,'3. Leases'!$B$6*'2. Inputs'!$B$5*(1+'2. Inputs'!$B$6)^(('3. Leases'!$D$6+Z30*('2. Inputs'!$B$7+'2. Inputs'!$B$9))/4),0)+IF(Y30='2. Inputs'!$B$7,'2. Inputs'!$B$10*'2. Inputs'!$B$3*(1+'2. Inputs'!$B$4)^(('3. Leases'!$D$6+'2. Inputs'!$B$7+Z30*('2. Inputs'!$B$7+'2. Inputs'!$B$9))/4)*'3. Leases'!$B$6,0))</f>
        <v>0</v>
      </c>
      <c r="AD30" s="14" t="n">
        <f aca="false">IF($A30&lt;='3. Leases'!$D$6,0,IF(Y30&lt;'2. Inputs'!$B$7,'3. Leases'!$B$6,0))</f>
        <v>0</v>
      </c>
      <c r="AE30" s="13" t="n">
        <f aca="false">$A30-'3. Leases'!$D$7-1</f>
        <v>26</v>
      </c>
      <c r="AF30" s="13" t="n">
        <f aca="false">IF(AE30&lt;0,-1,MOD(AE30,'2. Inputs'!$B$7+'2. Inputs'!$B$9))</f>
        <v>3</v>
      </c>
      <c r="AG30" s="13" t="n">
        <f aca="false">IF(AE30&lt;0,0,INT(AE30/('2. Inputs'!$B$7+'2. Inputs'!$B$9)))</f>
        <v>1</v>
      </c>
      <c r="AH30" s="14" t="n">
        <f aca="false">IF($A30&lt;='3. Leases'!$D$7,'3. Leases'!$B$7*'3. Leases'!$C$7/4,IF(AF30&lt;'2. Inputs'!$B$7+'2. Inputs'!$B$8,0,'3. Leases'!$B$7*'2. Inputs'!$B$3*(1+'2. Inputs'!$B$4)^(('3. Leases'!$D$7+'2. Inputs'!$B$7+AG30*('2. Inputs'!$B$7+'2. Inputs'!$B$9))/4)/4))</f>
        <v>0</v>
      </c>
      <c r="AI30" s="14" t="n">
        <f aca="false">IF($A30&lt;='3. Leases'!$D$7,'3. Leases'!$B$7*'3. Leases'!$C$7,IF(AF30&lt;'2. Inputs'!$B$7,0,'3. Leases'!$B$7*'2. Inputs'!$B$3*(1+'2. Inputs'!$B$4)^(('3. Leases'!$D$7+'2. Inputs'!$B$7+AG30*('2. Inputs'!$B$7+'2. Inputs'!$B$9))/4)))</f>
        <v>713845.589367494</v>
      </c>
      <c r="AJ30" s="14" t="n">
        <f aca="false">IF($A30&lt;='3. Leases'!$D$7,0,IF(AF30=0,'3. Leases'!$B$7*'2. Inputs'!$B$5*(1+'2. Inputs'!$B$6)^(('3. Leases'!$D$7+AG30*('2. Inputs'!$B$7+'2. Inputs'!$B$9))/4),0)+IF(AF30='2. Inputs'!$B$7,'2. Inputs'!$B$10*'2. Inputs'!$B$3*(1+'2. Inputs'!$B$4)^(('3. Leases'!$D$7+'2. Inputs'!$B$7+AG30*('2. Inputs'!$B$7+'2. Inputs'!$B$9))/4)*'3. Leases'!$B$7,0))</f>
        <v>85661.4707240993</v>
      </c>
      <c r="AK30" s="14" t="n">
        <f aca="false">IF($A30&lt;='3. Leases'!$D$7,0,IF(AF30&lt;'2. Inputs'!$B$7,'3. Leases'!$B$7,0))</f>
        <v>0</v>
      </c>
      <c r="AL30" s="14" t="n">
        <f aca="false">F30+M30+T30+AA30+AH30</f>
        <v>657709.99946345</v>
      </c>
      <c r="AM30" s="14" t="n">
        <f aca="false">G30+N30+U30+AB30+AI30</f>
        <v>3344685.58722129</v>
      </c>
      <c r="AN30" s="14" t="n">
        <f aca="false">H30+O30+V30+AC30+AJ30+IF($A30='2. Inputs'!$B$14,'2. Inputs'!$B$13,0)</f>
        <v>845069.415413036</v>
      </c>
      <c r="AO30" s="14" t="n">
        <f aca="false">I30+P30+W30+AD30+AK30</f>
        <v>1540</v>
      </c>
      <c r="AP30" s="14" t="n">
        <f aca="false">AL30*(1-'2. Inputs'!$B$11)-AO30*'2. Inputs'!$B$12/4</f>
        <v>597072.399495643</v>
      </c>
      <c r="AQ30" s="14" t="n">
        <f aca="false">AP30-AN30</f>
        <v>-247997.015917393</v>
      </c>
      <c r="AR30" s="15" t="n">
        <f aca="false">1/(1+((1+'2. Inputs'!$B$15)^0.25-1))^$A30</f>
        <v>0.604203682494304</v>
      </c>
      <c r="AS30" s="14" t="n">
        <f aca="false">AQ30*AR30</f>
        <v>-149840.710264887</v>
      </c>
    </row>
    <row r="31" customFormat="false" ht="15" hidden="false" customHeight="false" outlineLevel="0" collapsed="false">
      <c r="A31" s="0" t="n">
        <v>28</v>
      </c>
      <c r="B31" s="0" t="n">
        <f aca="false">CEILING(A31/4,1)</f>
        <v>7</v>
      </c>
      <c r="C31" s="13" t="n">
        <f aca="false">$A31-'3. Leases'!$D$3-1</f>
        <v>17</v>
      </c>
      <c r="D31" s="13" t="n">
        <f aca="false">IF(C31&lt;0,-1,MOD(C31,'2. Inputs'!$B$7+'2. Inputs'!$B$9))</f>
        <v>17</v>
      </c>
      <c r="E31" s="13" t="n">
        <f aca="false">IF(C31&lt;0,0,INT(C31/('2. Inputs'!$B$7+'2. Inputs'!$B$9)))</f>
        <v>0</v>
      </c>
      <c r="F31" s="14" t="n">
        <f aca="false">IF($A31&lt;='3. Leases'!$D$3,'3. Leases'!$B$3*'3. Leases'!$C$3/4,IF(D31&lt;'2. Inputs'!$B$7+'2. Inputs'!$B$8,0,'3. Leases'!$B$3*'2. Inputs'!$B$3*(1+'2. Inputs'!$B$4)^(('3. Leases'!$D$3+'2. Inputs'!$B$7+E31*('2. Inputs'!$B$7+'2. Inputs'!$B$9))/4)/4))</f>
        <v>330617.00783822</v>
      </c>
      <c r="G31" s="14" t="n">
        <f aca="false">IF($A31&lt;='3. Leases'!$D$3,'3. Leases'!$B$3*'3. Leases'!$C$3,IF(D31&lt;'2. Inputs'!$B$7,0,'3. Leases'!$B$3*'2. Inputs'!$B$3*(1+'2. Inputs'!$B$4)^(('3. Leases'!$D$3+'2. Inputs'!$B$7+E31*('2. Inputs'!$B$7+'2. Inputs'!$B$9))/4)))</f>
        <v>1322468.03135288</v>
      </c>
      <c r="H31" s="14" t="n">
        <f aca="false">IF($A31&lt;='3. Leases'!$D$3,0,IF(D31=0,'3. Leases'!$B$3*'2. Inputs'!$B$5*(1+'2. Inputs'!$B$6)^(('3. Leases'!$D$3+E31*('2. Inputs'!$B$7+'2. Inputs'!$B$9))/4),0)+IF(D31='2. Inputs'!$B$7,'2. Inputs'!$B$10*'2. Inputs'!$B$3*(1+'2. Inputs'!$B$4)^(('3. Leases'!$D$3+'2. Inputs'!$B$7+E31*('2. Inputs'!$B$7+'2. Inputs'!$B$9))/4)*'3. Leases'!$B$3,0))</f>
        <v>0</v>
      </c>
      <c r="I31" s="14" t="n">
        <f aca="false">IF($A31&lt;='3. Leases'!$D$3,0,IF(D31&lt;'2. Inputs'!$B$7,'3. Leases'!$B$3,0))</f>
        <v>0</v>
      </c>
      <c r="J31" s="13" t="n">
        <f aca="false">$A31-'3. Leases'!$D$4-1</f>
        <v>11</v>
      </c>
      <c r="K31" s="13" t="n">
        <f aca="false">IF(J31&lt;0,-1,MOD(J31,'2. Inputs'!$B$7+'2. Inputs'!$B$9))</f>
        <v>11</v>
      </c>
      <c r="L31" s="13" t="n">
        <f aca="false">IF(J31&lt;0,0,INT(J31/('2. Inputs'!$B$7+'2. Inputs'!$B$9)))</f>
        <v>0</v>
      </c>
      <c r="M31" s="14" t="n">
        <f aca="false">IF($A31&lt;='3. Leases'!$D$4,'3. Leases'!$B$4*'3. Leases'!$C$4/4,IF(K31&lt;'2. Inputs'!$B$7+'2. Inputs'!$B$8,0,'3. Leases'!$B$4*'2. Inputs'!$B$3*(1+'2. Inputs'!$B$4)^(('3. Leases'!$D$4+'2. Inputs'!$B$7+L31*('2. Inputs'!$B$7+'2. Inputs'!$B$9))/4)/4))</f>
        <v>249537.981576387</v>
      </c>
      <c r="N31" s="14" t="n">
        <f aca="false">IF($A31&lt;='3. Leases'!$D$4,'3. Leases'!$B$4*'3. Leases'!$C$4,IF(K31&lt;'2. Inputs'!$B$7,0,'3. Leases'!$B$4*'2. Inputs'!$B$3*(1+'2. Inputs'!$B$4)^(('3. Leases'!$D$4+'2. Inputs'!$B$7+L31*('2. Inputs'!$B$7+'2. Inputs'!$B$9))/4)))</f>
        <v>998151.926305546</v>
      </c>
      <c r="O31" s="14" t="n">
        <f aca="false">IF($A31&lt;='3. Leases'!$D$4,0,IF(K31=0,'3. Leases'!$B$4*'2. Inputs'!$B$5*(1+'2. Inputs'!$B$6)^(('3. Leases'!$D$4+L31*('2. Inputs'!$B$7+'2. Inputs'!$B$9))/4),0)+IF(K31='2. Inputs'!$B$7,'2. Inputs'!$B$10*'2. Inputs'!$B$3*(1+'2. Inputs'!$B$4)^(('3. Leases'!$D$4+'2. Inputs'!$B$7+L31*('2. Inputs'!$B$7+'2. Inputs'!$B$9))/4)*'3. Leases'!$B$4,0))</f>
        <v>0</v>
      </c>
      <c r="P31" s="14" t="n">
        <f aca="false">IF($A31&lt;='3. Leases'!$D$4,0,IF(K31&lt;'2. Inputs'!$B$7,'3. Leases'!$B$4,0))</f>
        <v>0</v>
      </c>
      <c r="Q31" s="13" t="n">
        <f aca="false">$A31-'3. Leases'!$D$5-1</f>
        <v>1</v>
      </c>
      <c r="R31" s="13" t="n">
        <f aca="false">IF(Q31&lt;0,-1,MOD(Q31,'2. Inputs'!$B$7+'2. Inputs'!$B$9))</f>
        <v>1</v>
      </c>
      <c r="S31" s="13" t="n">
        <f aca="false">IF(Q31&lt;0,0,INT(Q31/('2. Inputs'!$B$7+'2. Inputs'!$B$9)))</f>
        <v>0</v>
      </c>
      <c r="T31" s="14" t="n">
        <f aca="false">IF($A31&lt;='3. Leases'!$D$5,'3. Leases'!$B$5*'3. Leases'!$C$5/4,IF(R31&lt;'2. Inputs'!$B$7+'2. Inputs'!$B$8,0,'3. Leases'!$B$5*'2. Inputs'!$B$3*(1+'2. Inputs'!$B$4)^(('3. Leases'!$D$5+'2. Inputs'!$B$7+S31*('2. Inputs'!$B$7+'2. Inputs'!$B$9))/4)/4))</f>
        <v>0</v>
      </c>
      <c r="U31" s="14" t="n">
        <f aca="false">IF($A31&lt;='3. Leases'!$D$5,'3. Leases'!$B$5*'3. Leases'!$C$5,IF(R31&lt;'2. Inputs'!$B$7,0,'3. Leases'!$B$5*'2. Inputs'!$B$3*(1+'2. Inputs'!$B$4)^(('3. Leases'!$D$5+'2. Inputs'!$B$7+S31*('2. Inputs'!$B$7+'2. Inputs'!$B$9))/4)))</f>
        <v>0</v>
      </c>
      <c r="V31" s="14" t="n">
        <f aca="false">IF($A31&lt;='3. Leases'!$D$5,0,IF(R31=0,'3. Leases'!$B$5*'2. Inputs'!$B$5*(1+'2. Inputs'!$B$6)^(('3. Leases'!$D$5+S31*('2. Inputs'!$B$7+'2. Inputs'!$B$9))/4),0)+IF(R31='2. Inputs'!$B$7,'2. Inputs'!$B$10*'2. Inputs'!$B$3*(1+'2. Inputs'!$B$4)^(('3. Leases'!$D$5+'2. Inputs'!$B$7+S31*('2. Inputs'!$B$7+'2. Inputs'!$B$9))/4)*'3. Leases'!$B$5,0))</f>
        <v>0</v>
      </c>
      <c r="W31" s="14" t="n">
        <f aca="false">IF($A31&lt;='3. Leases'!$D$5,0,IF(R31&lt;'2. Inputs'!$B$7,'3. Leases'!$B$5,0))</f>
        <v>1540</v>
      </c>
      <c r="X31" s="13" t="n">
        <f aca="false">$A31-'3. Leases'!$D$6-1</f>
        <v>21</v>
      </c>
      <c r="Y31" s="13" t="n">
        <f aca="false">IF(X31&lt;0,-1,MOD(X31,'2. Inputs'!$B$7+'2. Inputs'!$B$9))</f>
        <v>21</v>
      </c>
      <c r="Z31" s="13" t="n">
        <f aca="false">IF(X31&lt;0,0,INT(X31/('2. Inputs'!$B$7+'2. Inputs'!$B$9)))</f>
        <v>0</v>
      </c>
      <c r="AA31" s="14" t="n">
        <f aca="false">IF($A31&lt;='3. Leases'!$D$6,'3. Leases'!$B$6*'3. Leases'!$C$6/4,IF(Y31&lt;'2. Inputs'!$B$7+'2. Inputs'!$B$8,0,'3. Leases'!$B$6*'2. Inputs'!$B$3*(1+'2. Inputs'!$B$4)^(('3. Leases'!$D$6+'2. Inputs'!$B$7+Z31*('2. Inputs'!$B$7+'2. Inputs'!$B$9))/4)/4))</f>
        <v>77555.0100488435</v>
      </c>
      <c r="AB31" s="14" t="n">
        <f aca="false">IF($A31&lt;='3. Leases'!$D$6,'3. Leases'!$B$6*'3. Leases'!$C$6,IF(Y31&lt;'2. Inputs'!$B$7,0,'3. Leases'!$B$6*'2. Inputs'!$B$3*(1+'2. Inputs'!$B$4)^(('3. Leases'!$D$6+'2. Inputs'!$B$7+Z31*('2. Inputs'!$B$7+'2. Inputs'!$B$9))/4)))</f>
        <v>310220.040195374</v>
      </c>
      <c r="AC31" s="14" t="n">
        <f aca="false">IF($A31&lt;='3. Leases'!$D$6,0,IF(Y31=0,'3. Leases'!$B$6*'2. Inputs'!$B$5*(1+'2. Inputs'!$B$6)^(('3. Leases'!$D$6+Z31*('2. Inputs'!$B$7+'2. Inputs'!$B$9))/4),0)+IF(Y31='2. Inputs'!$B$7,'2. Inputs'!$B$10*'2. Inputs'!$B$3*(1+'2. Inputs'!$B$4)^(('3. Leases'!$D$6+'2. Inputs'!$B$7+Z31*('2. Inputs'!$B$7+'2. Inputs'!$B$9))/4)*'3. Leases'!$B$6,0))</f>
        <v>0</v>
      </c>
      <c r="AD31" s="14" t="n">
        <f aca="false">IF($A31&lt;='3. Leases'!$D$6,0,IF(Y31&lt;'2. Inputs'!$B$7,'3. Leases'!$B$6,0))</f>
        <v>0</v>
      </c>
      <c r="AE31" s="13" t="n">
        <f aca="false">$A31-'3. Leases'!$D$7-1</f>
        <v>27</v>
      </c>
      <c r="AF31" s="13" t="n">
        <f aca="false">IF(AE31&lt;0,-1,MOD(AE31,'2. Inputs'!$B$7+'2. Inputs'!$B$9))</f>
        <v>4</v>
      </c>
      <c r="AG31" s="13" t="n">
        <f aca="false">IF(AE31&lt;0,0,INT(AE31/('2. Inputs'!$B$7+'2. Inputs'!$B$9)))</f>
        <v>1</v>
      </c>
      <c r="AH31" s="14" t="n">
        <f aca="false">IF($A31&lt;='3. Leases'!$D$7,'3. Leases'!$B$7*'3. Leases'!$C$7/4,IF(AF31&lt;'2. Inputs'!$B$7+'2. Inputs'!$B$8,0,'3. Leases'!$B$7*'2. Inputs'!$B$3*(1+'2. Inputs'!$B$4)^(('3. Leases'!$D$7+'2. Inputs'!$B$7+AG31*('2. Inputs'!$B$7+'2. Inputs'!$B$9))/4)/4))</f>
        <v>0</v>
      </c>
      <c r="AI31" s="14" t="n">
        <f aca="false">IF($A31&lt;='3. Leases'!$D$7,'3. Leases'!$B$7*'3. Leases'!$C$7,IF(AF31&lt;'2. Inputs'!$B$7,0,'3. Leases'!$B$7*'2. Inputs'!$B$3*(1+'2. Inputs'!$B$4)^(('3. Leases'!$D$7+'2. Inputs'!$B$7+AG31*('2. Inputs'!$B$7+'2. Inputs'!$B$9))/4)))</f>
        <v>713845.589367494</v>
      </c>
      <c r="AJ31" s="14" t="n">
        <f aca="false">IF($A31&lt;='3. Leases'!$D$7,0,IF(AF31=0,'3. Leases'!$B$7*'2. Inputs'!$B$5*(1+'2. Inputs'!$B$6)^(('3. Leases'!$D$7+AG31*('2. Inputs'!$B$7+'2. Inputs'!$B$9))/4),0)+IF(AF31='2. Inputs'!$B$7,'2. Inputs'!$B$10*'2. Inputs'!$B$3*(1+'2. Inputs'!$B$4)^(('3. Leases'!$D$7+'2. Inputs'!$B$7+AG31*('2. Inputs'!$B$7+'2. Inputs'!$B$9))/4)*'3. Leases'!$B$7,0))</f>
        <v>0</v>
      </c>
      <c r="AK31" s="14" t="n">
        <f aca="false">IF($A31&lt;='3. Leases'!$D$7,0,IF(AF31&lt;'2. Inputs'!$B$7,'3. Leases'!$B$7,0))</f>
        <v>0</v>
      </c>
      <c r="AL31" s="14" t="n">
        <f aca="false">F31+M31+T31+AA31+AH31</f>
        <v>657709.99946345</v>
      </c>
      <c r="AM31" s="14" t="n">
        <f aca="false">G31+N31+U31+AB31+AI31</f>
        <v>3344685.58722129</v>
      </c>
      <c r="AN31" s="14" t="n">
        <f aca="false">H31+O31+V31+AC31+AJ31+IF($A31='2. Inputs'!$B$14,'2. Inputs'!$B$13,0)</f>
        <v>0</v>
      </c>
      <c r="AO31" s="14" t="n">
        <f aca="false">I31+P31+W31+AD31+AK31</f>
        <v>1540</v>
      </c>
      <c r="AP31" s="14" t="n">
        <f aca="false">AL31*(1-'2. Inputs'!$B$11)-AO31*'2. Inputs'!$B$12/4</f>
        <v>597072.399495643</v>
      </c>
      <c r="AQ31" s="14" t="n">
        <f aca="false">AP31-AN31</f>
        <v>597072.399495643</v>
      </c>
      <c r="AR31" s="15" t="n">
        <f aca="false">1/(1+((1+'2. Inputs'!$B$15)^0.25-1))^$A31</f>
        <v>0.593033255787799</v>
      </c>
      <c r="AS31" s="14" t="n">
        <f aca="false">AQ31*AR31</f>
        <v>354083.789013934</v>
      </c>
    </row>
    <row r="32" customFormat="false" ht="15" hidden="false" customHeight="false" outlineLevel="0" collapsed="false">
      <c r="A32" s="0" t="n">
        <v>29</v>
      </c>
      <c r="B32" s="0" t="n">
        <f aca="false">CEILING(A32/4,1)</f>
        <v>8</v>
      </c>
      <c r="C32" s="13" t="n">
        <f aca="false">$A32-'3. Leases'!$D$3-1</f>
        <v>18</v>
      </c>
      <c r="D32" s="13" t="n">
        <f aca="false">IF(C32&lt;0,-1,MOD(C32,'2. Inputs'!$B$7+'2. Inputs'!$B$9))</f>
        <v>18</v>
      </c>
      <c r="E32" s="13" t="n">
        <f aca="false">IF(C32&lt;0,0,INT(C32/('2. Inputs'!$B$7+'2. Inputs'!$B$9)))</f>
        <v>0</v>
      </c>
      <c r="F32" s="14" t="n">
        <f aca="false">IF($A32&lt;='3. Leases'!$D$3,'3. Leases'!$B$3*'3. Leases'!$C$3/4,IF(D32&lt;'2. Inputs'!$B$7+'2. Inputs'!$B$8,0,'3. Leases'!$B$3*'2. Inputs'!$B$3*(1+'2. Inputs'!$B$4)^(('3. Leases'!$D$3+'2. Inputs'!$B$7+E32*('2. Inputs'!$B$7+'2. Inputs'!$B$9))/4)/4))</f>
        <v>330617.00783822</v>
      </c>
      <c r="G32" s="14" t="n">
        <f aca="false">IF($A32&lt;='3. Leases'!$D$3,'3. Leases'!$B$3*'3. Leases'!$C$3,IF(D32&lt;'2. Inputs'!$B$7,0,'3. Leases'!$B$3*'2. Inputs'!$B$3*(1+'2. Inputs'!$B$4)^(('3. Leases'!$D$3+'2. Inputs'!$B$7+E32*('2. Inputs'!$B$7+'2. Inputs'!$B$9))/4)))</f>
        <v>1322468.03135288</v>
      </c>
      <c r="H32" s="14" t="n">
        <f aca="false">IF($A32&lt;='3. Leases'!$D$3,0,IF(D32=0,'3. Leases'!$B$3*'2. Inputs'!$B$5*(1+'2. Inputs'!$B$6)^(('3. Leases'!$D$3+E32*('2. Inputs'!$B$7+'2. Inputs'!$B$9))/4),0)+IF(D32='2. Inputs'!$B$7,'2. Inputs'!$B$10*'2. Inputs'!$B$3*(1+'2. Inputs'!$B$4)^(('3. Leases'!$D$3+'2. Inputs'!$B$7+E32*('2. Inputs'!$B$7+'2. Inputs'!$B$9))/4)*'3. Leases'!$B$3,0))</f>
        <v>0</v>
      </c>
      <c r="I32" s="14" t="n">
        <f aca="false">IF($A32&lt;='3. Leases'!$D$3,0,IF(D32&lt;'2. Inputs'!$B$7,'3. Leases'!$B$3,0))</f>
        <v>0</v>
      </c>
      <c r="J32" s="13" t="n">
        <f aca="false">$A32-'3. Leases'!$D$4-1</f>
        <v>12</v>
      </c>
      <c r="K32" s="13" t="n">
        <f aca="false">IF(J32&lt;0,-1,MOD(J32,'2. Inputs'!$B$7+'2. Inputs'!$B$9))</f>
        <v>12</v>
      </c>
      <c r="L32" s="13" t="n">
        <f aca="false">IF(J32&lt;0,0,INT(J32/('2. Inputs'!$B$7+'2. Inputs'!$B$9)))</f>
        <v>0</v>
      </c>
      <c r="M32" s="14" t="n">
        <f aca="false">IF($A32&lt;='3. Leases'!$D$4,'3. Leases'!$B$4*'3. Leases'!$C$4/4,IF(K32&lt;'2. Inputs'!$B$7+'2. Inputs'!$B$8,0,'3. Leases'!$B$4*'2. Inputs'!$B$3*(1+'2. Inputs'!$B$4)^(('3. Leases'!$D$4+'2. Inputs'!$B$7+L32*('2. Inputs'!$B$7+'2. Inputs'!$B$9))/4)/4))</f>
        <v>249537.981576387</v>
      </c>
      <c r="N32" s="14" t="n">
        <f aca="false">IF($A32&lt;='3. Leases'!$D$4,'3. Leases'!$B$4*'3. Leases'!$C$4,IF(K32&lt;'2. Inputs'!$B$7,0,'3. Leases'!$B$4*'2. Inputs'!$B$3*(1+'2. Inputs'!$B$4)^(('3. Leases'!$D$4+'2. Inputs'!$B$7+L32*('2. Inputs'!$B$7+'2. Inputs'!$B$9))/4)))</f>
        <v>998151.926305546</v>
      </c>
      <c r="O32" s="14" t="n">
        <f aca="false">IF($A32&lt;='3. Leases'!$D$4,0,IF(K32=0,'3. Leases'!$B$4*'2. Inputs'!$B$5*(1+'2. Inputs'!$B$6)^(('3. Leases'!$D$4+L32*('2. Inputs'!$B$7+'2. Inputs'!$B$9))/4),0)+IF(K32='2. Inputs'!$B$7,'2. Inputs'!$B$10*'2. Inputs'!$B$3*(1+'2. Inputs'!$B$4)^(('3. Leases'!$D$4+'2. Inputs'!$B$7+L32*('2. Inputs'!$B$7+'2. Inputs'!$B$9))/4)*'3. Leases'!$B$4,0))</f>
        <v>0</v>
      </c>
      <c r="P32" s="14" t="n">
        <f aca="false">IF($A32&lt;='3. Leases'!$D$4,0,IF(K32&lt;'2. Inputs'!$B$7,'3. Leases'!$B$4,0))</f>
        <v>0</v>
      </c>
      <c r="Q32" s="13" t="n">
        <f aca="false">$A32-'3. Leases'!$D$5-1</f>
        <v>2</v>
      </c>
      <c r="R32" s="13" t="n">
        <f aca="false">IF(Q32&lt;0,-1,MOD(Q32,'2. Inputs'!$B$7+'2. Inputs'!$B$9))</f>
        <v>2</v>
      </c>
      <c r="S32" s="13" t="n">
        <f aca="false">IF(Q32&lt;0,0,INT(Q32/('2. Inputs'!$B$7+'2. Inputs'!$B$9)))</f>
        <v>0</v>
      </c>
      <c r="T32" s="14" t="n">
        <f aca="false">IF($A32&lt;='3. Leases'!$D$5,'3. Leases'!$B$5*'3. Leases'!$C$5/4,IF(R32&lt;'2. Inputs'!$B$7+'2. Inputs'!$B$8,0,'3. Leases'!$B$5*'2. Inputs'!$B$3*(1+'2. Inputs'!$B$4)^(('3. Leases'!$D$5+'2. Inputs'!$B$7+S32*('2. Inputs'!$B$7+'2. Inputs'!$B$9))/4)/4))</f>
        <v>0</v>
      </c>
      <c r="U32" s="14" t="n">
        <f aca="false">IF($A32&lt;='3. Leases'!$D$5,'3. Leases'!$B$5*'3. Leases'!$C$5,IF(R32&lt;'2. Inputs'!$B$7,0,'3. Leases'!$B$5*'2. Inputs'!$B$3*(1+'2. Inputs'!$B$4)^(('3. Leases'!$D$5+'2. Inputs'!$B$7+S32*('2. Inputs'!$B$7+'2. Inputs'!$B$9))/4)))</f>
        <v>0</v>
      </c>
      <c r="V32" s="14" t="n">
        <f aca="false">IF($A32&lt;='3. Leases'!$D$5,0,IF(R32=0,'3. Leases'!$B$5*'2. Inputs'!$B$5*(1+'2. Inputs'!$B$6)^(('3. Leases'!$D$5+S32*('2. Inputs'!$B$7+'2. Inputs'!$B$9))/4),0)+IF(R32='2. Inputs'!$B$7,'2. Inputs'!$B$10*'2. Inputs'!$B$3*(1+'2. Inputs'!$B$4)^(('3. Leases'!$D$5+'2. Inputs'!$B$7+S32*('2. Inputs'!$B$7+'2. Inputs'!$B$9))/4)*'3. Leases'!$B$5,0))</f>
        <v>0</v>
      </c>
      <c r="W32" s="14" t="n">
        <f aca="false">IF($A32&lt;='3. Leases'!$D$5,0,IF(R32&lt;'2. Inputs'!$B$7,'3. Leases'!$B$5,0))</f>
        <v>1540</v>
      </c>
      <c r="X32" s="13" t="n">
        <f aca="false">$A32-'3. Leases'!$D$6-1</f>
        <v>22</v>
      </c>
      <c r="Y32" s="13" t="n">
        <f aca="false">IF(X32&lt;0,-1,MOD(X32,'2. Inputs'!$B$7+'2. Inputs'!$B$9))</f>
        <v>22</v>
      </c>
      <c r="Z32" s="13" t="n">
        <f aca="false">IF(X32&lt;0,0,INT(X32/('2. Inputs'!$B$7+'2. Inputs'!$B$9)))</f>
        <v>0</v>
      </c>
      <c r="AA32" s="14" t="n">
        <f aca="false">IF($A32&lt;='3. Leases'!$D$6,'3. Leases'!$B$6*'3. Leases'!$C$6/4,IF(Y32&lt;'2. Inputs'!$B$7+'2. Inputs'!$B$8,0,'3. Leases'!$B$6*'2. Inputs'!$B$3*(1+'2. Inputs'!$B$4)^(('3. Leases'!$D$6+'2. Inputs'!$B$7+Z32*('2. Inputs'!$B$7+'2. Inputs'!$B$9))/4)/4))</f>
        <v>77555.0100488435</v>
      </c>
      <c r="AB32" s="14" t="n">
        <f aca="false">IF($A32&lt;='3. Leases'!$D$6,'3. Leases'!$B$6*'3. Leases'!$C$6,IF(Y32&lt;'2. Inputs'!$B$7,0,'3. Leases'!$B$6*'2. Inputs'!$B$3*(1+'2. Inputs'!$B$4)^(('3. Leases'!$D$6+'2. Inputs'!$B$7+Z32*('2. Inputs'!$B$7+'2. Inputs'!$B$9))/4)))</f>
        <v>310220.040195374</v>
      </c>
      <c r="AC32" s="14" t="n">
        <f aca="false">IF($A32&lt;='3. Leases'!$D$6,0,IF(Y32=0,'3. Leases'!$B$6*'2. Inputs'!$B$5*(1+'2. Inputs'!$B$6)^(('3. Leases'!$D$6+Z32*('2. Inputs'!$B$7+'2. Inputs'!$B$9))/4),0)+IF(Y32='2. Inputs'!$B$7,'2. Inputs'!$B$10*'2. Inputs'!$B$3*(1+'2. Inputs'!$B$4)^(('3. Leases'!$D$6+'2. Inputs'!$B$7+Z32*('2. Inputs'!$B$7+'2. Inputs'!$B$9))/4)*'3. Leases'!$B$6,0))</f>
        <v>0</v>
      </c>
      <c r="AD32" s="14" t="n">
        <f aca="false">IF($A32&lt;='3. Leases'!$D$6,0,IF(Y32&lt;'2. Inputs'!$B$7,'3. Leases'!$B$6,0))</f>
        <v>0</v>
      </c>
      <c r="AE32" s="13" t="n">
        <f aca="false">$A32-'3. Leases'!$D$7-1</f>
        <v>28</v>
      </c>
      <c r="AF32" s="13" t="n">
        <f aca="false">IF(AE32&lt;0,-1,MOD(AE32,'2. Inputs'!$B$7+'2. Inputs'!$B$9))</f>
        <v>5</v>
      </c>
      <c r="AG32" s="13" t="n">
        <f aca="false">IF(AE32&lt;0,0,INT(AE32/('2. Inputs'!$B$7+'2. Inputs'!$B$9)))</f>
        <v>1</v>
      </c>
      <c r="AH32" s="14" t="n">
        <f aca="false">IF($A32&lt;='3. Leases'!$D$7,'3. Leases'!$B$7*'3. Leases'!$C$7/4,IF(AF32&lt;'2. Inputs'!$B$7+'2. Inputs'!$B$8,0,'3. Leases'!$B$7*'2. Inputs'!$B$3*(1+'2. Inputs'!$B$4)^(('3. Leases'!$D$7+'2. Inputs'!$B$7+AG32*('2. Inputs'!$B$7+'2. Inputs'!$B$9))/4)/4))</f>
        <v>0</v>
      </c>
      <c r="AI32" s="14" t="n">
        <f aca="false">IF($A32&lt;='3. Leases'!$D$7,'3. Leases'!$B$7*'3. Leases'!$C$7,IF(AF32&lt;'2. Inputs'!$B$7,0,'3. Leases'!$B$7*'2. Inputs'!$B$3*(1+'2. Inputs'!$B$4)^(('3. Leases'!$D$7+'2. Inputs'!$B$7+AG32*('2. Inputs'!$B$7+'2. Inputs'!$B$9))/4)))</f>
        <v>713845.589367494</v>
      </c>
      <c r="AJ32" s="14" t="n">
        <f aca="false">IF($A32&lt;='3. Leases'!$D$7,0,IF(AF32=0,'3. Leases'!$B$7*'2. Inputs'!$B$5*(1+'2. Inputs'!$B$6)^(('3. Leases'!$D$7+AG32*('2. Inputs'!$B$7+'2. Inputs'!$B$9))/4),0)+IF(AF32='2. Inputs'!$B$7,'2. Inputs'!$B$10*'2. Inputs'!$B$3*(1+'2. Inputs'!$B$4)^(('3. Leases'!$D$7+'2. Inputs'!$B$7+AG32*('2. Inputs'!$B$7+'2. Inputs'!$B$9))/4)*'3. Leases'!$B$7,0))</f>
        <v>0</v>
      </c>
      <c r="AK32" s="14" t="n">
        <f aca="false">IF($A32&lt;='3. Leases'!$D$7,0,IF(AF32&lt;'2. Inputs'!$B$7,'3. Leases'!$B$7,0))</f>
        <v>0</v>
      </c>
      <c r="AL32" s="14" t="n">
        <f aca="false">F32+M32+T32+AA32+AH32</f>
        <v>657709.99946345</v>
      </c>
      <c r="AM32" s="14" t="n">
        <f aca="false">G32+N32+U32+AB32+AI32</f>
        <v>3344685.58722129</v>
      </c>
      <c r="AN32" s="14" t="n">
        <f aca="false">H32+O32+V32+AC32+AJ32+IF($A32='2. Inputs'!$B$14,'2. Inputs'!$B$13,0)</f>
        <v>0</v>
      </c>
      <c r="AO32" s="14" t="n">
        <f aca="false">I32+P32+W32+AD32+AK32</f>
        <v>1540</v>
      </c>
      <c r="AP32" s="14" t="n">
        <f aca="false">AL32*(1-'2. Inputs'!$B$11)-AO32*'2. Inputs'!$B$12/4</f>
        <v>597072.399495643</v>
      </c>
      <c r="AQ32" s="14" t="n">
        <f aca="false">AP32-AN32</f>
        <v>597072.399495643</v>
      </c>
      <c r="AR32" s="15" t="n">
        <f aca="false">1/(1+((1+'2. Inputs'!$B$15)^0.25-1))^$A32</f>
        <v>0.582069346248304</v>
      </c>
      <c r="AS32" s="14" t="n">
        <f aca="false">AQ32*AR32</f>
        <v>347537.541237335</v>
      </c>
    </row>
    <row r="33" customFormat="false" ht="15" hidden="false" customHeight="false" outlineLevel="0" collapsed="false">
      <c r="A33" s="0" t="n">
        <v>30</v>
      </c>
      <c r="B33" s="0" t="n">
        <f aca="false">CEILING(A33/4,1)</f>
        <v>8</v>
      </c>
      <c r="C33" s="13" t="n">
        <f aca="false">$A33-'3. Leases'!$D$3-1</f>
        <v>19</v>
      </c>
      <c r="D33" s="13" t="n">
        <f aca="false">IF(C33&lt;0,-1,MOD(C33,'2. Inputs'!$B$7+'2. Inputs'!$B$9))</f>
        <v>19</v>
      </c>
      <c r="E33" s="13" t="n">
        <f aca="false">IF(C33&lt;0,0,INT(C33/('2. Inputs'!$B$7+'2. Inputs'!$B$9)))</f>
        <v>0</v>
      </c>
      <c r="F33" s="14" t="n">
        <f aca="false">IF($A33&lt;='3. Leases'!$D$3,'3. Leases'!$B$3*'3. Leases'!$C$3/4,IF(D33&lt;'2. Inputs'!$B$7+'2. Inputs'!$B$8,0,'3. Leases'!$B$3*'2. Inputs'!$B$3*(1+'2. Inputs'!$B$4)^(('3. Leases'!$D$3+'2. Inputs'!$B$7+E33*('2. Inputs'!$B$7+'2. Inputs'!$B$9))/4)/4))</f>
        <v>330617.00783822</v>
      </c>
      <c r="G33" s="14" t="n">
        <f aca="false">IF($A33&lt;='3. Leases'!$D$3,'3. Leases'!$B$3*'3. Leases'!$C$3,IF(D33&lt;'2. Inputs'!$B$7,0,'3. Leases'!$B$3*'2. Inputs'!$B$3*(1+'2. Inputs'!$B$4)^(('3. Leases'!$D$3+'2. Inputs'!$B$7+E33*('2. Inputs'!$B$7+'2. Inputs'!$B$9))/4)))</f>
        <v>1322468.03135288</v>
      </c>
      <c r="H33" s="14" t="n">
        <f aca="false">IF($A33&lt;='3. Leases'!$D$3,0,IF(D33=0,'3. Leases'!$B$3*'2. Inputs'!$B$5*(1+'2. Inputs'!$B$6)^(('3. Leases'!$D$3+E33*('2. Inputs'!$B$7+'2. Inputs'!$B$9))/4),0)+IF(D33='2. Inputs'!$B$7,'2. Inputs'!$B$10*'2. Inputs'!$B$3*(1+'2. Inputs'!$B$4)^(('3. Leases'!$D$3+'2. Inputs'!$B$7+E33*('2. Inputs'!$B$7+'2. Inputs'!$B$9))/4)*'3. Leases'!$B$3,0))</f>
        <v>0</v>
      </c>
      <c r="I33" s="14" t="n">
        <f aca="false">IF($A33&lt;='3. Leases'!$D$3,0,IF(D33&lt;'2. Inputs'!$B$7,'3. Leases'!$B$3,0))</f>
        <v>0</v>
      </c>
      <c r="J33" s="13" t="n">
        <f aca="false">$A33-'3. Leases'!$D$4-1</f>
        <v>13</v>
      </c>
      <c r="K33" s="13" t="n">
        <f aca="false">IF(J33&lt;0,-1,MOD(J33,'2. Inputs'!$B$7+'2. Inputs'!$B$9))</f>
        <v>13</v>
      </c>
      <c r="L33" s="13" t="n">
        <f aca="false">IF(J33&lt;0,0,INT(J33/('2. Inputs'!$B$7+'2. Inputs'!$B$9)))</f>
        <v>0</v>
      </c>
      <c r="M33" s="14" t="n">
        <f aca="false">IF($A33&lt;='3. Leases'!$D$4,'3. Leases'!$B$4*'3. Leases'!$C$4/4,IF(K33&lt;'2. Inputs'!$B$7+'2. Inputs'!$B$8,0,'3. Leases'!$B$4*'2. Inputs'!$B$3*(1+'2. Inputs'!$B$4)^(('3. Leases'!$D$4+'2. Inputs'!$B$7+L33*('2. Inputs'!$B$7+'2. Inputs'!$B$9))/4)/4))</f>
        <v>249537.981576387</v>
      </c>
      <c r="N33" s="14" t="n">
        <f aca="false">IF($A33&lt;='3. Leases'!$D$4,'3. Leases'!$B$4*'3. Leases'!$C$4,IF(K33&lt;'2. Inputs'!$B$7,0,'3. Leases'!$B$4*'2. Inputs'!$B$3*(1+'2. Inputs'!$B$4)^(('3. Leases'!$D$4+'2. Inputs'!$B$7+L33*('2. Inputs'!$B$7+'2. Inputs'!$B$9))/4)))</f>
        <v>998151.926305546</v>
      </c>
      <c r="O33" s="14" t="n">
        <f aca="false">IF($A33&lt;='3. Leases'!$D$4,0,IF(K33=0,'3. Leases'!$B$4*'2. Inputs'!$B$5*(1+'2. Inputs'!$B$6)^(('3. Leases'!$D$4+L33*('2. Inputs'!$B$7+'2. Inputs'!$B$9))/4),0)+IF(K33='2. Inputs'!$B$7,'2. Inputs'!$B$10*'2. Inputs'!$B$3*(1+'2. Inputs'!$B$4)^(('3. Leases'!$D$4+'2. Inputs'!$B$7+L33*('2. Inputs'!$B$7+'2. Inputs'!$B$9))/4)*'3. Leases'!$B$4,0))</f>
        <v>0</v>
      </c>
      <c r="P33" s="14" t="n">
        <f aca="false">IF($A33&lt;='3. Leases'!$D$4,0,IF(K33&lt;'2. Inputs'!$B$7,'3. Leases'!$B$4,0))</f>
        <v>0</v>
      </c>
      <c r="Q33" s="13" t="n">
        <f aca="false">$A33-'3. Leases'!$D$5-1</f>
        <v>3</v>
      </c>
      <c r="R33" s="13" t="n">
        <f aca="false">IF(Q33&lt;0,-1,MOD(Q33,'2. Inputs'!$B$7+'2. Inputs'!$B$9))</f>
        <v>3</v>
      </c>
      <c r="S33" s="13" t="n">
        <f aca="false">IF(Q33&lt;0,0,INT(Q33/('2. Inputs'!$B$7+'2. Inputs'!$B$9)))</f>
        <v>0</v>
      </c>
      <c r="T33" s="14" t="n">
        <f aca="false">IF($A33&lt;='3. Leases'!$D$5,'3. Leases'!$B$5*'3. Leases'!$C$5/4,IF(R33&lt;'2. Inputs'!$B$7+'2. Inputs'!$B$8,0,'3. Leases'!$B$5*'2. Inputs'!$B$3*(1+'2. Inputs'!$B$4)^(('3. Leases'!$D$5+'2. Inputs'!$B$7+S33*('2. Inputs'!$B$7+'2. Inputs'!$B$9))/4)/4))</f>
        <v>0</v>
      </c>
      <c r="U33" s="14" t="n">
        <f aca="false">IF($A33&lt;='3. Leases'!$D$5,'3. Leases'!$B$5*'3. Leases'!$C$5,IF(R33&lt;'2. Inputs'!$B$7,0,'3. Leases'!$B$5*'2. Inputs'!$B$3*(1+'2. Inputs'!$B$4)^(('3. Leases'!$D$5+'2. Inputs'!$B$7+S33*('2. Inputs'!$B$7+'2. Inputs'!$B$9))/4)))</f>
        <v>514660.43395974</v>
      </c>
      <c r="V33" s="14" t="n">
        <f aca="false">IF($A33&lt;='3. Leases'!$D$5,0,IF(R33=0,'3. Leases'!$B$5*'2. Inputs'!$B$5*(1+'2. Inputs'!$B$6)^(('3. Leases'!$D$5+S33*('2. Inputs'!$B$7+'2. Inputs'!$B$9))/4),0)+IF(R33='2. Inputs'!$B$7,'2. Inputs'!$B$10*'2. Inputs'!$B$3*(1+'2. Inputs'!$B$4)^(('3. Leases'!$D$5+'2. Inputs'!$B$7+S33*('2. Inputs'!$B$7+'2. Inputs'!$B$9))/4)*'3. Leases'!$B$5,0))</f>
        <v>61759.2520751688</v>
      </c>
      <c r="W33" s="14" t="n">
        <f aca="false">IF($A33&lt;='3. Leases'!$D$5,0,IF(R33&lt;'2. Inputs'!$B$7,'3. Leases'!$B$5,0))</f>
        <v>0</v>
      </c>
      <c r="X33" s="13" t="n">
        <f aca="false">$A33-'3. Leases'!$D$6-1</f>
        <v>23</v>
      </c>
      <c r="Y33" s="13" t="n">
        <f aca="false">IF(X33&lt;0,-1,MOD(X33,'2. Inputs'!$B$7+'2. Inputs'!$B$9))</f>
        <v>0</v>
      </c>
      <c r="Z33" s="13" t="n">
        <f aca="false">IF(X33&lt;0,0,INT(X33/('2. Inputs'!$B$7+'2. Inputs'!$B$9)))</f>
        <v>1</v>
      </c>
      <c r="AA33" s="14" t="n">
        <f aca="false">IF($A33&lt;='3. Leases'!$D$6,'3. Leases'!$B$6*'3. Leases'!$C$6/4,IF(Y33&lt;'2. Inputs'!$B$7+'2. Inputs'!$B$8,0,'3. Leases'!$B$6*'2. Inputs'!$B$3*(1+'2. Inputs'!$B$4)^(('3. Leases'!$D$6+'2. Inputs'!$B$7+Z33*('2. Inputs'!$B$7+'2. Inputs'!$B$9))/4)/4))</f>
        <v>0</v>
      </c>
      <c r="AB33" s="14" t="n">
        <f aca="false">IF($A33&lt;='3. Leases'!$D$6,'3. Leases'!$B$6*'3. Leases'!$C$6,IF(Y33&lt;'2. Inputs'!$B$7,0,'3. Leases'!$B$6*'2. Inputs'!$B$3*(1+'2. Inputs'!$B$4)^(('3. Leases'!$D$6+'2. Inputs'!$B$7+Z33*('2. Inputs'!$B$7+'2. Inputs'!$B$9))/4)))</f>
        <v>0</v>
      </c>
      <c r="AC33" s="14" t="n">
        <f aca="false">IF($A33&lt;='3. Leases'!$D$6,0,IF(Y33=0,'3. Leases'!$B$6*'2. Inputs'!$B$5*(1+'2. Inputs'!$B$6)^(('3. Leases'!$D$6+Z33*('2. Inputs'!$B$7+'2. Inputs'!$B$9))/4),0)+IF(Y33='2. Inputs'!$B$7,'2. Inputs'!$B$10*'2. Inputs'!$B$3*(1+'2. Inputs'!$B$4)^(('3. Leases'!$D$6+'2. Inputs'!$B$7+Z33*('2. Inputs'!$B$7+'2. Inputs'!$B$9))/4)*'3. Leases'!$B$6,0))</f>
        <v>502339.483236654</v>
      </c>
      <c r="AD33" s="14" t="n">
        <f aca="false">IF($A33&lt;='3. Leases'!$D$6,0,IF(Y33&lt;'2. Inputs'!$B$7,'3. Leases'!$B$6,0))</f>
        <v>1000</v>
      </c>
      <c r="AE33" s="13" t="n">
        <f aca="false">$A33-'3. Leases'!$D$7-1</f>
        <v>29</v>
      </c>
      <c r="AF33" s="13" t="n">
        <f aca="false">IF(AE33&lt;0,-1,MOD(AE33,'2. Inputs'!$B$7+'2. Inputs'!$B$9))</f>
        <v>6</v>
      </c>
      <c r="AG33" s="13" t="n">
        <f aca="false">IF(AE33&lt;0,0,INT(AE33/('2. Inputs'!$B$7+'2. Inputs'!$B$9)))</f>
        <v>1</v>
      </c>
      <c r="AH33" s="14" t="n">
        <f aca="false">IF($A33&lt;='3. Leases'!$D$7,'3. Leases'!$B$7*'3. Leases'!$C$7/4,IF(AF33&lt;'2. Inputs'!$B$7+'2. Inputs'!$B$8,0,'3. Leases'!$B$7*'2. Inputs'!$B$3*(1+'2. Inputs'!$B$4)^(('3. Leases'!$D$7+'2. Inputs'!$B$7+AG33*('2. Inputs'!$B$7+'2. Inputs'!$B$9))/4)/4))</f>
        <v>178461.397341873</v>
      </c>
      <c r="AI33" s="14" t="n">
        <f aca="false">IF($A33&lt;='3. Leases'!$D$7,'3. Leases'!$B$7*'3. Leases'!$C$7,IF(AF33&lt;'2. Inputs'!$B$7,0,'3. Leases'!$B$7*'2. Inputs'!$B$3*(1+'2. Inputs'!$B$4)^(('3. Leases'!$D$7+'2. Inputs'!$B$7+AG33*('2. Inputs'!$B$7+'2. Inputs'!$B$9))/4)))</f>
        <v>713845.589367494</v>
      </c>
      <c r="AJ33" s="14" t="n">
        <f aca="false">IF($A33&lt;='3. Leases'!$D$7,0,IF(AF33=0,'3. Leases'!$B$7*'2. Inputs'!$B$5*(1+'2. Inputs'!$B$6)^(('3. Leases'!$D$7+AG33*('2. Inputs'!$B$7+'2. Inputs'!$B$9))/4),0)+IF(AF33='2. Inputs'!$B$7,'2. Inputs'!$B$10*'2. Inputs'!$B$3*(1+'2. Inputs'!$B$4)^(('3. Leases'!$D$7+'2. Inputs'!$B$7+AG33*('2. Inputs'!$B$7+'2. Inputs'!$B$9))/4)*'3. Leases'!$B$7,0))</f>
        <v>0</v>
      </c>
      <c r="AK33" s="14" t="n">
        <f aca="false">IF($A33&lt;='3. Leases'!$D$7,0,IF(AF33&lt;'2. Inputs'!$B$7,'3. Leases'!$B$7,0))</f>
        <v>0</v>
      </c>
      <c r="AL33" s="14" t="n">
        <f aca="false">F33+M33+T33+AA33+AH33</f>
        <v>758616.38675648</v>
      </c>
      <c r="AM33" s="14" t="n">
        <f aca="false">G33+N33+U33+AB33+AI33</f>
        <v>3549125.98098566</v>
      </c>
      <c r="AN33" s="14" t="n">
        <f aca="false">H33+O33+V33+AC33+AJ33+IF($A33='2. Inputs'!$B$14,'2. Inputs'!$B$13,0)</f>
        <v>564098.735311823</v>
      </c>
      <c r="AO33" s="14" t="n">
        <f aca="false">I33+P33+W33+AD33+AK33</f>
        <v>1000</v>
      </c>
      <c r="AP33" s="14" t="n">
        <f aca="false">AL33*(1-'2. Inputs'!$B$11)-AO33*'2. Inputs'!$B$12/4</f>
        <v>699349.403551091</v>
      </c>
      <c r="AQ33" s="14" t="n">
        <f aca="false">AP33-AN33</f>
        <v>135250.668239268</v>
      </c>
      <c r="AR33" s="15" t="n">
        <f aca="false">1/(1+((1+'2. Inputs'!$B$15)^0.25-1))^$A33</f>
        <v>0.57130813581753</v>
      </c>
      <c r="AS33" s="14" t="n">
        <f aca="false">AQ33*AR33</f>
        <v>77269.8071398514</v>
      </c>
    </row>
    <row r="34" customFormat="false" ht="15" hidden="false" customHeight="false" outlineLevel="0" collapsed="false">
      <c r="A34" s="0" t="n">
        <v>31</v>
      </c>
      <c r="B34" s="0" t="n">
        <f aca="false">CEILING(A34/4,1)</f>
        <v>8</v>
      </c>
      <c r="C34" s="13" t="n">
        <f aca="false">$A34-'3. Leases'!$D$3-1</f>
        <v>20</v>
      </c>
      <c r="D34" s="13" t="n">
        <f aca="false">IF(C34&lt;0,-1,MOD(C34,'2. Inputs'!$B$7+'2. Inputs'!$B$9))</f>
        <v>20</v>
      </c>
      <c r="E34" s="13" t="n">
        <f aca="false">IF(C34&lt;0,0,INT(C34/('2. Inputs'!$B$7+'2. Inputs'!$B$9)))</f>
        <v>0</v>
      </c>
      <c r="F34" s="14" t="n">
        <f aca="false">IF($A34&lt;='3. Leases'!$D$3,'3. Leases'!$B$3*'3. Leases'!$C$3/4,IF(D34&lt;'2. Inputs'!$B$7+'2. Inputs'!$B$8,0,'3. Leases'!$B$3*'2. Inputs'!$B$3*(1+'2. Inputs'!$B$4)^(('3. Leases'!$D$3+'2. Inputs'!$B$7+E34*('2. Inputs'!$B$7+'2. Inputs'!$B$9))/4)/4))</f>
        <v>330617.00783822</v>
      </c>
      <c r="G34" s="14" t="n">
        <f aca="false">IF($A34&lt;='3. Leases'!$D$3,'3. Leases'!$B$3*'3. Leases'!$C$3,IF(D34&lt;'2. Inputs'!$B$7,0,'3. Leases'!$B$3*'2. Inputs'!$B$3*(1+'2. Inputs'!$B$4)^(('3. Leases'!$D$3+'2. Inputs'!$B$7+E34*('2. Inputs'!$B$7+'2. Inputs'!$B$9))/4)))</f>
        <v>1322468.03135288</v>
      </c>
      <c r="H34" s="14" t="n">
        <f aca="false">IF($A34&lt;='3. Leases'!$D$3,0,IF(D34=0,'3. Leases'!$B$3*'2. Inputs'!$B$5*(1+'2. Inputs'!$B$6)^(('3. Leases'!$D$3+E34*('2. Inputs'!$B$7+'2. Inputs'!$B$9))/4),0)+IF(D34='2. Inputs'!$B$7,'2. Inputs'!$B$10*'2. Inputs'!$B$3*(1+'2. Inputs'!$B$4)^(('3. Leases'!$D$3+'2. Inputs'!$B$7+E34*('2. Inputs'!$B$7+'2. Inputs'!$B$9))/4)*'3. Leases'!$B$3,0))</f>
        <v>0</v>
      </c>
      <c r="I34" s="14" t="n">
        <f aca="false">IF($A34&lt;='3. Leases'!$D$3,0,IF(D34&lt;'2. Inputs'!$B$7,'3. Leases'!$B$3,0))</f>
        <v>0</v>
      </c>
      <c r="J34" s="13" t="n">
        <f aca="false">$A34-'3. Leases'!$D$4-1</f>
        <v>14</v>
      </c>
      <c r="K34" s="13" t="n">
        <f aca="false">IF(J34&lt;0,-1,MOD(J34,'2. Inputs'!$B$7+'2. Inputs'!$B$9))</f>
        <v>14</v>
      </c>
      <c r="L34" s="13" t="n">
        <f aca="false">IF(J34&lt;0,0,INT(J34/('2. Inputs'!$B$7+'2. Inputs'!$B$9)))</f>
        <v>0</v>
      </c>
      <c r="M34" s="14" t="n">
        <f aca="false">IF($A34&lt;='3. Leases'!$D$4,'3. Leases'!$B$4*'3. Leases'!$C$4/4,IF(K34&lt;'2. Inputs'!$B$7+'2. Inputs'!$B$8,0,'3. Leases'!$B$4*'2. Inputs'!$B$3*(1+'2. Inputs'!$B$4)^(('3. Leases'!$D$4+'2. Inputs'!$B$7+L34*('2. Inputs'!$B$7+'2. Inputs'!$B$9))/4)/4))</f>
        <v>249537.981576387</v>
      </c>
      <c r="N34" s="14" t="n">
        <f aca="false">IF($A34&lt;='3. Leases'!$D$4,'3. Leases'!$B$4*'3. Leases'!$C$4,IF(K34&lt;'2. Inputs'!$B$7,0,'3. Leases'!$B$4*'2. Inputs'!$B$3*(1+'2. Inputs'!$B$4)^(('3. Leases'!$D$4+'2. Inputs'!$B$7+L34*('2. Inputs'!$B$7+'2. Inputs'!$B$9))/4)))</f>
        <v>998151.926305546</v>
      </c>
      <c r="O34" s="14" t="n">
        <f aca="false">IF($A34&lt;='3. Leases'!$D$4,0,IF(K34=0,'3. Leases'!$B$4*'2. Inputs'!$B$5*(1+'2. Inputs'!$B$6)^(('3. Leases'!$D$4+L34*('2. Inputs'!$B$7+'2. Inputs'!$B$9))/4),0)+IF(K34='2. Inputs'!$B$7,'2. Inputs'!$B$10*'2. Inputs'!$B$3*(1+'2. Inputs'!$B$4)^(('3. Leases'!$D$4+'2. Inputs'!$B$7+L34*('2. Inputs'!$B$7+'2. Inputs'!$B$9))/4)*'3. Leases'!$B$4,0))</f>
        <v>0</v>
      </c>
      <c r="P34" s="14" t="n">
        <f aca="false">IF($A34&lt;='3. Leases'!$D$4,0,IF(K34&lt;'2. Inputs'!$B$7,'3. Leases'!$B$4,0))</f>
        <v>0</v>
      </c>
      <c r="Q34" s="13" t="n">
        <f aca="false">$A34-'3. Leases'!$D$5-1</f>
        <v>4</v>
      </c>
      <c r="R34" s="13" t="n">
        <f aca="false">IF(Q34&lt;0,-1,MOD(Q34,'2. Inputs'!$B$7+'2. Inputs'!$B$9))</f>
        <v>4</v>
      </c>
      <c r="S34" s="13" t="n">
        <f aca="false">IF(Q34&lt;0,0,INT(Q34/('2. Inputs'!$B$7+'2. Inputs'!$B$9)))</f>
        <v>0</v>
      </c>
      <c r="T34" s="14" t="n">
        <f aca="false">IF($A34&lt;='3. Leases'!$D$5,'3. Leases'!$B$5*'3. Leases'!$C$5/4,IF(R34&lt;'2. Inputs'!$B$7+'2. Inputs'!$B$8,0,'3. Leases'!$B$5*'2. Inputs'!$B$3*(1+'2. Inputs'!$B$4)^(('3. Leases'!$D$5+'2. Inputs'!$B$7+S34*('2. Inputs'!$B$7+'2. Inputs'!$B$9))/4)/4))</f>
        <v>0</v>
      </c>
      <c r="U34" s="14" t="n">
        <f aca="false">IF($A34&lt;='3. Leases'!$D$5,'3. Leases'!$B$5*'3. Leases'!$C$5,IF(R34&lt;'2. Inputs'!$B$7,0,'3. Leases'!$B$5*'2. Inputs'!$B$3*(1+'2. Inputs'!$B$4)^(('3. Leases'!$D$5+'2. Inputs'!$B$7+S34*('2. Inputs'!$B$7+'2. Inputs'!$B$9))/4)))</f>
        <v>514660.43395974</v>
      </c>
      <c r="V34" s="14" t="n">
        <f aca="false">IF($A34&lt;='3. Leases'!$D$5,0,IF(R34=0,'3. Leases'!$B$5*'2. Inputs'!$B$5*(1+'2. Inputs'!$B$6)^(('3. Leases'!$D$5+S34*('2. Inputs'!$B$7+'2. Inputs'!$B$9))/4),0)+IF(R34='2. Inputs'!$B$7,'2. Inputs'!$B$10*'2. Inputs'!$B$3*(1+'2. Inputs'!$B$4)^(('3. Leases'!$D$5+'2. Inputs'!$B$7+S34*('2. Inputs'!$B$7+'2. Inputs'!$B$9))/4)*'3. Leases'!$B$5,0))</f>
        <v>0</v>
      </c>
      <c r="W34" s="14" t="n">
        <f aca="false">IF($A34&lt;='3. Leases'!$D$5,0,IF(R34&lt;'2. Inputs'!$B$7,'3. Leases'!$B$5,0))</f>
        <v>0</v>
      </c>
      <c r="X34" s="13" t="n">
        <f aca="false">$A34-'3. Leases'!$D$6-1</f>
        <v>24</v>
      </c>
      <c r="Y34" s="13" t="n">
        <f aca="false">IF(X34&lt;0,-1,MOD(X34,'2. Inputs'!$B$7+'2. Inputs'!$B$9))</f>
        <v>1</v>
      </c>
      <c r="Z34" s="13" t="n">
        <f aca="false">IF(X34&lt;0,0,INT(X34/('2. Inputs'!$B$7+'2. Inputs'!$B$9)))</f>
        <v>1</v>
      </c>
      <c r="AA34" s="14" t="n">
        <f aca="false">IF($A34&lt;='3. Leases'!$D$6,'3. Leases'!$B$6*'3. Leases'!$C$6/4,IF(Y34&lt;'2. Inputs'!$B$7+'2. Inputs'!$B$8,0,'3. Leases'!$B$6*'2. Inputs'!$B$3*(1+'2. Inputs'!$B$4)^(('3. Leases'!$D$6+'2. Inputs'!$B$7+Z34*('2. Inputs'!$B$7+'2. Inputs'!$B$9))/4)/4))</f>
        <v>0</v>
      </c>
      <c r="AB34" s="14" t="n">
        <f aca="false">IF($A34&lt;='3. Leases'!$D$6,'3. Leases'!$B$6*'3. Leases'!$C$6,IF(Y34&lt;'2. Inputs'!$B$7,0,'3. Leases'!$B$6*'2. Inputs'!$B$3*(1+'2. Inputs'!$B$4)^(('3. Leases'!$D$6+'2. Inputs'!$B$7+Z34*('2. Inputs'!$B$7+'2. Inputs'!$B$9))/4)))</f>
        <v>0</v>
      </c>
      <c r="AC34" s="14" t="n">
        <f aca="false">IF($A34&lt;='3. Leases'!$D$6,0,IF(Y34=0,'3. Leases'!$B$6*'2. Inputs'!$B$5*(1+'2. Inputs'!$B$6)^(('3. Leases'!$D$6+Z34*('2. Inputs'!$B$7+'2. Inputs'!$B$9))/4),0)+IF(Y34='2. Inputs'!$B$7,'2. Inputs'!$B$10*'2. Inputs'!$B$3*(1+'2. Inputs'!$B$4)^(('3. Leases'!$D$6+'2. Inputs'!$B$7+Z34*('2. Inputs'!$B$7+'2. Inputs'!$B$9))/4)*'3. Leases'!$B$6,0))</f>
        <v>0</v>
      </c>
      <c r="AD34" s="14" t="n">
        <f aca="false">IF($A34&lt;='3. Leases'!$D$6,0,IF(Y34&lt;'2. Inputs'!$B$7,'3. Leases'!$B$6,0))</f>
        <v>1000</v>
      </c>
      <c r="AE34" s="13" t="n">
        <f aca="false">$A34-'3. Leases'!$D$7-1</f>
        <v>30</v>
      </c>
      <c r="AF34" s="13" t="n">
        <f aca="false">IF(AE34&lt;0,-1,MOD(AE34,'2. Inputs'!$B$7+'2. Inputs'!$B$9))</f>
        <v>7</v>
      </c>
      <c r="AG34" s="13" t="n">
        <f aca="false">IF(AE34&lt;0,0,INT(AE34/('2. Inputs'!$B$7+'2. Inputs'!$B$9)))</f>
        <v>1</v>
      </c>
      <c r="AH34" s="14" t="n">
        <f aca="false">IF($A34&lt;='3. Leases'!$D$7,'3. Leases'!$B$7*'3. Leases'!$C$7/4,IF(AF34&lt;'2. Inputs'!$B$7+'2. Inputs'!$B$8,0,'3. Leases'!$B$7*'2. Inputs'!$B$3*(1+'2. Inputs'!$B$4)^(('3. Leases'!$D$7+'2. Inputs'!$B$7+AG34*('2. Inputs'!$B$7+'2. Inputs'!$B$9))/4)/4))</f>
        <v>178461.397341873</v>
      </c>
      <c r="AI34" s="14" t="n">
        <f aca="false">IF($A34&lt;='3. Leases'!$D$7,'3. Leases'!$B$7*'3. Leases'!$C$7,IF(AF34&lt;'2. Inputs'!$B$7,0,'3. Leases'!$B$7*'2. Inputs'!$B$3*(1+'2. Inputs'!$B$4)^(('3. Leases'!$D$7+'2. Inputs'!$B$7+AG34*('2. Inputs'!$B$7+'2. Inputs'!$B$9))/4)))</f>
        <v>713845.589367494</v>
      </c>
      <c r="AJ34" s="14" t="n">
        <f aca="false">IF($A34&lt;='3. Leases'!$D$7,0,IF(AF34=0,'3. Leases'!$B$7*'2. Inputs'!$B$5*(1+'2. Inputs'!$B$6)^(('3. Leases'!$D$7+AG34*('2. Inputs'!$B$7+'2. Inputs'!$B$9))/4),0)+IF(AF34='2. Inputs'!$B$7,'2. Inputs'!$B$10*'2. Inputs'!$B$3*(1+'2. Inputs'!$B$4)^(('3. Leases'!$D$7+'2. Inputs'!$B$7+AG34*('2. Inputs'!$B$7+'2. Inputs'!$B$9))/4)*'3. Leases'!$B$7,0))</f>
        <v>0</v>
      </c>
      <c r="AK34" s="14" t="n">
        <f aca="false">IF($A34&lt;='3. Leases'!$D$7,0,IF(AF34&lt;'2. Inputs'!$B$7,'3. Leases'!$B$7,0))</f>
        <v>0</v>
      </c>
      <c r="AL34" s="14" t="n">
        <f aca="false">F34+M34+T34+AA34+AH34</f>
        <v>758616.38675648</v>
      </c>
      <c r="AM34" s="14" t="n">
        <f aca="false">G34+N34+U34+AB34+AI34</f>
        <v>3549125.98098566</v>
      </c>
      <c r="AN34" s="14" t="n">
        <f aca="false">H34+O34+V34+AC34+AJ34+IF($A34='2. Inputs'!$B$14,'2. Inputs'!$B$13,0)</f>
        <v>0</v>
      </c>
      <c r="AO34" s="14" t="n">
        <f aca="false">I34+P34+W34+AD34+AK34</f>
        <v>1000</v>
      </c>
      <c r="AP34" s="14" t="n">
        <f aca="false">AL34*(1-'2. Inputs'!$B$11)-AO34*'2. Inputs'!$B$12/4</f>
        <v>699349.403551091</v>
      </c>
      <c r="AQ34" s="14" t="n">
        <f aca="false">AP34-AN34</f>
        <v>699349.403551091</v>
      </c>
      <c r="AR34" s="15" t="n">
        <f aca="false">1/(1+((1+'2. Inputs'!$B$15)^0.25-1))^$A34</f>
        <v>0.560745877024875</v>
      </c>
      <c r="AS34" s="14" t="n">
        <f aca="false">AQ34*AR34</f>
        <v>392157.29464108</v>
      </c>
    </row>
    <row r="35" customFormat="false" ht="15" hidden="false" customHeight="false" outlineLevel="0" collapsed="false">
      <c r="A35" s="0" t="n">
        <v>32</v>
      </c>
      <c r="B35" s="0" t="n">
        <f aca="false">CEILING(A35/4,1)</f>
        <v>8</v>
      </c>
      <c r="C35" s="13" t="n">
        <f aca="false">$A35-'3. Leases'!$D$3-1</f>
        <v>21</v>
      </c>
      <c r="D35" s="13" t="n">
        <f aca="false">IF(C35&lt;0,-1,MOD(C35,'2. Inputs'!$B$7+'2. Inputs'!$B$9))</f>
        <v>21</v>
      </c>
      <c r="E35" s="13" t="n">
        <f aca="false">IF(C35&lt;0,0,INT(C35/('2. Inputs'!$B$7+'2. Inputs'!$B$9)))</f>
        <v>0</v>
      </c>
      <c r="F35" s="14" t="n">
        <f aca="false">IF($A35&lt;='3. Leases'!$D$3,'3. Leases'!$B$3*'3. Leases'!$C$3/4,IF(D35&lt;'2. Inputs'!$B$7+'2. Inputs'!$B$8,0,'3. Leases'!$B$3*'2. Inputs'!$B$3*(1+'2. Inputs'!$B$4)^(('3. Leases'!$D$3+'2. Inputs'!$B$7+E35*('2. Inputs'!$B$7+'2. Inputs'!$B$9))/4)/4))</f>
        <v>330617.00783822</v>
      </c>
      <c r="G35" s="14" t="n">
        <f aca="false">IF($A35&lt;='3. Leases'!$D$3,'3. Leases'!$B$3*'3. Leases'!$C$3,IF(D35&lt;'2. Inputs'!$B$7,0,'3. Leases'!$B$3*'2. Inputs'!$B$3*(1+'2. Inputs'!$B$4)^(('3. Leases'!$D$3+'2. Inputs'!$B$7+E35*('2. Inputs'!$B$7+'2. Inputs'!$B$9))/4)))</f>
        <v>1322468.03135288</v>
      </c>
      <c r="H35" s="14" t="n">
        <f aca="false">IF($A35&lt;='3. Leases'!$D$3,0,IF(D35=0,'3. Leases'!$B$3*'2. Inputs'!$B$5*(1+'2. Inputs'!$B$6)^(('3. Leases'!$D$3+E35*('2. Inputs'!$B$7+'2. Inputs'!$B$9))/4),0)+IF(D35='2. Inputs'!$B$7,'2. Inputs'!$B$10*'2. Inputs'!$B$3*(1+'2. Inputs'!$B$4)^(('3. Leases'!$D$3+'2. Inputs'!$B$7+E35*('2. Inputs'!$B$7+'2. Inputs'!$B$9))/4)*'3. Leases'!$B$3,0))</f>
        <v>0</v>
      </c>
      <c r="I35" s="14" t="n">
        <f aca="false">IF($A35&lt;='3. Leases'!$D$3,0,IF(D35&lt;'2. Inputs'!$B$7,'3. Leases'!$B$3,0))</f>
        <v>0</v>
      </c>
      <c r="J35" s="13" t="n">
        <f aca="false">$A35-'3. Leases'!$D$4-1</f>
        <v>15</v>
      </c>
      <c r="K35" s="13" t="n">
        <f aca="false">IF(J35&lt;0,-1,MOD(J35,'2. Inputs'!$B$7+'2. Inputs'!$B$9))</f>
        <v>15</v>
      </c>
      <c r="L35" s="13" t="n">
        <f aca="false">IF(J35&lt;0,0,INT(J35/('2. Inputs'!$B$7+'2. Inputs'!$B$9)))</f>
        <v>0</v>
      </c>
      <c r="M35" s="14" t="n">
        <f aca="false">IF($A35&lt;='3. Leases'!$D$4,'3. Leases'!$B$4*'3. Leases'!$C$4/4,IF(K35&lt;'2. Inputs'!$B$7+'2. Inputs'!$B$8,0,'3. Leases'!$B$4*'2. Inputs'!$B$3*(1+'2. Inputs'!$B$4)^(('3. Leases'!$D$4+'2. Inputs'!$B$7+L35*('2. Inputs'!$B$7+'2. Inputs'!$B$9))/4)/4))</f>
        <v>249537.981576387</v>
      </c>
      <c r="N35" s="14" t="n">
        <f aca="false">IF($A35&lt;='3. Leases'!$D$4,'3. Leases'!$B$4*'3. Leases'!$C$4,IF(K35&lt;'2. Inputs'!$B$7,0,'3. Leases'!$B$4*'2. Inputs'!$B$3*(1+'2. Inputs'!$B$4)^(('3. Leases'!$D$4+'2. Inputs'!$B$7+L35*('2. Inputs'!$B$7+'2. Inputs'!$B$9))/4)))</f>
        <v>998151.926305546</v>
      </c>
      <c r="O35" s="14" t="n">
        <f aca="false">IF($A35&lt;='3. Leases'!$D$4,0,IF(K35=0,'3. Leases'!$B$4*'2. Inputs'!$B$5*(1+'2. Inputs'!$B$6)^(('3. Leases'!$D$4+L35*('2. Inputs'!$B$7+'2. Inputs'!$B$9))/4),0)+IF(K35='2. Inputs'!$B$7,'2. Inputs'!$B$10*'2. Inputs'!$B$3*(1+'2. Inputs'!$B$4)^(('3. Leases'!$D$4+'2. Inputs'!$B$7+L35*('2. Inputs'!$B$7+'2. Inputs'!$B$9))/4)*'3. Leases'!$B$4,0))</f>
        <v>0</v>
      </c>
      <c r="P35" s="14" t="n">
        <f aca="false">IF($A35&lt;='3. Leases'!$D$4,0,IF(K35&lt;'2. Inputs'!$B$7,'3. Leases'!$B$4,0))</f>
        <v>0</v>
      </c>
      <c r="Q35" s="13" t="n">
        <f aca="false">$A35-'3. Leases'!$D$5-1</f>
        <v>5</v>
      </c>
      <c r="R35" s="13" t="n">
        <f aca="false">IF(Q35&lt;0,-1,MOD(Q35,'2. Inputs'!$B$7+'2. Inputs'!$B$9))</f>
        <v>5</v>
      </c>
      <c r="S35" s="13" t="n">
        <f aca="false">IF(Q35&lt;0,0,INT(Q35/('2. Inputs'!$B$7+'2. Inputs'!$B$9)))</f>
        <v>0</v>
      </c>
      <c r="T35" s="14" t="n">
        <f aca="false">IF($A35&lt;='3. Leases'!$D$5,'3. Leases'!$B$5*'3. Leases'!$C$5/4,IF(R35&lt;'2. Inputs'!$B$7+'2. Inputs'!$B$8,0,'3. Leases'!$B$5*'2. Inputs'!$B$3*(1+'2. Inputs'!$B$4)^(('3. Leases'!$D$5+'2. Inputs'!$B$7+S35*('2. Inputs'!$B$7+'2. Inputs'!$B$9))/4)/4))</f>
        <v>0</v>
      </c>
      <c r="U35" s="14" t="n">
        <f aca="false">IF($A35&lt;='3. Leases'!$D$5,'3. Leases'!$B$5*'3. Leases'!$C$5,IF(R35&lt;'2. Inputs'!$B$7,0,'3. Leases'!$B$5*'2. Inputs'!$B$3*(1+'2. Inputs'!$B$4)^(('3. Leases'!$D$5+'2. Inputs'!$B$7+S35*('2. Inputs'!$B$7+'2. Inputs'!$B$9))/4)))</f>
        <v>514660.43395974</v>
      </c>
      <c r="V35" s="14" t="n">
        <f aca="false">IF($A35&lt;='3. Leases'!$D$5,0,IF(R35=0,'3. Leases'!$B$5*'2. Inputs'!$B$5*(1+'2. Inputs'!$B$6)^(('3. Leases'!$D$5+S35*('2. Inputs'!$B$7+'2. Inputs'!$B$9))/4),0)+IF(R35='2. Inputs'!$B$7,'2. Inputs'!$B$10*'2. Inputs'!$B$3*(1+'2. Inputs'!$B$4)^(('3. Leases'!$D$5+'2. Inputs'!$B$7+S35*('2. Inputs'!$B$7+'2. Inputs'!$B$9))/4)*'3. Leases'!$B$5,0))</f>
        <v>0</v>
      </c>
      <c r="W35" s="14" t="n">
        <f aca="false">IF($A35&lt;='3. Leases'!$D$5,0,IF(R35&lt;'2. Inputs'!$B$7,'3. Leases'!$B$5,0))</f>
        <v>0</v>
      </c>
      <c r="X35" s="13" t="n">
        <f aca="false">$A35-'3. Leases'!$D$6-1</f>
        <v>25</v>
      </c>
      <c r="Y35" s="13" t="n">
        <f aca="false">IF(X35&lt;0,-1,MOD(X35,'2. Inputs'!$B$7+'2. Inputs'!$B$9))</f>
        <v>2</v>
      </c>
      <c r="Z35" s="13" t="n">
        <f aca="false">IF(X35&lt;0,0,INT(X35/('2. Inputs'!$B$7+'2. Inputs'!$B$9)))</f>
        <v>1</v>
      </c>
      <c r="AA35" s="14" t="n">
        <f aca="false">IF($A35&lt;='3. Leases'!$D$6,'3. Leases'!$B$6*'3. Leases'!$C$6/4,IF(Y35&lt;'2. Inputs'!$B$7+'2. Inputs'!$B$8,0,'3. Leases'!$B$6*'2. Inputs'!$B$3*(1+'2. Inputs'!$B$4)^(('3. Leases'!$D$6+'2. Inputs'!$B$7+Z35*('2. Inputs'!$B$7+'2. Inputs'!$B$9))/4)/4))</f>
        <v>0</v>
      </c>
      <c r="AB35" s="14" t="n">
        <f aca="false">IF($A35&lt;='3. Leases'!$D$6,'3. Leases'!$B$6*'3. Leases'!$C$6,IF(Y35&lt;'2. Inputs'!$B$7,0,'3. Leases'!$B$6*'2. Inputs'!$B$3*(1+'2. Inputs'!$B$4)^(('3. Leases'!$D$6+'2. Inputs'!$B$7+Z35*('2. Inputs'!$B$7+'2. Inputs'!$B$9))/4)))</f>
        <v>0</v>
      </c>
      <c r="AC35" s="14" t="n">
        <f aca="false">IF($A35&lt;='3. Leases'!$D$6,0,IF(Y35=0,'3. Leases'!$B$6*'2. Inputs'!$B$5*(1+'2. Inputs'!$B$6)^(('3. Leases'!$D$6+Z35*('2. Inputs'!$B$7+'2. Inputs'!$B$9))/4),0)+IF(Y35='2. Inputs'!$B$7,'2. Inputs'!$B$10*'2. Inputs'!$B$3*(1+'2. Inputs'!$B$4)^(('3. Leases'!$D$6+'2. Inputs'!$B$7+Z35*('2. Inputs'!$B$7+'2. Inputs'!$B$9))/4)*'3. Leases'!$B$6,0))</f>
        <v>0</v>
      </c>
      <c r="AD35" s="14" t="n">
        <f aca="false">IF($A35&lt;='3. Leases'!$D$6,0,IF(Y35&lt;'2. Inputs'!$B$7,'3. Leases'!$B$6,0))</f>
        <v>1000</v>
      </c>
      <c r="AE35" s="13" t="n">
        <f aca="false">$A35-'3. Leases'!$D$7-1</f>
        <v>31</v>
      </c>
      <c r="AF35" s="13" t="n">
        <f aca="false">IF(AE35&lt;0,-1,MOD(AE35,'2. Inputs'!$B$7+'2. Inputs'!$B$9))</f>
        <v>8</v>
      </c>
      <c r="AG35" s="13" t="n">
        <f aca="false">IF(AE35&lt;0,0,INT(AE35/('2. Inputs'!$B$7+'2. Inputs'!$B$9)))</f>
        <v>1</v>
      </c>
      <c r="AH35" s="14" t="n">
        <f aca="false">IF($A35&lt;='3. Leases'!$D$7,'3. Leases'!$B$7*'3. Leases'!$C$7/4,IF(AF35&lt;'2. Inputs'!$B$7+'2. Inputs'!$B$8,0,'3. Leases'!$B$7*'2. Inputs'!$B$3*(1+'2. Inputs'!$B$4)^(('3. Leases'!$D$7+'2. Inputs'!$B$7+AG35*('2. Inputs'!$B$7+'2. Inputs'!$B$9))/4)/4))</f>
        <v>178461.397341873</v>
      </c>
      <c r="AI35" s="14" t="n">
        <f aca="false">IF($A35&lt;='3. Leases'!$D$7,'3. Leases'!$B$7*'3. Leases'!$C$7,IF(AF35&lt;'2. Inputs'!$B$7,0,'3. Leases'!$B$7*'2. Inputs'!$B$3*(1+'2. Inputs'!$B$4)^(('3. Leases'!$D$7+'2. Inputs'!$B$7+AG35*('2. Inputs'!$B$7+'2. Inputs'!$B$9))/4)))</f>
        <v>713845.589367494</v>
      </c>
      <c r="AJ35" s="14" t="n">
        <f aca="false">IF($A35&lt;='3. Leases'!$D$7,0,IF(AF35=0,'3. Leases'!$B$7*'2. Inputs'!$B$5*(1+'2. Inputs'!$B$6)^(('3. Leases'!$D$7+AG35*('2. Inputs'!$B$7+'2. Inputs'!$B$9))/4),0)+IF(AF35='2. Inputs'!$B$7,'2. Inputs'!$B$10*'2. Inputs'!$B$3*(1+'2. Inputs'!$B$4)^(('3. Leases'!$D$7+'2. Inputs'!$B$7+AG35*('2. Inputs'!$B$7+'2. Inputs'!$B$9))/4)*'3. Leases'!$B$7,0))</f>
        <v>0</v>
      </c>
      <c r="AK35" s="14" t="n">
        <f aca="false">IF($A35&lt;='3. Leases'!$D$7,0,IF(AF35&lt;'2. Inputs'!$B$7,'3. Leases'!$B$7,0))</f>
        <v>0</v>
      </c>
      <c r="AL35" s="14" t="n">
        <f aca="false">F35+M35+T35+AA35+AH35</f>
        <v>758616.38675648</v>
      </c>
      <c r="AM35" s="14" t="n">
        <f aca="false">G35+N35+U35+AB35+AI35</f>
        <v>3549125.98098566</v>
      </c>
      <c r="AN35" s="14" t="n">
        <f aca="false">H35+O35+V35+AC35+AJ35+IF($A35='2. Inputs'!$B$14,'2. Inputs'!$B$13,0)</f>
        <v>0</v>
      </c>
      <c r="AO35" s="14" t="n">
        <f aca="false">I35+P35+W35+AD35+AK35</f>
        <v>1000</v>
      </c>
      <c r="AP35" s="14" t="n">
        <f aca="false">AL35*(1-'2. Inputs'!$B$11)-AO35*'2. Inputs'!$B$12/4</f>
        <v>699349.403551091</v>
      </c>
      <c r="AQ35" s="14" t="n">
        <f aca="false">AP35-AN35</f>
        <v>699349.403551091</v>
      </c>
      <c r="AR35" s="15" t="n">
        <f aca="false">1/(1+((1+'2. Inputs'!$B$15)^0.25-1))^$A35</f>
        <v>0.550378891682412</v>
      </c>
      <c r="AS35" s="14" t="n">
        <f aca="false">AQ35*AR35</f>
        <v>384907.149625205</v>
      </c>
    </row>
    <row r="36" customFormat="false" ht="15" hidden="false" customHeight="false" outlineLevel="0" collapsed="false">
      <c r="A36" s="0" t="n">
        <v>33</v>
      </c>
      <c r="B36" s="0" t="n">
        <f aca="false">CEILING(A36/4,1)</f>
        <v>9</v>
      </c>
      <c r="C36" s="13" t="n">
        <f aca="false">$A36-'3. Leases'!$D$3-1</f>
        <v>22</v>
      </c>
      <c r="D36" s="13" t="n">
        <f aca="false">IF(C36&lt;0,-1,MOD(C36,'2. Inputs'!$B$7+'2. Inputs'!$B$9))</f>
        <v>22</v>
      </c>
      <c r="E36" s="13" t="n">
        <f aca="false">IF(C36&lt;0,0,INT(C36/('2. Inputs'!$B$7+'2. Inputs'!$B$9)))</f>
        <v>0</v>
      </c>
      <c r="F36" s="14" t="n">
        <f aca="false">IF($A36&lt;='3. Leases'!$D$3,'3. Leases'!$B$3*'3. Leases'!$C$3/4,IF(D36&lt;'2. Inputs'!$B$7+'2. Inputs'!$B$8,0,'3. Leases'!$B$3*'2. Inputs'!$B$3*(1+'2. Inputs'!$B$4)^(('3. Leases'!$D$3+'2. Inputs'!$B$7+E36*('2. Inputs'!$B$7+'2. Inputs'!$B$9))/4)/4))</f>
        <v>330617.00783822</v>
      </c>
      <c r="G36" s="14" t="n">
        <f aca="false">IF($A36&lt;='3. Leases'!$D$3,'3. Leases'!$B$3*'3. Leases'!$C$3,IF(D36&lt;'2. Inputs'!$B$7,0,'3. Leases'!$B$3*'2. Inputs'!$B$3*(1+'2. Inputs'!$B$4)^(('3. Leases'!$D$3+'2. Inputs'!$B$7+E36*('2. Inputs'!$B$7+'2. Inputs'!$B$9))/4)))</f>
        <v>1322468.03135288</v>
      </c>
      <c r="H36" s="14" t="n">
        <f aca="false">IF($A36&lt;='3. Leases'!$D$3,0,IF(D36=0,'3. Leases'!$B$3*'2. Inputs'!$B$5*(1+'2. Inputs'!$B$6)^(('3. Leases'!$D$3+E36*('2. Inputs'!$B$7+'2. Inputs'!$B$9))/4),0)+IF(D36='2. Inputs'!$B$7,'2. Inputs'!$B$10*'2. Inputs'!$B$3*(1+'2. Inputs'!$B$4)^(('3. Leases'!$D$3+'2. Inputs'!$B$7+E36*('2. Inputs'!$B$7+'2. Inputs'!$B$9))/4)*'3. Leases'!$B$3,0))</f>
        <v>0</v>
      </c>
      <c r="I36" s="14" t="n">
        <f aca="false">IF($A36&lt;='3. Leases'!$D$3,0,IF(D36&lt;'2. Inputs'!$B$7,'3. Leases'!$B$3,0))</f>
        <v>0</v>
      </c>
      <c r="J36" s="13" t="n">
        <f aca="false">$A36-'3. Leases'!$D$4-1</f>
        <v>16</v>
      </c>
      <c r="K36" s="13" t="n">
        <f aca="false">IF(J36&lt;0,-1,MOD(J36,'2. Inputs'!$B$7+'2. Inputs'!$B$9))</f>
        <v>16</v>
      </c>
      <c r="L36" s="13" t="n">
        <f aca="false">IF(J36&lt;0,0,INT(J36/('2. Inputs'!$B$7+'2. Inputs'!$B$9)))</f>
        <v>0</v>
      </c>
      <c r="M36" s="14" t="n">
        <f aca="false">IF($A36&lt;='3. Leases'!$D$4,'3. Leases'!$B$4*'3. Leases'!$C$4/4,IF(K36&lt;'2. Inputs'!$B$7+'2. Inputs'!$B$8,0,'3. Leases'!$B$4*'2. Inputs'!$B$3*(1+'2. Inputs'!$B$4)^(('3. Leases'!$D$4+'2. Inputs'!$B$7+L36*('2. Inputs'!$B$7+'2. Inputs'!$B$9))/4)/4))</f>
        <v>249537.981576387</v>
      </c>
      <c r="N36" s="14" t="n">
        <f aca="false">IF($A36&lt;='3. Leases'!$D$4,'3. Leases'!$B$4*'3. Leases'!$C$4,IF(K36&lt;'2. Inputs'!$B$7,0,'3. Leases'!$B$4*'2. Inputs'!$B$3*(1+'2. Inputs'!$B$4)^(('3. Leases'!$D$4+'2. Inputs'!$B$7+L36*('2. Inputs'!$B$7+'2. Inputs'!$B$9))/4)))</f>
        <v>998151.926305546</v>
      </c>
      <c r="O36" s="14" t="n">
        <f aca="false">IF($A36&lt;='3. Leases'!$D$4,0,IF(K36=0,'3. Leases'!$B$4*'2. Inputs'!$B$5*(1+'2. Inputs'!$B$6)^(('3. Leases'!$D$4+L36*('2. Inputs'!$B$7+'2. Inputs'!$B$9))/4),0)+IF(K36='2. Inputs'!$B$7,'2. Inputs'!$B$10*'2. Inputs'!$B$3*(1+'2. Inputs'!$B$4)^(('3. Leases'!$D$4+'2. Inputs'!$B$7+L36*('2. Inputs'!$B$7+'2. Inputs'!$B$9))/4)*'3. Leases'!$B$4,0))</f>
        <v>0</v>
      </c>
      <c r="P36" s="14" t="n">
        <f aca="false">IF($A36&lt;='3. Leases'!$D$4,0,IF(K36&lt;'2. Inputs'!$B$7,'3. Leases'!$B$4,0))</f>
        <v>0</v>
      </c>
      <c r="Q36" s="13" t="n">
        <f aca="false">$A36-'3. Leases'!$D$5-1</f>
        <v>6</v>
      </c>
      <c r="R36" s="13" t="n">
        <f aca="false">IF(Q36&lt;0,-1,MOD(Q36,'2. Inputs'!$B$7+'2. Inputs'!$B$9))</f>
        <v>6</v>
      </c>
      <c r="S36" s="13" t="n">
        <f aca="false">IF(Q36&lt;0,0,INT(Q36/('2. Inputs'!$B$7+'2. Inputs'!$B$9)))</f>
        <v>0</v>
      </c>
      <c r="T36" s="14" t="n">
        <f aca="false">IF($A36&lt;='3. Leases'!$D$5,'3. Leases'!$B$5*'3. Leases'!$C$5/4,IF(R36&lt;'2. Inputs'!$B$7+'2. Inputs'!$B$8,0,'3. Leases'!$B$5*'2. Inputs'!$B$3*(1+'2. Inputs'!$B$4)^(('3. Leases'!$D$5+'2. Inputs'!$B$7+S36*('2. Inputs'!$B$7+'2. Inputs'!$B$9))/4)/4))</f>
        <v>128665.108489935</v>
      </c>
      <c r="U36" s="14" t="n">
        <f aca="false">IF($A36&lt;='3. Leases'!$D$5,'3. Leases'!$B$5*'3. Leases'!$C$5,IF(R36&lt;'2. Inputs'!$B$7,0,'3. Leases'!$B$5*'2. Inputs'!$B$3*(1+'2. Inputs'!$B$4)^(('3. Leases'!$D$5+'2. Inputs'!$B$7+S36*('2. Inputs'!$B$7+'2. Inputs'!$B$9))/4)))</f>
        <v>514660.43395974</v>
      </c>
      <c r="V36" s="14" t="n">
        <f aca="false">IF($A36&lt;='3. Leases'!$D$5,0,IF(R36=0,'3. Leases'!$B$5*'2. Inputs'!$B$5*(1+'2. Inputs'!$B$6)^(('3. Leases'!$D$5+S36*('2. Inputs'!$B$7+'2. Inputs'!$B$9))/4),0)+IF(R36='2. Inputs'!$B$7,'2. Inputs'!$B$10*'2. Inputs'!$B$3*(1+'2. Inputs'!$B$4)^(('3. Leases'!$D$5+'2. Inputs'!$B$7+S36*('2. Inputs'!$B$7+'2. Inputs'!$B$9))/4)*'3. Leases'!$B$5,0))</f>
        <v>0</v>
      </c>
      <c r="W36" s="14" t="n">
        <f aca="false">IF($A36&lt;='3. Leases'!$D$5,0,IF(R36&lt;'2. Inputs'!$B$7,'3. Leases'!$B$5,0))</f>
        <v>0</v>
      </c>
      <c r="X36" s="13" t="n">
        <f aca="false">$A36-'3. Leases'!$D$6-1</f>
        <v>26</v>
      </c>
      <c r="Y36" s="13" t="n">
        <f aca="false">IF(X36&lt;0,-1,MOD(X36,'2. Inputs'!$B$7+'2. Inputs'!$B$9))</f>
        <v>3</v>
      </c>
      <c r="Z36" s="13" t="n">
        <f aca="false">IF(X36&lt;0,0,INT(X36/('2. Inputs'!$B$7+'2. Inputs'!$B$9)))</f>
        <v>1</v>
      </c>
      <c r="AA36" s="14" t="n">
        <f aca="false">IF($A36&lt;='3. Leases'!$D$6,'3. Leases'!$B$6*'3. Leases'!$C$6/4,IF(Y36&lt;'2. Inputs'!$B$7+'2. Inputs'!$B$8,0,'3. Leases'!$B$6*'2. Inputs'!$B$3*(1+'2. Inputs'!$B$4)^(('3. Leases'!$D$6+'2. Inputs'!$B$7+Z36*('2. Inputs'!$B$7+'2. Inputs'!$B$9))/4)/4))</f>
        <v>0</v>
      </c>
      <c r="AB36" s="14" t="n">
        <f aca="false">IF($A36&lt;='3. Leases'!$D$6,'3. Leases'!$B$6*'3. Leases'!$C$6,IF(Y36&lt;'2. Inputs'!$B$7,0,'3. Leases'!$B$6*'2. Inputs'!$B$3*(1+'2. Inputs'!$B$4)^(('3. Leases'!$D$6+'2. Inputs'!$B$7+Z36*('2. Inputs'!$B$7+'2. Inputs'!$B$9))/4)))</f>
        <v>337947.775978592</v>
      </c>
      <c r="AC36" s="14" t="n">
        <f aca="false">IF($A36&lt;='3. Leases'!$D$6,0,IF(Y36=0,'3. Leases'!$B$6*'2. Inputs'!$B$5*(1+'2. Inputs'!$B$6)^(('3. Leases'!$D$6+Z36*('2. Inputs'!$B$7+'2. Inputs'!$B$9))/4),0)+IF(Y36='2. Inputs'!$B$7,'2. Inputs'!$B$10*'2. Inputs'!$B$3*(1+'2. Inputs'!$B$4)^(('3. Leases'!$D$6+'2. Inputs'!$B$7+Z36*('2. Inputs'!$B$7+'2. Inputs'!$B$9))/4)*'3. Leases'!$B$6,0))</f>
        <v>40553.733117431</v>
      </c>
      <c r="AD36" s="14" t="n">
        <f aca="false">IF($A36&lt;='3. Leases'!$D$6,0,IF(Y36&lt;'2. Inputs'!$B$7,'3. Leases'!$B$6,0))</f>
        <v>0</v>
      </c>
      <c r="AE36" s="13" t="n">
        <f aca="false">$A36-'3. Leases'!$D$7-1</f>
        <v>32</v>
      </c>
      <c r="AF36" s="13" t="n">
        <f aca="false">IF(AE36&lt;0,-1,MOD(AE36,'2. Inputs'!$B$7+'2. Inputs'!$B$9))</f>
        <v>9</v>
      </c>
      <c r="AG36" s="13" t="n">
        <f aca="false">IF(AE36&lt;0,0,INT(AE36/('2. Inputs'!$B$7+'2. Inputs'!$B$9)))</f>
        <v>1</v>
      </c>
      <c r="AH36" s="14" t="n">
        <f aca="false">IF($A36&lt;='3. Leases'!$D$7,'3. Leases'!$B$7*'3. Leases'!$C$7/4,IF(AF36&lt;'2. Inputs'!$B$7+'2. Inputs'!$B$8,0,'3. Leases'!$B$7*'2. Inputs'!$B$3*(1+'2. Inputs'!$B$4)^(('3. Leases'!$D$7+'2. Inputs'!$B$7+AG36*('2. Inputs'!$B$7+'2. Inputs'!$B$9))/4)/4))</f>
        <v>178461.397341873</v>
      </c>
      <c r="AI36" s="14" t="n">
        <f aca="false">IF($A36&lt;='3. Leases'!$D$7,'3. Leases'!$B$7*'3. Leases'!$C$7,IF(AF36&lt;'2. Inputs'!$B$7,0,'3. Leases'!$B$7*'2. Inputs'!$B$3*(1+'2. Inputs'!$B$4)^(('3. Leases'!$D$7+'2. Inputs'!$B$7+AG36*('2. Inputs'!$B$7+'2. Inputs'!$B$9))/4)))</f>
        <v>713845.589367494</v>
      </c>
      <c r="AJ36" s="14" t="n">
        <f aca="false">IF($A36&lt;='3. Leases'!$D$7,0,IF(AF36=0,'3. Leases'!$B$7*'2. Inputs'!$B$5*(1+'2. Inputs'!$B$6)^(('3. Leases'!$D$7+AG36*('2. Inputs'!$B$7+'2. Inputs'!$B$9))/4),0)+IF(AF36='2. Inputs'!$B$7,'2. Inputs'!$B$10*'2. Inputs'!$B$3*(1+'2. Inputs'!$B$4)^(('3. Leases'!$D$7+'2. Inputs'!$B$7+AG36*('2. Inputs'!$B$7+'2. Inputs'!$B$9))/4)*'3. Leases'!$B$7,0))</f>
        <v>0</v>
      </c>
      <c r="AK36" s="14" t="n">
        <f aca="false">IF($A36&lt;='3. Leases'!$D$7,0,IF(AF36&lt;'2. Inputs'!$B$7,'3. Leases'!$B$7,0))</f>
        <v>0</v>
      </c>
      <c r="AL36" s="14" t="n">
        <f aca="false">F36+M36+T36+AA36+AH36</f>
        <v>887281.495246415</v>
      </c>
      <c r="AM36" s="14" t="n">
        <f aca="false">G36+N36+U36+AB36+AI36</f>
        <v>3887073.75696425</v>
      </c>
      <c r="AN36" s="14" t="n">
        <f aca="false">H36+O36+V36+AC36+AJ36+IF($A36='2. Inputs'!$B$14,'2. Inputs'!$B$13,0)</f>
        <v>40553.733117431</v>
      </c>
      <c r="AO36" s="14" t="n">
        <f aca="false">I36+P36+W36+AD36+AK36</f>
        <v>0</v>
      </c>
      <c r="AP36" s="14" t="n">
        <f aca="false">AL36*(1-'2. Inputs'!$B$11)-AO36*'2. Inputs'!$B$12/4</f>
        <v>834044.60553163</v>
      </c>
      <c r="AQ36" s="14" t="n">
        <f aca="false">AP36-AN36</f>
        <v>793490.872414199</v>
      </c>
      <c r="AR36" s="15" t="n">
        <f aca="false">1/(1+((1+'2. Inputs'!$B$15)^0.25-1))^$A36</f>
        <v>0.540203569603994</v>
      </c>
      <c r="AS36" s="14" t="n">
        <f aca="false">AQ36*AR36</f>
        <v>428646.601726337</v>
      </c>
    </row>
    <row r="37" customFormat="false" ht="15" hidden="false" customHeight="false" outlineLevel="0" collapsed="false">
      <c r="A37" s="0" t="n">
        <v>34</v>
      </c>
      <c r="B37" s="0" t="n">
        <f aca="false">CEILING(A37/4,1)</f>
        <v>9</v>
      </c>
      <c r="C37" s="13" t="n">
        <f aca="false">$A37-'3. Leases'!$D$3-1</f>
        <v>23</v>
      </c>
      <c r="D37" s="13" t="n">
        <f aca="false">IF(C37&lt;0,-1,MOD(C37,'2. Inputs'!$B$7+'2. Inputs'!$B$9))</f>
        <v>0</v>
      </c>
      <c r="E37" s="13" t="n">
        <f aca="false">IF(C37&lt;0,0,INT(C37/('2. Inputs'!$B$7+'2. Inputs'!$B$9)))</f>
        <v>1</v>
      </c>
      <c r="F37" s="14" t="n">
        <f aca="false">IF($A37&lt;='3. Leases'!$D$3,'3. Leases'!$B$3*'3. Leases'!$C$3/4,IF(D37&lt;'2. Inputs'!$B$7+'2. Inputs'!$B$8,0,'3. Leases'!$B$3*'2. Inputs'!$B$3*(1+'2. Inputs'!$B$4)^(('3. Leases'!$D$3+'2. Inputs'!$B$7+E37*('2. Inputs'!$B$7+'2. Inputs'!$B$9))/4)/4))</f>
        <v>0</v>
      </c>
      <c r="G37" s="14" t="n">
        <f aca="false">IF($A37&lt;='3. Leases'!$D$3,'3. Leases'!$B$3*'3. Leases'!$C$3,IF(D37&lt;'2. Inputs'!$B$7,0,'3. Leases'!$B$3*'2. Inputs'!$B$3*(1+'2. Inputs'!$B$4)^(('3. Leases'!$D$3+'2. Inputs'!$B$7+E37*('2. Inputs'!$B$7+'2. Inputs'!$B$9))/4)))</f>
        <v>0</v>
      </c>
      <c r="H37" s="14" t="n">
        <f aca="false">IF($A37&lt;='3. Leases'!$D$3,0,IF(D37=0,'3. Leases'!$B$3*'2. Inputs'!$B$5*(1+'2. Inputs'!$B$6)^(('3. Leases'!$D$3+E37*('2. Inputs'!$B$7+'2. Inputs'!$B$9))/4),0)+IF(D37='2. Inputs'!$B$7,'2. Inputs'!$B$10*'2. Inputs'!$B$3*(1+'2. Inputs'!$B$4)^(('3. Leases'!$D$3+'2. Inputs'!$B$7+E37*('2. Inputs'!$B$7+'2. Inputs'!$B$9))/4)*'3. Leases'!$B$3,0))</f>
        <v>2162571.4753338</v>
      </c>
      <c r="I37" s="14" t="n">
        <f aca="false">IF($A37&lt;='3. Leases'!$D$3,0,IF(D37&lt;'2. Inputs'!$B$7,'3. Leases'!$B$3,0))</f>
        <v>4200</v>
      </c>
      <c r="J37" s="13" t="n">
        <f aca="false">$A37-'3. Leases'!$D$4-1</f>
        <v>17</v>
      </c>
      <c r="K37" s="13" t="n">
        <f aca="false">IF(J37&lt;0,-1,MOD(J37,'2. Inputs'!$B$7+'2. Inputs'!$B$9))</f>
        <v>17</v>
      </c>
      <c r="L37" s="13" t="n">
        <f aca="false">IF(J37&lt;0,0,INT(J37/('2. Inputs'!$B$7+'2. Inputs'!$B$9)))</f>
        <v>0</v>
      </c>
      <c r="M37" s="14" t="n">
        <f aca="false">IF($A37&lt;='3. Leases'!$D$4,'3. Leases'!$B$4*'3. Leases'!$C$4/4,IF(K37&lt;'2. Inputs'!$B$7+'2. Inputs'!$B$8,0,'3. Leases'!$B$4*'2. Inputs'!$B$3*(1+'2. Inputs'!$B$4)^(('3. Leases'!$D$4+'2. Inputs'!$B$7+L37*('2. Inputs'!$B$7+'2. Inputs'!$B$9))/4)/4))</f>
        <v>249537.981576387</v>
      </c>
      <c r="N37" s="14" t="n">
        <f aca="false">IF($A37&lt;='3. Leases'!$D$4,'3. Leases'!$B$4*'3. Leases'!$C$4,IF(K37&lt;'2. Inputs'!$B$7,0,'3. Leases'!$B$4*'2. Inputs'!$B$3*(1+'2. Inputs'!$B$4)^(('3. Leases'!$D$4+'2. Inputs'!$B$7+L37*('2. Inputs'!$B$7+'2. Inputs'!$B$9))/4)))</f>
        <v>998151.926305546</v>
      </c>
      <c r="O37" s="14" t="n">
        <f aca="false">IF($A37&lt;='3. Leases'!$D$4,0,IF(K37=0,'3. Leases'!$B$4*'2. Inputs'!$B$5*(1+'2. Inputs'!$B$6)^(('3. Leases'!$D$4+L37*('2. Inputs'!$B$7+'2. Inputs'!$B$9))/4),0)+IF(K37='2. Inputs'!$B$7,'2. Inputs'!$B$10*'2. Inputs'!$B$3*(1+'2. Inputs'!$B$4)^(('3. Leases'!$D$4+'2. Inputs'!$B$7+L37*('2. Inputs'!$B$7+'2. Inputs'!$B$9))/4)*'3. Leases'!$B$4,0))</f>
        <v>0</v>
      </c>
      <c r="P37" s="14" t="n">
        <f aca="false">IF($A37&lt;='3. Leases'!$D$4,0,IF(K37&lt;'2. Inputs'!$B$7,'3. Leases'!$B$4,0))</f>
        <v>0</v>
      </c>
      <c r="Q37" s="13" t="n">
        <f aca="false">$A37-'3. Leases'!$D$5-1</f>
        <v>7</v>
      </c>
      <c r="R37" s="13" t="n">
        <f aca="false">IF(Q37&lt;0,-1,MOD(Q37,'2. Inputs'!$B$7+'2. Inputs'!$B$9))</f>
        <v>7</v>
      </c>
      <c r="S37" s="13" t="n">
        <f aca="false">IF(Q37&lt;0,0,INT(Q37/('2. Inputs'!$B$7+'2. Inputs'!$B$9)))</f>
        <v>0</v>
      </c>
      <c r="T37" s="14" t="n">
        <f aca="false">IF($A37&lt;='3. Leases'!$D$5,'3. Leases'!$B$5*'3. Leases'!$C$5/4,IF(R37&lt;'2. Inputs'!$B$7+'2. Inputs'!$B$8,0,'3. Leases'!$B$5*'2. Inputs'!$B$3*(1+'2. Inputs'!$B$4)^(('3. Leases'!$D$5+'2. Inputs'!$B$7+S37*('2. Inputs'!$B$7+'2. Inputs'!$B$9))/4)/4))</f>
        <v>128665.108489935</v>
      </c>
      <c r="U37" s="14" t="n">
        <f aca="false">IF($A37&lt;='3. Leases'!$D$5,'3. Leases'!$B$5*'3. Leases'!$C$5,IF(R37&lt;'2. Inputs'!$B$7,0,'3. Leases'!$B$5*'2. Inputs'!$B$3*(1+'2. Inputs'!$B$4)^(('3. Leases'!$D$5+'2. Inputs'!$B$7+S37*('2. Inputs'!$B$7+'2. Inputs'!$B$9))/4)))</f>
        <v>514660.43395974</v>
      </c>
      <c r="V37" s="14" t="n">
        <f aca="false">IF($A37&lt;='3. Leases'!$D$5,0,IF(R37=0,'3. Leases'!$B$5*'2. Inputs'!$B$5*(1+'2. Inputs'!$B$6)^(('3. Leases'!$D$5+S37*('2. Inputs'!$B$7+'2. Inputs'!$B$9))/4),0)+IF(R37='2. Inputs'!$B$7,'2. Inputs'!$B$10*'2. Inputs'!$B$3*(1+'2. Inputs'!$B$4)^(('3. Leases'!$D$5+'2. Inputs'!$B$7+S37*('2. Inputs'!$B$7+'2. Inputs'!$B$9))/4)*'3. Leases'!$B$5,0))</f>
        <v>0</v>
      </c>
      <c r="W37" s="14" t="n">
        <f aca="false">IF($A37&lt;='3. Leases'!$D$5,0,IF(R37&lt;'2. Inputs'!$B$7,'3. Leases'!$B$5,0))</f>
        <v>0</v>
      </c>
      <c r="X37" s="13" t="n">
        <f aca="false">$A37-'3. Leases'!$D$6-1</f>
        <v>27</v>
      </c>
      <c r="Y37" s="13" t="n">
        <f aca="false">IF(X37&lt;0,-1,MOD(X37,'2. Inputs'!$B$7+'2. Inputs'!$B$9))</f>
        <v>4</v>
      </c>
      <c r="Z37" s="13" t="n">
        <f aca="false">IF(X37&lt;0,0,INT(X37/('2. Inputs'!$B$7+'2. Inputs'!$B$9)))</f>
        <v>1</v>
      </c>
      <c r="AA37" s="14" t="n">
        <f aca="false">IF($A37&lt;='3. Leases'!$D$6,'3. Leases'!$B$6*'3. Leases'!$C$6/4,IF(Y37&lt;'2. Inputs'!$B$7+'2. Inputs'!$B$8,0,'3. Leases'!$B$6*'2. Inputs'!$B$3*(1+'2. Inputs'!$B$4)^(('3. Leases'!$D$6+'2. Inputs'!$B$7+Z37*('2. Inputs'!$B$7+'2. Inputs'!$B$9))/4)/4))</f>
        <v>0</v>
      </c>
      <c r="AB37" s="14" t="n">
        <f aca="false">IF($A37&lt;='3. Leases'!$D$6,'3. Leases'!$B$6*'3. Leases'!$C$6,IF(Y37&lt;'2. Inputs'!$B$7,0,'3. Leases'!$B$6*'2. Inputs'!$B$3*(1+'2. Inputs'!$B$4)^(('3. Leases'!$D$6+'2. Inputs'!$B$7+Z37*('2. Inputs'!$B$7+'2. Inputs'!$B$9))/4)))</f>
        <v>337947.775978592</v>
      </c>
      <c r="AC37" s="14" t="n">
        <f aca="false">IF($A37&lt;='3. Leases'!$D$6,0,IF(Y37=0,'3. Leases'!$B$6*'2. Inputs'!$B$5*(1+'2. Inputs'!$B$6)^(('3. Leases'!$D$6+Z37*('2. Inputs'!$B$7+'2. Inputs'!$B$9))/4),0)+IF(Y37='2. Inputs'!$B$7,'2. Inputs'!$B$10*'2. Inputs'!$B$3*(1+'2. Inputs'!$B$4)^(('3. Leases'!$D$6+'2. Inputs'!$B$7+Z37*('2. Inputs'!$B$7+'2. Inputs'!$B$9))/4)*'3. Leases'!$B$6,0))</f>
        <v>0</v>
      </c>
      <c r="AD37" s="14" t="n">
        <f aca="false">IF($A37&lt;='3. Leases'!$D$6,0,IF(Y37&lt;'2. Inputs'!$B$7,'3. Leases'!$B$6,0))</f>
        <v>0</v>
      </c>
      <c r="AE37" s="13" t="n">
        <f aca="false">$A37-'3. Leases'!$D$7-1</f>
        <v>33</v>
      </c>
      <c r="AF37" s="13" t="n">
        <f aca="false">IF(AE37&lt;0,-1,MOD(AE37,'2. Inputs'!$B$7+'2. Inputs'!$B$9))</f>
        <v>10</v>
      </c>
      <c r="AG37" s="13" t="n">
        <f aca="false">IF(AE37&lt;0,0,INT(AE37/('2. Inputs'!$B$7+'2. Inputs'!$B$9)))</f>
        <v>1</v>
      </c>
      <c r="AH37" s="14" t="n">
        <f aca="false">IF($A37&lt;='3. Leases'!$D$7,'3. Leases'!$B$7*'3. Leases'!$C$7/4,IF(AF37&lt;'2. Inputs'!$B$7+'2. Inputs'!$B$8,0,'3. Leases'!$B$7*'2. Inputs'!$B$3*(1+'2. Inputs'!$B$4)^(('3. Leases'!$D$7+'2. Inputs'!$B$7+AG37*('2. Inputs'!$B$7+'2. Inputs'!$B$9))/4)/4))</f>
        <v>178461.397341873</v>
      </c>
      <c r="AI37" s="14" t="n">
        <f aca="false">IF($A37&lt;='3. Leases'!$D$7,'3. Leases'!$B$7*'3. Leases'!$C$7,IF(AF37&lt;'2. Inputs'!$B$7,0,'3. Leases'!$B$7*'2. Inputs'!$B$3*(1+'2. Inputs'!$B$4)^(('3. Leases'!$D$7+'2. Inputs'!$B$7+AG37*('2. Inputs'!$B$7+'2. Inputs'!$B$9))/4)))</f>
        <v>713845.589367494</v>
      </c>
      <c r="AJ37" s="14" t="n">
        <f aca="false">IF($A37&lt;='3. Leases'!$D$7,0,IF(AF37=0,'3. Leases'!$B$7*'2. Inputs'!$B$5*(1+'2. Inputs'!$B$6)^(('3. Leases'!$D$7+AG37*('2. Inputs'!$B$7+'2. Inputs'!$B$9))/4),0)+IF(AF37='2. Inputs'!$B$7,'2. Inputs'!$B$10*'2. Inputs'!$B$3*(1+'2. Inputs'!$B$4)^(('3. Leases'!$D$7+'2. Inputs'!$B$7+AG37*('2. Inputs'!$B$7+'2. Inputs'!$B$9))/4)*'3. Leases'!$B$7,0))</f>
        <v>0</v>
      </c>
      <c r="AK37" s="14" t="n">
        <f aca="false">IF($A37&lt;='3. Leases'!$D$7,0,IF(AF37&lt;'2. Inputs'!$B$7,'3. Leases'!$B$7,0))</f>
        <v>0</v>
      </c>
      <c r="AL37" s="14" t="n">
        <f aca="false">F37+M37+T37+AA37+AH37</f>
        <v>556664.487408195</v>
      </c>
      <c r="AM37" s="14" t="n">
        <f aca="false">G37+N37+U37+AB37+AI37</f>
        <v>2564605.72561137</v>
      </c>
      <c r="AN37" s="14" t="n">
        <f aca="false">H37+O37+V37+AC37+AJ37+IF($A37='2. Inputs'!$B$14,'2. Inputs'!$B$13,0)</f>
        <v>2162571.4753338</v>
      </c>
      <c r="AO37" s="14" t="n">
        <f aca="false">I37+P37+W37+AD37+AK37</f>
        <v>4200</v>
      </c>
      <c r="AP37" s="14" t="n">
        <f aca="false">AL37*(1-'2. Inputs'!$B$11)-AO37*'2. Inputs'!$B$12/4</f>
        <v>465514.618163703</v>
      </c>
      <c r="AQ37" s="14" t="n">
        <f aca="false">AP37-AN37</f>
        <v>-1697056.85717009</v>
      </c>
      <c r="AR37" s="15" t="n">
        <f aca="false">1/(1+((1+'2. Inputs'!$B$15)^0.25-1))^$A37</f>
        <v>0.530216367348055</v>
      </c>
      <c r="AS37" s="14" t="n">
        <f aca="false">AQ37*AR37</f>
        <v>-899807.321991834</v>
      </c>
    </row>
    <row r="38" customFormat="false" ht="15" hidden="false" customHeight="false" outlineLevel="0" collapsed="false">
      <c r="A38" s="0" t="n">
        <v>35</v>
      </c>
      <c r="B38" s="0" t="n">
        <f aca="false">CEILING(A38/4,1)</f>
        <v>9</v>
      </c>
      <c r="C38" s="13" t="n">
        <f aca="false">$A38-'3. Leases'!$D$3-1</f>
        <v>24</v>
      </c>
      <c r="D38" s="13" t="n">
        <f aca="false">IF(C38&lt;0,-1,MOD(C38,'2. Inputs'!$B$7+'2. Inputs'!$B$9))</f>
        <v>1</v>
      </c>
      <c r="E38" s="13" t="n">
        <f aca="false">IF(C38&lt;0,0,INT(C38/('2. Inputs'!$B$7+'2. Inputs'!$B$9)))</f>
        <v>1</v>
      </c>
      <c r="F38" s="14" t="n">
        <f aca="false">IF($A38&lt;='3. Leases'!$D$3,'3. Leases'!$B$3*'3. Leases'!$C$3/4,IF(D38&lt;'2. Inputs'!$B$7+'2. Inputs'!$B$8,0,'3. Leases'!$B$3*'2. Inputs'!$B$3*(1+'2. Inputs'!$B$4)^(('3. Leases'!$D$3+'2. Inputs'!$B$7+E38*('2. Inputs'!$B$7+'2. Inputs'!$B$9))/4)/4))</f>
        <v>0</v>
      </c>
      <c r="G38" s="14" t="n">
        <f aca="false">IF($A38&lt;='3. Leases'!$D$3,'3. Leases'!$B$3*'3. Leases'!$C$3,IF(D38&lt;'2. Inputs'!$B$7,0,'3. Leases'!$B$3*'2. Inputs'!$B$3*(1+'2. Inputs'!$B$4)^(('3. Leases'!$D$3+'2. Inputs'!$B$7+E38*('2. Inputs'!$B$7+'2. Inputs'!$B$9))/4)))</f>
        <v>0</v>
      </c>
      <c r="H38" s="14" t="n">
        <f aca="false">IF($A38&lt;='3. Leases'!$D$3,0,IF(D38=0,'3. Leases'!$B$3*'2. Inputs'!$B$5*(1+'2. Inputs'!$B$6)^(('3. Leases'!$D$3+E38*('2. Inputs'!$B$7+'2. Inputs'!$B$9))/4),0)+IF(D38='2. Inputs'!$B$7,'2. Inputs'!$B$10*'2. Inputs'!$B$3*(1+'2. Inputs'!$B$4)^(('3. Leases'!$D$3+'2. Inputs'!$B$7+E38*('2. Inputs'!$B$7+'2. Inputs'!$B$9))/4)*'3. Leases'!$B$3,0))</f>
        <v>0</v>
      </c>
      <c r="I38" s="14" t="n">
        <f aca="false">IF($A38&lt;='3. Leases'!$D$3,0,IF(D38&lt;'2. Inputs'!$B$7,'3. Leases'!$B$3,0))</f>
        <v>4200</v>
      </c>
      <c r="J38" s="13" t="n">
        <f aca="false">$A38-'3. Leases'!$D$4-1</f>
        <v>18</v>
      </c>
      <c r="K38" s="13" t="n">
        <f aca="false">IF(J38&lt;0,-1,MOD(J38,'2. Inputs'!$B$7+'2. Inputs'!$B$9))</f>
        <v>18</v>
      </c>
      <c r="L38" s="13" t="n">
        <f aca="false">IF(J38&lt;0,0,INT(J38/('2. Inputs'!$B$7+'2. Inputs'!$B$9)))</f>
        <v>0</v>
      </c>
      <c r="M38" s="14" t="n">
        <f aca="false">IF($A38&lt;='3. Leases'!$D$4,'3. Leases'!$B$4*'3. Leases'!$C$4/4,IF(K38&lt;'2. Inputs'!$B$7+'2. Inputs'!$B$8,0,'3. Leases'!$B$4*'2. Inputs'!$B$3*(1+'2. Inputs'!$B$4)^(('3. Leases'!$D$4+'2. Inputs'!$B$7+L38*('2. Inputs'!$B$7+'2. Inputs'!$B$9))/4)/4))</f>
        <v>249537.981576387</v>
      </c>
      <c r="N38" s="14" t="n">
        <f aca="false">IF($A38&lt;='3. Leases'!$D$4,'3. Leases'!$B$4*'3. Leases'!$C$4,IF(K38&lt;'2. Inputs'!$B$7,0,'3. Leases'!$B$4*'2. Inputs'!$B$3*(1+'2. Inputs'!$B$4)^(('3. Leases'!$D$4+'2. Inputs'!$B$7+L38*('2. Inputs'!$B$7+'2. Inputs'!$B$9))/4)))</f>
        <v>998151.926305546</v>
      </c>
      <c r="O38" s="14" t="n">
        <f aca="false">IF($A38&lt;='3. Leases'!$D$4,0,IF(K38=0,'3. Leases'!$B$4*'2. Inputs'!$B$5*(1+'2. Inputs'!$B$6)^(('3. Leases'!$D$4+L38*('2. Inputs'!$B$7+'2. Inputs'!$B$9))/4),0)+IF(K38='2. Inputs'!$B$7,'2. Inputs'!$B$10*'2. Inputs'!$B$3*(1+'2. Inputs'!$B$4)^(('3. Leases'!$D$4+'2. Inputs'!$B$7+L38*('2. Inputs'!$B$7+'2. Inputs'!$B$9))/4)*'3. Leases'!$B$4,0))</f>
        <v>0</v>
      </c>
      <c r="P38" s="14" t="n">
        <f aca="false">IF($A38&lt;='3. Leases'!$D$4,0,IF(K38&lt;'2. Inputs'!$B$7,'3. Leases'!$B$4,0))</f>
        <v>0</v>
      </c>
      <c r="Q38" s="13" t="n">
        <f aca="false">$A38-'3. Leases'!$D$5-1</f>
        <v>8</v>
      </c>
      <c r="R38" s="13" t="n">
        <f aca="false">IF(Q38&lt;0,-1,MOD(Q38,'2. Inputs'!$B$7+'2. Inputs'!$B$9))</f>
        <v>8</v>
      </c>
      <c r="S38" s="13" t="n">
        <f aca="false">IF(Q38&lt;0,0,INT(Q38/('2. Inputs'!$B$7+'2. Inputs'!$B$9)))</f>
        <v>0</v>
      </c>
      <c r="T38" s="14" t="n">
        <f aca="false">IF($A38&lt;='3. Leases'!$D$5,'3. Leases'!$B$5*'3. Leases'!$C$5/4,IF(R38&lt;'2. Inputs'!$B$7+'2. Inputs'!$B$8,0,'3. Leases'!$B$5*'2. Inputs'!$B$3*(1+'2. Inputs'!$B$4)^(('3. Leases'!$D$5+'2. Inputs'!$B$7+S38*('2. Inputs'!$B$7+'2. Inputs'!$B$9))/4)/4))</f>
        <v>128665.108489935</v>
      </c>
      <c r="U38" s="14" t="n">
        <f aca="false">IF($A38&lt;='3. Leases'!$D$5,'3. Leases'!$B$5*'3. Leases'!$C$5,IF(R38&lt;'2. Inputs'!$B$7,0,'3. Leases'!$B$5*'2. Inputs'!$B$3*(1+'2. Inputs'!$B$4)^(('3. Leases'!$D$5+'2. Inputs'!$B$7+S38*('2. Inputs'!$B$7+'2. Inputs'!$B$9))/4)))</f>
        <v>514660.43395974</v>
      </c>
      <c r="V38" s="14" t="n">
        <f aca="false">IF($A38&lt;='3. Leases'!$D$5,0,IF(R38=0,'3. Leases'!$B$5*'2. Inputs'!$B$5*(1+'2. Inputs'!$B$6)^(('3. Leases'!$D$5+S38*('2. Inputs'!$B$7+'2. Inputs'!$B$9))/4),0)+IF(R38='2. Inputs'!$B$7,'2. Inputs'!$B$10*'2. Inputs'!$B$3*(1+'2. Inputs'!$B$4)^(('3. Leases'!$D$5+'2. Inputs'!$B$7+S38*('2. Inputs'!$B$7+'2. Inputs'!$B$9))/4)*'3. Leases'!$B$5,0))</f>
        <v>0</v>
      </c>
      <c r="W38" s="14" t="n">
        <f aca="false">IF($A38&lt;='3. Leases'!$D$5,0,IF(R38&lt;'2. Inputs'!$B$7,'3. Leases'!$B$5,0))</f>
        <v>0</v>
      </c>
      <c r="X38" s="13" t="n">
        <f aca="false">$A38-'3. Leases'!$D$6-1</f>
        <v>28</v>
      </c>
      <c r="Y38" s="13" t="n">
        <f aca="false">IF(X38&lt;0,-1,MOD(X38,'2. Inputs'!$B$7+'2. Inputs'!$B$9))</f>
        <v>5</v>
      </c>
      <c r="Z38" s="13" t="n">
        <f aca="false">IF(X38&lt;0,0,INT(X38/('2. Inputs'!$B$7+'2. Inputs'!$B$9)))</f>
        <v>1</v>
      </c>
      <c r="AA38" s="14" t="n">
        <f aca="false">IF($A38&lt;='3. Leases'!$D$6,'3. Leases'!$B$6*'3. Leases'!$C$6/4,IF(Y38&lt;'2. Inputs'!$B$7+'2. Inputs'!$B$8,0,'3. Leases'!$B$6*'2. Inputs'!$B$3*(1+'2. Inputs'!$B$4)^(('3. Leases'!$D$6+'2. Inputs'!$B$7+Z38*('2. Inputs'!$B$7+'2. Inputs'!$B$9))/4)/4))</f>
        <v>0</v>
      </c>
      <c r="AB38" s="14" t="n">
        <f aca="false">IF($A38&lt;='3. Leases'!$D$6,'3. Leases'!$B$6*'3. Leases'!$C$6,IF(Y38&lt;'2. Inputs'!$B$7,0,'3. Leases'!$B$6*'2. Inputs'!$B$3*(1+'2. Inputs'!$B$4)^(('3. Leases'!$D$6+'2. Inputs'!$B$7+Z38*('2. Inputs'!$B$7+'2. Inputs'!$B$9))/4)))</f>
        <v>337947.775978592</v>
      </c>
      <c r="AC38" s="14" t="n">
        <f aca="false">IF($A38&lt;='3. Leases'!$D$6,0,IF(Y38=0,'3. Leases'!$B$6*'2. Inputs'!$B$5*(1+'2. Inputs'!$B$6)^(('3. Leases'!$D$6+Z38*('2. Inputs'!$B$7+'2. Inputs'!$B$9))/4),0)+IF(Y38='2. Inputs'!$B$7,'2. Inputs'!$B$10*'2. Inputs'!$B$3*(1+'2. Inputs'!$B$4)^(('3. Leases'!$D$6+'2. Inputs'!$B$7+Z38*('2. Inputs'!$B$7+'2. Inputs'!$B$9))/4)*'3. Leases'!$B$6,0))</f>
        <v>0</v>
      </c>
      <c r="AD38" s="14" t="n">
        <f aca="false">IF($A38&lt;='3. Leases'!$D$6,0,IF(Y38&lt;'2. Inputs'!$B$7,'3. Leases'!$B$6,0))</f>
        <v>0</v>
      </c>
      <c r="AE38" s="13" t="n">
        <f aca="false">$A38-'3. Leases'!$D$7-1</f>
        <v>34</v>
      </c>
      <c r="AF38" s="13" t="n">
        <f aca="false">IF(AE38&lt;0,-1,MOD(AE38,'2. Inputs'!$B$7+'2. Inputs'!$B$9))</f>
        <v>11</v>
      </c>
      <c r="AG38" s="13" t="n">
        <f aca="false">IF(AE38&lt;0,0,INT(AE38/('2. Inputs'!$B$7+'2. Inputs'!$B$9)))</f>
        <v>1</v>
      </c>
      <c r="AH38" s="14" t="n">
        <f aca="false">IF($A38&lt;='3. Leases'!$D$7,'3. Leases'!$B$7*'3. Leases'!$C$7/4,IF(AF38&lt;'2. Inputs'!$B$7+'2. Inputs'!$B$8,0,'3. Leases'!$B$7*'2. Inputs'!$B$3*(1+'2. Inputs'!$B$4)^(('3. Leases'!$D$7+'2. Inputs'!$B$7+AG38*('2. Inputs'!$B$7+'2. Inputs'!$B$9))/4)/4))</f>
        <v>178461.397341873</v>
      </c>
      <c r="AI38" s="14" t="n">
        <f aca="false">IF($A38&lt;='3. Leases'!$D$7,'3. Leases'!$B$7*'3. Leases'!$C$7,IF(AF38&lt;'2. Inputs'!$B$7,0,'3. Leases'!$B$7*'2. Inputs'!$B$3*(1+'2. Inputs'!$B$4)^(('3. Leases'!$D$7+'2. Inputs'!$B$7+AG38*('2. Inputs'!$B$7+'2. Inputs'!$B$9))/4)))</f>
        <v>713845.589367494</v>
      </c>
      <c r="AJ38" s="14" t="n">
        <f aca="false">IF($A38&lt;='3. Leases'!$D$7,0,IF(AF38=0,'3. Leases'!$B$7*'2. Inputs'!$B$5*(1+'2. Inputs'!$B$6)^(('3. Leases'!$D$7+AG38*('2. Inputs'!$B$7+'2. Inputs'!$B$9))/4),0)+IF(AF38='2. Inputs'!$B$7,'2. Inputs'!$B$10*'2. Inputs'!$B$3*(1+'2. Inputs'!$B$4)^(('3. Leases'!$D$7+'2. Inputs'!$B$7+AG38*('2. Inputs'!$B$7+'2. Inputs'!$B$9))/4)*'3. Leases'!$B$7,0))</f>
        <v>0</v>
      </c>
      <c r="AK38" s="14" t="n">
        <f aca="false">IF($A38&lt;='3. Leases'!$D$7,0,IF(AF38&lt;'2. Inputs'!$B$7,'3. Leases'!$B$7,0))</f>
        <v>0</v>
      </c>
      <c r="AL38" s="14" t="n">
        <f aca="false">F38+M38+T38+AA38+AH38</f>
        <v>556664.487408195</v>
      </c>
      <c r="AM38" s="14" t="n">
        <f aca="false">G38+N38+U38+AB38+AI38</f>
        <v>2564605.72561137</v>
      </c>
      <c r="AN38" s="14" t="n">
        <f aca="false">H38+O38+V38+AC38+AJ38+IF($A38='2. Inputs'!$B$14,'2. Inputs'!$B$13,0)</f>
        <v>0</v>
      </c>
      <c r="AO38" s="14" t="n">
        <f aca="false">I38+P38+W38+AD38+AK38</f>
        <v>4200</v>
      </c>
      <c r="AP38" s="14" t="n">
        <f aca="false">AL38*(1-'2. Inputs'!$B$11)-AO38*'2. Inputs'!$B$12/4</f>
        <v>465514.618163703</v>
      </c>
      <c r="AQ38" s="14" t="n">
        <f aca="false">AP38-AN38</f>
        <v>465514.618163703</v>
      </c>
      <c r="AR38" s="15" t="n">
        <f aca="false">1/(1+((1+'2. Inputs'!$B$15)^0.25-1))^$A38</f>
        <v>0.520413806983643</v>
      </c>
      <c r="AS38" s="14" t="n">
        <f aca="false">AQ38*AR38</f>
        <v>242260.23464511</v>
      </c>
    </row>
    <row r="39" customFormat="false" ht="15" hidden="false" customHeight="false" outlineLevel="0" collapsed="false">
      <c r="A39" s="0" t="n">
        <v>36</v>
      </c>
      <c r="B39" s="0" t="n">
        <f aca="false">CEILING(A39/4,1)</f>
        <v>9</v>
      </c>
      <c r="C39" s="13" t="n">
        <f aca="false">$A39-'3. Leases'!$D$3-1</f>
        <v>25</v>
      </c>
      <c r="D39" s="13" t="n">
        <f aca="false">IF(C39&lt;0,-1,MOD(C39,'2. Inputs'!$B$7+'2. Inputs'!$B$9))</f>
        <v>2</v>
      </c>
      <c r="E39" s="13" t="n">
        <f aca="false">IF(C39&lt;0,0,INT(C39/('2. Inputs'!$B$7+'2. Inputs'!$B$9)))</f>
        <v>1</v>
      </c>
      <c r="F39" s="14" t="n">
        <f aca="false">IF($A39&lt;='3. Leases'!$D$3,'3. Leases'!$B$3*'3. Leases'!$C$3/4,IF(D39&lt;'2. Inputs'!$B$7+'2. Inputs'!$B$8,0,'3. Leases'!$B$3*'2. Inputs'!$B$3*(1+'2. Inputs'!$B$4)^(('3. Leases'!$D$3+'2. Inputs'!$B$7+E39*('2. Inputs'!$B$7+'2. Inputs'!$B$9))/4)/4))</f>
        <v>0</v>
      </c>
      <c r="G39" s="14" t="n">
        <f aca="false">IF($A39&lt;='3. Leases'!$D$3,'3. Leases'!$B$3*'3. Leases'!$C$3,IF(D39&lt;'2. Inputs'!$B$7,0,'3. Leases'!$B$3*'2. Inputs'!$B$3*(1+'2. Inputs'!$B$4)^(('3. Leases'!$D$3+'2. Inputs'!$B$7+E39*('2. Inputs'!$B$7+'2. Inputs'!$B$9))/4)))</f>
        <v>0</v>
      </c>
      <c r="H39" s="14" t="n">
        <f aca="false">IF($A39&lt;='3. Leases'!$D$3,0,IF(D39=0,'3. Leases'!$B$3*'2. Inputs'!$B$5*(1+'2. Inputs'!$B$6)^(('3. Leases'!$D$3+E39*('2. Inputs'!$B$7+'2. Inputs'!$B$9))/4),0)+IF(D39='2. Inputs'!$B$7,'2. Inputs'!$B$10*'2. Inputs'!$B$3*(1+'2. Inputs'!$B$4)^(('3. Leases'!$D$3+'2. Inputs'!$B$7+E39*('2. Inputs'!$B$7+'2. Inputs'!$B$9))/4)*'3. Leases'!$B$3,0))</f>
        <v>0</v>
      </c>
      <c r="I39" s="14" t="n">
        <f aca="false">IF($A39&lt;='3. Leases'!$D$3,0,IF(D39&lt;'2. Inputs'!$B$7,'3. Leases'!$B$3,0))</f>
        <v>4200</v>
      </c>
      <c r="J39" s="13" t="n">
        <f aca="false">$A39-'3. Leases'!$D$4-1</f>
        <v>19</v>
      </c>
      <c r="K39" s="13" t="n">
        <f aca="false">IF(J39&lt;0,-1,MOD(J39,'2. Inputs'!$B$7+'2. Inputs'!$B$9))</f>
        <v>19</v>
      </c>
      <c r="L39" s="13" t="n">
        <f aca="false">IF(J39&lt;0,0,INT(J39/('2. Inputs'!$B$7+'2. Inputs'!$B$9)))</f>
        <v>0</v>
      </c>
      <c r="M39" s="14" t="n">
        <f aca="false">IF($A39&lt;='3. Leases'!$D$4,'3. Leases'!$B$4*'3. Leases'!$C$4/4,IF(K39&lt;'2. Inputs'!$B$7+'2. Inputs'!$B$8,0,'3. Leases'!$B$4*'2. Inputs'!$B$3*(1+'2. Inputs'!$B$4)^(('3. Leases'!$D$4+'2. Inputs'!$B$7+L39*('2. Inputs'!$B$7+'2. Inputs'!$B$9))/4)/4))</f>
        <v>249537.981576387</v>
      </c>
      <c r="N39" s="14" t="n">
        <f aca="false">IF($A39&lt;='3. Leases'!$D$4,'3. Leases'!$B$4*'3. Leases'!$C$4,IF(K39&lt;'2. Inputs'!$B$7,0,'3. Leases'!$B$4*'2. Inputs'!$B$3*(1+'2. Inputs'!$B$4)^(('3. Leases'!$D$4+'2. Inputs'!$B$7+L39*('2. Inputs'!$B$7+'2. Inputs'!$B$9))/4)))</f>
        <v>998151.926305546</v>
      </c>
      <c r="O39" s="14" t="n">
        <f aca="false">IF($A39&lt;='3. Leases'!$D$4,0,IF(K39=0,'3. Leases'!$B$4*'2. Inputs'!$B$5*(1+'2. Inputs'!$B$6)^(('3. Leases'!$D$4+L39*('2. Inputs'!$B$7+'2. Inputs'!$B$9))/4),0)+IF(K39='2. Inputs'!$B$7,'2. Inputs'!$B$10*'2. Inputs'!$B$3*(1+'2. Inputs'!$B$4)^(('3. Leases'!$D$4+'2. Inputs'!$B$7+L39*('2. Inputs'!$B$7+'2. Inputs'!$B$9))/4)*'3. Leases'!$B$4,0))</f>
        <v>0</v>
      </c>
      <c r="P39" s="14" t="n">
        <f aca="false">IF($A39&lt;='3. Leases'!$D$4,0,IF(K39&lt;'2. Inputs'!$B$7,'3. Leases'!$B$4,0))</f>
        <v>0</v>
      </c>
      <c r="Q39" s="13" t="n">
        <f aca="false">$A39-'3. Leases'!$D$5-1</f>
        <v>9</v>
      </c>
      <c r="R39" s="13" t="n">
        <f aca="false">IF(Q39&lt;0,-1,MOD(Q39,'2. Inputs'!$B$7+'2. Inputs'!$B$9))</f>
        <v>9</v>
      </c>
      <c r="S39" s="13" t="n">
        <f aca="false">IF(Q39&lt;0,0,INT(Q39/('2. Inputs'!$B$7+'2. Inputs'!$B$9)))</f>
        <v>0</v>
      </c>
      <c r="T39" s="14" t="n">
        <f aca="false">IF($A39&lt;='3. Leases'!$D$5,'3. Leases'!$B$5*'3. Leases'!$C$5/4,IF(R39&lt;'2. Inputs'!$B$7+'2. Inputs'!$B$8,0,'3. Leases'!$B$5*'2. Inputs'!$B$3*(1+'2. Inputs'!$B$4)^(('3. Leases'!$D$5+'2. Inputs'!$B$7+S39*('2. Inputs'!$B$7+'2. Inputs'!$B$9))/4)/4))</f>
        <v>128665.108489935</v>
      </c>
      <c r="U39" s="14" t="n">
        <f aca="false">IF($A39&lt;='3. Leases'!$D$5,'3. Leases'!$B$5*'3. Leases'!$C$5,IF(R39&lt;'2. Inputs'!$B$7,0,'3. Leases'!$B$5*'2. Inputs'!$B$3*(1+'2. Inputs'!$B$4)^(('3. Leases'!$D$5+'2. Inputs'!$B$7+S39*('2. Inputs'!$B$7+'2. Inputs'!$B$9))/4)))</f>
        <v>514660.43395974</v>
      </c>
      <c r="V39" s="14" t="n">
        <f aca="false">IF($A39&lt;='3. Leases'!$D$5,0,IF(R39=0,'3. Leases'!$B$5*'2. Inputs'!$B$5*(1+'2. Inputs'!$B$6)^(('3. Leases'!$D$5+S39*('2. Inputs'!$B$7+'2. Inputs'!$B$9))/4),0)+IF(R39='2. Inputs'!$B$7,'2. Inputs'!$B$10*'2. Inputs'!$B$3*(1+'2. Inputs'!$B$4)^(('3. Leases'!$D$5+'2. Inputs'!$B$7+S39*('2. Inputs'!$B$7+'2. Inputs'!$B$9))/4)*'3. Leases'!$B$5,0))</f>
        <v>0</v>
      </c>
      <c r="W39" s="14" t="n">
        <f aca="false">IF($A39&lt;='3. Leases'!$D$5,0,IF(R39&lt;'2. Inputs'!$B$7,'3. Leases'!$B$5,0))</f>
        <v>0</v>
      </c>
      <c r="X39" s="13" t="n">
        <f aca="false">$A39-'3. Leases'!$D$6-1</f>
        <v>29</v>
      </c>
      <c r="Y39" s="13" t="n">
        <f aca="false">IF(X39&lt;0,-1,MOD(X39,'2. Inputs'!$B$7+'2. Inputs'!$B$9))</f>
        <v>6</v>
      </c>
      <c r="Z39" s="13" t="n">
        <f aca="false">IF(X39&lt;0,0,INT(X39/('2. Inputs'!$B$7+'2. Inputs'!$B$9)))</f>
        <v>1</v>
      </c>
      <c r="AA39" s="14" t="n">
        <f aca="false">IF($A39&lt;='3. Leases'!$D$6,'3. Leases'!$B$6*'3. Leases'!$C$6/4,IF(Y39&lt;'2. Inputs'!$B$7+'2. Inputs'!$B$8,0,'3. Leases'!$B$6*'2. Inputs'!$B$3*(1+'2. Inputs'!$B$4)^(('3. Leases'!$D$6+'2. Inputs'!$B$7+Z39*('2. Inputs'!$B$7+'2. Inputs'!$B$9))/4)/4))</f>
        <v>84486.943994648</v>
      </c>
      <c r="AB39" s="14" t="n">
        <f aca="false">IF($A39&lt;='3. Leases'!$D$6,'3. Leases'!$B$6*'3. Leases'!$C$6,IF(Y39&lt;'2. Inputs'!$B$7,0,'3. Leases'!$B$6*'2. Inputs'!$B$3*(1+'2. Inputs'!$B$4)^(('3. Leases'!$D$6+'2. Inputs'!$B$7+Z39*('2. Inputs'!$B$7+'2. Inputs'!$B$9))/4)))</f>
        <v>337947.775978592</v>
      </c>
      <c r="AC39" s="14" t="n">
        <f aca="false">IF($A39&lt;='3. Leases'!$D$6,0,IF(Y39=0,'3. Leases'!$B$6*'2. Inputs'!$B$5*(1+'2. Inputs'!$B$6)^(('3. Leases'!$D$6+Z39*('2. Inputs'!$B$7+'2. Inputs'!$B$9))/4),0)+IF(Y39='2. Inputs'!$B$7,'2. Inputs'!$B$10*'2. Inputs'!$B$3*(1+'2. Inputs'!$B$4)^(('3. Leases'!$D$6+'2. Inputs'!$B$7+Z39*('2. Inputs'!$B$7+'2. Inputs'!$B$9))/4)*'3. Leases'!$B$6,0))</f>
        <v>0</v>
      </c>
      <c r="AD39" s="14" t="n">
        <f aca="false">IF($A39&lt;='3. Leases'!$D$6,0,IF(Y39&lt;'2. Inputs'!$B$7,'3. Leases'!$B$6,0))</f>
        <v>0</v>
      </c>
      <c r="AE39" s="13" t="n">
        <f aca="false">$A39-'3. Leases'!$D$7-1</f>
        <v>35</v>
      </c>
      <c r="AF39" s="13" t="n">
        <f aca="false">IF(AE39&lt;0,-1,MOD(AE39,'2. Inputs'!$B$7+'2. Inputs'!$B$9))</f>
        <v>12</v>
      </c>
      <c r="AG39" s="13" t="n">
        <f aca="false">IF(AE39&lt;0,0,INT(AE39/('2. Inputs'!$B$7+'2. Inputs'!$B$9)))</f>
        <v>1</v>
      </c>
      <c r="AH39" s="14" t="n">
        <f aca="false">IF($A39&lt;='3. Leases'!$D$7,'3. Leases'!$B$7*'3. Leases'!$C$7/4,IF(AF39&lt;'2. Inputs'!$B$7+'2. Inputs'!$B$8,0,'3. Leases'!$B$7*'2. Inputs'!$B$3*(1+'2. Inputs'!$B$4)^(('3. Leases'!$D$7+'2. Inputs'!$B$7+AG39*('2. Inputs'!$B$7+'2. Inputs'!$B$9))/4)/4))</f>
        <v>178461.397341873</v>
      </c>
      <c r="AI39" s="14" t="n">
        <f aca="false">IF($A39&lt;='3. Leases'!$D$7,'3. Leases'!$B$7*'3. Leases'!$C$7,IF(AF39&lt;'2. Inputs'!$B$7,0,'3. Leases'!$B$7*'2. Inputs'!$B$3*(1+'2. Inputs'!$B$4)^(('3. Leases'!$D$7+'2. Inputs'!$B$7+AG39*('2. Inputs'!$B$7+'2. Inputs'!$B$9))/4)))</f>
        <v>713845.589367494</v>
      </c>
      <c r="AJ39" s="14" t="n">
        <f aca="false">IF($A39&lt;='3. Leases'!$D$7,0,IF(AF39=0,'3. Leases'!$B$7*'2. Inputs'!$B$5*(1+'2. Inputs'!$B$6)^(('3. Leases'!$D$7+AG39*('2. Inputs'!$B$7+'2. Inputs'!$B$9))/4),0)+IF(AF39='2. Inputs'!$B$7,'2. Inputs'!$B$10*'2. Inputs'!$B$3*(1+'2. Inputs'!$B$4)^(('3. Leases'!$D$7+'2. Inputs'!$B$7+AG39*('2. Inputs'!$B$7+'2. Inputs'!$B$9))/4)*'3. Leases'!$B$7,0))</f>
        <v>0</v>
      </c>
      <c r="AK39" s="14" t="n">
        <f aca="false">IF($A39&lt;='3. Leases'!$D$7,0,IF(AF39&lt;'2. Inputs'!$B$7,'3. Leases'!$B$7,0))</f>
        <v>0</v>
      </c>
      <c r="AL39" s="14" t="n">
        <f aca="false">F39+M39+T39+AA39+AH39</f>
        <v>641151.431402843</v>
      </c>
      <c r="AM39" s="14" t="n">
        <f aca="false">G39+N39+U39+AB39+AI39</f>
        <v>2564605.72561137</v>
      </c>
      <c r="AN39" s="14" t="n">
        <f aca="false">H39+O39+V39+AC39+AJ39+IF($A39='2. Inputs'!$B$14,'2. Inputs'!$B$13,0)</f>
        <v>0</v>
      </c>
      <c r="AO39" s="14" t="n">
        <f aca="false">I39+P39+W39+AD39+AK39</f>
        <v>4200</v>
      </c>
      <c r="AP39" s="14" t="n">
        <f aca="false">AL39*(1-'2. Inputs'!$B$11)-AO39*'2. Inputs'!$B$12/4</f>
        <v>544932.345518672</v>
      </c>
      <c r="AQ39" s="14" t="n">
        <f aca="false">AP39-AN39</f>
        <v>544932.345518672</v>
      </c>
      <c r="AR39" s="15" t="n">
        <f aca="false">1/(1+((1+'2. Inputs'!$B$15)^0.25-1))^$A39</f>
        <v>0.510792474879268</v>
      </c>
      <c r="AS39" s="14" t="n">
        <f aca="false">AQ39*AR39</f>
        <v>278347.341409247</v>
      </c>
    </row>
    <row r="40" customFormat="false" ht="15" hidden="false" customHeight="false" outlineLevel="0" collapsed="false">
      <c r="A40" s="0" t="n">
        <v>37</v>
      </c>
      <c r="B40" s="0" t="n">
        <f aca="false">CEILING(A40/4,1)</f>
        <v>10</v>
      </c>
      <c r="C40" s="13" t="n">
        <f aca="false">$A40-'3. Leases'!$D$3-1</f>
        <v>26</v>
      </c>
      <c r="D40" s="13" t="n">
        <f aca="false">IF(C40&lt;0,-1,MOD(C40,'2. Inputs'!$B$7+'2. Inputs'!$B$9))</f>
        <v>3</v>
      </c>
      <c r="E40" s="13" t="n">
        <f aca="false">IF(C40&lt;0,0,INT(C40/('2. Inputs'!$B$7+'2. Inputs'!$B$9)))</f>
        <v>1</v>
      </c>
      <c r="F40" s="14" t="n">
        <f aca="false">IF($A40&lt;='3. Leases'!$D$3,'3. Leases'!$B$3*'3. Leases'!$C$3/4,IF(D40&lt;'2. Inputs'!$B$7+'2. Inputs'!$B$8,0,'3. Leases'!$B$3*'2. Inputs'!$B$3*(1+'2. Inputs'!$B$4)^(('3. Leases'!$D$3+'2. Inputs'!$B$7+E40*('2. Inputs'!$B$7+'2. Inputs'!$B$9))/4)/4))</f>
        <v>0</v>
      </c>
      <c r="G40" s="14" t="n">
        <f aca="false">IF($A40&lt;='3. Leases'!$D$3,'3. Leases'!$B$3*'3. Leases'!$C$3,IF(D40&lt;'2. Inputs'!$B$7,0,'3. Leases'!$B$3*'2. Inputs'!$B$3*(1+'2. Inputs'!$B$4)^(('3. Leases'!$D$3+'2. Inputs'!$B$7+E40*('2. Inputs'!$B$7+'2. Inputs'!$B$9))/4)))</f>
        <v>1440671.36899674</v>
      </c>
      <c r="H40" s="14" t="n">
        <f aca="false">IF($A40&lt;='3. Leases'!$D$3,0,IF(D40=0,'3. Leases'!$B$3*'2. Inputs'!$B$5*(1+'2. Inputs'!$B$6)^(('3. Leases'!$D$3+E40*('2. Inputs'!$B$7+'2. Inputs'!$B$9))/4),0)+IF(D40='2. Inputs'!$B$7,'2. Inputs'!$B$10*'2. Inputs'!$B$3*(1+'2. Inputs'!$B$4)^(('3. Leases'!$D$3+'2. Inputs'!$B$7+E40*('2. Inputs'!$B$7+'2. Inputs'!$B$9))/4)*'3. Leases'!$B$3,0))</f>
        <v>172880.564279608</v>
      </c>
      <c r="I40" s="14" t="n">
        <f aca="false">IF($A40&lt;='3. Leases'!$D$3,0,IF(D40&lt;'2. Inputs'!$B$7,'3. Leases'!$B$3,0))</f>
        <v>0</v>
      </c>
      <c r="J40" s="13" t="n">
        <f aca="false">$A40-'3. Leases'!$D$4-1</f>
        <v>20</v>
      </c>
      <c r="K40" s="13" t="n">
        <f aca="false">IF(J40&lt;0,-1,MOD(J40,'2. Inputs'!$B$7+'2. Inputs'!$B$9))</f>
        <v>20</v>
      </c>
      <c r="L40" s="13" t="n">
        <f aca="false">IF(J40&lt;0,0,INT(J40/('2. Inputs'!$B$7+'2. Inputs'!$B$9)))</f>
        <v>0</v>
      </c>
      <c r="M40" s="14" t="n">
        <f aca="false">IF($A40&lt;='3. Leases'!$D$4,'3. Leases'!$B$4*'3. Leases'!$C$4/4,IF(K40&lt;'2. Inputs'!$B$7+'2. Inputs'!$B$8,0,'3. Leases'!$B$4*'2. Inputs'!$B$3*(1+'2. Inputs'!$B$4)^(('3. Leases'!$D$4+'2. Inputs'!$B$7+L40*('2. Inputs'!$B$7+'2. Inputs'!$B$9))/4)/4))</f>
        <v>249537.981576387</v>
      </c>
      <c r="N40" s="14" t="n">
        <f aca="false">IF($A40&lt;='3. Leases'!$D$4,'3. Leases'!$B$4*'3. Leases'!$C$4,IF(K40&lt;'2. Inputs'!$B$7,0,'3. Leases'!$B$4*'2. Inputs'!$B$3*(1+'2. Inputs'!$B$4)^(('3. Leases'!$D$4+'2. Inputs'!$B$7+L40*('2. Inputs'!$B$7+'2. Inputs'!$B$9))/4)))</f>
        <v>998151.926305546</v>
      </c>
      <c r="O40" s="14" t="n">
        <f aca="false">IF($A40&lt;='3. Leases'!$D$4,0,IF(K40=0,'3. Leases'!$B$4*'2. Inputs'!$B$5*(1+'2. Inputs'!$B$6)^(('3. Leases'!$D$4+L40*('2. Inputs'!$B$7+'2. Inputs'!$B$9))/4),0)+IF(K40='2. Inputs'!$B$7,'2. Inputs'!$B$10*'2. Inputs'!$B$3*(1+'2. Inputs'!$B$4)^(('3. Leases'!$D$4+'2. Inputs'!$B$7+L40*('2. Inputs'!$B$7+'2. Inputs'!$B$9))/4)*'3. Leases'!$B$4,0))</f>
        <v>0</v>
      </c>
      <c r="P40" s="14" t="n">
        <f aca="false">IF($A40&lt;='3. Leases'!$D$4,0,IF(K40&lt;'2. Inputs'!$B$7,'3. Leases'!$B$4,0))</f>
        <v>0</v>
      </c>
      <c r="Q40" s="13" t="n">
        <f aca="false">$A40-'3. Leases'!$D$5-1</f>
        <v>10</v>
      </c>
      <c r="R40" s="13" t="n">
        <f aca="false">IF(Q40&lt;0,-1,MOD(Q40,'2. Inputs'!$B$7+'2. Inputs'!$B$9))</f>
        <v>10</v>
      </c>
      <c r="S40" s="13" t="n">
        <f aca="false">IF(Q40&lt;0,0,INT(Q40/('2. Inputs'!$B$7+'2. Inputs'!$B$9)))</f>
        <v>0</v>
      </c>
      <c r="T40" s="14" t="n">
        <f aca="false">IF($A40&lt;='3. Leases'!$D$5,'3. Leases'!$B$5*'3. Leases'!$C$5/4,IF(R40&lt;'2. Inputs'!$B$7+'2. Inputs'!$B$8,0,'3. Leases'!$B$5*'2. Inputs'!$B$3*(1+'2. Inputs'!$B$4)^(('3. Leases'!$D$5+'2. Inputs'!$B$7+S40*('2. Inputs'!$B$7+'2. Inputs'!$B$9))/4)/4))</f>
        <v>128665.108489935</v>
      </c>
      <c r="U40" s="14" t="n">
        <f aca="false">IF($A40&lt;='3. Leases'!$D$5,'3. Leases'!$B$5*'3. Leases'!$C$5,IF(R40&lt;'2. Inputs'!$B$7,0,'3. Leases'!$B$5*'2. Inputs'!$B$3*(1+'2. Inputs'!$B$4)^(('3. Leases'!$D$5+'2. Inputs'!$B$7+S40*('2. Inputs'!$B$7+'2. Inputs'!$B$9))/4)))</f>
        <v>514660.43395974</v>
      </c>
      <c r="V40" s="14" t="n">
        <f aca="false">IF($A40&lt;='3. Leases'!$D$5,0,IF(R40=0,'3. Leases'!$B$5*'2. Inputs'!$B$5*(1+'2. Inputs'!$B$6)^(('3. Leases'!$D$5+S40*('2. Inputs'!$B$7+'2. Inputs'!$B$9))/4),0)+IF(R40='2. Inputs'!$B$7,'2. Inputs'!$B$10*'2. Inputs'!$B$3*(1+'2. Inputs'!$B$4)^(('3. Leases'!$D$5+'2. Inputs'!$B$7+S40*('2. Inputs'!$B$7+'2. Inputs'!$B$9))/4)*'3. Leases'!$B$5,0))</f>
        <v>0</v>
      </c>
      <c r="W40" s="14" t="n">
        <f aca="false">IF($A40&lt;='3. Leases'!$D$5,0,IF(R40&lt;'2. Inputs'!$B$7,'3. Leases'!$B$5,0))</f>
        <v>0</v>
      </c>
      <c r="X40" s="13" t="n">
        <f aca="false">$A40-'3. Leases'!$D$6-1</f>
        <v>30</v>
      </c>
      <c r="Y40" s="13" t="n">
        <f aca="false">IF(X40&lt;0,-1,MOD(X40,'2. Inputs'!$B$7+'2. Inputs'!$B$9))</f>
        <v>7</v>
      </c>
      <c r="Z40" s="13" t="n">
        <f aca="false">IF(X40&lt;0,0,INT(X40/('2. Inputs'!$B$7+'2. Inputs'!$B$9)))</f>
        <v>1</v>
      </c>
      <c r="AA40" s="14" t="n">
        <f aca="false">IF($A40&lt;='3. Leases'!$D$6,'3. Leases'!$B$6*'3. Leases'!$C$6/4,IF(Y40&lt;'2. Inputs'!$B$7+'2. Inputs'!$B$8,0,'3. Leases'!$B$6*'2. Inputs'!$B$3*(1+'2. Inputs'!$B$4)^(('3. Leases'!$D$6+'2. Inputs'!$B$7+Z40*('2. Inputs'!$B$7+'2. Inputs'!$B$9))/4)/4))</f>
        <v>84486.943994648</v>
      </c>
      <c r="AB40" s="14" t="n">
        <f aca="false">IF($A40&lt;='3. Leases'!$D$6,'3. Leases'!$B$6*'3. Leases'!$C$6,IF(Y40&lt;'2. Inputs'!$B$7,0,'3. Leases'!$B$6*'2. Inputs'!$B$3*(1+'2. Inputs'!$B$4)^(('3. Leases'!$D$6+'2. Inputs'!$B$7+Z40*('2. Inputs'!$B$7+'2. Inputs'!$B$9))/4)))</f>
        <v>337947.775978592</v>
      </c>
      <c r="AC40" s="14" t="n">
        <f aca="false">IF($A40&lt;='3. Leases'!$D$6,0,IF(Y40=0,'3. Leases'!$B$6*'2. Inputs'!$B$5*(1+'2. Inputs'!$B$6)^(('3. Leases'!$D$6+Z40*('2. Inputs'!$B$7+'2. Inputs'!$B$9))/4),0)+IF(Y40='2. Inputs'!$B$7,'2. Inputs'!$B$10*'2. Inputs'!$B$3*(1+'2. Inputs'!$B$4)^(('3. Leases'!$D$6+'2. Inputs'!$B$7+Z40*('2. Inputs'!$B$7+'2. Inputs'!$B$9))/4)*'3. Leases'!$B$6,0))</f>
        <v>0</v>
      </c>
      <c r="AD40" s="14" t="n">
        <f aca="false">IF($A40&lt;='3. Leases'!$D$6,0,IF(Y40&lt;'2. Inputs'!$B$7,'3. Leases'!$B$6,0))</f>
        <v>0</v>
      </c>
      <c r="AE40" s="13" t="n">
        <f aca="false">$A40-'3. Leases'!$D$7-1</f>
        <v>36</v>
      </c>
      <c r="AF40" s="13" t="n">
        <f aca="false">IF(AE40&lt;0,-1,MOD(AE40,'2. Inputs'!$B$7+'2. Inputs'!$B$9))</f>
        <v>13</v>
      </c>
      <c r="AG40" s="13" t="n">
        <f aca="false">IF(AE40&lt;0,0,INT(AE40/('2. Inputs'!$B$7+'2. Inputs'!$B$9)))</f>
        <v>1</v>
      </c>
      <c r="AH40" s="14" t="n">
        <f aca="false">IF($A40&lt;='3. Leases'!$D$7,'3. Leases'!$B$7*'3. Leases'!$C$7/4,IF(AF40&lt;'2. Inputs'!$B$7+'2. Inputs'!$B$8,0,'3. Leases'!$B$7*'2. Inputs'!$B$3*(1+'2. Inputs'!$B$4)^(('3. Leases'!$D$7+'2. Inputs'!$B$7+AG40*('2. Inputs'!$B$7+'2. Inputs'!$B$9))/4)/4))</f>
        <v>178461.397341873</v>
      </c>
      <c r="AI40" s="14" t="n">
        <f aca="false">IF($A40&lt;='3. Leases'!$D$7,'3. Leases'!$B$7*'3. Leases'!$C$7,IF(AF40&lt;'2. Inputs'!$B$7,0,'3. Leases'!$B$7*'2. Inputs'!$B$3*(1+'2. Inputs'!$B$4)^(('3. Leases'!$D$7+'2. Inputs'!$B$7+AG40*('2. Inputs'!$B$7+'2. Inputs'!$B$9))/4)))</f>
        <v>713845.589367494</v>
      </c>
      <c r="AJ40" s="14" t="n">
        <f aca="false">IF($A40&lt;='3. Leases'!$D$7,0,IF(AF40=0,'3. Leases'!$B$7*'2. Inputs'!$B$5*(1+'2. Inputs'!$B$6)^(('3. Leases'!$D$7+AG40*('2. Inputs'!$B$7+'2. Inputs'!$B$9))/4),0)+IF(AF40='2. Inputs'!$B$7,'2. Inputs'!$B$10*'2. Inputs'!$B$3*(1+'2. Inputs'!$B$4)^(('3. Leases'!$D$7+'2. Inputs'!$B$7+AG40*('2. Inputs'!$B$7+'2. Inputs'!$B$9))/4)*'3. Leases'!$B$7,0))</f>
        <v>0</v>
      </c>
      <c r="AK40" s="14" t="n">
        <f aca="false">IF($A40&lt;='3. Leases'!$D$7,0,IF(AF40&lt;'2. Inputs'!$B$7,'3. Leases'!$B$7,0))</f>
        <v>0</v>
      </c>
      <c r="AL40" s="14" t="n">
        <f aca="false">F40+M40+T40+AA40+AH40</f>
        <v>641151.431402843</v>
      </c>
      <c r="AM40" s="14" t="n">
        <f aca="false">G40+N40+U40+AB40+AI40</f>
        <v>4005277.09460811</v>
      </c>
      <c r="AN40" s="14" t="n">
        <f aca="false">H40+O40+V40+AC40+AJ40+IF($A40='2. Inputs'!$B$14,'2. Inputs'!$B$13,0)</f>
        <v>172880.564279608</v>
      </c>
      <c r="AO40" s="14" t="n">
        <f aca="false">I40+P40+W40+AD40+AK40</f>
        <v>0</v>
      </c>
      <c r="AP40" s="14" t="n">
        <f aca="false">AL40*(1-'2. Inputs'!$B$11)-AO40*'2. Inputs'!$B$12/4</f>
        <v>602682.345518672</v>
      </c>
      <c r="AQ40" s="14" t="n">
        <f aca="false">AP40-AN40</f>
        <v>429801.781239064</v>
      </c>
      <c r="AR40" s="15" t="n">
        <f aca="false">1/(1+((1+'2. Inputs'!$B$15)^0.25-1))^$A40</f>
        <v>0.501349020514147</v>
      </c>
      <c r="AS40" s="14" t="n">
        <f aca="false">AQ40*AR40</f>
        <v>215480.70203944</v>
      </c>
    </row>
    <row r="41" customFormat="false" ht="15" hidden="false" customHeight="false" outlineLevel="0" collapsed="false">
      <c r="A41" s="0" t="n">
        <v>38</v>
      </c>
      <c r="B41" s="0" t="n">
        <f aca="false">CEILING(A41/4,1)</f>
        <v>10</v>
      </c>
      <c r="C41" s="13" t="n">
        <f aca="false">$A41-'3. Leases'!$D$3-1</f>
        <v>27</v>
      </c>
      <c r="D41" s="13" t="n">
        <f aca="false">IF(C41&lt;0,-1,MOD(C41,'2. Inputs'!$B$7+'2. Inputs'!$B$9))</f>
        <v>4</v>
      </c>
      <c r="E41" s="13" t="n">
        <f aca="false">IF(C41&lt;0,0,INT(C41/('2. Inputs'!$B$7+'2. Inputs'!$B$9)))</f>
        <v>1</v>
      </c>
      <c r="F41" s="14" t="n">
        <f aca="false">IF($A41&lt;='3. Leases'!$D$3,'3. Leases'!$B$3*'3. Leases'!$C$3/4,IF(D41&lt;'2. Inputs'!$B$7+'2. Inputs'!$B$8,0,'3. Leases'!$B$3*'2. Inputs'!$B$3*(1+'2. Inputs'!$B$4)^(('3. Leases'!$D$3+'2. Inputs'!$B$7+E41*('2. Inputs'!$B$7+'2. Inputs'!$B$9))/4)/4))</f>
        <v>0</v>
      </c>
      <c r="G41" s="14" t="n">
        <f aca="false">IF($A41&lt;='3. Leases'!$D$3,'3. Leases'!$B$3*'3. Leases'!$C$3,IF(D41&lt;'2. Inputs'!$B$7,0,'3. Leases'!$B$3*'2. Inputs'!$B$3*(1+'2. Inputs'!$B$4)^(('3. Leases'!$D$3+'2. Inputs'!$B$7+E41*('2. Inputs'!$B$7+'2. Inputs'!$B$9))/4)))</f>
        <v>1440671.36899674</v>
      </c>
      <c r="H41" s="14" t="n">
        <f aca="false">IF($A41&lt;='3. Leases'!$D$3,0,IF(D41=0,'3. Leases'!$B$3*'2. Inputs'!$B$5*(1+'2. Inputs'!$B$6)^(('3. Leases'!$D$3+E41*('2. Inputs'!$B$7+'2. Inputs'!$B$9))/4),0)+IF(D41='2. Inputs'!$B$7,'2. Inputs'!$B$10*'2. Inputs'!$B$3*(1+'2. Inputs'!$B$4)^(('3. Leases'!$D$3+'2. Inputs'!$B$7+E41*('2. Inputs'!$B$7+'2. Inputs'!$B$9))/4)*'3. Leases'!$B$3,0))</f>
        <v>0</v>
      </c>
      <c r="I41" s="14" t="n">
        <f aca="false">IF($A41&lt;='3. Leases'!$D$3,0,IF(D41&lt;'2. Inputs'!$B$7,'3. Leases'!$B$3,0))</f>
        <v>0</v>
      </c>
      <c r="J41" s="13" t="n">
        <f aca="false">$A41-'3. Leases'!$D$4-1</f>
        <v>21</v>
      </c>
      <c r="K41" s="13" t="n">
        <f aca="false">IF(J41&lt;0,-1,MOD(J41,'2. Inputs'!$B$7+'2. Inputs'!$B$9))</f>
        <v>21</v>
      </c>
      <c r="L41" s="13" t="n">
        <f aca="false">IF(J41&lt;0,0,INT(J41/('2. Inputs'!$B$7+'2. Inputs'!$B$9)))</f>
        <v>0</v>
      </c>
      <c r="M41" s="14" t="n">
        <f aca="false">IF($A41&lt;='3. Leases'!$D$4,'3. Leases'!$B$4*'3. Leases'!$C$4/4,IF(K41&lt;'2. Inputs'!$B$7+'2. Inputs'!$B$8,0,'3. Leases'!$B$4*'2. Inputs'!$B$3*(1+'2. Inputs'!$B$4)^(('3. Leases'!$D$4+'2. Inputs'!$B$7+L41*('2. Inputs'!$B$7+'2. Inputs'!$B$9))/4)/4))</f>
        <v>249537.981576387</v>
      </c>
      <c r="N41" s="14" t="n">
        <f aca="false">IF($A41&lt;='3. Leases'!$D$4,'3. Leases'!$B$4*'3. Leases'!$C$4,IF(K41&lt;'2. Inputs'!$B$7,0,'3. Leases'!$B$4*'2. Inputs'!$B$3*(1+'2. Inputs'!$B$4)^(('3. Leases'!$D$4+'2. Inputs'!$B$7+L41*('2. Inputs'!$B$7+'2. Inputs'!$B$9))/4)))</f>
        <v>998151.926305546</v>
      </c>
      <c r="O41" s="14" t="n">
        <f aca="false">IF($A41&lt;='3. Leases'!$D$4,0,IF(K41=0,'3. Leases'!$B$4*'2. Inputs'!$B$5*(1+'2. Inputs'!$B$6)^(('3. Leases'!$D$4+L41*('2. Inputs'!$B$7+'2. Inputs'!$B$9))/4),0)+IF(K41='2. Inputs'!$B$7,'2. Inputs'!$B$10*'2. Inputs'!$B$3*(1+'2. Inputs'!$B$4)^(('3. Leases'!$D$4+'2. Inputs'!$B$7+L41*('2. Inputs'!$B$7+'2. Inputs'!$B$9))/4)*'3. Leases'!$B$4,0))</f>
        <v>0</v>
      </c>
      <c r="P41" s="14" t="n">
        <f aca="false">IF($A41&lt;='3. Leases'!$D$4,0,IF(K41&lt;'2. Inputs'!$B$7,'3. Leases'!$B$4,0))</f>
        <v>0</v>
      </c>
      <c r="Q41" s="13" t="n">
        <f aca="false">$A41-'3. Leases'!$D$5-1</f>
        <v>11</v>
      </c>
      <c r="R41" s="13" t="n">
        <f aca="false">IF(Q41&lt;0,-1,MOD(Q41,'2. Inputs'!$B$7+'2. Inputs'!$B$9))</f>
        <v>11</v>
      </c>
      <c r="S41" s="13" t="n">
        <f aca="false">IF(Q41&lt;0,0,INT(Q41/('2. Inputs'!$B$7+'2. Inputs'!$B$9)))</f>
        <v>0</v>
      </c>
      <c r="T41" s="14" t="n">
        <f aca="false">IF($A41&lt;='3. Leases'!$D$5,'3. Leases'!$B$5*'3. Leases'!$C$5/4,IF(R41&lt;'2. Inputs'!$B$7+'2. Inputs'!$B$8,0,'3. Leases'!$B$5*'2. Inputs'!$B$3*(1+'2. Inputs'!$B$4)^(('3. Leases'!$D$5+'2. Inputs'!$B$7+S41*('2. Inputs'!$B$7+'2. Inputs'!$B$9))/4)/4))</f>
        <v>128665.108489935</v>
      </c>
      <c r="U41" s="14" t="n">
        <f aca="false">IF($A41&lt;='3. Leases'!$D$5,'3. Leases'!$B$5*'3. Leases'!$C$5,IF(R41&lt;'2. Inputs'!$B$7,0,'3. Leases'!$B$5*'2. Inputs'!$B$3*(1+'2. Inputs'!$B$4)^(('3. Leases'!$D$5+'2. Inputs'!$B$7+S41*('2. Inputs'!$B$7+'2. Inputs'!$B$9))/4)))</f>
        <v>514660.43395974</v>
      </c>
      <c r="V41" s="14" t="n">
        <f aca="false">IF($A41&lt;='3. Leases'!$D$5,0,IF(R41=0,'3. Leases'!$B$5*'2. Inputs'!$B$5*(1+'2. Inputs'!$B$6)^(('3. Leases'!$D$5+S41*('2. Inputs'!$B$7+'2. Inputs'!$B$9))/4),0)+IF(R41='2. Inputs'!$B$7,'2. Inputs'!$B$10*'2. Inputs'!$B$3*(1+'2. Inputs'!$B$4)^(('3. Leases'!$D$5+'2. Inputs'!$B$7+S41*('2. Inputs'!$B$7+'2. Inputs'!$B$9))/4)*'3. Leases'!$B$5,0))</f>
        <v>0</v>
      </c>
      <c r="W41" s="14" t="n">
        <f aca="false">IF($A41&lt;='3. Leases'!$D$5,0,IF(R41&lt;'2. Inputs'!$B$7,'3. Leases'!$B$5,0))</f>
        <v>0</v>
      </c>
      <c r="X41" s="13" t="n">
        <f aca="false">$A41-'3. Leases'!$D$6-1</f>
        <v>31</v>
      </c>
      <c r="Y41" s="13" t="n">
        <f aca="false">IF(X41&lt;0,-1,MOD(X41,'2. Inputs'!$B$7+'2. Inputs'!$B$9))</f>
        <v>8</v>
      </c>
      <c r="Z41" s="13" t="n">
        <f aca="false">IF(X41&lt;0,0,INT(X41/('2. Inputs'!$B$7+'2. Inputs'!$B$9)))</f>
        <v>1</v>
      </c>
      <c r="AA41" s="14" t="n">
        <f aca="false">IF($A41&lt;='3. Leases'!$D$6,'3. Leases'!$B$6*'3. Leases'!$C$6/4,IF(Y41&lt;'2. Inputs'!$B$7+'2. Inputs'!$B$8,0,'3. Leases'!$B$6*'2. Inputs'!$B$3*(1+'2. Inputs'!$B$4)^(('3. Leases'!$D$6+'2. Inputs'!$B$7+Z41*('2. Inputs'!$B$7+'2. Inputs'!$B$9))/4)/4))</f>
        <v>84486.943994648</v>
      </c>
      <c r="AB41" s="14" t="n">
        <f aca="false">IF($A41&lt;='3. Leases'!$D$6,'3. Leases'!$B$6*'3. Leases'!$C$6,IF(Y41&lt;'2. Inputs'!$B$7,0,'3. Leases'!$B$6*'2. Inputs'!$B$3*(1+'2. Inputs'!$B$4)^(('3. Leases'!$D$6+'2. Inputs'!$B$7+Z41*('2. Inputs'!$B$7+'2. Inputs'!$B$9))/4)))</f>
        <v>337947.775978592</v>
      </c>
      <c r="AC41" s="14" t="n">
        <f aca="false">IF($A41&lt;='3. Leases'!$D$6,0,IF(Y41=0,'3. Leases'!$B$6*'2. Inputs'!$B$5*(1+'2. Inputs'!$B$6)^(('3. Leases'!$D$6+Z41*('2. Inputs'!$B$7+'2. Inputs'!$B$9))/4),0)+IF(Y41='2. Inputs'!$B$7,'2. Inputs'!$B$10*'2. Inputs'!$B$3*(1+'2. Inputs'!$B$4)^(('3. Leases'!$D$6+'2. Inputs'!$B$7+Z41*('2. Inputs'!$B$7+'2. Inputs'!$B$9))/4)*'3. Leases'!$B$6,0))</f>
        <v>0</v>
      </c>
      <c r="AD41" s="14" t="n">
        <f aca="false">IF($A41&lt;='3. Leases'!$D$6,0,IF(Y41&lt;'2. Inputs'!$B$7,'3. Leases'!$B$6,0))</f>
        <v>0</v>
      </c>
      <c r="AE41" s="13" t="n">
        <f aca="false">$A41-'3. Leases'!$D$7-1</f>
        <v>37</v>
      </c>
      <c r="AF41" s="13" t="n">
        <f aca="false">IF(AE41&lt;0,-1,MOD(AE41,'2. Inputs'!$B$7+'2. Inputs'!$B$9))</f>
        <v>14</v>
      </c>
      <c r="AG41" s="13" t="n">
        <f aca="false">IF(AE41&lt;0,0,INT(AE41/('2. Inputs'!$B$7+'2. Inputs'!$B$9)))</f>
        <v>1</v>
      </c>
      <c r="AH41" s="14" t="n">
        <f aca="false">IF($A41&lt;='3. Leases'!$D$7,'3. Leases'!$B$7*'3. Leases'!$C$7/4,IF(AF41&lt;'2. Inputs'!$B$7+'2. Inputs'!$B$8,0,'3. Leases'!$B$7*'2. Inputs'!$B$3*(1+'2. Inputs'!$B$4)^(('3. Leases'!$D$7+'2. Inputs'!$B$7+AG41*('2. Inputs'!$B$7+'2. Inputs'!$B$9))/4)/4))</f>
        <v>178461.397341873</v>
      </c>
      <c r="AI41" s="14" t="n">
        <f aca="false">IF($A41&lt;='3. Leases'!$D$7,'3. Leases'!$B$7*'3. Leases'!$C$7,IF(AF41&lt;'2. Inputs'!$B$7,0,'3. Leases'!$B$7*'2. Inputs'!$B$3*(1+'2. Inputs'!$B$4)^(('3. Leases'!$D$7+'2. Inputs'!$B$7+AG41*('2. Inputs'!$B$7+'2. Inputs'!$B$9))/4)))</f>
        <v>713845.589367494</v>
      </c>
      <c r="AJ41" s="14" t="n">
        <f aca="false">IF($A41&lt;='3. Leases'!$D$7,0,IF(AF41=0,'3. Leases'!$B$7*'2. Inputs'!$B$5*(1+'2. Inputs'!$B$6)^(('3. Leases'!$D$7+AG41*('2. Inputs'!$B$7+'2. Inputs'!$B$9))/4),0)+IF(AF41='2. Inputs'!$B$7,'2. Inputs'!$B$10*'2. Inputs'!$B$3*(1+'2. Inputs'!$B$4)^(('3. Leases'!$D$7+'2. Inputs'!$B$7+AG41*('2. Inputs'!$B$7+'2. Inputs'!$B$9))/4)*'3. Leases'!$B$7,0))</f>
        <v>0</v>
      </c>
      <c r="AK41" s="14" t="n">
        <f aca="false">IF($A41&lt;='3. Leases'!$D$7,0,IF(AF41&lt;'2. Inputs'!$B$7,'3. Leases'!$B$7,0))</f>
        <v>0</v>
      </c>
      <c r="AL41" s="14" t="n">
        <f aca="false">F41+M41+T41+AA41+AH41</f>
        <v>641151.431402843</v>
      </c>
      <c r="AM41" s="14" t="n">
        <f aca="false">G41+N41+U41+AB41+AI41</f>
        <v>4005277.09460811</v>
      </c>
      <c r="AN41" s="14" t="n">
        <f aca="false">H41+O41+V41+AC41+AJ41+IF($A41='2. Inputs'!$B$14,'2. Inputs'!$B$13,0)</f>
        <v>0</v>
      </c>
      <c r="AO41" s="14" t="n">
        <f aca="false">I41+P41+W41+AD41+AK41</f>
        <v>0</v>
      </c>
      <c r="AP41" s="14" t="n">
        <f aca="false">AL41*(1-'2. Inputs'!$B$11)-AO41*'2. Inputs'!$B$12/4</f>
        <v>602682.345518672</v>
      </c>
      <c r="AQ41" s="14" t="n">
        <f aca="false">AP41-AN41</f>
        <v>602682.345518672</v>
      </c>
      <c r="AR41" s="15" t="n">
        <f aca="false">1/(1+((1+'2. Inputs'!$B$15)^0.25-1))^$A41</f>
        <v>0.49208015531142</v>
      </c>
      <c r="AS41" s="14" t="n">
        <f aca="false">AQ41*AR41</f>
        <v>296568.022186279</v>
      </c>
    </row>
    <row r="42" customFormat="false" ht="15" hidden="false" customHeight="false" outlineLevel="0" collapsed="false">
      <c r="A42" s="0" t="n">
        <v>39</v>
      </c>
      <c r="B42" s="0" t="n">
        <f aca="false">CEILING(A42/4,1)</f>
        <v>10</v>
      </c>
      <c r="C42" s="13" t="n">
        <f aca="false">$A42-'3. Leases'!$D$3-1</f>
        <v>28</v>
      </c>
      <c r="D42" s="13" t="n">
        <f aca="false">IF(C42&lt;0,-1,MOD(C42,'2. Inputs'!$B$7+'2. Inputs'!$B$9))</f>
        <v>5</v>
      </c>
      <c r="E42" s="13" t="n">
        <f aca="false">IF(C42&lt;0,0,INT(C42/('2. Inputs'!$B$7+'2. Inputs'!$B$9)))</f>
        <v>1</v>
      </c>
      <c r="F42" s="14" t="n">
        <f aca="false">IF($A42&lt;='3. Leases'!$D$3,'3. Leases'!$B$3*'3. Leases'!$C$3/4,IF(D42&lt;'2. Inputs'!$B$7+'2. Inputs'!$B$8,0,'3. Leases'!$B$3*'2. Inputs'!$B$3*(1+'2. Inputs'!$B$4)^(('3. Leases'!$D$3+'2. Inputs'!$B$7+E42*('2. Inputs'!$B$7+'2. Inputs'!$B$9))/4)/4))</f>
        <v>0</v>
      </c>
      <c r="G42" s="14" t="n">
        <f aca="false">IF($A42&lt;='3. Leases'!$D$3,'3. Leases'!$B$3*'3. Leases'!$C$3,IF(D42&lt;'2. Inputs'!$B$7,0,'3. Leases'!$B$3*'2. Inputs'!$B$3*(1+'2. Inputs'!$B$4)^(('3. Leases'!$D$3+'2. Inputs'!$B$7+E42*('2. Inputs'!$B$7+'2. Inputs'!$B$9))/4)))</f>
        <v>1440671.36899674</v>
      </c>
      <c r="H42" s="14" t="n">
        <f aca="false">IF($A42&lt;='3. Leases'!$D$3,0,IF(D42=0,'3. Leases'!$B$3*'2. Inputs'!$B$5*(1+'2. Inputs'!$B$6)^(('3. Leases'!$D$3+E42*('2. Inputs'!$B$7+'2. Inputs'!$B$9))/4),0)+IF(D42='2. Inputs'!$B$7,'2. Inputs'!$B$10*'2. Inputs'!$B$3*(1+'2. Inputs'!$B$4)^(('3. Leases'!$D$3+'2. Inputs'!$B$7+E42*('2. Inputs'!$B$7+'2. Inputs'!$B$9))/4)*'3. Leases'!$B$3,0))</f>
        <v>0</v>
      </c>
      <c r="I42" s="14" t="n">
        <f aca="false">IF($A42&lt;='3. Leases'!$D$3,0,IF(D42&lt;'2. Inputs'!$B$7,'3. Leases'!$B$3,0))</f>
        <v>0</v>
      </c>
      <c r="J42" s="13" t="n">
        <f aca="false">$A42-'3. Leases'!$D$4-1</f>
        <v>22</v>
      </c>
      <c r="K42" s="13" t="n">
        <f aca="false">IF(J42&lt;0,-1,MOD(J42,'2. Inputs'!$B$7+'2. Inputs'!$B$9))</f>
        <v>22</v>
      </c>
      <c r="L42" s="13" t="n">
        <f aca="false">IF(J42&lt;0,0,INT(J42/('2. Inputs'!$B$7+'2. Inputs'!$B$9)))</f>
        <v>0</v>
      </c>
      <c r="M42" s="14" t="n">
        <f aca="false">IF($A42&lt;='3. Leases'!$D$4,'3. Leases'!$B$4*'3. Leases'!$C$4/4,IF(K42&lt;'2. Inputs'!$B$7+'2. Inputs'!$B$8,0,'3. Leases'!$B$4*'2. Inputs'!$B$3*(1+'2. Inputs'!$B$4)^(('3. Leases'!$D$4+'2. Inputs'!$B$7+L42*('2. Inputs'!$B$7+'2. Inputs'!$B$9))/4)/4))</f>
        <v>249537.981576387</v>
      </c>
      <c r="N42" s="14" t="n">
        <f aca="false">IF($A42&lt;='3. Leases'!$D$4,'3. Leases'!$B$4*'3. Leases'!$C$4,IF(K42&lt;'2. Inputs'!$B$7,0,'3. Leases'!$B$4*'2. Inputs'!$B$3*(1+'2. Inputs'!$B$4)^(('3. Leases'!$D$4+'2. Inputs'!$B$7+L42*('2. Inputs'!$B$7+'2. Inputs'!$B$9))/4)))</f>
        <v>998151.926305546</v>
      </c>
      <c r="O42" s="14" t="n">
        <f aca="false">IF($A42&lt;='3. Leases'!$D$4,0,IF(K42=0,'3. Leases'!$B$4*'2. Inputs'!$B$5*(1+'2. Inputs'!$B$6)^(('3. Leases'!$D$4+L42*('2. Inputs'!$B$7+'2. Inputs'!$B$9))/4),0)+IF(K42='2. Inputs'!$B$7,'2. Inputs'!$B$10*'2. Inputs'!$B$3*(1+'2. Inputs'!$B$4)^(('3. Leases'!$D$4+'2. Inputs'!$B$7+L42*('2. Inputs'!$B$7+'2. Inputs'!$B$9))/4)*'3. Leases'!$B$4,0))</f>
        <v>0</v>
      </c>
      <c r="P42" s="14" t="n">
        <f aca="false">IF($A42&lt;='3. Leases'!$D$4,0,IF(K42&lt;'2. Inputs'!$B$7,'3. Leases'!$B$4,0))</f>
        <v>0</v>
      </c>
      <c r="Q42" s="13" t="n">
        <f aca="false">$A42-'3. Leases'!$D$5-1</f>
        <v>12</v>
      </c>
      <c r="R42" s="13" t="n">
        <f aca="false">IF(Q42&lt;0,-1,MOD(Q42,'2. Inputs'!$B$7+'2. Inputs'!$B$9))</f>
        <v>12</v>
      </c>
      <c r="S42" s="13" t="n">
        <f aca="false">IF(Q42&lt;0,0,INT(Q42/('2. Inputs'!$B$7+'2. Inputs'!$B$9)))</f>
        <v>0</v>
      </c>
      <c r="T42" s="14" t="n">
        <f aca="false">IF($A42&lt;='3. Leases'!$D$5,'3. Leases'!$B$5*'3. Leases'!$C$5/4,IF(R42&lt;'2. Inputs'!$B$7+'2. Inputs'!$B$8,0,'3. Leases'!$B$5*'2. Inputs'!$B$3*(1+'2. Inputs'!$B$4)^(('3. Leases'!$D$5+'2. Inputs'!$B$7+S42*('2. Inputs'!$B$7+'2. Inputs'!$B$9))/4)/4))</f>
        <v>128665.108489935</v>
      </c>
      <c r="U42" s="14" t="n">
        <f aca="false">IF($A42&lt;='3. Leases'!$D$5,'3. Leases'!$B$5*'3. Leases'!$C$5,IF(R42&lt;'2. Inputs'!$B$7,0,'3. Leases'!$B$5*'2. Inputs'!$B$3*(1+'2. Inputs'!$B$4)^(('3. Leases'!$D$5+'2. Inputs'!$B$7+S42*('2. Inputs'!$B$7+'2. Inputs'!$B$9))/4)))</f>
        <v>514660.43395974</v>
      </c>
      <c r="V42" s="14" t="n">
        <f aca="false">IF($A42&lt;='3. Leases'!$D$5,0,IF(R42=0,'3. Leases'!$B$5*'2. Inputs'!$B$5*(1+'2. Inputs'!$B$6)^(('3. Leases'!$D$5+S42*('2. Inputs'!$B$7+'2. Inputs'!$B$9))/4),0)+IF(R42='2. Inputs'!$B$7,'2. Inputs'!$B$10*'2. Inputs'!$B$3*(1+'2. Inputs'!$B$4)^(('3. Leases'!$D$5+'2. Inputs'!$B$7+S42*('2. Inputs'!$B$7+'2. Inputs'!$B$9))/4)*'3. Leases'!$B$5,0))</f>
        <v>0</v>
      </c>
      <c r="W42" s="14" t="n">
        <f aca="false">IF($A42&lt;='3. Leases'!$D$5,0,IF(R42&lt;'2. Inputs'!$B$7,'3. Leases'!$B$5,0))</f>
        <v>0</v>
      </c>
      <c r="X42" s="13" t="n">
        <f aca="false">$A42-'3. Leases'!$D$6-1</f>
        <v>32</v>
      </c>
      <c r="Y42" s="13" t="n">
        <f aca="false">IF(X42&lt;0,-1,MOD(X42,'2. Inputs'!$B$7+'2. Inputs'!$B$9))</f>
        <v>9</v>
      </c>
      <c r="Z42" s="13" t="n">
        <f aca="false">IF(X42&lt;0,0,INT(X42/('2. Inputs'!$B$7+'2. Inputs'!$B$9)))</f>
        <v>1</v>
      </c>
      <c r="AA42" s="14" t="n">
        <f aca="false">IF($A42&lt;='3. Leases'!$D$6,'3. Leases'!$B$6*'3. Leases'!$C$6/4,IF(Y42&lt;'2. Inputs'!$B$7+'2. Inputs'!$B$8,0,'3. Leases'!$B$6*'2. Inputs'!$B$3*(1+'2. Inputs'!$B$4)^(('3. Leases'!$D$6+'2. Inputs'!$B$7+Z42*('2. Inputs'!$B$7+'2. Inputs'!$B$9))/4)/4))</f>
        <v>84486.943994648</v>
      </c>
      <c r="AB42" s="14" t="n">
        <f aca="false">IF($A42&lt;='3. Leases'!$D$6,'3. Leases'!$B$6*'3. Leases'!$C$6,IF(Y42&lt;'2. Inputs'!$B$7,0,'3. Leases'!$B$6*'2. Inputs'!$B$3*(1+'2. Inputs'!$B$4)^(('3. Leases'!$D$6+'2. Inputs'!$B$7+Z42*('2. Inputs'!$B$7+'2. Inputs'!$B$9))/4)))</f>
        <v>337947.775978592</v>
      </c>
      <c r="AC42" s="14" t="n">
        <f aca="false">IF($A42&lt;='3. Leases'!$D$6,0,IF(Y42=0,'3. Leases'!$B$6*'2. Inputs'!$B$5*(1+'2. Inputs'!$B$6)^(('3. Leases'!$D$6+Z42*('2. Inputs'!$B$7+'2. Inputs'!$B$9))/4),0)+IF(Y42='2. Inputs'!$B$7,'2. Inputs'!$B$10*'2. Inputs'!$B$3*(1+'2. Inputs'!$B$4)^(('3. Leases'!$D$6+'2. Inputs'!$B$7+Z42*('2. Inputs'!$B$7+'2. Inputs'!$B$9))/4)*'3. Leases'!$B$6,0))</f>
        <v>0</v>
      </c>
      <c r="AD42" s="14" t="n">
        <f aca="false">IF($A42&lt;='3. Leases'!$D$6,0,IF(Y42&lt;'2. Inputs'!$B$7,'3. Leases'!$B$6,0))</f>
        <v>0</v>
      </c>
      <c r="AE42" s="13" t="n">
        <f aca="false">$A42-'3. Leases'!$D$7-1</f>
        <v>38</v>
      </c>
      <c r="AF42" s="13" t="n">
        <f aca="false">IF(AE42&lt;0,-1,MOD(AE42,'2. Inputs'!$B$7+'2. Inputs'!$B$9))</f>
        <v>15</v>
      </c>
      <c r="AG42" s="13" t="n">
        <f aca="false">IF(AE42&lt;0,0,INT(AE42/('2. Inputs'!$B$7+'2. Inputs'!$B$9)))</f>
        <v>1</v>
      </c>
      <c r="AH42" s="14" t="n">
        <f aca="false">IF($A42&lt;='3. Leases'!$D$7,'3. Leases'!$B$7*'3. Leases'!$C$7/4,IF(AF42&lt;'2. Inputs'!$B$7+'2. Inputs'!$B$8,0,'3. Leases'!$B$7*'2. Inputs'!$B$3*(1+'2. Inputs'!$B$4)^(('3. Leases'!$D$7+'2. Inputs'!$B$7+AG42*('2. Inputs'!$B$7+'2. Inputs'!$B$9))/4)/4))</f>
        <v>178461.397341873</v>
      </c>
      <c r="AI42" s="14" t="n">
        <f aca="false">IF($A42&lt;='3. Leases'!$D$7,'3. Leases'!$B$7*'3. Leases'!$C$7,IF(AF42&lt;'2. Inputs'!$B$7,0,'3. Leases'!$B$7*'2. Inputs'!$B$3*(1+'2. Inputs'!$B$4)^(('3. Leases'!$D$7+'2. Inputs'!$B$7+AG42*('2. Inputs'!$B$7+'2. Inputs'!$B$9))/4)))</f>
        <v>713845.589367494</v>
      </c>
      <c r="AJ42" s="14" t="n">
        <f aca="false">IF($A42&lt;='3. Leases'!$D$7,0,IF(AF42=0,'3. Leases'!$B$7*'2. Inputs'!$B$5*(1+'2. Inputs'!$B$6)^(('3. Leases'!$D$7+AG42*('2. Inputs'!$B$7+'2. Inputs'!$B$9))/4),0)+IF(AF42='2. Inputs'!$B$7,'2. Inputs'!$B$10*'2. Inputs'!$B$3*(1+'2. Inputs'!$B$4)^(('3. Leases'!$D$7+'2. Inputs'!$B$7+AG42*('2. Inputs'!$B$7+'2. Inputs'!$B$9))/4)*'3. Leases'!$B$7,0))</f>
        <v>0</v>
      </c>
      <c r="AK42" s="14" t="n">
        <f aca="false">IF($A42&lt;='3. Leases'!$D$7,0,IF(AF42&lt;'2. Inputs'!$B$7,'3. Leases'!$B$7,0))</f>
        <v>0</v>
      </c>
      <c r="AL42" s="14" t="n">
        <f aca="false">F42+M42+T42+AA42+AH42</f>
        <v>641151.431402843</v>
      </c>
      <c r="AM42" s="14" t="n">
        <f aca="false">G42+N42+U42+AB42+AI42</f>
        <v>4005277.09460811</v>
      </c>
      <c r="AN42" s="14" t="n">
        <f aca="false">H42+O42+V42+AC42+AJ42+IF($A42='2. Inputs'!$B$14,'2. Inputs'!$B$13,0)</f>
        <v>0</v>
      </c>
      <c r="AO42" s="14" t="n">
        <f aca="false">I42+P42+W42+AD42+AK42</f>
        <v>0</v>
      </c>
      <c r="AP42" s="14" t="n">
        <f aca="false">AL42*(1-'2. Inputs'!$B$11)-AO42*'2. Inputs'!$B$12/4</f>
        <v>602682.345518672</v>
      </c>
      <c r="AQ42" s="14" t="n">
        <f aca="false">AP42-AN42</f>
        <v>602682.345518672</v>
      </c>
      <c r="AR42" s="15" t="n">
        <f aca="false">1/(1+((1+'2. Inputs'!$B$15)^0.25-1))^$A42</f>
        <v>0.48298265149294</v>
      </c>
      <c r="AS42" s="14" t="n">
        <f aca="false">AQ42*AR42</f>
        <v>291085.117246593</v>
      </c>
    </row>
    <row r="43" customFormat="false" ht="15" hidden="false" customHeight="false" outlineLevel="0" collapsed="false">
      <c r="A43" s="0" t="n">
        <v>40</v>
      </c>
      <c r="B43" s="0" t="n">
        <f aca="false">CEILING(A43/4,1)</f>
        <v>10</v>
      </c>
      <c r="C43" s="13" t="n">
        <f aca="false">$A43-'3. Leases'!$D$3-1</f>
        <v>29</v>
      </c>
      <c r="D43" s="13" t="n">
        <f aca="false">IF(C43&lt;0,-1,MOD(C43,'2. Inputs'!$B$7+'2. Inputs'!$B$9))</f>
        <v>6</v>
      </c>
      <c r="E43" s="13" t="n">
        <f aca="false">IF(C43&lt;0,0,INT(C43/('2. Inputs'!$B$7+'2. Inputs'!$B$9)))</f>
        <v>1</v>
      </c>
      <c r="F43" s="14" t="n">
        <f aca="false">IF($A43&lt;='3. Leases'!$D$3,'3. Leases'!$B$3*'3. Leases'!$C$3/4,IF(D43&lt;'2. Inputs'!$B$7+'2. Inputs'!$B$8,0,'3. Leases'!$B$3*'2. Inputs'!$B$3*(1+'2. Inputs'!$B$4)^(('3. Leases'!$D$3+'2. Inputs'!$B$7+E43*('2. Inputs'!$B$7+'2. Inputs'!$B$9))/4)/4))</f>
        <v>360167.842249184</v>
      </c>
      <c r="G43" s="14" t="n">
        <f aca="false">IF($A43&lt;='3. Leases'!$D$3,'3. Leases'!$B$3*'3. Leases'!$C$3,IF(D43&lt;'2. Inputs'!$B$7,0,'3. Leases'!$B$3*'2. Inputs'!$B$3*(1+'2. Inputs'!$B$4)^(('3. Leases'!$D$3+'2. Inputs'!$B$7+E43*('2. Inputs'!$B$7+'2. Inputs'!$B$9))/4)))</f>
        <v>1440671.36899674</v>
      </c>
      <c r="H43" s="14" t="n">
        <f aca="false">IF($A43&lt;='3. Leases'!$D$3,0,IF(D43=0,'3. Leases'!$B$3*'2. Inputs'!$B$5*(1+'2. Inputs'!$B$6)^(('3. Leases'!$D$3+E43*('2. Inputs'!$B$7+'2. Inputs'!$B$9))/4),0)+IF(D43='2. Inputs'!$B$7,'2. Inputs'!$B$10*'2. Inputs'!$B$3*(1+'2. Inputs'!$B$4)^(('3. Leases'!$D$3+'2. Inputs'!$B$7+E43*('2. Inputs'!$B$7+'2. Inputs'!$B$9))/4)*'3. Leases'!$B$3,0))</f>
        <v>0</v>
      </c>
      <c r="I43" s="14" t="n">
        <f aca="false">IF($A43&lt;='3. Leases'!$D$3,0,IF(D43&lt;'2. Inputs'!$B$7,'3. Leases'!$B$3,0))</f>
        <v>0</v>
      </c>
      <c r="J43" s="13" t="n">
        <f aca="false">$A43-'3. Leases'!$D$4-1</f>
        <v>23</v>
      </c>
      <c r="K43" s="13" t="n">
        <f aca="false">IF(J43&lt;0,-1,MOD(J43,'2. Inputs'!$B$7+'2. Inputs'!$B$9))</f>
        <v>0</v>
      </c>
      <c r="L43" s="13" t="n">
        <f aca="false">IF(J43&lt;0,0,INT(J43/('2. Inputs'!$B$7+'2. Inputs'!$B$9)))</f>
        <v>1</v>
      </c>
      <c r="M43" s="14" t="n">
        <f aca="false">IF($A43&lt;='3. Leases'!$D$4,'3. Leases'!$B$4*'3. Leases'!$C$4/4,IF(K43&lt;'2. Inputs'!$B$7+'2. Inputs'!$B$8,0,'3. Leases'!$B$4*'2. Inputs'!$B$3*(1+'2. Inputs'!$B$4)^(('3. Leases'!$D$4+'2. Inputs'!$B$7+L43*('2. Inputs'!$B$7+'2. Inputs'!$B$9))/4)/4))</f>
        <v>0</v>
      </c>
      <c r="N43" s="14" t="n">
        <f aca="false">IF($A43&lt;='3. Leases'!$D$4,'3. Leases'!$B$4*'3. Leases'!$C$4,IF(K43&lt;'2. Inputs'!$B$7,0,'3. Leases'!$B$4*'2. Inputs'!$B$3*(1+'2. Inputs'!$B$4)^(('3. Leases'!$D$4+'2. Inputs'!$B$7+L43*('2. Inputs'!$B$7+'2. Inputs'!$B$9))/4)))</f>
        <v>0</v>
      </c>
      <c r="O43" s="14" t="n">
        <f aca="false">IF($A43&lt;='3. Leases'!$D$4,0,IF(K43=0,'3. Leases'!$B$4*'2. Inputs'!$B$5*(1+'2. Inputs'!$B$6)^(('3. Leases'!$D$4+L43*('2. Inputs'!$B$7+'2. Inputs'!$B$9))/4),0)+IF(K43='2. Inputs'!$B$7,'2. Inputs'!$B$10*'2. Inputs'!$B$3*(1+'2. Inputs'!$B$4)^(('3. Leases'!$D$4+'2. Inputs'!$B$7+L43*('2. Inputs'!$B$7+'2. Inputs'!$B$9))/4)*'3. Leases'!$B$4,0))</f>
        <v>1656413.15825074</v>
      </c>
      <c r="P43" s="14" t="n">
        <f aca="false">IF($A43&lt;='3. Leases'!$D$4,0,IF(K43&lt;'2. Inputs'!$B$7,'3. Leases'!$B$4,0))</f>
        <v>3100</v>
      </c>
      <c r="Q43" s="13" t="n">
        <f aca="false">$A43-'3. Leases'!$D$5-1</f>
        <v>13</v>
      </c>
      <c r="R43" s="13" t="n">
        <f aca="false">IF(Q43&lt;0,-1,MOD(Q43,'2. Inputs'!$B$7+'2. Inputs'!$B$9))</f>
        <v>13</v>
      </c>
      <c r="S43" s="13" t="n">
        <f aca="false">IF(Q43&lt;0,0,INT(Q43/('2. Inputs'!$B$7+'2. Inputs'!$B$9)))</f>
        <v>0</v>
      </c>
      <c r="T43" s="14" t="n">
        <f aca="false">IF($A43&lt;='3. Leases'!$D$5,'3. Leases'!$B$5*'3. Leases'!$C$5/4,IF(R43&lt;'2. Inputs'!$B$7+'2. Inputs'!$B$8,0,'3. Leases'!$B$5*'2. Inputs'!$B$3*(1+'2. Inputs'!$B$4)^(('3. Leases'!$D$5+'2. Inputs'!$B$7+S43*('2. Inputs'!$B$7+'2. Inputs'!$B$9))/4)/4))</f>
        <v>128665.108489935</v>
      </c>
      <c r="U43" s="14" t="n">
        <f aca="false">IF($A43&lt;='3. Leases'!$D$5,'3. Leases'!$B$5*'3. Leases'!$C$5,IF(R43&lt;'2. Inputs'!$B$7,0,'3. Leases'!$B$5*'2. Inputs'!$B$3*(1+'2. Inputs'!$B$4)^(('3. Leases'!$D$5+'2. Inputs'!$B$7+S43*('2. Inputs'!$B$7+'2. Inputs'!$B$9))/4)))</f>
        <v>514660.43395974</v>
      </c>
      <c r="V43" s="14" t="n">
        <f aca="false">IF($A43&lt;='3. Leases'!$D$5,0,IF(R43=0,'3. Leases'!$B$5*'2. Inputs'!$B$5*(1+'2. Inputs'!$B$6)^(('3. Leases'!$D$5+S43*('2. Inputs'!$B$7+'2. Inputs'!$B$9))/4),0)+IF(R43='2. Inputs'!$B$7,'2. Inputs'!$B$10*'2. Inputs'!$B$3*(1+'2. Inputs'!$B$4)^(('3. Leases'!$D$5+'2. Inputs'!$B$7+S43*('2. Inputs'!$B$7+'2. Inputs'!$B$9))/4)*'3. Leases'!$B$5,0))</f>
        <v>0</v>
      </c>
      <c r="W43" s="14" t="n">
        <f aca="false">IF($A43&lt;='3. Leases'!$D$5,0,IF(R43&lt;'2. Inputs'!$B$7,'3. Leases'!$B$5,0))</f>
        <v>0</v>
      </c>
      <c r="X43" s="13" t="n">
        <f aca="false">$A43-'3. Leases'!$D$6-1</f>
        <v>33</v>
      </c>
      <c r="Y43" s="13" t="n">
        <f aca="false">IF(X43&lt;0,-1,MOD(X43,'2. Inputs'!$B$7+'2. Inputs'!$B$9))</f>
        <v>10</v>
      </c>
      <c r="Z43" s="13" t="n">
        <f aca="false">IF(X43&lt;0,0,INT(X43/('2. Inputs'!$B$7+'2. Inputs'!$B$9)))</f>
        <v>1</v>
      </c>
      <c r="AA43" s="14" t="n">
        <f aca="false">IF($A43&lt;='3. Leases'!$D$6,'3. Leases'!$B$6*'3. Leases'!$C$6/4,IF(Y43&lt;'2. Inputs'!$B$7+'2. Inputs'!$B$8,0,'3. Leases'!$B$6*'2. Inputs'!$B$3*(1+'2. Inputs'!$B$4)^(('3. Leases'!$D$6+'2. Inputs'!$B$7+Z43*('2. Inputs'!$B$7+'2. Inputs'!$B$9))/4)/4))</f>
        <v>84486.943994648</v>
      </c>
      <c r="AB43" s="14" t="n">
        <f aca="false">IF($A43&lt;='3. Leases'!$D$6,'3. Leases'!$B$6*'3. Leases'!$C$6,IF(Y43&lt;'2. Inputs'!$B$7,0,'3. Leases'!$B$6*'2. Inputs'!$B$3*(1+'2. Inputs'!$B$4)^(('3. Leases'!$D$6+'2. Inputs'!$B$7+Z43*('2. Inputs'!$B$7+'2. Inputs'!$B$9))/4)))</f>
        <v>337947.775978592</v>
      </c>
      <c r="AC43" s="14" t="n">
        <f aca="false">IF($A43&lt;='3. Leases'!$D$6,0,IF(Y43=0,'3. Leases'!$B$6*'2. Inputs'!$B$5*(1+'2. Inputs'!$B$6)^(('3. Leases'!$D$6+Z43*('2. Inputs'!$B$7+'2. Inputs'!$B$9))/4),0)+IF(Y43='2. Inputs'!$B$7,'2. Inputs'!$B$10*'2. Inputs'!$B$3*(1+'2. Inputs'!$B$4)^(('3. Leases'!$D$6+'2. Inputs'!$B$7+Z43*('2. Inputs'!$B$7+'2. Inputs'!$B$9))/4)*'3. Leases'!$B$6,0))</f>
        <v>0</v>
      </c>
      <c r="AD43" s="14" t="n">
        <f aca="false">IF($A43&lt;='3. Leases'!$D$6,0,IF(Y43&lt;'2. Inputs'!$B$7,'3. Leases'!$B$6,0))</f>
        <v>0</v>
      </c>
      <c r="AE43" s="13" t="n">
        <f aca="false">$A43-'3. Leases'!$D$7-1</f>
        <v>39</v>
      </c>
      <c r="AF43" s="13" t="n">
        <f aca="false">IF(AE43&lt;0,-1,MOD(AE43,'2. Inputs'!$B$7+'2. Inputs'!$B$9))</f>
        <v>16</v>
      </c>
      <c r="AG43" s="13" t="n">
        <f aca="false">IF(AE43&lt;0,0,INT(AE43/('2. Inputs'!$B$7+'2. Inputs'!$B$9)))</f>
        <v>1</v>
      </c>
      <c r="AH43" s="14" t="n">
        <f aca="false">IF($A43&lt;='3. Leases'!$D$7,'3. Leases'!$B$7*'3. Leases'!$C$7/4,IF(AF43&lt;'2. Inputs'!$B$7+'2. Inputs'!$B$8,0,'3. Leases'!$B$7*'2. Inputs'!$B$3*(1+'2. Inputs'!$B$4)^(('3. Leases'!$D$7+'2. Inputs'!$B$7+AG43*('2. Inputs'!$B$7+'2. Inputs'!$B$9))/4)/4))</f>
        <v>178461.397341873</v>
      </c>
      <c r="AI43" s="14" t="n">
        <f aca="false">IF($A43&lt;='3. Leases'!$D$7,'3. Leases'!$B$7*'3. Leases'!$C$7,IF(AF43&lt;'2. Inputs'!$B$7,0,'3. Leases'!$B$7*'2. Inputs'!$B$3*(1+'2. Inputs'!$B$4)^(('3. Leases'!$D$7+'2. Inputs'!$B$7+AG43*('2. Inputs'!$B$7+'2. Inputs'!$B$9))/4)))</f>
        <v>713845.589367494</v>
      </c>
      <c r="AJ43" s="14" t="n">
        <f aca="false">IF($A43&lt;='3. Leases'!$D$7,0,IF(AF43=0,'3. Leases'!$B$7*'2. Inputs'!$B$5*(1+'2. Inputs'!$B$6)^(('3. Leases'!$D$7+AG43*('2. Inputs'!$B$7+'2. Inputs'!$B$9))/4),0)+IF(AF43='2. Inputs'!$B$7,'2. Inputs'!$B$10*'2. Inputs'!$B$3*(1+'2. Inputs'!$B$4)^(('3. Leases'!$D$7+'2. Inputs'!$B$7+AG43*('2. Inputs'!$B$7+'2. Inputs'!$B$9))/4)*'3. Leases'!$B$7,0))</f>
        <v>0</v>
      </c>
      <c r="AK43" s="14" t="n">
        <f aca="false">IF($A43&lt;='3. Leases'!$D$7,0,IF(AF43&lt;'2. Inputs'!$B$7,'3. Leases'!$B$7,0))</f>
        <v>0</v>
      </c>
      <c r="AL43" s="14" t="n">
        <f aca="false">F43+M43+T43+AA43+AH43</f>
        <v>751781.292075641</v>
      </c>
      <c r="AM43" s="14" t="n">
        <f aca="false">G43+N43+U43+AB43+AI43</f>
        <v>3007125.16830256</v>
      </c>
      <c r="AN43" s="14" t="n">
        <f aca="false">H43+O43+V43+AC43+AJ43+IF($A43='2. Inputs'!$B$14,'2. Inputs'!$B$13,0)</f>
        <v>1656413.15825074</v>
      </c>
      <c r="AO43" s="14" t="n">
        <f aca="false">I43+P43+W43+AD43+AK43</f>
        <v>3100</v>
      </c>
      <c r="AP43" s="14" t="n">
        <f aca="false">AL43*(1-'2. Inputs'!$B$11)-AO43*'2. Inputs'!$B$12/4</f>
        <v>664049.414551102</v>
      </c>
      <c r="AQ43" s="14" t="n">
        <f aca="false">AP43-AN43</f>
        <v>-992363.743699641</v>
      </c>
      <c r="AR43" s="15" t="n">
        <f aca="false">1/(1+((1+'2. Inputs'!$B$15)^0.25-1))^$A43</f>
        <v>0.474053340955238</v>
      </c>
      <c r="AS43" s="14" t="n">
        <f aca="false">AQ43*AR43</f>
        <v>-470433.348143662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6"/>
  </cols>
  <sheetData>
    <row r="1" customFormat="false" ht="16.15" hidden="false" customHeight="false" outlineLevel="0" collapsed="false">
      <c r="A1" s="5" t="s">
        <v>95</v>
      </c>
      <c r="C1" s="4" t="s">
        <v>96</v>
      </c>
    </row>
    <row r="3" customFormat="false" ht="15" hidden="false" customHeight="false" outlineLevel="0" collapsed="false">
      <c r="A3" s="0" t="s">
        <v>97</v>
      </c>
      <c r="B3" s="14" t="n">
        <f aca="false">'4. Cash flow'!AM43</f>
        <v>3007125.16830256</v>
      </c>
      <c r="C3" s="0" t="n">
        <v>0</v>
      </c>
      <c r="D3" s="14" t="n">
        <f aca="false">-'2. Inputs'!$B$19*(1+'2. Inputs'!$B$17)</f>
        <v>-45795000</v>
      </c>
    </row>
    <row r="4" customFormat="false" ht="15" hidden="false" customHeight="false" outlineLevel="0" collapsed="false">
      <c r="A4" s="0" t="s">
        <v>98</v>
      </c>
      <c r="B4" s="14" t="n">
        <f aca="false">'4. Cash flow'!AO43</f>
        <v>3100</v>
      </c>
      <c r="C4" s="0" t="n">
        <v>1</v>
      </c>
      <c r="D4" s="14" t="n">
        <f aca="false">'4. Cash flow'!AQ4</f>
        <v>-220399.1</v>
      </c>
    </row>
    <row r="5" customFormat="false" ht="15" hidden="false" customHeight="false" outlineLevel="0" collapsed="false">
      <c r="A5" s="0" t="s">
        <v>99</v>
      </c>
      <c r="B5" s="16" t="n">
        <f aca="false">'2. Inputs'!$B$3*(1+'2. Inputs'!$B$4)^((40-1)/4)</f>
        <v>346.868743114626</v>
      </c>
      <c r="C5" s="0" t="n">
        <v>2</v>
      </c>
      <c r="D5" s="14" t="n">
        <f aca="false">'4. Cash flow'!AQ5</f>
        <v>686800.9</v>
      </c>
    </row>
    <row r="6" customFormat="false" ht="15" hidden="false" customHeight="false" outlineLevel="0" collapsed="false">
      <c r="A6" s="0" t="s">
        <v>100</v>
      </c>
      <c r="B6" s="16" t="n">
        <f aca="false">'2. Inputs'!$B$5*(1+'2. Inputs'!$B$6)^((40-1)/4)</f>
        <v>534.326825242175</v>
      </c>
      <c r="C6" s="0" t="n">
        <v>3</v>
      </c>
      <c r="D6" s="14" t="n">
        <f aca="false">'4. Cash flow'!AQ6</f>
        <v>686800.9</v>
      </c>
    </row>
    <row r="7" customFormat="false" ht="15" hidden="false" customHeight="false" outlineLevel="0" collapsed="false">
      <c r="A7" s="0" t="s">
        <v>101</v>
      </c>
      <c r="B7" s="14" t="n">
        <f aca="false">(B3+B4*B5)*(1-'2. Inputs'!$B$11)</f>
        <v>3837473.17564043</v>
      </c>
      <c r="C7" s="0" t="n">
        <v>4</v>
      </c>
      <c r="D7" s="14" t="n">
        <f aca="false">'4. Cash flow'!AQ7</f>
        <v>637867.730084101</v>
      </c>
    </row>
    <row r="8" customFormat="false" ht="15" hidden="false" customHeight="false" outlineLevel="0" collapsed="false">
      <c r="A8" s="0" t="s">
        <v>102</v>
      </c>
      <c r="B8" s="14" t="n">
        <f aca="false">(B7/'2. Inputs'!$B$16-B4*B6)*(1-'2. Inputs'!$B$18)</f>
        <v>54367115.6762463</v>
      </c>
      <c r="C8" s="0" t="n">
        <v>5</v>
      </c>
      <c r="D8" s="14" t="n">
        <f aca="false">'4. Cash flow'!AQ8</f>
        <v>716500.9</v>
      </c>
    </row>
    <row r="9" customFormat="false" ht="15" hidden="false" customHeight="false" outlineLevel="0" collapsed="false">
      <c r="A9" s="0" t="s">
        <v>103</v>
      </c>
      <c r="B9" s="14" t="n">
        <f aca="false">SUM('4. Cash flow'!AS4:AS43)</f>
        <v>8894115.06377497</v>
      </c>
      <c r="C9" s="0" t="n">
        <v>6</v>
      </c>
      <c r="D9" s="14" t="n">
        <f aca="false">'4. Cash flow'!AQ9</f>
        <v>716500.9</v>
      </c>
    </row>
    <row r="10" customFormat="false" ht="15" hidden="false" customHeight="false" outlineLevel="0" collapsed="false">
      <c r="A10" s="0" t="s">
        <v>104</v>
      </c>
      <c r="B10" s="14" t="n">
        <f aca="false">B8*'4. Cash flow'!AR43</f>
        <v>25772912.8244244</v>
      </c>
      <c r="C10" s="0" t="n">
        <v>7</v>
      </c>
      <c r="D10" s="14" t="n">
        <f aca="false">'4. Cash flow'!AQ10</f>
        <v>347572.82661038</v>
      </c>
    </row>
    <row r="11" customFormat="false" ht="15" hidden="false" customHeight="false" outlineLevel="0" collapsed="false">
      <c r="A11" s="0" t="s">
        <v>105</v>
      </c>
      <c r="B11" s="14" t="n">
        <f aca="false">B9+B10</f>
        <v>34667027.8881994</v>
      </c>
      <c r="C11" s="0" t="n">
        <v>8</v>
      </c>
      <c r="D11" s="14" t="n">
        <f aca="false">'4. Cash flow'!AQ11</f>
        <v>783420.85775197</v>
      </c>
    </row>
    <row r="12" customFormat="false" ht="15" hidden="false" customHeight="false" outlineLevel="0" collapsed="false">
      <c r="A12" s="0" t="s">
        <v>106</v>
      </c>
      <c r="B12" s="17" t="n">
        <f aca="false">B11/(1+'2. Inputs'!$B$17)</f>
        <v>32551199.8950229</v>
      </c>
      <c r="C12" s="0" t="n">
        <v>9</v>
      </c>
      <c r="D12" s="14" t="n">
        <f aca="false">'4. Cash flow'!AQ12</f>
        <v>783420.85775197</v>
      </c>
    </row>
    <row r="13" customFormat="false" ht="15" hidden="false" customHeight="false" outlineLevel="0" collapsed="false">
      <c r="A13" s="0" t="s">
        <v>107</v>
      </c>
      <c r="B13" s="18" t="n">
        <f aca="false">B10/B11</f>
        <v>0.743441661844842</v>
      </c>
      <c r="C13" s="0" t="n">
        <v>10</v>
      </c>
      <c r="D13" s="14" t="n">
        <f aca="false">'4. Cash flow'!AQ13</f>
        <v>759944.452928525</v>
      </c>
    </row>
    <row r="14" customFormat="false" ht="15" hidden="false" customHeight="false" outlineLevel="0" collapsed="false">
      <c r="A14" s="0" t="s">
        <v>108</v>
      </c>
      <c r="B14" s="14" t="n">
        <f aca="false">SUM('4. Cash flow'!AP4:AP43)</f>
        <v>25754151.3460578</v>
      </c>
      <c r="C14" s="0" t="n">
        <v>11</v>
      </c>
      <c r="D14" s="14" t="n">
        <f aca="false">'4. Cash flow'!AQ14</f>
        <v>-1450770.91631257</v>
      </c>
    </row>
    <row r="15" customFormat="false" ht="15" hidden="false" customHeight="false" outlineLevel="0" collapsed="false">
      <c r="A15" s="0" t="s">
        <v>109</v>
      </c>
      <c r="B15" s="14" t="n">
        <f aca="false">SUM('4. Cash flow'!AN4:AN43)</f>
        <v>13438058.5009865</v>
      </c>
      <c r="C15" s="0" t="n">
        <v>12</v>
      </c>
      <c r="D15" s="14" t="n">
        <f aca="false">'4. Cash flow'!AQ15</f>
        <v>-1474445.14224803</v>
      </c>
    </row>
    <row r="16" customFormat="false" ht="15" hidden="false" customHeight="false" outlineLevel="0" collapsed="false">
      <c r="A16" s="0" t="s">
        <v>110</v>
      </c>
      <c r="B16" s="18" t="n">
        <f aca="false">B15/B14</f>
        <v>0.521782229218882</v>
      </c>
      <c r="C16" s="0" t="n">
        <v>13</v>
      </c>
      <c r="D16" s="14" t="n">
        <f aca="false">'4. Cash flow'!AQ16</f>
        <v>498456.567197883</v>
      </c>
    </row>
    <row r="17" customFormat="false" ht="15" hidden="false" customHeight="false" outlineLevel="0" collapsed="false">
      <c r="A17" s="0" t="s">
        <v>111</v>
      </c>
      <c r="B17" s="14" t="n">
        <f aca="false">'2. Inputs'!$B$19</f>
        <v>43000000</v>
      </c>
      <c r="C17" s="0" t="n">
        <v>14</v>
      </c>
      <c r="D17" s="14" t="n">
        <f aca="false">'4. Cash flow'!AQ17</f>
        <v>397510.403435537</v>
      </c>
    </row>
    <row r="18" customFormat="false" ht="15" hidden="false" customHeight="false" outlineLevel="0" collapsed="false">
      <c r="A18" s="0" t="s">
        <v>112</v>
      </c>
      <c r="B18" s="14" t="n">
        <f aca="false">B17-B12</f>
        <v>10448800.1049771</v>
      </c>
      <c r="C18" s="0" t="n">
        <v>15</v>
      </c>
      <c r="D18" s="14" t="n">
        <f aca="false">'4. Cash flow'!AQ18</f>
        <v>556206.567197883</v>
      </c>
    </row>
    <row r="19" customFormat="false" ht="15" hidden="false" customHeight="false" outlineLevel="0" collapsed="false">
      <c r="A19" s="0" t="s">
        <v>113</v>
      </c>
      <c r="B19" s="19" t="n">
        <f aca="false">(1+IRR(D3:D43,0.01))^4-1</f>
        <v>0.0432289434713613</v>
      </c>
      <c r="C19" s="0" t="n">
        <v>16</v>
      </c>
      <c r="D19" s="14" t="n">
        <f aca="false">'4. Cash flow'!AQ19</f>
        <v>556206.567197883</v>
      </c>
    </row>
    <row r="20" customFormat="false" ht="15" hidden="false" customHeight="false" outlineLevel="0" collapsed="false">
      <c r="C20" s="0" t="n">
        <v>17</v>
      </c>
      <c r="D20" s="14" t="n">
        <f aca="false">'4. Cash flow'!AQ20</f>
        <v>-834995.32902794</v>
      </c>
    </row>
    <row r="21" customFormat="false" ht="15" hidden="false" customHeight="false" outlineLevel="0" collapsed="false">
      <c r="C21" s="0" t="n">
        <v>18</v>
      </c>
      <c r="D21" s="14" t="n">
        <f aca="false">'4. Cash flow'!AQ21</f>
        <v>602169.054565809</v>
      </c>
    </row>
    <row r="22" customFormat="false" ht="15" hidden="false" customHeight="false" outlineLevel="0" collapsed="false">
      <c r="C22" s="0" t="n">
        <v>19</v>
      </c>
      <c r="D22" s="14" t="n">
        <f aca="false">'4. Cash flow'!AQ22</f>
        <v>602169.054565809</v>
      </c>
    </row>
    <row r="23" customFormat="false" ht="15" hidden="false" customHeight="false" outlineLevel="0" collapsed="false">
      <c r="C23" s="0" t="n">
        <v>20</v>
      </c>
      <c r="D23" s="14" t="n">
        <f aca="false">'4. Cash flow'!AQ23</f>
        <v>525015.823409144</v>
      </c>
    </row>
    <row r="24" customFormat="false" ht="15" hidden="false" customHeight="false" outlineLevel="0" collapsed="false">
      <c r="C24" s="0" t="n">
        <v>21</v>
      </c>
      <c r="D24" s="14" t="n">
        <f aca="false">'4. Cash flow'!AQ24</f>
        <v>644794.054565809</v>
      </c>
    </row>
    <row r="25" customFormat="false" ht="15" hidden="false" customHeight="false" outlineLevel="0" collapsed="false">
      <c r="C25" s="0" t="n">
        <v>22</v>
      </c>
      <c r="D25" s="14" t="n">
        <f aca="false">'4. Cash flow'!AQ25</f>
        <v>644794.054565809</v>
      </c>
    </row>
    <row r="26" customFormat="false" ht="15" hidden="false" customHeight="false" outlineLevel="0" collapsed="false">
      <c r="C26" s="0" t="n">
        <v>23</v>
      </c>
      <c r="D26" s="14" t="n">
        <f aca="false">'4. Cash flow'!AQ26</f>
        <v>879359.757247612</v>
      </c>
    </row>
    <row r="27" customFormat="false" ht="15" hidden="false" customHeight="false" outlineLevel="0" collapsed="false">
      <c r="C27" s="0" t="n">
        <v>24</v>
      </c>
      <c r="D27" s="14" t="n">
        <f aca="false">'4. Cash flow'!AQ27</f>
        <v>-349929.46132618</v>
      </c>
    </row>
    <row r="28" customFormat="false" ht="15" hidden="false" customHeight="false" outlineLevel="0" collapsed="false">
      <c r="C28" s="0" t="n">
        <v>25</v>
      </c>
      <c r="D28" s="14" t="n">
        <f aca="false">'4. Cash flow'!AQ28</f>
        <v>695669.799495643</v>
      </c>
    </row>
    <row r="29" customFormat="false" ht="15" hidden="false" customHeight="false" outlineLevel="0" collapsed="false">
      <c r="C29" s="0" t="n">
        <v>26</v>
      </c>
      <c r="D29" s="14" t="n">
        <f aca="false">'4. Cash flow'!AQ29</f>
        <v>695669.799495643</v>
      </c>
    </row>
    <row r="30" customFormat="false" ht="15" hidden="false" customHeight="false" outlineLevel="0" collapsed="false">
      <c r="C30" s="0" t="n">
        <v>27</v>
      </c>
      <c r="D30" s="14" t="n">
        <f aca="false">'4. Cash flow'!AQ30</f>
        <v>-247997.015917393</v>
      </c>
    </row>
    <row r="31" customFormat="false" ht="15" hidden="false" customHeight="false" outlineLevel="0" collapsed="false">
      <c r="C31" s="0" t="n">
        <v>28</v>
      </c>
      <c r="D31" s="14" t="n">
        <f aca="false">'4. Cash flow'!AQ31</f>
        <v>597072.399495643</v>
      </c>
    </row>
    <row r="32" customFormat="false" ht="15" hidden="false" customHeight="false" outlineLevel="0" collapsed="false">
      <c r="C32" s="0" t="n">
        <v>29</v>
      </c>
      <c r="D32" s="14" t="n">
        <f aca="false">'4. Cash flow'!AQ32</f>
        <v>597072.399495643</v>
      </c>
    </row>
    <row r="33" customFormat="false" ht="15" hidden="false" customHeight="false" outlineLevel="0" collapsed="false">
      <c r="C33" s="0" t="n">
        <v>30</v>
      </c>
      <c r="D33" s="14" t="n">
        <f aca="false">'4. Cash flow'!AQ33</f>
        <v>135250.668239268</v>
      </c>
    </row>
    <row r="34" customFormat="false" ht="15" hidden="false" customHeight="false" outlineLevel="0" collapsed="false">
      <c r="C34" s="0" t="n">
        <v>31</v>
      </c>
      <c r="D34" s="14" t="n">
        <f aca="false">'4. Cash flow'!AQ34</f>
        <v>699349.403551091</v>
      </c>
    </row>
    <row r="35" customFormat="false" ht="15" hidden="false" customHeight="false" outlineLevel="0" collapsed="false">
      <c r="C35" s="0" t="n">
        <v>32</v>
      </c>
      <c r="D35" s="14" t="n">
        <f aca="false">'4. Cash flow'!AQ35</f>
        <v>699349.403551091</v>
      </c>
    </row>
    <row r="36" customFormat="false" ht="15" hidden="false" customHeight="false" outlineLevel="0" collapsed="false">
      <c r="C36" s="0" t="n">
        <v>33</v>
      </c>
      <c r="D36" s="14" t="n">
        <f aca="false">'4. Cash flow'!AQ36</f>
        <v>793490.872414199</v>
      </c>
    </row>
    <row r="37" customFormat="false" ht="15" hidden="false" customHeight="false" outlineLevel="0" collapsed="false">
      <c r="C37" s="0" t="n">
        <v>34</v>
      </c>
      <c r="D37" s="14" t="n">
        <f aca="false">'4. Cash flow'!AQ37</f>
        <v>-1697056.85717009</v>
      </c>
    </row>
    <row r="38" customFormat="false" ht="15" hidden="false" customHeight="false" outlineLevel="0" collapsed="false">
      <c r="C38" s="0" t="n">
        <v>35</v>
      </c>
      <c r="D38" s="14" t="n">
        <f aca="false">'4. Cash flow'!AQ38</f>
        <v>465514.618163703</v>
      </c>
    </row>
    <row r="39" customFormat="false" ht="15" hidden="false" customHeight="false" outlineLevel="0" collapsed="false">
      <c r="C39" s="0" t="n">
        <v>36</v>
      </c>
      <c r="D39" s="14" t="n">
        <f aca="false">'4. Cash flow'!AQ39</f>
        <v>544932.345518672</v>
      </c>
    </row>
    <row r="40" customFormat="false" ht="15" hidden="false" customHeight="false" outlineLevel="0" collapsed="false">
      <c r="C40" s="0" t="n">
        <v>37</v>
      </c>
      <c r="D40" s="14" t="n">
        <f aca="false">'4. Cash flow'!AQ40</f>
        <v>429801.781239064</v>
      </c>
    </row>
    <row r="41" customFormat="false" ht="15" hidden="false" customHeight="false" outlineLevel="0" collapsed="false">
      <c r="C41" s="0" t="n">
        <v>38</v>
      </c>
      <c r="D41" s="14" t="n">
        <f aca="false">'4. Cash flow'!AQ41</f>
        <v>602682.345518672</v>
      </c>
    </row>
    <row r="42" customFormat="false" ht="15" hidden="false" customHeight="false" outlineLevel="0" collapsed="false">
      <c r="C42" s="0" t="n">
        <v>39</v>
      </c>
      <c r="D42" s="14" t="n">
        <f aca="false">'4. Cash flow'!AQ42</f>
        <v>602682.345518672</v>
      </c>
    </row>
    <row r="43" customFormat="false" ht="15" hidden="false" customHeight="false" outlineLevel="0" collapsed="false">
      <c r="C43" s="0" t="n">
        <v>40</v>
      </c>
      <c r="D43" s="14" t="n">
        <f aca="false">'4. Cash flow'!AQ43+$B$8</f>
        <v>53374751.9325467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5" t="s">
        <v>114</v>
      </c>
    </row>
    <row r="2" customFormat="false" ht="15" hidden="false" customHeight="false" outlineLevel="0" collapsed="false">
      <c r="A2" s="2" t="s">
        <v>115</v>
      </c>
    </row>
    <row r="3" customFormat="false" ht="15" hidden="false" customHeight="false" outlineLevel="0" collapsed="false">
      <c r="A3" s="2" t="s">
        <v>116</v>
      </c>
    </row>
    <row r="5" customFormat="false" ht="15" hidden="false" customHeight="false" outlineLevel="0" collapsed="false">
      <c r="A5" s="12" t="s">
        <v>117</v>
      </c>
      <c r="B5" s="12" t="s">
        <v>118</v>
      </c>
      <c r="C5" s="12" t="s">
        <v>119</v>
      </c>
      <c r="D5" s="12" t="s">
        <v>120</v>
      </c>
      <c r="E5" s="12" t="s">
        <v>121</v>
      </c>
      <c r="F5" s="12" t="s">
        <v>122</v>
      </c>
      <c r="H5" s="20" t="s">
        <v>123</v>
      </c>
    </row>
    <row r="6" customFormat="false" ht="28.35" hidden="false" customHeight="false" outlineLevel="0" collapsed="false">
      <c r="A6" s="0" t="s">
        <v>124</v>
      </c>
      <c r="B6" s="3" t="s">
        <v>125</v>
      </c>
      <c r="C6" s="0" t="n">
        <v>25754151</v>
      </c>
      <c r="D6" s="14" t="n">
        <f aca="false">'5. Value'!B14</f>
        <v>25754151.3460578</v>
      </c>
      <c r="E6" s="21" t="n">
        <f aca="false">D6-C6</f>
        <v>0.346057768911123</v>
      </c>
      <c r="F6" s="0" t="str">
        <f aca="false">IF(ABS(E6)&lt;=2,"reproduced",IF(ABS(E6)&lt;=2*3,"rounding","to check"))</f>
        <v>reproduced</v>
      </c>
      <c r="H6" s="3" t="s">
        <v>126</v>
      </c>
    </row>
    <row r="7" customFormat="false" ht="15" hidden="false" customHeight="false" outlineLevel="0" collapsed="false">
      <c r="A7" s="0" t="s">
        <v>124</v>
      </c>
      <c r="B7" s="3" t="s">
        <v>127</v>
      </c>
      <c r="C7" s="0" t="n">
        <v>13438059</v>
      </c>
      <c r="D7" s="14" t="n">
        <f aca="false">'5. Value'!B15</f>
        <v>13438058.5009865</v>
      </c>
      <c r="E7" s="21" t="n">
        <f aca="false">D7-C7</f>
        <v>-0.499013504013419</v>
      </c>
      <c r="F7" s="0" t="str">
        <f aca="false">IF(ABS(E7)&lt;=2,"reproduced",IF(ABS(E7)&lt;=2*3,"rounding","to check"))</f>
        <v>reproduced</v>
      </c>
    </row>
    <row r="8" customFormat="false" ht="15" hidden="false" customHeight="false" outlineLevel="0" collapsed="false">
      <c r="A8" s="0" t="s">
        <v>124</v>
      </c>
      <c r="B8" s="3" t="s">
        <v>128</v>
      </c>
      <c r="C8" s="0" t="n">
        <v>3837473</v>
      </c>
      <c r="D8" s="14" t="n">
        <f aca="false">'5. Value'!B7</f>
        <v>3837473.17564043</v>
      </c>
      <c r="E8" s="21" t="n">
        <f aca="false">D8-C8</f>
        <v>0.17564042750746</v>
      </c>
      <c r="F8" s="0" t="str">
        <f aca="false">IF(ABS(E8)&lt;=2,"reproduced",IF(ABS(E8)&lt;=2*3,"rounding","to check"))</f>
        <v>reproduced</v>
      </c>
    </row>
    <row r="9" customFormat="false" ht="15" hidden="false" customHeight="false" outlineLevel="0" collapsed="false">
      <c r="A9" s="0" t="s">
        <v>124</v>
      </c>
      <c r="B9" s="3" t="s">
        <v>129</v>
      </c>
      <c r="C9" s="0" t="n">
        <v>54367116</v>
      </c>
      <c r="D9" s="14" t="n">
        <f aca="false">'5. Value'!B8</f>
        <v>54367115.6762463</v>
      </c>
      <c r="E9" s="21" t="n">
        <f aca="false">D9-C9</f>
        <v>-0.323753707110882</v>
      </c>
      <c r="F9" s="0" t="str">
        <f aca="false">IF(ABS(E9)&lt;=5,"reproduced",IF(ABS(E9)&lt;=5*3,"rounding","to check"))</f>
        <v>reproduced</v>
      </c>
    </row>
    <row r="10" customFormat="false" ht="15" hidden="false" customHeight="false" outlineLevel="0" collapsed="false">
      <c r="A10" s="0" t="s">
        <v>124</v>
      </c>
      <c r="B10" s="3" t="s">
        <v>130</v>
      </c>
      <c r="C10" s="0" t="n">
        <v>32551200</v>
      </c>
      <c r="D10" s="14" t="n">
        <f aca="false">'5. Value'!B12</f>
        <v>32551199.8950229</v>
      </c>
      <c r="E10" s="21" t="n">
        <f aca="false">D10-C10</f>
        <v>-0.10497709736228</v>
      </c>
      <c r="F10" s="0" t="str">
        <f aca="false">IF(ABS(E10)&lt;=5,"reproduced",IF(ABS(E10)&lt;=5*3,"rounding","to check"))</f>
        <v>reproduced</v>
      </c>
    </row>
    <row r="11" customFormat="false" ht="15" hidden="false" customHeight="false" outlineLevel="0" collapsed="false">
      <c r="A11" s="0" t="s">
        <v>131</v>
      </c>
      <c r="B11" s="3" t="s">
        <v>132</v>
      </c>
      <c r="C11" s="0" t="n">
        <v>0.743442</v>
      </c>
      <c r="D11" s="18" t="n">
        <f aca="false">'5. Value'!B13</f>
        <v>0.743441661844842</v>
      </c>
      <c r="E11" s="18" t="n">
        <f aca="false">D11-C11</f>
        <v>-3.38155158541298E-007</v>
      </c>
      <c r="F11" s="0" t="str">
        <f aca="false">IF(ABS(E11)&lt;=0.00005,"reproduced",IF(ABS(E11)&lt;=0.00005*3,"rounding","to check"))</f>
        <v>reproduced</v>
      </c>
    </row>
    <row r="12" customFormat="false" ht="15" hidden="false" customHeight="false" outlineLevel="0" collapsed="false">
      <c r="A12" s="0" t="s">
        <v>124</v>
      </c>
      <c r="B12" s="3" t="s">
        <v>113</v>
      </c>
      <c r="C12" s="0" t="n">
        <v>0.043229</v>
      </c>
      <c r="D12" s="18" t="n">
        <f aca="false">'5. Value'!B19</f>
        <v>0.0432289434713613</v>
      </c>
      <c r="E12" s="18" t="n">
        <f aca="false">D12-C12</f>
        <v>-5.65286386935981E-008</v>
      </c>
      <c r="F12" s="0" t="str">
        <f aca="false">IF(ABS(E12)&lt;=0.0003,"reproduced",IF(ABS(E12)&lt;=0.0003*3,"rounding","to check"))</f>
        <v>reproduced</v>
      </c>
    </row>
    <row r="13" customFormat="false" ht="15" hidden="false" customHeight="false" outlineLevel="0" collapsed="false">
      <c r="A13" s="0" t="s">
        <v>133</v>
      </c>
      <c r="B13" s="0" t="s">
        <v>134</v>
      </c>
      <c r="C13" s="16" t="n">
        <f aca="false">'5. Value'!$B$12</f>
        <v>32551199.8950229</v>
      </c>
      <c r="D13" s="16" t="n">
        <f aca="false">'S00 Base case rebuilt'!J13</f>
        <v>32551199.895023</v>
      </c>
      <c r="E13" s="16" t="n">
        <f aca="false">D13-C13</f>
        <v>0</v>
      </c>
      <c r="F13" s="0" t="str">
        <f aca="false">IF(ABS(E13)&lt;=0.01,"reproduced",IF(ABS(E13)&lt;=0.01*3,"rounding","to check"))</f>
        <v>reproduced</v>
      </c>
      <c r="H13" s="22" t="s">
        <v>135</v>
      </c>
    </row>
    <row r="14" customFormat="false" ht="15" hidden="false" customHeight="false" outlineLevel="0" collapsed="false">
      <c r="A14" s="20" t="s">
        <v>124</v>
      </c>
      <c r="B14" s="21" t="s">
        <v>136</v>
      </c>
      <c r="C14" s="17" t="n">
        <v>-1380000</v>
      </c>
      <c r="D14" s="14" t="n">
        <f aca="false">'7. Year by year'!D6</f>
        <v>-1381850.74788011</v>
      </c>
      <c r="E14" s="14" t="n">
        <f aca="false">D14-C14</f>
        <v>-1850.74788010865</v>
      </c>
      <c r="F14" s="0" t="str">
        <f aca="false">IF(ABS(E14)&lt;=5000,"reproduced",IF(ABS(E14)&lt;=5000*3,"rounding","to check"))</f>
        <v>reproduced</v>
      </c>
    </row>
    <row r="15" customFormat="false" ht="15" hidden="false" customHeight="false" outlineLevel="0" collapsed="false">
      <c r="A15" s="20" t="s">
        <v>124</v>
      </c>
      <c r="B15" s="21" t="s">
        <v>137</v>
      </c>
      <c r="C15" s="17" t="n">
        <v>12320000</v>
      </c>
      <c r="D15" s="14" t="n">
        <f aca="false">'7. Year by year'!D14</f>
        <v>12316092.8450713</v>
      </c>
      <c r="E15" s="14" t="n">
        <f aca="false">D15-C15</f>
        <v>-3907.15492872521</v>
      </c>
      <c r="F15" s="0" t="str">
        <f aca="false">IF(ABS(E15)&lt;=5000,"reproduced",IF(ABS(E15)&lt;=5000*3,"rounding","to check"))</f>
        <v>reproduced</v>
      </c>
    </row>
    <row r="16" customFormat="false" ht="15" hidden="false" customHeight="false" outlineLevel="0" collapsed="false">
      <c r="A16" s="20" t="s">
        <v>124</v>
      </c>
      <c r="B16" s="21" t="s">
        <v>110</v>
      </c>
      <c r="C16" s="19" t="n">
        <v>0.52</v>
      </c>
      <c r="D16" s="18" t="n">
        <f aca="false">'7. Year by year'!B15</f>
        <v>0.521782229218882</v>
      </c>
      <c r="E16" s="18" t="n">
        <f aca="false">D16-C16</f>
        <v>0.00178222921888205</v>
      </c>
      <c r="F16" s="0" t="str">
        <f aca="false">IF(ABS(E16)&lt;=0.005,"reproduced",IF(ABS(E16)&lt;=0.005*3,"rounding","to check"))</f>
        <v>reproduced</v>
      </c>
    </row>
    <row r="17" customFormat="false" ht="15" hidden="false" customHeight="false" outlineLevel="0" collapsed="false">
      <c r="A17" s="0" t="s">
        <v>124</v>
      </c>
      <c r="B17" s="0" t="s">
        <v>138</v>
      </c>
      <c r="C17" s="18" t="n">
        <v>0.029</v>
      </c>
      <c r="D17" s="18" t="n">
        <f aca="false">'7. Year by year'!B16</f>
        <v>0.0286420763838867</v>
      </c>
      <c r="E17" s="18" t="n">
        <f aca="false">D17-C17</f>
        <v>-0.000357923616113316</v>
      </c>
      <c r="F17" s="0" t="str">
        <f aca="false">IF(ABS(E17)&lt;=0.0005,"reproduced",IF(ABS(E17)&lt;=0.0005*3,"rounding","to check"))</f>
        <v>reproduced</v>
      </c>
    </row>
    <row r="18" customFormat="false" ht="15" hidden="false" customHeight="false" outlineLevel="0" collapsed="false">
      <c r="A18" s="0" t="s">
        <v>124</v>
      </c>
      <c r="B18" s="0" t="s">
        <v>139</v>
      </c>
      <c r="C18" s="14" t="n">
        <v>3384000</v>
      </c>
      <c r="D18" s="14" t="n">
        <f aca="false">'S11 No rental growth'!J8</f>
        <v>3384000</v>
      </c>
      <c r="E18" s="14" t="n">
        <f aca="false">D18-C18</f>
        <v>0</v>
      </c>
      <c r="F18" s="0" t="str">
        <f aca="false">IF(ABS(E18)&lt;=1,"reproduced",IF(ABS(E18)&lt;=1*3,"rounding","to check"))</f>
        <v>reproduced</v>
      </c>
    </row>
    <row r="19" customFormat="false" ht="15" hidden="false" customHeight="false" outlineLevel="0" collapsed="false">
      <c r="A19" s="0" t="s">
        <v>124</v>
      </c>
      <c r="B19" s="0" t="s">
        <v>140</v>
      </c>
      <c r="C19" s="18" t="n">
        <v>0.397</v>
      </c>
      <c r="D19" s="18" t="n">
        <f aca="false">'7. Year by year'!B19</f>
        <v>0.39686522529325</v>
      </c>
      <c r="E19" s="18" t="n">
        <f aca="false">D19-C19</f>
        <v>-0.000134774706749941</v>
      </c>
      <c r="F19" s="0" t="str">
        <f aca="false">IF(ABS(E19)&lt;=0.0005,"reproduced",IF(ABS(E19)&lt;=0.0005*3,"rounding","to check"))</f>
        <v>reproduced</v>
      </c>
    </row>
    <row r="20" customFormat="false" ht="15" hidden="false" customHeight="false" outlineLevel="0" collapsed="false">
      <c r="A20" s="0" t="s">
        <v>124</v>
      </c>
      <c r="B20" s="0" t="s">
        <v>141</v>
      </c>
      <c r="C20" s="18" t="n">
        <v>0.232</v>
      </c>
      <c r="D20" s="18" t="n">
        <f aca="false">'7. Year by year'!B20</f>
        <v>0.231798036374151</v>
      </c>
      <c r="E20" s="18" t="n">
        <f aca="false">D20-C20</f>
        <v>-0.000201963625848595</v>
      </c>
      <c r="F20" s="0" t="str">
        <f aca="false">IF(ABS(E20)&lt;=0.0005,"reproduced",IF(ABS(E20)&lt;=0.0005*3,"rounding","to check"))</f>
        <v>reproduced</v>
      </c>
    </row>
    <row r="21" customFormat="false" ht="15" hidden="false" customHeight="false" outlineLevel="0" collapsed="false">
      <c r="A21" s="0" t="s">
        <v>142</v>
      </c>
      <c r="B21" s="0" t="s">
        <v>143</v>
      </c>
      <c r="C21" s="14" t="n">
        <v>31600000</v>
      </c>
      <c r="D21" s="14" t="n">
        <f aca="false">'S01 Void of 15 months'!J13</f>
        <v>31567926.7912539</v>
      </c>
      <c r="E21" s="14" t="n">
        <f aca="false">D21-C21</f>
        <v>-32073.2087461501</v>
      </c>
      <c r="F21" s="0" t="str">
        <f aca="false">IF(ABS(E21)&lt;=50000,"reproduced",IF(ABS(E21)&lt;=50000*3,"rounding","to check"))</f>
        <v>reproduced</v>
      </c>
    </row>
    <row r="22" customFormat="false" ht="15" hidden="false" customHeight="false" outlineLevel="0" collapsed="false">
      <c r="A22" s="0" t="s">
        <v>142</v>
      </c>
      <c r="B22" s="0" t="s">
        <v>144</v>
      </c>
      <c r="C22" s="18" t="n">
        <v>-0.03</v>
      </c>
      <c r="D22" s="18" t="n">
        <f aca="false">'S01 Void of 15 months'!J19</f>
        <v>-0.0302069695415251</v>
      </c>
      <c r="E22" s="18" t="n">
        <f aca="false">D22-C22</f>
        <v>-0.000206969541525132</v>
      </c>
      <c r="F22" s="0" t="str">
        <f aca="false">IF(ABS(E22)&lt;=0.0005,"reproduced",IF(ABS(E22)&lt;=0.0005*3,"rounding","to check"))</f>
        <v>reproduced</v>
      </c>
    </row>
    <row r="23" customFormat="false" ht="15" hidden="false" customHeight="false" outlineLevel="0" collapsed="false">
      <c r="A23" s="0" t="s">
        <v>142</v>
      </c>
      <c r="B23" s="0" t="s">
        <v>145</v>
      </c>
      <c r="C23" s="14" t="n">
        <v>2100000</v>
      </c>
      <c r="D23" s="14" t="n">
        <f aca="false">'S02 Void of 3 months'!J18</f>
        <v>2145211.74604831</v>
      </c>
      <c r="E23" s="14" t="n">
        <f aca="false">D23-C23</f>
        <v>45211.7460483126</v>
      </c>
      <c r="F23" s="0" t="str">
        <f aca="false">IF(ABS(E23)&lt;=50000,"reproduced",IF(ABS(E23)&lt;=50000*3,"rounding","to check"))</f>
        <v>reproduced</v>
      </c>
    </row>
    <row r="24" customFormat="false" ht="15" hidden="false" customHeight="false" outlineLevel="0" collapsed="false">
      <c r="A24" s="0" t="s">
        <v>142</v>
      </c>
      <c r="B24" s="0" t="s">
        <v>146</v>
      </c>
      <c r="C24" s="18" t="n">
        <v>0.066</v>
      </c>
      <c r="D24" s="18" t="n">
        <f aca="false">'S02 Void of 3 months'!J19</f>
        <v>0.0659026933866214</v>
      </c>
      <c r="E24" s="18" t="n">
        <f aca="false">D24-C24</f>
        <v>-9.73066133786449E-005</v>
      </c>
      <c r="F24" s="0" t="str">
        <f aca="false">IF(ABS(E24)&lt;=0.0005,"reproduced",IF(ABS(E24)&lt;=0.0005*3,"rounding","to check"))</f>
        <v>reproduced</v>
      </c>
    </row>
    <row r="25" customFormat="false" ht="15" hidden="false" customHeight="false" outlineLevel="0" collapsed="false">
      <c r="A25" s="0" t="s">
        <v>142</v>
      </c>
      <c r="B25" s="0" t="s">
        <v>147</v>
      </c>
      <c r="C25" s="18" t="n">
        <v>0.0534</v>
      </c>
      <c r="D25" s="18" t="n">
        <f aca="false">'S03 No void at all'!J15</f>
        <v>0.0533937223309904</v>
      </c>
      <c r="E25" s="18" t="n">
        <f aca="false">D25-C25</f>
        <v>-6.27766900962445E-006</v>
      </c>
      <c r="F25" s="0" t="str">
        <f aca="false">IF(ABS(E25)&lt;=0.00005,"reproduced",IF(ABS(E25)&lt;=0.00005*3,"rounding","to check"))</f>
        <v>reproduced</v>
      </c>
    </row>
    <row r="26" customFormat="false" ht="15" hidden="false" customHeight="false" outlineLevel="0" collapsed="false">
      <c r="A26" s="0" t="s">
        <v>131</v>
      </c>
      <c r="B26" s="0" t="s">
        <v>148</v>
      </c>
      <c r="C26" s="14" t="n">
        <v>8894115</v>
      </c>
      <c r="D26" s="14" t="n">
        <f aca="false">'9. Exit, energy, cliffs'!B4</f>
        <v>8894115.06377497</v>
      </c>
      <c r="E26" s="14" t="n">
        <f aca="false">D26-C26</f>
        <v>0.0637749675661326</v>
      </c>
      <c r="F26" s="0" t="str">
        <f aca="false">IF(ABS(E26)&lt;=1,"reproduced",IF(ABS(E26)&lt;=1*3,"rounding","to check"))</f>
        <v>reproduced</v>
      </c>
    </row>
    <row r="27" customFormat="false" ht="15" hidden="false" customHeight="false" outlineLevel="0" collapsed="false">
      <c r="A27" s="0" t="s">
        <v>131</v>
      </c>
      <c r="B27" s="0" t="s">
        <v>149</v>
      </c>
      <c r="C27" s="14" t="n">
        <v>25772913</v>
      </c>
      <c r="D27" s="14" t="n">
        <f aca="false">'9. Exit, energy, cliffs'!B5</f>
        <v>25772912.8244244</v>
      </c>
      <c r="E27" s="14" t="n">
        <f aca="false">D27-C27</f>
        <v>-0.175575580447912</v>
      </c>
      <c r="F27" s="0" t="str">
        <f aca="false">IF(ABS(E27)&lt;=1,"reproduced",IF(ABS(E27)&lt;=1*3,"rounding","to check"))</f>
        <v>reproduced</v>
      </c>
    </row>
    <row r="28" customFormat="false" ht="15" hidden="false" customHeight="false" outlineLevel="0" collapsed="false">
      <c r="A28" s="0" t="s">
        <v>131</v>
      </c>
      <c r="B28" s="0" t="s">
        <v>150</v>
      </c>
      <c r="C28" s="14" t="n">
        <v>36900000</v>
      </c>
      <c r="D28" s="14" t="n">
        <f aca="false">'S04 Exit yield 5.75 per cent'!J13</f>
        <v>36886184.6009989</v>
      </c>
      <c r="E28" s="14" t="n">
        <f aca="false">D28-C28</f>
        <v>-13815.3990010545</v>
      </c>
      <c r="F28" s="0" t="str">
        <f aca="false">IF(ABS(E28)&lt;=50000,"reproduced",IF(ABS(E28)&lt;=50000*3,"rounding","to check"))</f>
        <v>reproduced</v>
      </c>
    </row>
    <row r="29" customFormat="false" ht="15" hidden="false" customHeight="false" outlineLevel="0" collapsed="false">
      <c r="A29" s="0" t="s">
        <v>131</v>
      </c>
      <c r="B29" s="0" t="s">
        <v>151</v>
      </c>
      <c r="C29" s="18" t="n">
        <v>0.133</v>
      </c>
      <c r="D29" s="18" t="n">
        <f aca="false">'S04 Exit yield 5.75 per cent'!J19</f>
        <v>0.133174344416068</v>
      </c>
      <c r="E29" s="18" t="n">
        <f aca="false">D29-C29</f>
        <v>0.000174344416067562</v>
      </c>
      <c r="F29" s="0" t="str">
        <f aca="false">IF(ABS(E29)&lt;=0.0005,"reproduced",IF(ABS(E29)&lt;=0.0005*3,"rounding","to check"))</f>
        <v>reproduced</v>
      </c>
    </row>
    <row r="30" customFormat="false" ht="15" hidden="false" customHeight="false" outlineLevel="0" collapsed="false">
      <c r="A30" s="0" t="s">
        <v>131</v>
      </c>
      <c r="B30" s="0" t="s">
        <v>152</v>
      </c>
      <c r="C30" s="18" t="n">
        <v>0.0587</v>
      </c>
      <c r="D30" s="18" t="n">
        <f aca="false">'S04 Exit yield 5.75 per cent'!J15</f>
        <v>0.0587282923782302</v>
      </c>
      <c r="E30" s="18" t="n">
        <f aca="false">D30-C30</f>
        <v>2.82923782301825E-005</v>
      </c>
      <c r="F30" s="0" t="str">
        <f aca="false">IF(ABS(E30)&lt;=0.00005,"reproduced",IF(ABS(E30)&lt;=0.00005*3,"rounding","to check"))</f>
        <v>reproduced</v>
      </c>
    </row>
    <row r="31" customFormat="false" ht="15" hidden="false" customHeight="false" outlineLevel="0" collapsed="false">
      <c r="A31" s="0" t="s">
        <v>131</v>
      </c>
      <c r="B31" s="0" t="s">
        <v>153</v>
      </c>
      <c r="C31" s="14" t="n">
        <v>29300000</v>
      </c>
      <c r="D31" s="14" t="n">
        <f aca="false">'S05 Exit yield 7.75 per cent'!J13</f>
        <v>29334920.9196214</v>
      </c>
      <c r="E31" s="14" t="n">
        <f aca="false">D31-C31</f>
        <v>34920.9196214341</v>
      </c>
      <c r="F31" s="0" t="str">
        <f aca="false">IF(ABS(E31)&lt;=50000,"reproduced",IF(ABS(E31)&lt;=50000*3,"rounding","to check"))</f>
        <v>reproduced</v>
      </c>
    </row>
    <row r="32" customFormat="false" ht="15" hidden="false" customHeight="false" outlineLevel="0" collapsed="false">
      <c r="A32" s="0" t="s">
        <v>131</v>
      </c>
      <c r="B32" s="0" t="s">
        <v>154</v>
      </c>
      <c r="C32" s="18" t="n">
        <v>-0.099</v>
      </c>
      <c r="D32" s="18" t="n">
        <f aca="false">'S05 Exit yield 7.75 per cent'!J19</f>
        <v>-0.0988067716635306</v>
      </c>
      <c r="E32" s="18" t="n">
        <f aca="false">D32-C32</f>
        <v>0.000193228336469425</v>
      </c>
      <c r="F32" s="0" t="str">
        <f aca="false">IF(ABS(E32)&lt;=0.0005,"reproduced",IF(ABS(E32)&lt;=0.0005*3,"rounding","to check"))</f>
        <v>reproduced</v>
      </c>
    </row>
    <row r="33" customFormat="false" ht="15" hidden="false" customHeight="false" outlineLevel="0" collapsed="false">
      <c r="A33" s="0" t="s">
        <v>131</v>
      </c>
      <c r="B33" s="0" t="s">
        <v>155</v>
      </c>
      <c r="C33" s="18" t="n">
        <v>0.0301</v>
      </c>
      <c r="D33" s="18" t="n">
        <f aca="false">'S05 Exit yield 7.75 per cent'!J15</f>
        <v>0.030141843304581</v>
      </c>
      <c r="E33" s="18" t="n">
        <f aca="false">D33-C33</f>
        <v>4.18433045810303E-005</v>
      </c>
      <c r="F33" s="0" t="str">
        <f aca="false">IF(ABS(E33)&lt;=0.00005,"reproduced",IF(ABS(E33)&lt;=0.00005*3,"rounding","to check"))</f>
        <v>reproduced</v>
      </c>
    </row>
    <row r="34" customFormat="false" ht="15" hidden="false" customHeight="false" outlineLevel="0" collapsed="false">
      <c r="A34" s="0" t="s">
        <v>131</v>
      </c>
      <c r="B34" s="0" t="s">
        <v>156</v>
      </c>
      <c r="C34" s="14" t="n">
        <v>55200000</v>
      </c>
      <c r="D34" s="14" t="n">
        <f aca="false">'9. Exit, energy, cliffs'!B9</f>
        <v>55195041.2956815</v>
      </c>
      <c r="E34" s="14" t="n">
        <f aca="false">D34-C34</f>
        <v>-4958.70431848615</v>
      </c>
      <c r="F34" s="0" t="str">
        <f aca="false">IF(ABS(E34)&lt;=50000,"reproduced",IF(ABS(E34)&lt;=50000*3,"rounding","to check"))</f>
        <v>reproduced</v>
      </c>
    </row>
    <row r="35" customFormat="false" ht="15" hidden="false" customHeight="false" outlineLevel="0" collapsed="false">
      <c r="A35" s="0" t="s">
        <v>131</v>
      </c>
      <c r="B35" s="0" t="s">
        <v>157</v>
      </c>
      <c r="C35" s="18" t="n">
        <v>0.0653</v>
      </c>
      <c r="D35" s="18" t="n">
        <f aca="false">'9. Exit, energy, cliffs'!B10</f>
        <v>0.0652823353909939</v>
      </c>
      <c r="E35" s="18" t="n">
        <f aca="false">D35-C35</f>
        <v>-1.76646090060961E-005</v>
      </c>
      <c r="F35" s="0" t="str">
        <f aca="false">IF(ABS(E35)&lt;=0.00005,"reproduced",IF(ABS(E35)&lt;=0.00005*3,"rounding","to check"))</f>
        <v>reproduced</v>
      </c>
    </row>
    <row r="36" customFormat="false" ht="15" hidden="false" customHeight="false" outlineLevel="0" collapsed="false">
      <c r="A36" s="0" t="s">
        <v>131</v>
      </c>
      <c r="B36" s="0" t="s">
        <v>158</v>
      </c>
      <c r="C36" s="18" t="n">
        <v>0.0273</v>
      </c>
      <c r="D36" s="18" t="n">
        <f aca="false">'9. Exit, energy, cliffs'!B11</f>
        <v>0.0272853767731573</v>
      </c>
      <c r="E36" s="18" t="n">
        <f aca="false">D36-C36</f>
        <v>-1.46232268427408E-005</v>
      </c>
      <c r="F36" s="0" t="str">
        <f aca="false">IF(ABS(E36)&lt;=0.00005,"reproduced",IF(ABS(E36)&lt;=0.00005*3,"rounding","to check"))</f>
        <v>reproduced</v>
      </c>
    </row>
    <row r="37" customFormat="false" ht="15" hidden="false" customHeight="false" outlineLevel="0" collapsed="false">
      <c r="A37" s="0" t="s">
        <v>159</v>
      </c>
      <c r="B37" s="0" t="s">
        <v>160</v>
      </c>
      <c r="C37" s="14" t="n">
        <v>19700000</v>
      </c>
      <c r="D37" s="14" t="n">
        <f aca="false">'9. Exit, energy, cliffs'!B15</f>
        <v>19721722.2752656</v>
      </c>
      <c r="E37" s="14" t="n">
        <f aca="false">D37-C37</f>
        <v>21722.2752656303</v>
      </c>
      <c r="F37" s="0" t="str">
        <f aca="false">IF(ABS(E37)&lt;=50000,"reproduced",IF(ABS(E37)&lt;=50000*3,"rounding","to check"))</f>
        <v>reproduced</v>
      </c>
    </row>
    <row r="38" customFormat="false" ht="15" hidden="false" customHeight="false" outlineLevel="0" collapsed="false">
      <c r="A38" s="0" t="s">
        <v>159</v>
      </c>
      <c r="B38" s="0" t="s">
        <v>161</v>
      </c>
      <c r="C38" s="14" t="n">
        <v>12800000</v>
      </c>
      <c r="D38" s="14" t="n">
        <f aca="false">'9. Exit, energy, cliffs'!B16</f>
        <v>12829477.6197573</v>
      </c>
      <c r="E38" s="14" t="n">
        <f aca="false">D38-C38</f>
        <v>29477.6197572723</v>
      </c>
      <c r="F38" s="0" t="str">
        <f aca="false">IF(ABS(E38)&lt;=50000,"reproduced",IF(ABS(E38)&lt;=50000*3,"rounding","to check"))</f>
        <v>reproduced</v>
      </c>
    </row>
    <row r="39" customFormat="false" ht="15" hidden="false" customHeight="false" outlineLevel="0" collapsed="false">
      <c r="A39" s="0" t="s">
        <v>159</v>
      </c>
      <c r="B39" s="0" t="s">
        <v>162</v>
      </c>
      <c r="C39" s="14" t="n">
        <v>1400000</v>
      </c>
      <c r="D39" s="14" t="n">
        <f aca="false">'9. Exit, energy, cliffs'!B17</f>
        <v>1426107.14800636</v>
      </c>
      <c r="E39" s="14" t="n">
        <f aca="false">D39-C39</f>
        <v>26107.1480063563</v>
      </c>
      <c r="F39" s="0" t="str">
        <f aca="false">IF(ABS(E39)&lt;=50000,"reproduced",IF(ABS(E39)&lt;=50000*3,"rounding","to check"))</f>
        <v>reproduced</v>
      </c>
      <c r="H39" s="22" t="s">
        <v>163</v>
      </c>
    </row>
    <row r="40" customFormat="false" ht="15" hidden="false" customHeight="false" outlineLevel="0" collapsed="false">
      <c r="A40" s="0" t="s">
        <v>159</v>
      </c>
      <c r="B40" s="0" t="s">
        <v>164</v>
      </c>
      <c r="C40" s="14" t="n">
        <v>14300000</v>
      </c>
      <c r="D40" s="14" t="n">
        <f aca="false">'9. Exit, energy, cliffs'!B18</f>
        <v>14255584.7677636</v>
      </c>
      <c r="E40" s="14" t="n">
        <f aca="false">D40-C40</f>
        <v>-44415.2322363704</v>
      </c>
      <c r="F40" s="0" t="str">
        <f aca="false">IF(ABS(E40)&lt;=50000,"reproduced",IF(ABS(E40)&lt;=50000*3,"rounding","to check"))</f>
        <v>reproduced</v>
      </c>
      <c r="H40" s="22" t="s">
        <v>165</v>
      </c>
    </row>
    <row r="41" customFormat="false" ht="15" hidden="false" customHeight="false" outlineLevel="0" collapsed="false">
      <c r="A41" s="0" t="s">
        <v>159</v>
      </c>
      <c r="B41" s="0" t="s">
        <v>166</v>
      </c>
      <c r="C41" s="16" t="n">
        <v>7.5</v>
      </c>
      <c r="D41" s="16" t="n">
        <f aca="false">'9. Exit, energy, cliffs'!B19</f>
        <v>7.50293935145454</v>
      </c>
      <c r="E41" s="16" t="n">
        <f aca="false">D41-C41</f>
        <v>0.00293935145454149</v>
      </c>
      <c r="F41" s="0" t="str">
        <f aca="false">IF(ABS(E41)&lt;=0.05,"reproduced",IF(ABS(E41)&lt;=0.05*3,"rounding","to check"))</f>
        <v>reproduced</v>
      </c>
      <c r="H41" s="22" t="s">
        <v>167</v>
      </c>
    </row>
    <row r="42" customFormat="false" ht="15" hidden="false" customHeight="false" outlineLevel="0" collapsed="false">
      <c r="A42" s="0" t="s">
        <v>168</v>
      </c>
      <c r="B42" s="0" t="s">
        <v>169</v>
      </c>
      <c r="C42" s="14" t="n">
        <v>25400000</v>
      </c>
      <c r="D42" s="14" t="n">
        <f aca="false">'9. Exit, energy, cliffs'!B24</f>
        <v>25403184.6509495</v>
      </c>
      <c r="E42" s="14" t="n">
        <f aca="false">D42-C42</f>
        <v>3184.65094951913</v>
      </c>
      <c r="F42" s="0" t="str">
        <f aca="false">IF(ABS(E42)&lt;=50000,"reproduced",IF(ABS(E42)&lt;=50000*3,"rounding","to check"))</f>
        <v>reproduced</v>
      </c>
    </row>
    <row r="43" customFormat="false" ht="15" hidden="false" customHeight="false" outlineLevel="0" collapsed="false">
      <c r="A43" s="0" t="s">
        <v>168</v>
      </c>
      <c r="B43" s="0" t="s">
        <v>170</v>
      </c>
      <c r="C43" s="14" t="n">
        <v>7100000</v>
      </c>
      <c r="D43" s="14" t="n">
        <f aca="false">'9. Exit, energy, cliffs'!B25</f>
        <v>7148015.24407338</v>
      </c>
      <c r="E43" s="14" t="n">
        <f aca="false">D43-C43</f>
        <v>48015.2440733835</v>
      </c>
      <c r="F43" s="0" t="str">
        <f aca="false">IF(ABS(E43)&lt;=50000,"reproduced",IF(ABS(E43)&lt;=50000*3,"rounding","to check"))</f>
        <v>reproduced</v>
      </c>
    </row>
    <row r="44" customFormat="false" ht="15" hidden="false" customHeight="false" outlineLevel="0" collapsed="false">
      <c r="A44" s="0" t="s">
        <v>168</v>
      </c>
      <c r="B44" s="0" t="s">
        <v>171</v>
      </c>
      <c r="C44" s="14" t="n">
        <v>3960000</v>
      </c>
      <c r="D44" s="14" t="n">
        <f aca="false">'9. Exit, energy, cliffs'!B26</f>
        <v>3960000</v>
      </c>
      <c r="E44" s="14" t="n">
        <f aca="false">D44-C44</f>
        <v>0</v>
      </c>
      <c r="F44" s="0" t="str">
        <f aca="false">IF(ABS(E44)&lt;=1,"reproduced",IF(ABS(E44)&lt;=1*3,"rounding","to check"))</f>
        <v>reproduced</v>
      </c>
    </row>
    <row r="45" customFormat="false" ht="15" hidden="false" customHeight="false" outlineLevel="0" collapsed="false">
      <c r="A45" s="0" t="s">
        <v>168</v>
      </c>
      <c r="B45" s="0" t="s">
        <v>172</v>
      </c>
      <c r="C45" s="16" t="n">
        <v>1.8</v>
      </c>
      <c r="D45" s="16" t="n">
        <f aca="false">'9. Exit, energy, cliffs'!B27</f>
        <v>1.80505435456399</v>
      </c>
      <c r="E45" s="16" t="n">
        <f aca="false">D45-C45</f>
        <v>0.00505435456398562</v>
      </c>
      <c r="F45" s="0" t="str">
        <f aca="false">IF(ABS(E45)&lt;=0.05,"reproduced",IF(ABS(E45)&lt;=0.05*3,"rounding","to check"))</f>
        <v>reproduced</v>
      </c>
    </row>
    <row r="46" customFormat="false" ht="15" hidden="false" customHeight="false" outlineLevel="0" collapsed="false">
      <c r="A46" s="0" t="s">
        <v>173</v>
      </c>
      <c r="B46" s="0" t="s">
        <v>174</v>
      </c>
      <c r="C46" s="16" t="n">
        <v>1121.25</v>
      </c>
      <c r="D46" s="16" t="n">
        <f aca="false">'9. Exit, energy, cliffs'!B31</f>
        <v>1121.25</v>
      </c>
      <c r="E46" s="16" t="n">
        <f aca="false">D46-C46</f>
        <v>0</v>
      </c>
      <c r="F46" s="0" t="str">
        <f aca="false">IF(ABS(E46)&lt;=0.01,"reproduced",IF(ABS(E46)&lt;=0.01*3,"rounding","to check"))</f>
        <v>reproduced</v>
      </c>
    </row>
    <row r="47" customFormat="false" ht="15" hidden="false" customHeight="false" outlineLevel="0" collapsed="false">
      <c r="A47" s="0" t="s">
        <v>173</v>
      </c>
      <c r="B47" s="0" t="s">
        <v>175</v>
      </c>
      <c r="C47" s="14" t="n">
        <v>-3116191</v>
      </c>
      <c r="D47" s="14" t="n">
        <f aca="false">'9. Exit, energy, cliffs'!B34</f>
        <v>-3116191.28473692</v>
      </c>
      <c r="E47" s="14" t="n">
        <f aca="false">D47-C47</f>
        <v>-0.284736920148134</v>
      </c>
      <c r="F47" s="0" t="str">
        <f aca="false">IF(ABS(E47)&lt;=1,"reproduced",IF(ABS(E47)&lt;=1*3,"rounding","to check"))</f>
        <v>reproduced</v>
      </c>
    </row>
    <row r="48" customFormat="false" ht="15" hidden="false" customHeight="false" outlineLevel="0" collapsed="false">
      <c r="A48" s="0" t="s">
        <v>173</v>
      </c>
      <c r="B48" s="0" t="s">
        <v>176</v>
      </c>
      <c r="C48" s="14" t="n">
        <v>24481528</v>
      </c>
      <c r="D48" s="14" t="n">
        <f aca="false">'9. Exit, energy, cliffs'!B35</f>
        <v>24481527.9425956</v>
      </c>
      <c r="E48" s="14" t="n">
        <f aca="false">D48-C48</f>
        <v>-0.0574044175446034</v>
      </c>
      <c r="F48" s="0" t="str">
        <f aca="false">IF(ABS(E48)&lt;=1,"reproduced",IF(ABS(E48)&lt;=1*3,"rounding","to check"))</f>
        <v>reproduced</v>
      </c>
    </row>
    <row r="49" customFormat="false" ht="15" hidden="false" customHeight="false" outlineLevel="0" collapsed="false">
      <c r="A49" s="0" t="s">
        <v>173</v>
      </c>
      <c r="B49" s="0" t="s">
        <v>177</v>
      </c>
      <c r="C49" s="14" t="n">
        <v>21365337</v>
      </c>
      <c r="D49" s="14" t="n">
        <f aca="false">'9. Exit, energy, cliffs'!B36</f>
        <v>21365336.6578587</v>
      </c>
      <c r="E49" s="14" t="n">
        <f aca="false">D49-C49</f>
        <v>-0.342141337692738</v>
      </c>
      <c r="F49" s="0" t="str">
        <f aca="false">IF(ABS(E49)&lt;=1,"reproduced",IF(ABS(E49)&lt;=1*3,"rounding","to check"))</f>
        <v>reproduced</v>
      </c>
    </row>
    <row r="50" customFormat="false" ht="15" hidden="false" customHeight="false" outlineLevel="0" collapsed="false">
      <c r="A50" s="0" t="s">
        <v>173</v>
      </c>
      <c r="B50" s="0" t="s">
        <v>178</v>
      </c>
      <c r="C50" s="14" t="n">
        <v>20100000</v>
      </c>
      <c r="D50" s="14" t="n">
        <f aca="false">'9. Exit, energy, cliffs'!C31</f>
        <v>20061348.9745152</v>
      </c>
      <c r="E50" s="14" t="n">
        <f aca="false">D50-C50</f>
        <v>-38651.0254848227</v>
      </c>
      <c r="F50" s="0" t="str">
        <f aca="false">IF(ABS(E50)&lt;=50000,"reproduced",IF(ABS(E50)&lt;=50000*3,"rounding","to check"))</f>
        <v>reproduced</v>
      </c>
    </row>
    <row r="51" customFormat="false" ht="15" hidden="false" customHeight="false" outlineLevel="0" collapsed="false">
      <c r="A51" s="0" t="s">
        <v>173</v>
      </c>
      <c r="B51" s="0" t="s">
        <v>179</v>
      </c>
      <c r="C51" s="14" t="n">
        <f aca="false">'9. Exit, energy, cliffs'!C33</f>
        <v>4945816.07290804</v>
      </c>
      <c r="D51" s="14" t="n">
        <f aca="false">'9. Exit, energy, cliffs'!C32</f>
        <v>4944399.28641395</v>
      </c>
      <c r="E51" s="14" t="n">
        <f aca="false">D51-C51</f>
        <v>-1416.78649408557</v>
      </c>
      <c r="F51" s="0" t="str">
        <f aca="false">IF(ABS(E51)&lt;=50000,"reproduced",IF(ABS(E51)&lt;=50000*3,"rounding","to check"))</f>
        <v>reproduced</v>
      </c>
      <c r="H51" s="22" t="s">
        <v>180</v>
      </c>
    </row>
    <row r="52" customFormat="false" ht="15" hidden="false" customHeight="false" outlineLevel="0" collapsed="false">
      <c r="A52" s="0" t="s">
        <v>173</v>
      </c>
      <c r="B52" s="0" t="s">
        <v>181</v>
      </c>
      <c r="C52" s="18" t="n">
        <v>0.37</v>
      </c>
      <c r="D52" s="18" t="n">
        <f aca="false">'9. Exit, energy, cliffs'!D31</f>
        <v>0.374581939799331</v>
      </c>
      <c r="E52" s="18" t="n">
        <f aca="false">D52-C52</f>
        <v>0.00458193979933108</v>
      </c>
      <c r="F52" s="0" t="str">
        <f aca="false">IF(ABS(E52)&lt;=0.005,"reproduced",IF(ABS(E52)&lt;=0.005*3,"rounding","to check"))</f>
        <v>reproduced</v>
      </c>
    </row>
    <row r="53" customFormat="false" ht="15" hidden="false" customHeight="false" outlineLevel="0" collapsed="false">
      <c r="A53" s="0" t="s">
        <v>173</v>
      </c>
      <c r="B53" s="0" t="s">
        <v>182</v>
      </c>
      <c r="C53" s="18" t="n">
        <v>0.21</v>
      </c>
      <c r="D53" s="18" t="n">
        <f aca="false">'9. Exit, energy, cliffs'!D32</f>
        <v>0.213197969543147</v>
      </c>
      <c r="E53" s="18" t="n">
        <f aca="false">D53-C53</f>
        <v>0.00319796954314722</v>
      </c>
      <c r="F53" s="0" t="str">
        <f aca="false">IF(ABS(E53)&lt;=0.005,"reproduced",IF(ABS(E53)&lt;=0.005*3,"rounding","to check"))</f>
        <v>reproduced</v>
      </c>
    </row>
    <row r="54" customFormat="false" ht="15" hidden="false" customHeight="false" outlineLevel="0" collapsed="false">
      <c r="A54" s="0" t="s">
        <v>173</v>
      </c>
      <c r="B54" s="0" t="s">
        <v>183</v>
      </c>
      <c r="C54" s="16" t="n">
        <v>100</v>
      </c>
      <c r="D54" s="16" t="n">
        <f aca="false">'9. Exit, energy, cliffs'!B37</f>
        <v>100.157557366206</v>
      </c>
      <c r="E54" s="16" t="n">
        <f aca="false">D54-C54</f>
        <v>0.157557366206149</v>
      </c>
      <c r="F54" s="0" t="str">
        <f aca="false">IF(ABS(E54)&lt;=0.5,"reproduced",IF(ABS(E54)&lt;=0.5*3,"rounding","to check"))</f>
        <v>reproduced</v>
      </c>
    </row>
    <row r="55" customFormat="false" ht="15" hidden="false" customHeight="false" outlineLevel="0" collapsed="false">
      <c r="A55" s="0" t="s">
        <v>173</v>
      </c>
      <c r="B55" s="0" t="s">
        <v>184</v>
      </c>
      <c r="C55" s="16" t="n">
        <v>40</v>
      </c>
      <c r="D55" s="16" t="n">
        <f aca="false">'9. Exit, energy, cliffs'!B38</f>
        <v>39.766739890395</v>
      </c>
      <c r="E55" s="16" t="n">
        <f aca="false">D55-C55</f>
        <v>-0.233260109605034</v>
      </c>
      <c r="F55" s="0" t="str">
        <f aca="false">IF(ABS(E55)&lt;=0.5,"reproduced",IF(ABS(E55)&lt;=0.5*3,"rounding","to check"))</f>
        <v>reproduced</v>
      </c>
    </row>
    <row r="56" customFormat="false" ht="15" hidden="false" customHeight="false" outlineLevel="0" collapsed="false">
      <c r="A56" s="0" t="s">
        <v>185</v>
      </c>
      <c r="B56" s="0" t="s">
        <v>186</v>
      </c>
      <c r="C56" s="14" t="n">
        <v>30300000</v>
      </c>
      <c r="D56" s="14" t="n">
        <f aca="false">'S06 Tenants take 5 per cent les'!J13</f>
        <v>30335800.5238962</v>
      </c>
      <c r="E56" s="14" t="n">
        <f aca="false">D56-C56</f>
        <v>35800.5238961689</v>
      </c>
      <c r="F56" s="0" t="str">
        <f aca="false">IF(ABS(E56)&lt;=50000,"reproduced",IF(ABS(E56)&lt;=50000*3,"rounding","to check"))</f>
        <v>reproduced</v>
      </c>
    </row>
    <row r="57" customFormat="false" ht="15" hidden="false" customHeight="false" outlineLevel="0" collapsed="false">
      <c r="A57" s="0" t="s">
        <v>185</v>
      </c>
      <c r="B57" s="0" t="s">
        <v>187</v>
      </c>
      <c r="C57" s="18" t="n">
        <v>-0.068</v>
      </c>
      <c r="D57" s="18" t="n">
        <f aca="false">'S06 Tenants take 5 per cent les'!J19</f>
        <v>-0.0680589157472339</v>
      </c>
      <c r="E57" s="18" t="n">
        <f aca="false">D57-C57</f>
        <v>-5.89157472338786E-005</v>
      </c>
      <c r="F57" s="0" t="str">
        <f aca="false">IF(ABS(E57)&lt;=0.0005,"reproduced",IF(ABS(E57)&lt;=0.0005*3,"rounding","to check"))</f>
        <v>reproduced</v>
      </c>
    </row>
    <row r="58" customFormat="false" ht="15" hidden="false" customHeight="false" outlineLevel="0" collapsed="false">
      <c r="A58" s="0" t="s">
        <v>185</v>
      </c>
      <c r="B58" s="0" t="s">
        <v>188</v>
      </c>
      <c r="C58" s="18" t="n">
        <v>0.0343</v>
      </c>
      <c r="D58" s="18" t="n">
        <f aca="false">'S06 Tenants take 5 per cent les'!J15</f>
        <v>0.034332736029123</v>
      </c>
      <c r="E58" s="18" t="n">
        <f aca="false">D58-C58</f>
        <v>3.2736029123015E-005</v>
      </c>
      <c r="F58" s="0" t="str">
        <f aca="false">IF(ABS(E58)&lt;=0.00005,"reproduced",IF(ABS(E58)&lt;=0.00005*3,"rounding","to check"))</f>
        <v>reproduced</v>
      </c>
    </row>
    <row r="59" customFormat="false" ht="15" hidden="false" customHeight="false" outlineLevel="0" collapsed="false">
      <c r="A59" s="0" t="s">
        <v>185</v>
      </c>
      <c r="B59" s="0" t="s">
        <v>189</v>
      </c>
      <c r="C59" s="14" t="n">
        <v>28200000</v>
      </c>
      <c r="D59" s="14" t="n">
        <f aca="false">'S07 Tenants take 10 per cent le'!J13</f>
        <v>28216680.5386014</v>
      </c>
      <c r="E59" s="14" t="n">
        <f aca="false">D59-C59</f>
        <v>16680.5386014059</v>
      </c>
      <c r="F59" s="0" t="str">
        <f aca="false">IF(ABS(E59)&lt;=50000,"reproduced",IF(ABS(E59)&lt;=50000*3,"rounding","to check"))</f>
        <v>reproduced</v>
      </c>
    </row>
    <row r="60" customFormat="false" ht="15" hidden="false" customHeight="false" outlineLevel="0" collapsed="false">
      <c r="A60" s="0" t="s">
        <v>185</v>
      </c>
      <c r="B60" s="0" t="s">
        <v>190</v>
      </c>
      <c r="C60" s="18" t="n">
        <v>-0.133</v>
      </c>
      <c r="D60" s="18" t="n">
        <f aca="false">'S07 Tenants take 10 per cent le'!J19</f>
        <v>-0.133160048489772</v>
      </c>
      <c r="E60" s="18" t="n">
        <f aca="false">D60-C60</f>
        <v>-0.00016004848977158</v>
      </c>
      <c r="F60" s="0" t="str">
        <f aca="false">IF(ABS(E60)&lt;=0.0005,"reproduced",IF(ABS(E60)&lt;=0.0005*3,"rounding","to check"))</f>
        <v>reproduced</v>
      </c>
    </row>
    <row r="61" customFormat="false" ht="15" hidden="false" customHeight="false" outlineLevel="0" collapsed="false">
      <c r="A61" s="0" t="s">
        <v>185</v>
      </c>
      <c r="B61" s="0" t="s">
        <v>191</v>
      </c>
      <c r="C61" s="18" t="n">
        <v>0.0251</v>
      </c>
      <c r="D61" s="18" t="n">
        <f aca="false">'S07 Tenants take 10 per cent le'!J15</f>
        <v>0.0250732698188842</v>
      </c>
      <c r="E61" s="18" t="n">
        <f aca="false">D61-C61</f>
        <v>-2.67301811157535E-005</v>
      </c>
      <c r="F61" s="0" t="str">
        <f aca="false">IF(ABS(E61)&lt;=0.00005,"reproduced",IF(ABS(E61)&lt;=0.00005*3,"rounding","to check"))</f>
        <v>reproduced</v>
      </c>
    </row>
    <row r="62" customFormat="false" ht="15" hidden="false" customHeight="false" outlineLevel="0" collapsed="false">
      <c r="A62" s="0" t="s">
        <v>185</v>
      </c>
      <c r="B62" s="0" t="s">
        <v>192</v>
      </c>
      <c r="C62" s="14" t="n">
        <v>26200000</v>
      </c>
      <c r="D62" s="14" t="n">
        <f aca="false">'S08 Tenants take 15 per cent le'!J13</f>
        <v>26193839.9391387</v>
      </c>
      <c r="E62" s="14" t="n">
        <f aca="false">D62-C62</f>
        <v>-6160.06086131185</v>
      </c>
      <c r="F62" s="0" t="str">
        <f aca="false">IF(ABS(E62)&lt;=50000,"reproduced",IF(ABS(E62)&lt;=50000*3,"rounding","to check"))</f>
        <v>reproduced</v>
      </c>
    </row>
    <row r="63" customFormat="false" ht="15" hidden="false" customHeight="false" outlineLevel="0" collapsed="false">
      <c r="A63" s="0" t="s">
        <v>185</v>
      </c>
      <c r="B63" s="0" t="s">
        <v>193</v>
      </c>
      <c r="C63" s="18" t="n">
        <v>-0.195</v>
      </c>
      <c r="D63" s="18" t="n">
        <f aca="false">'S08 Tenants take 15 per cent le'!J19</f>
        <v>-0.195303398227611</v>
      </c>
      <c r="E63" s="18" t="n">
        <f aca="false">D63-C63</f>
        <v>-0.000303398227610552</v>
      </c>
      <c r="F63" s="0" t="str">
        <f aca="false">IF(ABS(E63)&lt;=0.0005,"reproduced",IF(ABS(E63)&lt;=0.0005*3,"rounding","to check"))</f>
        <v>reproduced</v>
      </c>
    </row>
    <row r="64" customFormat="false" ht="15" hidden="false" customHeight="false" outlineLevel="0" collapsed="false">
      <c r="A64" s="0" t="s">
        <v>185</v>
      </c>
      <c r="B64" s="0" t="s">
        <v>194</v>
      </c>
      <c r="C64" s="18" t="n">
        <v>0.0154</v>
      </c>
      <c r="D64" s="18" t="n">
        <f aca="false">'S08 Tenants take 15 per cent le'!J15</f>
        <v>0.0154162378436478</v>
      </c>
      <c r="E64" s="18" t="n">
        <f aca="false">D64-C64</f>
        <v>1.62378436477616E-005</v>
      </c>
      <c r="F64" s="0" t="str">
        <f aca="false">IF(ABS(E64)&lt;=0.00005,"reproduced",IF(ABS(E64)&lt;=0.00005*3,"rounding","to check"))</f>
        <v>reproduced</v>
      </c>
    </row>
    <row r="65" customFormat="false" ht="15" hidden="false" customHeight="false" outlineLevel="0" collapsed="false">
      <c r="A65" s="0" t="s">
        <v>185</v>
      </c>
      <c r="B65" s="0" t="s">
        <v>195</v>
      </c>
      <c r="C65" s="14" t="n">
        <v>24300000</v>
      </c>
      <c r="D65" s="14" t="n">
        <f aca="false">'S09 Tenants take 20 per cent le'!J13</f>
        <v>24267278.725508</v>
      </c>
      <c r="E65" s="14" t="n">
        <f aca="false">D65-C65</f>
        <v>-32721.2744919769</v>
      </c>
      <c r="F65" s="0" t="str">
        <f aca="false">IF(ABS(E65)&lt;=50000,"reproduced",IF(ABS(E65)&lt;=50000*3,"rounding","to check"))</f>
        <v>reproduced</v>
      </c>
    </row>
    <row r="66" customFormat="false" ht="15" hidden="false" customHeight="false" outlineLevel="0" collapsed="false">
      <c r="A66" s="0" t="s">
        <v>185</v>
      </c>
      <c r="B66" s="0" t="s">
        <v>196</v>
      </c>
      <c r="C66" s="18" t="n">
        <v>-0.254</v>
      </c>
      <c r="D66" s="18" t="n">
        <f aca="false">'S09 Tenants take 20 per cent le'!J19</f>
        <v>-0.254488964960751</v>
      </c>
      <c r="E66" s="18" t="n">
        <f aca="false">D66-C66</f>
        <v>-0.000488964960750793</v>
      </c>
      <c r="F66" s="0" t="str">
        <f aca="false">IF(ABS(E66)&lt;=0.0005,"reproduced",IF(ABS(E66)&lt;=0.0005*3,"rounding","to check"))</f>
        <v>reproduced</v>
      </c>
    </row>
    <row r="67" customFormat="false" ht="15" hidden="false" customHeight="false" outlineLevel="0" collapsed="false">
      <c r="A67" s="0" t="s">
        <v>185</v>
      </c>
      <c r="B67" s="0" t="s">
        <v>197</v>
      </c>
      <c r="C67" s="18" t="n">
        <v>0.0053</v>
      </c>
      <c r="D67" s="18" t="n">
        <f aca="false">'S09 Tenants take 20 per cent le'!J15</f>
        <v>0.00532194338516279</v>
      </c>
      <c r="E67" s="18" t="n">
        <f aca="false">D67-C67</f>
        <v>2.19433851627862E-005</v>
      </c>
      <c r="F67" s="0" t="str">
        <f aca="false">IF(ABS(E67)&lt;=0.00005,"reproduced",IF(ABS(E67)&lt;=0.00005*3,"rounding","to check"))</f>
        <v>reproduced</v>
      </c>
    </row>
    <row r="68" customFormat="false" ht="15" hidden="false" customHeight="false" outlineLevel="0" collapsed="false">
      <c r="A68" s="0" t="s">
        <v>198</v>
      </c>
      <c r="B68" s="0" t="s">
        <v>199</v>
      </c>
      <c r="C68" s="14" t="n">
        <v>36200000</v>
      </c>
      <c r="D68" s="14" t="n">
        <f aca="false">'S10 Term certain of 10 years'!J13</f>
        <v>36239762.4665534</v>
      </c>
      <c r="E68" s="14" t="n">
        <f aca="false">D68-C68</f>
        <v>39762.4665533751</v>
      </c>
      <c r="F68" s="0" t="str">
        <f aca="false">IF(ABS(E68)&lt;=50000,"reproduced",IF(ABS(E68)&lt;=50000*3,"rounding","to check"))</f>
        <v>reproduced</v>
      </c>
    </row>
    <row r="69" customFormat="false" ht="15" hidden="false" customHeight="false" outlineLevel="0" collapsed="false">
      <c r="A69" s="0" t="s">
        <v>198</v>
      </c>
      <c r="B69" s="0" t="s">
        <v>200</v>
      </c>
      <c r="C69" s="18" t="n">
        <v>0.113</v>
      </c>
      <c r="D69" s="18" t="n">
        <f aca="false">'S10 Term certain of 10 years'!J19</f>
        <v>0.113315717498158</v>
      </c>
      <c r="E69" s="18" t="n">
        <f aca="false">D69-C69</f>
        <v>0.000315717498157606</v>
      </c>
      <c r="F69" s="0" t="str">
        <f aca="false">IF(ABS(E69)&lt;=0.0005,"reproduced",IF(ABS(E69)&lt;=0.0005*3,"rounding","to check"))</f>
        <v>reproduced</v>
      </c>
    </row>
    <row r="70" customFormat="false" ht="15" hidden="false" customHeight="false" outlineLevel="0" collapsed="false">
      <c r="A70" s="0" t="s">
        <v>198</v>
      </c>
      <c r="B70" s="0" t="s">
        <v>201</v>
      </c>
      <c r="C70" s="14" t="n">
        <v>29100000</v>
      </c>
      <c r="D70" s="14" t="n">
        <f aca="false">'S11 No rental growth'!J13</f>
        <v>29130314.2200465</v>
      </c>
      <c r="E70" s="14" t="n">
        <f aca="false">D70-C70</f>
        <v>30314.2200465351</v>
      </c>
      <c r="F70" s="0" t="str">
        <f aca="false">IF(ABS(E70)&lt;=50000,"reproduced",IF(ABS(E70)&lt;=50000*3,"rounding","to check"))</f>
        <v>reproduced</v>
      </c>
    </row>
    <row r="71" customFormat="false" ht="15" hidden="false" customHeight="false" outlineLevel="0" collapsed="false">
      <c r="A71" s="0" t="s">
        <v>198</v>
      </c>
      <c r="B71" s="0" t="s">
        <v>202</v>
      </c>
      <c r="C71" s="18" t="n">
        <v>-0.105</v>
      </c>
      <c r="D71" s="18" t="n">
        <f aca="false">'S11 No rental growth'!J19</f>
        <v>-0.105092460063183</v>
      </c>
      <c r="E71" s="18" t="n">
        <f aca="false">D71-C71</f>
        <v>-9.24600631826283E-005</v>
      </c>
      <c r="F71" s="0" t="str">
        <f aca="false">IF(ABS(E71)&lt;=0.0005,"reproduced",IF(ABS(E71)&lt;=0.0005*3,"rounding","to check"))</f>
        <v>reproduced</v>
      </c>
    </row>
    <row r="72" customFormat="false" ht="15" hidden="false" customHeight="false" outlineLevel="0" collapsed="false">
      <c r="A72" s="0" t="s">
        <v>198</v>
      </c>
      <c r="B72" s="0" t="s">
        <v>203</v>
      </c>
      <c r="C72" s="14" t="n">
        <v>29100000</v>
      </c>
      <c r="D72" s="14" t="n">
        <f aca="false">'S12 Market rent 270'!J13</f>
        <v>29147347.5507211</v>
      </c>
      <c r="E72" s="14" t="n">
        <f aca="false">D72-C72</f>
        <v>47347.5507210903</v>
      </c>
      <c r="F72" s="0" t="str">
        <f aca="false">IF(ABS(E72)&lt;=50000,"reproduced",IF(ABS(E72)&lt;=50000*3,"rounding","to check"))</f>
        <v>reproduced</v>
      </c>
    </row>
    <row r="73" customFormat="false" ht="15" hidden="false" customHeight="false" outlineLevel="0" collapsed="false">
      <c r="A73" s="0" t="s">
        <v>198</v>
      </c>
      <c r="B73" s="0" t="s">
        <v>204</v>
      </c>
      <c r="C73" s="14" t="n">
        <v>36000000</v>
      </c>
      <c r="D73" s="14" t="n">
        <f aca="false">'S13 Market rent 330'!J13</f>
        <v>35955052.2393248</v>
      </c>
      <c r="E73" s="14" t="n">
        <f aca="false">D73-C73</f>
        <v>-44947.7606751546</v>
      </c>
      <c r="F73" s="0" t="str">
        <f aca="false">IF(ABS(E73)&lt;=50000,"reproduced",IF(ABS(E73)&lt;=50000*3,"rounding","to check"))</f>
        <v>reproduced</v>
      </c>
    </row>
    <row r="74" customFormat="false" ht="15" hidden="false" customHeight="false" outlineLevel="0" collapsed="false">
      <c r="A74" s="0" t="s">
        <v>198</v>
      </c>
      <c r="B74" s="0" t="s">
        <v>205</v>
      </c>
      <c r="C74" s="14" t="n">
        <v>30200000</v>
      </c>
      <c r="D74" s="14" t="n">
        <f aca="false">'S14 Fit-out 550'!J13</f>
        <v>30235790.8117203</v>
      </c>
      <c r="E74" s="14" t="n">
        <f aca="false">D74-C74</f>
        <v>35790.8117202744</v>
      </c>
      <c r="F74" s="0" t="str">
        <f aca="false">IF(ABS(E74)&lt;=50000,"reproduced",IF(ABS(E74)&lt;=50000*3,"rounding","to check"))</f>
        <v>reproduced</v>
      </c>
    </row>
    <row r="75" customFormat="false" ht="15" hidden="false" customHeight="false" outlineLevel="0" collapsed="false">
      <c r="A75" s="0" t="s">
        <v>198</v>
      </c>
      <c r="B75" s="0" t="s">
        <v>206</v>
      </c>
      <c r="C75" s="18" t="n">
        <v>-0.071</v>
      </c>
      <c r="D75" s="18" t="n">
        <f aca="false">'S14 Fit-out 550'!J19</f>
        <v>-0.0711312974873364</v>
      </c>
      <c r="E75" s="18" t="n">
        <f aca="false">D75-C75</f>
        <v>-0.000131297487336382</v>
      </c>
      <c r="F75" s="0" t="str">
        <f aca="false">IF(ABS(E75)&lt;=0.0005,"reproduced",IF(ABS(E75)&lt;=0.0005*3,"rounding","to check"))</f>
        <v>reproduced</v>
      </c>
    </row>
    <row r="76" customFormat="false" ht="15" hidden="false" customHeight="false" outlineLevel="0" collapsed="false">
      <c r="A76" s="0" t="s">
        <v>198</v>
      </c>
      <c r="B76" s="0" t="s">
        <v>207</v>
      </c>
      <c r="C76" s="14" t="n">
        <v>43300000</v>
      </c>
      <c r="D76" s="14" t="n">
        <f aca="false">'S15 Six assumptions for the ven'!J13</f>
        <v>43317890.8573559</v>
      </c>
      <c r="E76" s="14" t="n">
        <f aca="false">D76-C76</f>
        <v>17890.8573558927</v>
      </c>
      <c r="F76" s="0" t="str">
        <f aca="false">IF(ABS(E76)&lt;=50000,"reproduced",IF(ABS(E76)&lt;=50000*3,"rounding","to check"))</f>
        <v>reproduced</v>
      </c>
    </row>
    <row r="77" customFormat="false" ht="15" hidden="false" customHeight="false" outlineLevel="0" collapsed="false">
      <c r="A77" s="0" t="s">
        <v>198</v>
      </c>
      <c r="B77" s="0" t="s">
        <v>208</v>
      </c>
      <c r="C77" s="14" t="n">
        <v>43000000</v>
      </c>
      <c r="D77" s="14" t="n">
        <f aca="false">'S20 Required market rent'!J13</f>
        <v>42989680.4175487</v>
      </c>
      <c r="E77" s="14" t="n">
        <f aca="false">D77-C77</f>
        <v>-10319.5824512765</v>
      </c>
      <c r="F77" s="0" t="str">
        <f aca="false">IF(ABS(E77)&lt;=50000,"reproduced",IF(ABS(E77)&lt;=50000*3,"rounding","to check"))</f>
        <v>reproduced</v>
      </c>
    </row>
    <row r="78" customFormat="false" ht="15" hidden="false" customHeight="false" outlineLevel="0" collapsed="false">
      <c r="A78" s="0" t="s">
        <v>198</v>
      </c>
      <c r="B78" s="0" t="s">
        <v>209</v>
      </c>
      <c r="C78" s="14" t="n">
        <v>43000000</v>
      </c>
      <c r="D78" s="14" t="n">
        <f aca="false">'S21 Required exit yield'!J13</f>
        <v>42972011.34421</v>
      </c>
      <c r="E78" s="14" t="n">
        <f aca="false">D78-C78</f>
        <v>-27988.655790031</v>
      </c>
      <c r="F78" s="0" t="str">
        <f aca="false">IF(ABS(E78)&lt;=50000,"reproduced",IF(ABS(E78)&lt;=50000*3,"rounding","to check"))</f>
        <v>reproduced</v>
      </c>
    </row>
    <row r="79" customFormat="false" ht="15" hidden="false" customHeight="false" outlineLevel="0" collapsed="false">
      <c r="A79" s="0" t="s">
        <v>198</v>
      </c>
      <c r="B79" s="0" t="s">
        <v>210</v>
      </c>
      <c r="C79" s="14" t="n">
        <v>43000000</v>
      </c>
      <c r="D79" s="14" t="n">
        <f aca="false">'S22 Required fit-out'!J13</f>
        <v>43006162.4480897</v>
      </c>
      <c r="E79" s="14" t="n">
        <f aca="false">D79-C79</f>
        <v>6162.44808973372</v>
      </c>
      <c r="F79" s="0" t="str">
        <f aca="false">IF(ABS(E79)&lt;=50000,"reproduced",IF(ABS(E79)&lt;=50000*3,"rounding","to check"))</f>
        <v>reproduced</v>
      </c>
    </row>
    <row r="80" customFormat="false" ht="15" hidden="false" customHeight="false" outlineLevel="0" collapsed="false">
      <c r="A80" s="0" t="s">
        <v>198</v>
      </c>
      <c r="B80" s="0" t="s">
        <v>211</v>
      </c>
      <c r="C80" s="14" t="n">
        <v>43000000</v>
      </c>
      <c r="D80" s="14" t="n">
        <f aca="false">'S23 Required rental growth'!J13</f>
        <v>42999594.7896073</v>
      </c>
      <c r="E80" s="14" t="n">
        <f aca="false">D80-C80</f>
        <v>-405.210392676294</v>
      </c>
      <c r="F80" s="0" t="str">
        <f aca="false">IF(ABS(E80)&lt;=50000,"reproduced",IF(ABS(E80)&lt;=50000*3,"rounding","to check"))</f>
        <v>reproduced</v>
      </c>
    </row>
    <row r="81" customFormat="false" ht="15" hidden="false" customHeight="false" outlineLevel="0" collapsed="false">
      <c r="A81" s="0" t="s">
        <v>198</v>
      </c>
      <c r="B81" s="0" t="s">
        <v>212</v>
      </c>
      <c r="C81" s="14" t="n">
        <v>-17811</v>
      </c>
      <c r="D81" s="14" t="n">
        <f aca="false">'8. Sensitivities'!B30</f>
        <v>-17810.8391023279</v>
      </c>
      <c r="E81" s="14" t="n">
        <f aca="false">D81-C81</f>
        <v>0.16089767208905</v>
      </c>
      <c r="F81" s="0" t="str">
        <f aca="false">IF(ABS(E81)&lt;=1,"reproduced",IF(ABS(E81)&lt;=1*3,"rounding","to check"))</f>
        <v>reproduced</v>
      </c>
    </row>
    <row r="82" customFormat="false" ht="15" hidden="false" customHeight="false" outlineLevel="0" collapsed="false">
      <c r="A82" s="0" t="s">
        <v>198</v>
      </c>
      <c r="B82" s="0" t="s">
        <v>213</v>
      </c>
      <c r="C82" s="14" t="n">
        <v>7600000</v>
      </c>
      <c r="D82" s="14" t="n">
        <f aca="false">'8. Sensitivities'!B31</f>
        <v>7551263.68137751</v>
      </c>
      <c r="E82" s="14" t="n">
        <f aca="false">D82-C82</f>
        <v>-48736.3186224885</v>
      </c>
      <c r="F82" s="0" t="str">
        <f aca="false">IF(ABS(E82)&lt;=50000,"reproduced",IF(ABS(E82)&lt;=50000*3,"rounding","to check"))</f>
        <v>reproduced</v>
      </c>
    </row>
    <row r="83" customFormat="false" ht="15" hidden="false" customHeight="false" outlineLevel="0" collapsed="false">
      <c r="A83" s="0" t="s">
        <v>214</v>
      </c>
      <c r="B83" s="0" t="s">
        <v>215</v>
      </c>
      <c r="C83" s="14" t="n">
        <v>45338999</v>
      </c>
      <c r="D83" s="14" t="n">
        <f aca="false">'10. Layer and bridge'!B12</f>
        <v>45338999.3196316</v>
      </c>
      <c r="E83" s="14" t="n">
        <f aca="false">D83-C83</f>
        <v>0.319631576538086</v>
      </c>
      <c r="F83" s="0" t="str">
        <f aca="false">IF(ABS(E83)&lt;=1,"reproduced",IF(ABS(E83)&lt;=1*3,"rounding","to check"))</f>
        <v>reproduced</v>
      </c>
    </row>
    <row r="84" customFormat="false" ht="15" hidden="false" customHeight="false" outlineLevel="0" collapsed="false">
      <c r="A84" s="0" t="s">
        <v>214</v>
      </c>
      <c r="B84" s="0" t="s">
        <v>216</v>
      </c>
      <c r="C84" s="14" t="n">
        <v>213645</v>
      </c>
      <c r="D84" s="14" t="n">
        <f aca="false">'10. Layer and bridge'!C12</f>
        <v>213644.974509659</v>
      </c>
      <c r="E84" s="14" t="n">
        <f aca="false">D84-C84</f>
        <v>-0.0254903408058453</v>
      </c>
      <c r="F84" s="0" t="str">
        <f aca="false">IF(ABS(E84)&lt;=1,"reproduced",IF(ABS(E84)&lt;=1*3,"rounding","to check"))</f>
        <v>reproduced</v>
      </c>
    </row>
    <row r="85" customFormat="false" ht="15" hidden="false" customHeight="false" outlineLevel="0" collapsed="false">
      <c r="A85" s="0" t="s">
        <v>214</v>
      </c>
      <c r="B85" s="0" t="s">
        <v>217</v>
      </c>
      <c r="C85" s="14" t="n">
        <v>151844</v>
      </c>
      <c r="D85" s="14" t="n">
        <f aca="false">'10. Layer and bridge'!C7</f>
        <v>151843.788074713</v>
      </c>
      <c r="E85" s="14" t="n">
        <f aca="false">D85-C85</f>
        <v>-0.211925287119811</v>
      </c>
      <c r="F85" s="0" t="str">
        <f aca="false">IF(ABS(E85)&lt;=1,"reproduced",IF(ABS(E85)&lt;=1*3,"rounding","to check"))</f>
        <v>reproduced</v>
      </c>
    </row>
    <row r="86" customFormat="false" ht="15" hidden="false" customHeight="false" outlineLevel="0" collapsed="false">
      <c r="A86" s="0" t="s">
        <v>214</v>
      </c>
      <c r="B86" s="0" t="s">
        <v>218</v>
      </c>
      <c r="C86" s="14" t="n">
        <v>7064792</v>
      </c>
      <c r="D86" s="14" t="n">
        <f aca="false">'10. Layer and bridge'!B11</f>
        <v>7064792.42307985</v>
      </c>
      <c r="E86" s="14" t="n">
        <f aca="false">D86-C86</f>
        <v>0.423079847358167</v>
      </c>
      <c r="F86" s="0" t="str">
        <f aca="false">IF(ABS(E86)&lt;=1,"reproduced",IF(ABS(E86)&lt;=1*3,"rounding","to check"))</f>
        <v>reproduced</v>
      </c>
    </row>
    <row r="87" customFormat="false" ht="15" hidden="false" customHeight="false" outlineLevel="0" collapsed="false">
      <c r="A87" s="0" t="s">
        <v>214</v>
      </c>
      <c r="B87" s="0" t="s">
        <v>219</v>
      </c>
      <c r="C87" s="14" t="n">
        <v>45552644</v>
      </c>
      <c r="D87" s="14" t="n">
        <f aca="false">'10. Layer and bridge'!B13</f>
        <v>45552644.2941412</v>
      </c>
      <c r="E87" s="14" t="n">
        <f aca="false">D87-C87</f>
        <v>0.294141232967377</v>
      </c>
      <c r="F87" s="0" t="str">
        <f aca="false">IF(ABS(E87)&lt;=1,"reproduced",IF(ABS(E87)&lt;=1*3,"rounding","to check"))</f>
        <v>reproduced</v>
      </c>
    </row>
    <row r="88" customFormat="false" ht="15" hidden="false" customHeight="false" outlineLevel="0" collapsed="false">
      <c r="A88" s="0" t="s">
        <v>214</v>
      </c>
      <c r="B88" s="0" t="s">
        <v>220</v>
      </c>
      <c r="C88" s="14" t="n">
        <v>42800000</v>
      </c>
      <c r="D88" s="14" t="n">
        <f aca="false">'10. Layer and bridge'!B14</f>
        <v>42772435.9569401</v>
      </c>
      <c r="E88" s="14" t="n">
        <f aca="false">D88-C88</f>
        <v>-27564.0430598706</v>
      </c>
      <c r="F88" s="0" t="str">
        <f aca="false">IF(ABS(E88)&lt;=50000,"reproduced",IF(ABS(E88)&lt;=50000*3,"rounding","to check"))</f>
        <v>reproduced</v>
      </c>
    </row>
    <row r="89" customFormat="false" ht="15" hidden="false" customHeight="false" outlineLevel="0" collapsed="false">
      <c r="A89" s="0" t="s">
        <v>214</v>
      </c>
      <c r="B89" s="0" t="s">
        <v>221</v>
      </c>
      <c r="C89" s="14" t="n">
        <v>96940</v>
      </c>
      <c r="D89" s="14" t="n">
        <f aca="false">'10. Layer and bridge'!B15</f>
        <v>96940</v>
      </c>
      <c r="E89" s="14" t="n">
        <f aca="false">D89-C89</f>
        <v>0</v>
      </c>
      <c r="F89" s="0" t="str">
        <f aca="false">IF(ABS(E89)&lt;=1,"reproduced",IF(ABS(E89)&lt;=1*3,"rounding","to check"))</f>
        <v>reproduced</v>
      </c>
    </row>
    <row r="90" customFormat="false" ht="15" hidden="false" customHeight="false" outlineLevel="0" collapsed="false">
      <c r="A90" s="0" t="s">
        <v>214</v>
      </c>
      <c r="B90" s="0" t="s">
        <v>222</v>
      </c>
      <c r="C90" s="14" t="n">
        <v>1519001</v>
      </c>
      <c r="D90" s="14" t="n">
        <f aca="false">'10. Layer and bridge'!B16</f>
        <v>1519001.08968989</v>
      </c>
      <c r="E90" s="14" t="n">
        <f aca="false">D90-C90</f>
        <v>0.0896898936480284</v>
      </c>
      <c r="F90" s="0" t="str">
        <f aca="false">IF(ABS(E90)&lt;=1,"reproduced",IF(ABS(E90)&lt;=1*3,"rounding","to check"))</f>
        <v>reproduced</v>
      </c>
    </row>
    <row r="91" customFormat="false" ht="15" hidden="false" customHeight="false" outlineLevel="0" collapsed="false">
      <c r="A91" s="0" t="s">
        <v>223</v>
      </c>
      <c r="B91" s="0" t="s">
        <v>224</v>
      </c>
      <c r="C91" s="14" t="n">
        <v>7100000</v>
      </c>
      <c r="D91" s="14" t="n">
        <f aca="false">'10. Layer and bridge'!B22+'10. Layer and bridge'!B23</f>
        <v>7119095.00974087</v>
      </c>
      <c r="E91" s="14" t="n">
        <f aca="false">D91-C91</f>
        <v>19095.0097408667</v>
      </c>
      <c r="F91" s="0" t="str">
        <f aca="false">IF(ABS(E91)&lt;=50000,"reproduced",IF(ABS(E91)&lt;=50000*3,"rounding","to check"))</f>
        <v>reproduced</v>
      </c>
      <c r="H91" s="22" t="s">
        <v>225</v>
      </c>
    </row>
    <row r="92" customFormat="false" ht="15" hidden="false" customHeight="false" outlineLevel="0" collapsed="false">
      <c r="A92" s="0" t="s">
        <v>223</v>
      </c>
      <c r="B92" s="0" t="s">
        <v>226</v>
      </c>
      <c r="C92" s="14" t="n">
        <v>35700000</v>
      </c>
      <c r="D92" s="14" t="n">
        <f aca="false">'10. Layer and bridge'!B24</f>
        <v>35653340.9471993</v>
      </c>
      <c r="E92" s="14" t="n">
        <f aca="false">D92-C92</f>
        <v>-46659.0528007373</v>
      </c>
      <c r="F92" s="0" t="str">
        <f aca="false">IF(ABS(E92)&lt;=50000,"reproduced",IF(ABS(E92)&lt;=50000*3,"rounding","to check"))</f>
        <v>reproduced</v>
      </c>
      <c r="H92" s="22" t="s">
        <v>227</v>
      </c>
    </row>
    <row r="93" customFormat="false" ht="15" hidden="false" customHeight="false" outlineLevel="0" collapsed="false">
      <c r="A93" s="0" t="s">
        <v>223</v>
      </c>
      <c r="B93" s="0" t="s">
        <v>228</v>
      </c>
      <c r="C93" s="14" t="n">
        <v>3100000</v>
      </c>
      <c r="D93" s="14" t="n">
        <f aca="false">'10. Layer and bridge'!B25</f>
        <v>3102141.05217636</v>
      </c>
      <c r="E93" s="14" t="n">
        <f aca="false">D93-C93</f>
        <v>2141.05217636004</v>
      </c>
      <c r="F93" s="0" t="str">
        <f aca="false">IF(ABS(E93)&lt;=50000,"reproduced",IF(ABS(E93)&lt;=50000*3,"rounding","to check"))</f>
        <v>reproduced</v>
      </c>
      <c r="H93" s="22" t="s">
        <v>229</v>
      </c>
    </row>
    <row r="94" customFormat="false" ht="15" hidden="false" customHeight="false" outlineLevel="0" collapsed="false">
      <c r="A94" s="0" t="s">
        <v>223</v>
      </c>
      <c r="B94" s="0" t="s">
        <v>230</v>
      </c>
      <c r="C94" s="18" t="n">
        <v>0.166</v>
      </c>
      <c r="D94" s="18" t="n">
        <f aca="false">'10. Layer and bridge'!B27</f>
        <v>0.165560349063741</v>
      </c>
      <c r="E94" s="18" t="n">
        <f aca="false">D94-C94</f>
        <v>-0.000439650936258917</v>
      </c>
      <c r="F94" s="0" t="str">
        <f aca="false">IF(ABS(E94)&lt;=0.0005,"reproduced",IF(ABS(E94)&lt;=0.0005*3,"rounding","to check"))</f>
        <v>reproduced</v>
      </c>
      <c r="H94" s="22" t="s">
        <v>231</v>
      </c>
    </row>
    <row r="95" customFormat="false" ht="15" hidden="false" customHeight="false" outlineLevel="0" collapsed="false">
      <c r="A95" s="0" t="s">
        <v>223</v>
      </c>
      <c r="B95" s="0" t="s">
        <v>232</v>
      </c>
      <c r="C95" s="14" t="n">
        <v>10200000</v>
      </c>
      <c r="D95" s="14" t="n">
        <f aca="false">'10. Layer and bridge'!B28</f>
        <v>10221236.0619172</v>
      </c>
      <c r="E95" s="14" t="n">
        <f aca="false">D95-C95</f>
        <v>21236.0619172268</v>
      </c>
      <c r="F95" s="0" t="str">
        <f aca="false">IF(ABS(E95)&lt;=50000,"reproduced",IF(ABS(E95)&lt;=50000*3,"rounding","to check"))</f>
        <v>reproduced</v>
      </c>
    </row>
    <row r="96" customFormat="false" ht="15" hidden="false" customHeight="false" outlineLevel="0" collapsed="false">
      <c r="A96" s="0" t="s">
        <v>223</v>
      </c>
      <c r="B96" s="0" t="s">
        <v>233</v>
      </c>
      <c r="C96" s="18" t="n">
        <v>0.314</v>
      </c>
      <c r="D96" s="18" t="n">
        <f aca="false">'10. Layer and bridge'!B29</f>
        <v>0.314004893671525</v>
      </c>
      <c r="E96" s="18" t="n">
        <f aca="false">D96-C96</f>
        <v>4.8936715251191E-006</v>
      </c>
      <c r="F96" s="0" t="str">
        <f aca="false">IF(ABS(E96)&lt;=0.0005,"reproduced",IF(ABS(E96)&lt;=0.0005*3,"rounding","to check"))</f>
        <v>reproduced</v>
      </c>
    </row>
    <row r="97" customFormat="false" ht="15" hidden="false" customHeight="false" outlineLevel="0" collapsed="false">
      <c r="A97" s="0" t="s">
        <v>234</v>
      </c>
      <c r="B97" s="0" t="s">
        <v>235</v>
      </c>
      <c r="C97" s="14" t="n">
        <v>23700000</v>
      </c>
      <c r="D97" s="14" t="n">
        <f aca="false">'11. Debt'!B14</f>
        <v>23650000</v>
      </c>
      <c r="E97" s="14" t="n">
        <f aca="false">D97-C97</f>
        <v>-49999.9999999963</v>
      </c>
      <c r="F97" s="0" t="str">
        <f aca="false">IF(ABS(E97)&lt;=50000,"reproduced",IF(ABS(E97)&lt;=50000*3,"rounding","to check"))</f>
        <v>reproduced</v>
      </c>
    </row>
    <row r="98" customFormat="false" ht="15" hidden="false" customHeight="false" outlineLevel="0" collapsed="false">
      <c r="A98" s="0" t="s">
        <v>234</v>
      </c>
      <c r="B98" s="0" t="s">
        <v>236</v>
      </c>
      <c r="C98" s="14" t="n">
        <v>25700000</v>
      </c>
      <c r="D98" s="14" t="n">
        <f aca="false">'11. Debt'!B12</f>
        <v>25674800</v>
      </c>
      <c r="E98" s="14" t="n">
        <f aca="false">D98-C98</f>
        <v>-25200.0000000037</v>
      </c>
      <c r="F98" s="0" t="str">
        <f aca="false">IF(ABS(E98)&lt;=50000,"reproduced",IF(ABS(E98)&lt;=50000*3,"rounding","to check"))</f>
        <v>reproduced</v>
      </c>
    </row>
    <row r="99" customFormat="false" ht="15" hidden="false" customHeight="false" outlineLevel="0" collapsed="false">
      <c r="A99" s="0" t="s">
        <v>234</v>
      </c>
      <c r="B99" s="0" t="s">
        <v>237</v>
      </c>
      <c r="C99" s="14" t="n">
        <v>30500000</v>
      </c>
      <c r="D99" s="14" t="n">
        <f aca="false">'11. Debt'!B13</f>
        <v>30524484.4444444</v>
      </c>
      <c r="E99" s="14" t="n">
        <f aca="false">D99-C99</f>
        <v>24484.4444444478</v>
      </c>
      <c r="F99" s="0" t="str">
        <f aca="false">IF(ABS(E99)&lt;=50000,"reproduced",IF(ABS(E99)&lt;=50000*3,"rounding","to check"))</f>
        <v>reproduced</v>
      </c>
    </row>
    <row r="100" customFormat="false" ht="15" hidden="false" customHeight="false" outlineLevel="0" collapsed="false">
      <c r="A100" s="0" t="s">
        <v>234</v>
      </c>
      <c r="B100" s="0" t="s">
        <v>238</v>
      </c>
      <c r="C100" s="14" t="n">
        <v>17900000</v>
      </c>
      <c r="D100" s="14" t="n">
        <f aca="false">'11. Debt'!C14</f>
        <v>17903159.9422626</v>
      </c>
      <c r="E100" s="14" t="n">
        <f aca="false">D100-C100</f>
        <v>3159.94226259738</v>
      </c>
      <c r="F100" s="0" t="str">
        <f aca="false">IF(ABS(E100)&lt;=50000,"reproduced",IF(ABS(E100)&lt;=50000*3,"rounding","to check"))</f>
        <v>reproduced</v>
      </c>
    </row>
    <row r="101" customFormat="false" ht="15" hidden="false" customHeight="false" outlineLevel="0" collapsed="false">
      <c r="A101" s="0" t="s">
        <v>234</v>
      </c>
      <c r="B101" s="0" t="s">
        <v>239</v>
      </c>
      <c r="C101" s="14" t="n">
        <v>22100000</v>
      </c>
      <c r="D101" s="14" t="n">
        <f aca="false">'11. Debt'!B15</f>
        <v>22145000</v>
      </c>
      <c r="E101" s="14" t="n">
        <f aca="false">D101-C101</f>
        <v>44999.9999999963</v>
      </c>
      <c r="F101" s="0" t="str">
        <f aca="false">IF(ABS(E101)&lt;=50000,"reproduced",IF(ABS(E101)&lt;=50000*3,"rounding","to check"))</f>
        <v>reproduced</v>
      </c>
    </row>
    <row r="102" customFormat="false" ht="15" hidden="false" customHeight="false" outlineLevel="0" collapsed="false">
      <c r="A102" s="0" t="s">
        <v>234</v>
      </c>
      <c r="B102" s="0" t="s">
        <v>240</v>
      </c>
      <c r="C102" s="14" t="n">
        <v>16800000</v>
      </c>
      <c r="D102" s="14" t="n">
        <f aca="false">'11. Debt'!C15</f>
        <v>16763867.9459368</v>
      </c>
      <c r="E102" s="14" t="n">
        <f aca="false">D102-C102</f>
        <v>-36132.0540632084</v>
      </c>
      <c r="F102" s="0" t="str">
        <f aca="false">IF(ABS(E102)&lt;=50000,"reproduced",IF(ABS(E102)&lt;=50000*3,"rounding","to check"))</f>
        <v>reproduced</v>
      </c>
    </row>
    <row r="103" customFormat="false" ht="15" hidden="false" customHeight="false" outlineLevel="0" collapsed="false">
      <c r="A103" s="0" t="s">
        <v>234</v>
      </c>
      <c r="B103" s="0" t="s">
        <v>241</v>
      </c>
      <c r="C103" s="18" t="n">
        <v>0.0327</v>
      </c>
      <c r="D103" s="18" t="n">
        <f aca="false">'11. Debt'!B16</f>
        <v>0.0326704745892972</v>
      </c>
      <c r="E103" s="18" t="n">
        <f aca="false">D103-C103</f>
        <v>-2.95254107028284E-005</v>
      </c>
      <c r="F103" s="0" t="str">
        <f aca="false">IF(ABS(E103)&lt;=0.00005,"reproduced",IF(ABS(E103)&lt;=0.00005*3,"rounding","to check"))</f>
        <v>reproduced</v>
      </c>
    </row>
    <row r="104" customFormat="false" ht="15" hidden="false" customHeight="false" outlineLevel="0" collapsed="false">
      <c r="A104" s="0" t="s">
        <v>234</v>
      </c>
      <c r="B104" s="0" t="s">
        <v>242</v>
      </c>
      <c r="C104" s="18" t="n">
        <v>0.0954</v>
      </c>
      <c r="D104" s="18" t="n">
        <f aca="false">'11. Debt'!C16</f>
        <v>0.0954473060189054</v>
      </c>
      <c r="E104" s="18" t="n">
        <f aca="false">D104-C104</f>
        <v>4.73060189053881E-005</v>
      </c>
      <c r="F104" s="0" t="str">
        <f aca="false">IF(ABS(E104)&lt;=0.00005,"reproduced",IF(ABS(E104)&lt;=0.00005*3,"rounding","to check"))</f>
        <v>reproduced</v>
      </c>
    </row>
    <row r="105" customFormat="false" ht="15" hidden="false" customHeight="false" outlineLevel="0" collapsed="false">
      <c r="A105" s="0" t="s">
        <v>234</v>
      </c>
      <c r="B105" s="0" t="s">
        <v>243</v>
      </c>
      <c r="C105" s="16" t="n">
        <v>343</v>
      </c>
      <c r="D105" s="16" t="n">
        <f aca="false">'11. Debt'!B18</f>
        <v>342.710565285975</v>
      </c>
      <c r="E105" s="16" t="n">
        <f aca="false">D105-C105</f>
        <v>-0.289434714024765</v>
      </c>
      <c r="F105" s="0" t="str">
        <f aca="false">IF(ABS(E105)&lt;=0.5,"reproduced",IF(ABS(E105)&lt;=0.5*3,"rounding","to check"))</f>
        <v>reproduced</v>
      </c>
    </row>
    <row r="106" customFormat="false" ht="15" hidden="false" customHeight="false" outlineLevel="0" collapsed="false">
      <c r="A106" s="0" t="s">
        <v>234</v>
      </c>
      <c r="B106" s="0" t="s">
        <v>244</v>
      </c>
      <c r="C106" s="16" t="n">
        <v>628</v>
      </c>
      <c r="D106" s="16" t="n">
        <f aca="false">'11. Debt'!B19</f>
        <v>627.768314296082</v>
      </c>
      <c r="E106" s="16" t="n">
        <f aca="false">D106-C106</f>
        <v>-0.231685703917833</v>
      </c>
      <c r="F106" s="0" t="str">
        <f aca="false">IF(ABS(E106)&lt;=0.5,"reproduced",IF(ABS(E106)&lt;=0.5*3,"rounding","to check"))</f>
        <v>reproduced</v>
      </c>
    </row>
    <row r="107" customFormat="false" ht="15" hidden="false" customHeight="false" outlineLevel="0" collapsed="false">
      <c r="A107" s="0" t="s">
        <v>245</v>
      </c>
      <c r="B107" s="0" t="s">
        <v>246</v>
      </c>
      <c r="C107" s="18" t="n">
        <v>0.0792</v>
      </c>
      <c r="D107" s="18" t="n">
        <f aca="false">'7. Year by year'!B18/('5. Value'!$B$12*(1+'2. Inputs'!B17))</f>
        <v>0.0792454319666424</v>
      </c>
      <c r="E107" s="18" t="n">
        <f aca="false">D107-C107</f>
        <v>4.54319666424174E-005</v>
      </c>
      <c r="F107" s="0" t="str">
        <f aca="false">IF(ABS(E107)&lt;=0.00005,"reproduced",IF(ABS(E107)&lt;=0.00005*3,"rounding","to check"))</f>
        <v>reproduced</v>
      </c>
    </row>
    <row r="108" customFormat="false" ht="15" hidden="false" customHeight="false" outlineLevel="0" collapsed="false">
      <c r="A108" s="0" t="s">
        <v>245</v>
      </c>
      <c r="B108" s="0" t="s">
        <v>247</v>
      </c>
      <c r="C108" s="18" t="n">
        <v>0.41</v>
      </c>
      <c r="D108" s="18" t="n">
        <f aca="false">'5. Value'!B15/'5. Value'!$B$12</f>
        <v>0.412828360992038</v>
      </c>
      <c r="E108" s="18" t="n">
        <f aca="false">D108-C108</f>
        <v>0.00282836099203776</v>
      </c>
      <c r="F108" s="0" t="str">
        <f aca="false">IF(ABS(E108)&lt;=0.005,"reproduced",IF(ABS(E108)&lt;=0.005*3,"rounding","to check"))</f>
        <v>reproduced</v>
      </c>
    </row>
    <row r="110" customFormat="false" ht="15" hidden="false" customHeight="false" outlineLevel="0" collapsed="false">
      <c r="A110" s="0" t="s">
        <v>248</v>
      </c>
      <c r="C110" s="0" t="n">
        <f aca="false">COUNTIF(F6:F108,"reproduced")</f>
        <v>103</v>
      </c>
    </row>
    <row r="111" customFormat="false" ht="15" hidden="false" customHeight="false" outlineLevel="0" collapsed="false">
      <c r="A111" s="0" t="s">
        <v>249</v>
      </c>
      <c r="C111" s="0" t="n">
        <f aca="false">COUNTIF(F6:F108,"rounding")</f>
        <v>0</v>
      </c>
    </row>
    <row r="112" customFormat="false" ht="15" hidden="false" customHeight="false" outlineLevel="0" collapsed="false">
      <c r="A112" s="0" t="s">
        <v>250</v>
      </c>
      <c r="C112" s="0" t="n">
        <f aca="false">COUNTIF(F6:F108,"to check")</f>
        <v>0</v>
      </c>
    </row>
    <row r="113" customFormat="false" ht="15" hidden="false" customHeight="false" outlineLevel="0" collapsed="false">
      <c r="A113" s="20" t="s">
        <v>251</v>
      </c>
      <c r="D113" s="20" t="str">
        <f aca="false">IF(COUNTIF(F6:F108,"to check")=0,"ALL OK",COUNTIF(F6:F108,"to check")&amp;" to check")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8"/>
  </cols>
  <sheetData>
    <row r="1" customFormat="false" ht="16.15" hidden="false" customHeight="false" outlineLevel="0" collapsed="false">
      <c r="A1" s="5" t="s">
        <v>252</v>
      </c>
    </row>
    <row r="3" customFormat="false" ht="15" hidden="false" customHeight="false" outlineLevel="0" collapsed="false">
      <c r="A3" s="0" t="s">
        <v>51</v>
      </c>
      <c r="B3" s="20" t="s">
        <v>91</v>
      </c>
      <c r="C3" s="20" t="s">
        <v>89</v>
      </c>
      <c r="D3" s="20" t="s">
        <v>92</v>
      </c>
    </row>
    <row r="4" customFormat="false" ht="15" hidden="false" customHeight="false" outlineLevel="0" collapsed="false">
      <c r="A4" s="0" t="n">
        <v>1</v>
      </c>
      <c r="B4" s="14" t="n">
        <f aca="false">SUMIF('4. Cash flow'!$B$4:$B$43,A4,'4. Cash flow'!$AP$4:$AP$43)</f>
        <v>2776903.6</v>
      </c>
      <c r="C4" s="14" t="n">
        <f aca="false">SUMIF('4. Cash flow'!$B$4:$B$43,A4,'4. Cash flow'!$AN$4:$AN$43)</f>
        <v>985833.169915899</v>
      </c>
      <c r="D4" s="14" t="n">
        <f aca="false">B4-C4</f>
        <v>1791070.4300841</v>
      </c>
    </row>
    <row r="5" customFormat="false" ht="15" hidden="false" customHeight="false" outlineLevel="0" collapsed="false">
      <c r="A5" s="0" t="n">
        <v>2</v>
      </c>
      <c r="B5" s="14" t="n">
        <f aca="false">SUMIF('4. Cash flow'!$B$4:$B$43,A5,'4. Cash flow'!$AP$4:$AP$43)</f>
        <v>2999843.51550394</v>
      </c>
      <c r="C5" s="14" t="n">
        <f aca="false">SUMIF('4. Cash flow'!$B$4:$B$43,A5,'4. Cash flow'!$AN$4:$AN$43)</f>
        <v>435848.031141589</v>
      </c>
      <c r="D5" s="14" t="n">
        <f aca="false">B5-C5</f>
        <v>2563995.48436235</v>
      </c>
    </row>
    <row r="6" customFormat="false" ht="15" hidden="false" customHeight="false" outlineLevel="0" collapsed="false">
      <c r="A6" s="0" t="n">
        <v>3</v>
      </c>
      <c r="B6" s="14" t="n">
        <f aca="false">SUMIF('4. Cash flow'!$B$4:$B$43,A6,'4. Cash flow'!$AP$4:$AP$43)</f>
        <v>2431701.43100788</v>
      </c>
      <c r="C6" s="14" t="n">
        <f aca="false">SUMIF('4. Cash flow'!$B$4:$B$43,A6,'4. Cash flow'!$AN$4:$AN$43)</f>
        <v>3813552.17888799</v>
      </c>
      <c r="D6" s="14" t="n">
        <f aca="false">B6-C6</f>
        <v>-1381850.74788011</v>
      </c>
    </row>
    <row r="7" customFormat="false" ht="15" hidden="false" customHeight="false" outlineLevel="0" collapsed="false">
      <c r="A7" s="0" t="n">
        <v>4</v>
      </c>
      <c r="B7" s="14" t="n">
        <f aca="false">SUMIF('4. Cash flow'!$B$4:$B$43,A7,'4. Cash flow'!$AP$4:$AP$43)</f>
        <v>2167076.26879153</v>
      </c>
      <c r="C7" s="14" t="n">
        <f aca="false">SUMIF('4. Cash flow'!$B$4:$B$43,A7,'4. Cash flow'!$AN$4:$AN$43)</f>
        <v>158696.163762346</v>
      </c>
      <c r="D7" s="14" t="n">
        <f aca="false">B7-C7</f>
        <v>2008380.10502919</v>
      </c>
    </row>
    <row r="8" customFormat="false" ht="15" hidden="false" customHeight="false" outlineLevel="0" collapsed="false">
      <c r="A8" s="0" t="n">
        <v>5</v>
      </c>
      <c r="B8" s="14" t="n">
        <f aca="false">SUMIF('4. Cash flow'!$B$4:$B$43,A8,'4. Cash flow'!$AP$4:$AP$43)</f>
        <v>2451301.21826324</v>
      </c>
      <c r="C8" s="14" t="n">
        <f aca="false">SUMIF('4. Cash flow'!$B$4:$B$43,A8,'4. Cash flow'!$AN$4:$AN$43)</f>
        <v>1556942.61475042</v>
      </c>
      <c r="D8" s="14" t="n">
        <f aca="false">B8-C8</f>
        <v>894358.603512822</v>
      </c>
    </row>
    <row r="9" customFormat="false" ht="15" hidden="false" customHeight="false" outlineLevel="0" collapsed="false">
      <c r="A9" s="0" t="n">
        <v>6</v>
      </c>
      <c r="B9" s="14" t="n">
        <f aca="false">SUMIF('4. Cash flow'!$B$4:$B$43,A9,'4. Cash flow'!$AP$4:$AP$43)</f>
        <v>2864617.66587487</v>
      </c>
      <c r="C9" s="14" t="n">
        <f aca="false">SUMIF('4. Cash flow'!$B$4:$B$43,A9,'4. Cash flow'!$AN$4:$AN$43)</f>
        <v>1045599.26082182</v>
      </c>
      <c r="D9" s="14" t="n">
        <f aca="false">B9-C9</f>
        <v>1819018.40505305</v>
      </c>
    </row>
    <row r="10" customFormat="false" ht="15" hidden="false" customHeight="false" outlineLevel="0" collapsed="false">
      <c r="A10" s="0" t="n">
        <v>7</v>
      </c>
      <c r="B10" s="14" t="n">
        <f aca="false">SUMIF('4. Cash flow'!$B$4:$B$43,A10,'4. Cash flow'!$AP$4:$AP$43)</f>
        <v>2585484.39798257</v>
      </c>
      <c r="C10" s="14" t="n">
        <f aca="false">SUMIF('4. Cash flow'!$B$4:$B$43,A10,'4. Cash flow'!$AN$4:$AN$43)</f>
        <v>845069.415413036</v>
      </c>
      <c r="D10" s="14" t="n">
        <f aca="false">B10-C10</f>
        <v>1740414.98256953</v>
      </c>
    </row>
    <row r="11" customFormat="false" ht="15" hidden="false" customHeight="false" outlineLevel="0" collapsed="false">
      <c r="A11" s="0" t="n">
        <v>8</v>
      </c>
      <c r="B11" s="14" t="n">
        <f aca="false">SUMIF('4. Cash flow'!$B$4:$B$43,A11,'4. Cash flow'!$AP$4:$AP$43)</f>
        <v>2695120.61014892</v>
      </c>
      <c r="C11" s="14" t="n">
        <f aca="false">SUMIF('4. Cash flow'!$B$4:$B$43,A11,'4. Cash flow'!$AN$4:$AN$43)</f>
        <v>564098.735311823</v>
      </c>
      <c r="D11" s="14" t="n">
        <f aca="false">B11-C11</f>
        <v>2131021.87483709</v>
      </c>
    </row>
    <row r="12" customFormat="false" ht="15" hidden="false" customHeight="false" outlineLevel="0" collapsed="false">
      <c r="A12" s="0" t="n">
        <v>9</v>
      </c>
      <c r="B12" s="14" t="n">
        <f aca="false">SUMIF('4. Cash flow'!$B$4:$B$43,A12,'4. Cash flow'!$AP$4:$AP$43)</f>
        <v>2310006.18737771</v>
      </c>
      <c r="C12" s="14" t="n">
        <f aca="false">SUMIF('4. Cash flow'!$B$4:$B$43,A12,'4. Cash flow'!$AN$4:$AN$43)</f>
        <v>2203125.20845123</v>
      </c>
      <c r="D12" s="14" t="n">
        <f aca="false">B12-C12</f>
        <v>106880.978926482</v>
      </c>
    </row>
    <row r="13" customFormat="false" ht="15" hidden="false" customHeight="false" outlineLevel="0" collapsed="false">
      <c r="A13" s="0" t="n">
        <v>10</v>
      </c>
      <c r="B13" s="14" t="n">
        <f aca="false">SUMIF('4. Cash flow'!$B$4:$B$43,A13,'4. Cash flow'!$AP$4:$AP$43)</f>
        <v>2472096.45110712</v>
      </c>
      <c r="C13" s="14" t="n">
        <f aca="false">SUMIF('4. Cash flow'!$B$4:$B$43,A13,'4. Cash flow'!$AN$4:$AN$43)</f>
        <v>1829293.72253035</v>
      </c>
      <c r="D13" s="14" t="n">
        <f aca="false">B13-C13</f>
        <v>642802.728576767</v>
      </c>
    </row>
    <row r="14" customFormat="false" ht="15" hidden="false" customHeight="false" outlineLevel="0" collapsed="false">
      <c r="A14" s="20" t="s">
        <v>253</v>
      </c>
      <c r="B14" s="14" t="n">
        <f aca="false">SUM(B4:B13)</f>
        <v>25754151.3460578</v>
      </c>
      <c r="C14" s="14" t="n">
        <f aca="false">SUM(C4:C13)</f>
        <v>13438058.5009865</v>
      </c>
      <c r="D14" s="14" t="n">
        <f aca="false">SUM(D4:D13)</f>
        <v>12316092.8450713</v>
      </c>
    </row>
    <row r="15" customFormat="false" ht="15" hidden="false" customHeight="false" outlineLevel="0" collapsed="false">
      <c r="A15" s="0" t="s">
        <v>110</v>
      </c>
      <c r="B15" s="23" t="n">
        <f aca="false">C14/B14</f>
        <v>0.521782229218882</v>
      </c>
    </row>
    <row r="16" customFormat="false" ht="15" hidden="false" customHeight="false" outlineLevel="0" collapsed="false">
      <c r="A16" s="0" t="s">
        <v>254</v>
      </c>
      <c r="B16" s="23" t="n">
        <f aca="false">D14/10/'2. Inputs'!B19</f>
        <v>0.0286420763838867</v>
      </c>
    </row>
    <row r="18" customFormat="false" ht="15" hidden="false" customHeight="false" outlineLevel="0" collapsed="false">
      <c r="A18" s="0" t="s">
        <v>255</v>
      </c>
      <c r="B18" s="14" t="n">
        <f aca="false">'3. Leases'!B3*'3. Leases'!C3*(1-'2. Inputs'!B11)+'3. Leases'!B4*'3. Leases'!C4*(1-'2. Inputs'!B11)+'3. Leases'!B5*'3. Leases'!C5*(1-'2. Inputs'!B11)+'3. Leases'!B6*'3. Leases'!C6*(1-'2. Inputs'!B11)-'3. Leases'!B7*'2. Inputs'!B12</f>
        <v>2747203.6</v>
      </c>
    </row>
    <row r="19" customFormat="false" ht="15" hidden="false" customHeight="false" outlineLevel="0" collapsed="false">
      <c r="A19" s="0" t="s">
        <v>140</v>
      </c>
      <c r="B19" s="23" t="n">
        <f aca="false">'5. Value'!B7/B18-1</f>
        <v>0.39686522529325</v>
      </c>
    </row>
    <row r="20" customFormat="false" ht="15" hidden="false" customHeight="false" outlineLevel="0" collapsed="false">
      <c r="A20" s="0" t="s">
        <v>256</v>
      </c>
      <c r="B20" s="23" t="n">
        <f aca="false">'S11 No rental growth'!J8/B18-1</f>
        <v>0.231798036374151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257</v>
      </c>
    </row>
    <row r="2" customFormat="false" ht="15" hidden="false" customHeight="false" outlineLevel="0" collapsed="false">
      <c r="A2" s="22" t="s">
        <v>258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54367115.6762463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8894115.06377498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25772912.8244245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34667027.8881995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32551199.895023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0.743441661844842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0.0432289434713613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13438058.5009865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0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347572.82661038</v>
      </c>
      <c r="AW36" s="21" t="n">
        <f aca="false">(1+$B$16)^(-$A36/4)</f>
        <v>0.877545739475122</v>
      </c>
      <c r="AX36" s="14" t="n">
        <f aca="false">AV36*AW36</f>
        <v>305011.053149265</v>
      </c>
      <c r="AY36" s="14" t="n">
        <f aca="false">AV36</f>
        <v>347572.82661038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-1450770.91631257</v>
      </c>
      <c r="AW40" s="21" t="n">
        <f aca="false">(1+$B$16)^(-$A40/4)</f>
        <v>0.814427600440949</v>
      </c>
      <c r="AX40" s="14" t="n">
        <f aca="false">AV40*AW40</f>
        <v>-1181547.87616197</v>
      </c>
      <c r="AY40" s="14" t="n">
        <f aca="false">AV40</f>
        <v>-1450770.91631257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-834995.32902794</v>
      </c>
      <c r="AW46" s="21" t="n">
        <f aca="false">(1+$B$16)^(-$A46/4)</f>
        <v>0.728159575469592</v>
      </c>
      <c r="AX46" s="14" t="n">
        <f aca="false">AV46*AW46</f>
        <v>-608009.844304077</v>
      </c>
      <c r="AY46" s="14" t="n">
        <f aca="false">AV46</f>
        <v>-834995.32902794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-349929.46132618</v>
      </c>
      <c r="AW53" s="21" t="n">
        <f aca="false">(1+$B$16)^(-$A53/4)</f>
        <v>0.638993333111354</v>
      </c>
      <c r="AX53" s="14" t="n">
        <f aca="false">AV53*AW53</f>
        <v>-223602.592846676</v>
      </c>
      <c r="AY53" s="14" t="n">
        <f aca="false">AV53</f>
        <v>-349929.46132618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845069.415413036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-247997.015917393</v>
      </c>
      <c r="AW56" s="21" t="n">
        <f aca="false">(1+$B$16)^(-$A56/4)</f>
        <v>0.604203682494304</v>
      </c>
      <c r="AX56" s="14" t="n">
        <f aca="false">AV56*AW56</f>
        <v>-149840.710264888</v>
      </c>
      <c r="AY56" s="14" t="n">
        <f aca="false">AV56</f>
        <v>-247997.015917393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564098.735311823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135250.668239268</v>
      </c>
      <c r="AW59" s="21" t="n">
        <f aca="false">(1+$B$16)^(-$A59/4)</f>
        <v>0.571308135817531</v>
      </c>
      <c r="AX59" s="14" t="n">
        <f aca="false">AV59*AW59</f>
        <v>77269.8071398515</v>
      </c>
      <c r="AY59" s="14" t="n">
        <f aca="false">AV59</f>
        <v>135250.668239268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-1697056.85717009</v>
      </c>
      <c r="AW63" s="21" t="n">
        <f aca="false">(1+$B$16)^(-$A63/4)</f>
        <v>0.530216367348056</v>
      </c>
      <c r="AX63" s="14" t="n">
        <f aca="false">AV63*AW63</f>
        <v>-899807.321991836</v>
      </c>
      <c r="AY63" s="14" t="n">
        <f aca="false">AV63</f>
        <v>-1697056.85717009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-992363.743699641</v>
      </c>
      <c r="AW69" s="21" t="n">
        <f aca="false">(1+$B$16)^(-$A69/4)</f>
        <v>0.474053340955239</v>
      </c>
      <c r="AX69" s="14" t="n">
        <f aca="false">AV69*AW69</f>
        <v>-470433.348143663</v>
      </c>
      <c r="AY69" s="14" t="n">
        <f aca="false">AV69+$J$9</f>
        <v>53374751.9325467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309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2591686.48709419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4200</v>
      </c>
    </row>
    <row r="8" customFormat="false" ht="15" hidden="false" customHeight="false" outlineLevel="0" collapsed="false">
      <c r="A8" s="0" t="s">
        <v>26</v>
      </c>
      <c r="B8" s="24" t="n">
        <v>5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3805623.09568509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53323397.3202666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8341707.38192936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25278134.650756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33619842.0326854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31567926.7912539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0.751881422470114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0.0401170966620172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23581245.4722772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11660161.0354008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-983273.103769053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-0.0302069695415251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0</v>
      </c>
      <c r="AN33" s="14" t="n">
        <f aca="false">IF($A33&lt;=$G$8,0,IF(AI33=0,AK33*$B$6*(1+$B$7)^(($G$8+AJ33*($B$8+$B$10))/4),0)+IF(AI33=$B$8,$B$11*$B$4*(1+$B$5)^(($G$8+$B$8+AJ33*($B$8+$B$10))/4)*AK33,0))</f>
        <v>0</v>
      </c>
      <c r="AO33" s="21" t="n">
        <f aca="false">IF($A33&lt;=$G$8,0,IF(AI33&lt;$B$8,AK33,0))</f>
        <v>2160</v>
      </c>
      <c r="AP33" s="14" t="n">
        <f aca="false">F33+N33+V33+AD33+AL33</f>
        <v>762235</v>
      </c>
      <c r="AQ33" s="14" t="n">
        <f aca="false">G33+O33+W33+AE33+AM33</f>
        <v>3048940</v>
      </c>
      <c r="AR33" s="14" t="n">
        <f aca="false">H33+P33+X33+AF33+AN33+IF($A33=$B$15,$B$14,0)</f>
        <v>0</v>
      </c>
      <c r="AS33" s="21" t="n">
        <f aca="false">I33+Q33+Y33+AG33+AO33</f>
        <v>2160</v>
      </c>
      <c r="AT33" s="14" t="n">
        <f aca="false">AP33*(1-$B$12)-AS33*$B$13/4</f>
        <v>686800.9</v>
      </c>
      <c r="AU33" s="14" t="n">
        <f aca="false">0</f>
        <v>0</v>
      </c>
      <c r="AV33" s="14" t="n">
        <f aca="false">AT33-AR33-AU33</f>
        <v>686800.9</v>
      </c>
      <c r="AW33" s="21" t="n">
        <f aca="false">(1+$B$16)^(-$A33/4)</f>
        <v>0.928074245939675</v>
      </c>
      <c r="AX33" s="14" t="n">
        <f aca="false">AV33*AW33</f>
        <v>637402.22737819</v>
      </c>
      <c r="AY33" s="14" t="n">
        <f aca="false">AV33</f>
        <v>686800.9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0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2160</v>
      </c>
      <c r="AP34" s="14" t="n">
        <f aca="false">F34+N34+V34+AD34+AL34</f>
        <v>762235</v>
      </c>
      <c r="AQ34" s="14" t="n">
        <f aca="false">G34+O34+W34+AE34+AM34</f>
        <v>3048940</v>
      </c>
      <c r="AR34" s="14" t="n">
        <f aca="false">H34+P34+X34+AF34+AN34+IF($A34=$B$15,$B$14,0)</f>
        <v>0</v>
      </c>
      <c r="AS34" s="21" t="n">
        <f aca="false">I34+Q34+Y34+AG34+AO34</f>
        <v>2160</v>
      </c>
      <c r="AT34" s="14" t="n">
        <f aca="false">AP34*(1-$B$12)-AS34*$B$13/4</f>
        <v>686800.9</v>
      </c>
      <c r="AU34" s="14" t="n">
        <f aca="false">0</f>
        <v>0</v>
      </c>
      <c r="AV34" s="14" t="n">
        <f aca="false">AT34-AR34-AU34</f>
        <v>686800.9</v>
      </c>
      <c r="AW34" s="21" t="n">
        <f aca="false">(1+$B$16)^(-$A34/4)</f>
        <v>0.910916149021652</v>
      </c>
      <c r="AX34" s="14" t="n">
        <f aca="false">AV34*AW34</f>
        <v>625618.030972605</v>
      </c>
      <c r="AY34" s="14" t="n">
        <f aca="false">AV34</f>
        <v>686800.9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660172.696376362</v>
      </c>
      <c r="AN35" s="14" t="n">
        <f aca="false">IF($A35&lt;=$G$8,0,IF(AI35=0,AK35*$B$6*(1+$B$7)^(($G$8+AJ35*($B$8+$B$10))/4),0)+IF(AI35=$B$8,$B$11*$B$4*(1+$B$5)^(($G$8+$B$8+AJ35*($B$8+$B$10))/4)*AK35,0))</f>
        <v>79220.7235651635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3709112.69637636</v>
      </c>
      <c r="AR35" s="14" t="n">
        <f aca="false">H35+P35+X35+AF35+AN35+IF($A35=$B$15,$B$14,0)</f>
        <v>79220.7235651635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637280.176434837</v>
      </c>
      <c r="AW35" s="21" t="n">
        <f aca="false">(1+$B$16)^(-$A35/4)</f>
        <v>0.894075268415941</v>
      </c>
      <c r="AX35" s="14" t="n">
        <f aca="false">AV35*AW35</f>
        <v>569776.444802135</v>
      </c>
      <c r="AY35" s="14" t="n">
        <f aca="false">AV35</f>
        <v>637280.176434837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0</v>
      </c>
      <c r="AM36" s="14" t="n">
        <f aca="false">IF($A36&lt;=$G$8,$E$8*$F$8,IF(AI36&gt;=$B$8,AK36*$B$4*(1+$B$5)^(($G$8+$B$8+AJ36*($B$8+$B$10))/4),0))</f>
        <v>660172.696376362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684235</v>
      </c>
      <c r="AQ36" s="14" t="n">
        <f aca="false">G36+O36+W36+AE36+AM36</f>
        <v>3397112.69637636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629430.9</v>
      </c>
      <c r="AU36" s="14" t="n">
        <f aca="false">0</f>
        <v>0</v>
      </c>
      <c r="AV36" s="14" t="n">
        <f aca="false">AT36-AR36-AU36</f>
        <v>193582.86885841</v>
      </c>
      <c r="AW36" s="21" t="n">
        <f aca="false">(1+$B$16)^(-$A36/4)</f>
        <v>0.877545739475122</v>
      </c>
      <c r="AX36" s="14" t="n">
        <f aca="false">AV36*AW36</f>
        <v>169877.821802069</v>
      </c>
      <c r="AY36" s="14" t="n">
        <f aca="false">AV36</f>
        <v>193582.86885841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0</v>
      </c>
      <c r="AM37" s="14" t="n">
        <f aca="false">IF($A37&lt;=$G$8,$E$8*$F$8,IF(AI37&gt;=$B$8,AK37*$B$4*(1+$B$5)^(($G$8+$B$8+AJ37*($B$8+$B$10))/4),0))</f>
        <v>660172.696376362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684235</v>
      </c>
      <c r="AQ37" s="14" t="n">
        <f aca="false">G37+O37+W37+AE37+AM37</f>
        <v>3397112.69637636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629430.9</v>
      </c>
      <c r="AU37" s="14" t="n">
        <f aca="false">0</f>
        <v>0</v>
      </c>
      <c r="AV37" s="14" t="n">
        <f aca="false">AT37-AR37-AU37</f>
        <v>629430.9</v>
      </c>
      <c r="AW37" s="21" t="n">
        <f aca="false">(1+$B$16)^(-$A37/4)</f>
        <v>0.861321805976497</v>
      </c>
      <c r="AX37" s="14" t="n">
        <f aca="false">AV37*AW37</f>
        <v>542142.559525412</v>
      </c>
      <c r="AY37" s="14" t="n">
        <f aca="false">AV37</f>
        <v>629430.9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165043.174094091</v>
      </c>
      <c r="AM38" s="14" t="n">
        <f aca="false">IF($A38&lt;=$G$8,$E$8*$F$8,IF(AI38&gt;=$B$8,AK38*$B$4*(1+$B$5)^(($G$8+$B$8+AJ38*($B$8+$B$10))/4),0))</f>
        <v>660172.696376362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849278.174094091</v>
      </c>
      <c r="AQ38" s="14" t="n">
        <f aca="false">G38+O38+W38+AE38+AM38</f>
        <v>3397112.69637636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784571.483648445</v>
      </c>
      <c r="AU38" s="14" t="n">
        <f aca="false">0</f>
        <v>0</v>
      </c>
      <c r="AV38" s="14" t="n">
        <f aca="false">AT38-AR38-AU38</f>
        <v>784571.483648445</v>
      </c>
      <c r="AW38" s="21" t="n">
        <f aca="false">(1+$B$16)^(-$A38/4)</f>
        <v>0.845397818117543</v>
      </c>
      <c r="AX38" s="14" t="n">
        <f aca="false">AV38*AW38</f>
        <v>663275.020433639</v>
      </c>
      <c r="AY38" s="14" t="n">
        <f aca="false">AV38</f>
        <v>784571.483648445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0</v>
      </c>
      <c r="AF39" s="14" t="n">
        <f aca="false">IF($A39&lt;=$G$7,0,IF(AA39=0,AC39*$B$6*(1+$B$7)^(($G$7+AB39*($B$8+$B$10))/4),0)+IF(AA39=$B$8,$B$11*$B$4*(1+$B$5)^(($G$7+$B$8+AB39*($B$8+$B$10))/4)*AC39,0))</f>
        <v>0</v>
      </c>
      <c r="AG39" s="21" t="n">
        <f aca="false">IF($A39&lt;=$G$7,0,IF(AA39&lt;$B$8,AC39,0))</f>
        <v>1000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165043.174094091</v>
      </c>
      <c r="AM39" s="14" t="n">
        <f aca="false">IF($A39&lt;=$G$8,$E$8*$F$8,IF(AI39&gt;=$B$8,AK39*$B$4*(1+$B$5)^(($G$8+$B$8+AJ39*($B$8+$B$10))/4),0))</f>
        <v>660172.696376362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849278.174094091</v>
      </c>
      <c r="AQ39" s="14" t="n">
        <f aca="false">G39+O39+W39+AE39+AM39</f>
        <v>3397112.69637636</v>
      </c>
      <c r="AR39" s="14" t="n">
        <f aca="false">H39+P39+X39+AF39+AN39+IF($A39=$B$15,$B$14,0)</f>
        <v>0</v>
      </c>
      <c r="AS39" s="21" t="n">
        <f aca="false">I39+Q39+Y39+AG39+AO39</f>
        <v>1000</v>
      </c>
      <c r="AT39" s="14" t="n">
        <f aca="false">AP39*(1-$B$12)-AS39*$B$13/4</f>
        <v>784571.483648445</v>
      </c>
      <c r="AU39" s="14" t="n">
        <f aca="false">0</f>
        <v>0</v>
      </c>
      <c r="AV39" s="14" t="n">
        <f aca="false">AT39-AR39-AU39</f>
        <v>784571.483648445</v>
      </c>
      <c r="AW39" s="21" t="n">
        <f aca="false">(1+$B$16)^(-$A39/4)</f>
        <v>0.829768230548437</v>
      </c>
      <c r="AX39" s="14" t="n">
        <f aca="false">AV39*AW39</f>
        <v>651012.491725732</v>
      </c>
      <c r="AY39" s="14" t="n">
        <f aca="false">AV39</f>
        <v>784571.483648445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0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1000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165043.174094091</v>
      </c>
      <c r="AM40" s="14" t="n">
        <f aca="false">IF($A40&lt;=$G$8,$E$8*$F$8,IF(AI40&gt;=$B$8,AK40*$B$4*(1+$B$5)^(($G$8+$B$8+AJ40*($B$8+$B$10))/4),0))</f>
        <v>660172.696376362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515378.174094091</v>
      </c>
      <c r="AQ40" s="14" t="n">
        <f aca="false">G40+O40+W40+AE40+AM40</f>
        <v>2061512.69637636</v>
      </c>
      <c r="AR40" s="14" t="n">
        <f aca="false">H40+P40+X40+AF40+AN40+IF($A40=$B$15,$B$14,0)</f>
        <v>1876325.77406454</v>
      </c>
      <c r="AS40" s="21" t="n">
        <f aca="false">I40+Q40+Y40+AG40+AO40</f>
        <v>5200</v>
      </c>
      <c r="AT40" s="14" t="n">
        <f aca="false">AP40*(1-$B$12)-AS40*$B$13/4</f>
        <v>412955.483648445</v>
      </c>
      <c r="AU40" s="14" t="n">
        <f aca="false">0</f>
        <v>0</v>
      </c>
      <c r="AV40" s="14" t="n">
        <f aca="false">AT40-AR40-AU40</f>
        <v>-1463370.2904161</v>
      </c>
      <c r="AW40" s="21" t="n">
        <f aca="false">(1+$B$16)^(-$A40/4)</f>
        <v>0.814427600440949</v>
      </c>
      <c r="AX40" s="14" t="n">
        <f aca="false">AV40*AW40</f>
        <v>-1191809.15418016</v>
      </c>
      <c r="AY40" s="14" t="n">
        <f aca="false">AV40</f>
        <v>-1463370.2904161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312538.030388146</v>
      </c>
      <c r="AF41" s="14" t="n">
        <f aca="false">IF($A41&lt;=$G$7,0,IF(AA41=0,AC41*$B$6*(1+$B$7)^(($G$7+AB41*($B$8+$B$10))/4),0)+IF(AA41=$B$8,$B$11*$B$4*(1+$B$5)^(($G$7+$B$8+AB41*($B$8+$B$10))/4)*AC41,0))</f>
        <v>37504.5636465775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165043.174094091</v>
      </c>
      <c r="AM41" s="14" t="n">
        <f aca="false">IF($A41&lt;=$G$8,$E$8*$F$8,IF(AI41&gt;=$B$8,AK41*$B$4*(1+$B$5)^(($G$8+$B$8+AJ41*($B$8+$B$10))/4),0))</f>
        <v>660172.696376362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515378.174094091</v>
      </c>
      <c r="AQ41" s="14" t="n">
        <f aca="false">G41+O41+W41+AE41+AM41</f>
        <v>2374050.72676451</v>
      </c>
      <c r="AR41" s="14" t="n">
        <f aca="false">H41+P41+X41+AF41+AN41+IF($A41=$B$15,$B$14,0)</f>
        <v>1937504.56364658</v>
      </c>
      <c r="AS41" s="21" t="n">
        <f aca="false">I41+Q41+Y41+AG41+AO41</f>
        <v>4200</v>
      </c>
      <c r="AT41" s="14" t="n">
        <f aca="false">AP41*(1-$B$12)-AS41*$B$13/4</f>
        <v>426705.483648445</v>
      </c>
      <c r="AU41" s="14" t="n">
        <f aca="false">0</f>
        <v>0</v>
      </c>
      <c r="AV41" s="14" t="n">
        <f aca="false">AT41-AR41-AU41</f>
        <v>-1510799.07999813</v>
      </c>
      <c r="AW41" s="21" t="n">
        <f aca="false">(1+$B$16)^(-$A41/4)</f>
        <v>0.799370585593037</v>
      </c>
      <c r="AX41" s="14" t="n">
        <f aca="false">AV41*AW41</f>
        <v>-1207688.34529153</v>
      </c>
      <c r="AY41" s="14" t="n">
        <f aca="false">AV41</f>
        <v>-1510799.07999813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0</v>
      </c>
      <c r="AE42" s="14" t="n">
        <f aca="false">IF($A42&lt;=$G$7,$E$7*$F$7,IF(AA42&gt;=$B$8,AC42*$B$4*(1+$B$5)^(($G$7+$B$8+AB42*($B$8+$B$10))/4),0))</f>
        <v>312538.030388146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165043.174094091</v>
      </c>
      <c r="AM42" s="14" t="n">
        <f aca="false">IF($A42&lt;=$G$8,$E$8*$F$8,IF(AI42&gt;=$B$8,AK42*$B$4*(1+$B$5)^(($G$8+$B$8+AJ42*($B$8+$B$10))/4),0))</f>
        <v>660172.696376362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515378.174094091</v>
      </c>
      <c r="AQ42" s="14" t="n">
        <f aca="false">G42+O42+W42+AE42+AM42</f>
        <v>2374050.72676451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426705.483648445</v>
      </c>
      <c r="AU42" s="14" t="n">
        <f aca="false">0</f>
        <v>0</v>
      </c>
      <c r="AV42" s="14" t="n">
        <f aca="false">AT42-AR42-AU42</f>
        <v>426705.483648445</v>
      </c>
      <c r="AW42" s="21" t="n">
        <f aca="false">(1+$B$16)^(-$A42/4)</f>
        <v>0.784591942568485</v>
      </c>
      <c r="AX42" s="14" t="n">
        <f aca="false">AV42*AW42</f>
        <v>334789.684320359</v>
      </c>
      <c r="AY42" s="14" t="n">
        <f aca="false">AV42</f>
        <v>426705.483648445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0</v>
      </c>
      <c r="H43" s="14" t="n">
        <f aca="false">IF($A43&lt;=$G$4,0,IF(C43=0,E43*$B$6*(1+$B$7)^(($G$4+D43*($B$8+$B$10))/4),0)+IF(C43=$B$8,$B$11*$B$4*(1+$B$5)^(($G$4+$B$8+D43*($B$8+$B$10))/4)*E43,0))</f>
        <v>0</v>
      </c>
      <c r="I43" s="21" t="n">
        <f aca="false">IF($A43&lt;=$G$4,0,IF(C43&lt;$B$8,E43,0))</f>
        <v>4200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0</v>
      </c>
      <c r="AE43" s="14" t="n">
        <f aca="false">IF($A43&lt;=$G$7,$E$7*$F$7,IF(AA43&gt;=$B$8,AC43*$B$4*(1+$B$5)^(($G$7+$B$8+AB43*($B$8+$B$10))/4),0))</f>
        <v>312538.030388146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165043.174094091</v>
      </c>
      <c r="AM43" s="14" t="n">
        <f aca="false">IF($A43&lt;=$G$8,$E$8*$F$8,IF(AI43&gt;=$B$8,AK43*$B$4*(1+$B$5)^(($G$8+$B$8+AJ43*($B$8+$B$10))/4),0))</f>
        <v>660172.696376362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515378.174094091</v>
      </c>
      <c r="AQ43" s="14" t="n">
        <f aca="false">G43+O43+W43+AE43+AM43</f>
        <v>2374050.72676451</v>
      </c>
      <c r="AR43" s="14" t="n">
        <f aca="false">H43+P43+X43+AF43+AN43+IF($A43=$B$15,$B$14,0)</f>
        <v>0</v>
      </c>
      <c r="AS43" s="21" t="n">
        <f aca="false">I43+Q43+Y43+AG43+AO43</f>
        <v>4200</v>
      </c>
      <c r="AT43" s="14" t="n">
        <f aca="false">AP43*(1-$B$12)-AS43*$B$13/4</f>
        <v>426705.483648445</v>
      </c>
      <c r="AU43" s="14" t="n">
        <f aca="false">0</f>
        <v>0</v>
      </c>
      <c r="AV43" s="14" t="n">
        <f aca="false">AT43-AR43-AU43</f>
        <v>426705.483648445</v>
      </c>
      <c r="AW43" s="21" t="n">
        <f aca="false">(1+$B$16)^(-$A43/4)</f>
        <v>0.770086524870939</v>
      </c>
      <c r="AX43" s="14" t="n">
        <f aca="false">AV43*AW43</f>
        <v>328600.143046205</v>
      </c>
      <c r="AY43" s="14" t="n">
        <f aca="false">AV43</f>
        <v>426705.483648445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0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4200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78134.5075970365</v>
      </c>
      <c r="AE44" s="14" t="n">
        <f aca="false">IF($A44&lt;=$G$7,$E$7*$F$7,IF(AA44&gt;=$B$8,AC44*$B$4*(1+$B$5)^(($G$7+$B$8+AB44*($B$8+$B$10))/4),0))</f>
        <v>312538.030388146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165043.174094091</v>
      </c>
      <c r="AM44" s="14" t="n">
        <f aca="false">IF($A44&lt;=$G$8,$E$8*$F$8,IF(AI44&gt;=$B$8,AK44*$B$4*(1+$B$5)^(($G$8+$B$8+AJ44*($B$8+$B$10))/4),0))</f>
        <v>660172.696376362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593512.681691127</v>
      </c>
      <c r="AQ44" s="14" t="n">
        <f aca="false">G44+O44+W44+AE44+AM44</f>
        <v>2374050.72676451</v>
      </c>
      <c r="AR44" s="14" t="n">
        <f aca="false">H44+P44+X44+AF44+AN44+IF($A44=$B$15,$B$14,0)</f>
        <v>0</v>
      </c>
      <c r="AS44" s="21" t="n">
        <f aca="false">I44+Q44+Y44+AG44+AO44</f>
        <v>4200</v>
      </c>
      <c r="AT44" s="14" t="n">
        <f aca="false">AP44*(1-$B$12)-AS44*$B$13/4</f>
        <v>500151.92078966</v>
      </c>
      <c r="AU44" s="14" t="n">
        <f aca="false">0</f>
        <v>0</v>
      </c>
      <c r="AV44" s="14" t="n">
        <f aca="false">AT44-AR44-AU44</f>
        <v>500151.92078966</v>
      </c>
      <c r="AW44" s="21" t="n">
        <f aca="false">(1+$B$16)^(-$A44/4)</f>
        <v>0.755849281151693</v>
      </c>
      <c r="AX44" s="14" t="n">
        <f aca="false">AV44*AW44</f>
        <v>378039.469795503</v>
      </c>
      <c r="AY44" s="14" t="n">
        <f aca="false">AV44</f>
        <v>500151.92078966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1332349.62354467</v>
      </c>
      <c r="H45" s="14" t="n">
        <f aca="false">IF($A45&lt;=$G$4,0,IF(C45=0,E45*$B$6*(1+$B$7)^(($G$4+D45*($B$8+$B$10))/4),0)+IF(C45=$B$8,$B$11*$B$4*(1+$B$5)^(($G$4+$B$8+D45*($B$8+$B$10))/4)*E45,0))</f>
        <v>159881.95482536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78134.5075970365</v>
      </c>
      <c r="AE45" s="14" t="n">
        <f aca="false">IF($A45&lt;=$G$7,$E$7*$F$7,IF(AA45&gt;=$B$8,AC45*$B$4*(1+$B$5)^(($G$7+$B$8+AB45*($B$8+$B$10))/4),0))</f>
        <v>312538.030388146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165043.174094091</v>
      </c>
      <c r="AM45" s="14" t="n">
        <f aca="false">IF($A45&lt;=$G$8,$E$8*$F$8,IF(AI45&gt;=$B$8,AK45*$B$4*(1+$B$5)^(($G$8+$B$8+AJ45*($B$8+$B$10))/4),0))</f>
        <v>660172.696376362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593512.681691127</v>
      </c>
      <c r="AQ45" s="14" t="n">
        <f aca="false">G45+O45+W45+AE45+AM45</f>
        <v>3706400.35030918</v>
      </c>
      <c r="AR45" s="14" t="n">
        <f aca="false">H45+P45+X45+AF45+AN45+IF($A45=$B$15,$B$14,0)</f>
        <v>159881.95482536</v>
      </c>
      <c r="AS45" s="21" t="n">
        <f aca="false">I45+Q45+Y45+AG45+AO45</f>
        <v>0</v>
      </c>
      <c r="AT45" s="14" t="n">
        <f aca="false">AP45*(1-$B$12)-AS45*$B$13/4</f>
        <v>557901.92078966</v>
      </c>
      <c r="AU45" s="14" t="n">
        <f aca="false">0</f>
        <v>0</v>
      </c>
      <c r="AV45" s="14" t="n">
        <f aca="false">AT45-AR45-AU45</f>
        <v>398019.9659643</v>
      </c>
      <c r="AW45" s="21" t="n">
        <f aca="false">(1+$B$16)^(-$A45/4)</f>
        <v>0.741875253450614</v>
      </c>
      <c r="AX45" s="14" t="n">
        <f aca="false">AV45*AW45</f>
        <v>295281.16312817</v>
      </c>
      <c r="AY45" s="14" t="n">
        <f aca="false">AV45</f>
        <v>398019.9659643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0</v>
      </c>
      <c r="G46" s="14" t="n">
        <f aca="false">IF($A46&lt;=$G$4,$E$4*$F$4,IF(C46&gt;=$B$8,E46*$B$4*(1+$B$5)^(($G$4+$B$8+D46*($B$8+$B$10))/4),0))</f>
        <v>1332349.62354467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78134.5075970365</v>
      </c>
      <c r="AE46" s="14" t="n">
        <f aca="false">IF($A46&lt;=$G$7,$E$7*$F$7,IF(AA46&gt;=$B$8,AC46*$B$4*(1+$B$5)^(($G$7+$B$8+AB46*($B$8+$B$10))/4),0))</f>
        <v>312538.030388146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165043.174094091</v>
      </c>
      <c r="AM46" s="14" t="n">
        <f aca="false">IF($A46&lt;=$G$8,$E$8*$F$8,IF(AI46&gt;=$B$8,AK46*$B$4*(1+$B$5)^(($G$8+$B$8+AJ46*($B$8+$B$10))/4),0))</f>
        <v>660172.696376362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357137.681691127</v>
      </c>
      <c r="AQ46" s="14" t="n">
        <f aca="false">G46+O46+W46+AE46+AM46</f>
        <v>2760900.35030918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293084.42078966</v>
      </c>
      <c r="AU46" s="14" t="n">
        <f aca="false">0</f>
        <v>0</v>
      </c>
      <c r="AV46" s="14" t="n">
        <f aca="false">AT46-AR46-AU46</f>
        <v>-1144079.96280409</v>
      </c>
      <c r="AW46" s="21" t="n">
        <f aca="false">(1+$B$16)^(-$A46/4)</f>
        <v>0.728159575469592</v>
      </c>
      <c r="AX46" s="14" t="n">
        <f aca="false">AV46*AW46</f>
        <v>-833072.780018693</v>
      </c>
      <c r="AY46" s="14" t="n">
        <f aca="false">AV46</f>
        <v>-1144079.96280409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0</v>
      </c>
      <c r="G47" s="14" t="n">
        <f aca="false">IF($A47&lt;=$G$4,$E$4*$F$4,IF(C47&gt;=$B$8,E47*$B$4*(1+$B$5)^(($G$4+$B$8+D47*($B$8+$B$10))/4),0))</f>
        <v>1332349.62354467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78134.5075970365</v>
      </c>
      <c r="AE47" s="14" t="n">
        <f aca="false">IF($A47&lt;=$G$7,$E$7*$F$7,IF(AA47&gt;=$B$8,AC47*$B$4*(1+$B$5)^(($G$7+$B$8+AB47*($B$8+$B$10))/4),0))</f>
        <v>312538.030388146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165043.174094091</v>
      </c>
      <c r="AM47" s="14" t="n">
        <f aca="false">IF($A47&lt;=$G$8,$E$8*$F$8,IF(AI47&gt;=$B$8,AK47*$B$4*(1+$B$5)^(($G$8+$B$8+AJ47*($B$8+$B$10))/4),0))</f>
        <v>660172.696376362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357137.681691127</v>
      </c>
      <c r="AQ47" s="14" t="n">
        <f aca="false">G47+O47+W47+AE47+AM47</f>
        <v>2760900.35030918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293084.42078966</v>
      </c>
      <c r="AU47" s="14" t="n">
        <f aca="false">0</f>
        <v>0</v>
      </c>
      <c r="AV47" s="14" t="n">
        <f aca="false">AT47-AR47-AU47</f>
        <v>293084.42078966</v>
      </c>
      <c r="AW47" s="21" t="n">
        <f aca="false">(1+$B$16)^(-$A47/4)</f>
        <v>0.714697470877902</v>
      </c>
      <c r="AX47" s="14" t="n">
        <f aca="false">AV47*AW47</f>
        <v>209466.694292084</v>
      </c>
      <c r="AY47" s="14" t="n">
        <f aca="false">AV47</f>
        <v>293084.42078966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333087.405886167</v>
      </c>
      <c r="G48" s="14" t="n">
        <f aca="false">IF($A48&lt;=$G$4,$E$4*$F$4,IF(C48&gt;=$B$8,E48*$B$4*(1+$B$5)^(($G$4+$B$8+D48*($B$8+$B$10))/4),0))</f>
        <v>1332349.62354467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78134.5075970365</v>
      </c>
      <c r="AE48" s="14" t="n">
        <f aca="false">IF($A48&lt;=$G$7,$E$7*$F$7,IF(AA48&gt;=$B$8,AC48*$B$4*(1+$B$5)^(($G$7+$B$8+AB48*($B$8+$B$10))/4),0))</f>
        <v>312538.030388146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165043.174094091</v>
      </c>
      <c r="AM48" s="14" t="n">
        <f aca="false">IF($A48&lt;=$G$8,$E$8*$F$8,IF(AI48&gt;=$B$8,AK48*$B$4*(1+$B$5)^(($G$8+$B$8+AJ48*($B$8+$B$10))/4),0))</f>
        <v>660172.696376362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690225.087577294</v>
      </c>
      <c r="AQ48" s="14" t="n">
        <f aca="false">G48+O48+W48+AE48+AM48</f>
        <v>2760900.35030918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606186.582322656</v>
      </c>
      <c r="AU48" s="14" t="n">
        <f aca="false">0</f>
        <v>0</v>
      </c>
      <c r="AV48" s="14" t="n">
        <f aca="false">AT48-AR48-AU48</f>
        <v>606186.582322656</v>
      </c>
      <c r="AW48" s="21" t="n">
        <f aca="false">(1+$B$16)^(-$A48/4)</f>
        <v>0.701484251648903</v>
      </c>
      <c r="AX48" s="14" t="n">
        <f aca="false">AV48*AW48</f>
        <v>425230.341060214</v>
      </c>
      <c r="AY48" s="14" t="n">
        <f aca="false">AV48</f>
        <v>606186.582322656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333087.405886167</v>
      </c>
      <c r="G49" s="14" t="n">
        <f aca="false">IF($A49&lt;=$G$4,$E$4*$F$4,IF(C49&gt;=$B$8,E49*$B$4*(1+$B$5)^(($G$4+$B$8+D49*($B$8+$B$10))/4),0))</f>
        <v>1332349.62354467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0</v>
      </c>
      <c r="P49" s="14" t="n">
        <f aca="false">IF($A49&lt;=$G$5,0,IF(K49=0,M49*$B$6*(1+$B$7)^(($G$5+L49*($B$8+$B$10))/4),0)+IF(K49=$B$8,$B$11*$B$4*(1+$B$5)^(($G$5+$B$8+L49*($B$8+$B$10))/4)*M49,0))</f>
        <v>0</v>
      </c>
      <c r="Q49" s="21" t="n">
        <f aca="false">IF($A49&lt;=$G$5,0,IF(K49&lt;$B$8,M49,0))</f>
        <v>3100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78134.5075970365</v>
      </c>
      <c r="AE49" s="14" t="n">
        <f aca="false">IF($A49&lt;=$G$7,$E$7*$F$7,IF(AA49&gt;=$B$8,AC49*$B$4*(1+$B$5)^(($G$7+$B$8+AB49*($B$8+$B$10))/4),0))</f>
        <v>312538.030388146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165043.174094091</v>
      </c>
      <c r="AM49" s="14" t="n">
        <f aca="false">IF($A49&lt;=$G$8,$E$8*$F$8,IF(AI49&gt;=$B$8,AK49*$B$4*(1+$B$5)^(($G$8+$B$8+AJ49*($B$8+$B$10))/4),0))</f>
        <v>660172.696376362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690225.087577294</v>
      </c>
      <c r="AQ49" s="14" t="n">
        <f aca="false">G49+O49+W49+AE49+AM49</f>
        <v>2760900.35030918</v>
      </c>
      <c r="AR49" s="14" t="n">
        <f aca="false">H49+P49+X49+AF49+AN49+IF($A49=$B$15,$B$14,0)</f>
        <v>0</v>
      </c>
      <c r="AS49" s="21" t="n">
        <f aca="false">I49+Q49+Y49+AG49+AO49</f>
        <v>3100</v>
      </c>
      <c r="AT49" s="14" t="n">
        <f aca="false">AP49*(1-$B$12)-AS49*$B$13/4</f>
        <v>606186.582322656</v>
      </c>
      <c r="AU49" s="14" t="n">
        <f aca="false">0</f>
        <v>0</v>
      </c>
      <c r="AV49" s="14" t="n">
        <f aca="false">AT49-AR49-AU49</f>
        <v>606186.582322656</v>
      </c>
      <c r="AW49" s="21" t="n">
        <f aca="false">(1+$B$16)^(-$A49/4)</f>
        <v>0.688515316427484</v>
      </c>
      <c r="AX49" s="14" t="n">
        <f aca="false">AV49*AW49</f>
        <v>417368.746541979</v>
      </c>
      <c r="AY49" s="14" t="n">
        <f aca="false">AV49</f>
        <v>606186.582322656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333087.405886167</v>
      </c>
      <c r="G50" s="14" t="n">
        <f aca="false">IF($A50&lt;=$G$4,$E$4*$F$4,IF(C50&gt;=$B$8,E50*$B$4*(1+$B$5)^(($G$4+$B$8+D50*($B$8+$B$10))/4),0))</f>
        <v>1332349.62354467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0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3100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78134.5075970365</v>
      </c>
      <c r="AE50" s="14" t="n">
        <f aca="false">IF($A50&lt;=$G$7,$E$7*$F$7,IF(AA50&gt;=$B$8,AC50*$B$4*(1+$B$5)^(($G$7+$B$8+AB50*($B$8+$B$10))/4),0))</f>
        <v>312538.030388146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165043.174094091</v>
      </c>
      <c r="AM50" s="14" t="n">
        <f aca="false">IF($A50&lt;=$G$8,$E$8*$F$8,IF(AI50&gt;=$B$8,AK50*$B$4*(1+$B$5)^(($G$8+$B$8+AJ50*($B$8+$B$10))/4),0))</f>
        <v>660172.696376362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690225.087577294</v>
      </c>
      <c r="AQ50" s="14" t="n">
        <f aca="false">G50+O50+W50+AE50+AM50</f>
        <v>2760900.35030918</v>
      </c>
      <c r="AR50" s="14" t="n">
        <f aca="false">H50+P50+X50+AF50+AN50+IF($A50=$B$15,$B$14,0)</f>
        <v>0</v>
      </c>
      <c r="AS50" s="21" t="n">
        <f aca="false">I50+Q50+Y50+AG50+AO50</f>
        <v>3100</v>
      </c>
      <c r="AT50" s="14" t="n">
        <f aca="false">AP50*(1-$B$12)-AS50*$B$13/4</f>
        <v>606186.582322656</v>
      </c>
      <c r="AU50" s="14" t="n">
        <f aca="false">0</f>
        <v>0</v>
      </c>
      <c r="AV50" s="14" t="n">
        <f aca="false">AT50-AR50-AU50</f>
        <v>606186.582322656</v>
      </c>
      <c r="AW50" s="21" t="n">
        <f aca="false">(1+$B$16)^(-$A50/4)</f>
        <v>0.675786148927696</v>
      </c>
      <c r="AX50" s="14" t="n">
        <f aca="false">AV50*AW50</f>
        <v>409652.495999469</v>
      </c>
      <c r="AY50" s="14" t="n">
        <f aca="false">AV50</f>
        <v>606186.582322656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333087.405886167</v>
      </c>
      <c r="G51" s="14" t="n">
        <f aca="false">IF($A51&lt;=$G$4,$E$4*$F$4,IF(C51&gt;=$B$8,E51*$B$4*(1+$B$5)^(($G$4+$B$8+D51*($B$8+$B$10))/4),0))</f>
        <v>1332349.62354467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1005610.20132419</v>
      </c>
      <c r="P51" s="14" t="n">
        <f aca="false">IF($A51&lt;=$G$5,0,IF(K51=0,M51*$B$6*(1+$B$7)^(($G$5+L51*($B$8+$B$10))/4),0)+IF(K51=$B$8,$B$11*$B$4*(1+$B$5)^(($G$5+$B$8+L51*($B$8+$B$10))/4)*M51,0))</f>
        <v>120673.224158903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78134.5075970365</v>
      </c>
      <c r="AE51" s="14" t="n">
        <f aca="false">IF($A51&lt;=$G$7,$E$7*$F$7,IF(AA51&gt;=$B$8,AC51*$B$4*(1+$B$5)^(($G$7+$B$8+AB51*($B$8+$B$10))/4),0))</f>
        <v>312538.030388146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165043.174094091</v>
      </c>
      <c r="AM51" s="14" t="n">
        <f aca="false">IF($A51&lt;=$G$8,$E$8*$F$8,IF(AI51&gt;=$B$8,AK51*$B$4*(1+$B$5)^(($G$8+$B$8+AJ51*($B$8+$B$10))/4),0))</f>
        <v>660172.696376362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690225.087577294</v>
      </c>
      <c r="AQ51" s="14" t="n">
        <f aca="false">G51+O51+W51+AE51+AM51</f>
        <v>3766510.55163337</v>
      </c>
      <c r="AR51" s="14" t="n">
        <f aca="false">H51+P51+X51+AF51+AN51+IF($A51=$B$15,$B$14,0)</f>
        <v>120673.224158903</v>
      </c>
      <c r="AS51" s="21" t="n">
        <f aca="false">I51+Q51+Y51+AG51+AO51</f>
        <v>0</v>
      </c>
      <c r="AT51" s="14" t="n">
        <f aca="false">AP51*(1-$B$12)-AS51*$B$13/4</f>
        <v>648811.582322656</v>
      </c>
      <c r="AU51" s="14" t="n">
        <f aca="false">0</f>
        <v>0</v>
      </c>
      <c r="AV51" s="14" t="n">
        <f aca="false">AT51-AR51-AU51</f>
        <v>528138.358163753</v>
      </c>
      <c r="AW51" s="21" t="n">
        <f aca="false">(1+$B$16)^(-$A51/4)</f>
        <v>0.663292316360002</v>
      </c>
      <c r="AX51" s="14" t="n">
        <f aca="false">AV51*AW51</f>
        <v>350310.114945004</v>
      </c>
      <c r="AY51" s="14" t="n">
        <f aca="false">AV51</f>
        <v>528138.358163753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333087.405886167</v>
      </c>
      <c r="G52" s="14" t="n">
        <f aca="false">IF($A52&lt;=$G$4,$E$4*$F$4,IF(C52&gt;=$B$8,E52*$B$4*(1+$B$5)^(($G$4+$B$8+D52*($B$8+$B$10))/4),0))</f>
        <v>1332349.62354467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0</v>
      </c>
      <c r="O52" s="14" t="n">
        <f aca="false">IF($A52&lt;=$G$5,$E$5*$F$5,IF(K52&gt;=$B$8,M52*$B$4*(1+$B$5)^(($G$5+$B$8+L52*($B$8+$B$10))/4),0))</f>
        <v>1005610.20132419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78134.5075970365</v>
      </c>
      <c r="AE52" s="14" t="n">
        <f aca="false">IF($A52&lt;=$G$7,$E$7*$F$7,IF(AA52&gt;=$B$8,AC52*$B$4*(1+$B$5)^(($G$7+$B$8+AB52*($B$8+$B$10))/4),0))</f>
        <v>312538.030388146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165043.174094091</v>
      </c>
      <c r="AM52" s="14" t="n">
        <f aca="false">IF($A52&lt;=$G$8,$E$8*$F$8,IF(AI52&gt;=$B$8,AK52*$B$4*(1+$B$5)^(($G$8+$B$8+AJ52*($B$8+$B$10))/4),0))</f>
        <v>660172.696376362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690225.087577294</v>
      </c>
      <c r="AQ52" s="14" t="n">
        <f aca="false">G52+O52+W52+AE52+AM52</f>
        <v>3766510.55163337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648811.582322656</v>
      </c>
      <c r="AU52" s="14" t="n">
        <f aca="false">0</f>
        <v>0</v>
      </c>
      <c r="AV52" s="14" t="n">
        <f aca="false">AT52-AR52-AU52</f>
        <v>648811.582322656</v>
      </c>
      <c r="AW52" s="21" t="n">
        <f aca="false">(1+$B$16)^(-$A52/4)</f>
        <v>0.651029467887613</v>
      </c>
      <c r="AX52" s="14" t="n">
        <f aca="false">AV52*AW52</f>
        <v>422395.459198839</v>
      </c>
      <c r="AY52" s="14" t="n">
        <f aca="false">AV52</f>
        <v>648811.582322656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333087.405886167</v>
      </c>
      <c r="G53" s="14" t="n">
        <f aca="false">IF($A53&lt;=$G$4,$E$4*$F$4,IF(C53&gt;=$B$8,E53*$B$4*(1+$B$5)^(($G$4+$B$8+D53*($B$8+$B$10))/4),0))</f>
        <v>1332349.62354467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0</v>
      </c>
      <c r="O53" s="14" t="n">
        <f aca="false">IF($A53&lt;=$G$5,$E$5*$F$5,IF(K53&gt;=$B$8,M53*$B$4*(1+$B$5)^(($G$5+$B$8+L53*($B$8+$B$10))/4),0))</f>
        <v>1005610.20132419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78134.5075970365</v>
      </c>
      <c r="AE53" s="14" t="n">
        <f aca="false">IF($A53&lt;=$G$7,$E$7*$F$7,IF(AA53&gt;=$B$8,AC53*$B$4*(1+$B$5)^(($G$7+$B$8+AB53*($B$8+$B$10))/4),0))</f>
        <v>312538.030388146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23</v>
      </c>
      <c r="AJ53" s="21" t="n">
        <f aca="false">IF(AH53&lt;0,0,INT(AH53/($B$8+$B$10)))</f>
        <v>0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165043.174094091</v>
      </c>
      <c r="AM53" s="14" t="n">
        <f aca="false">IF($A53&lt;=$G$8,$E$8*$F$8,IF(AI53&gt;=$B$8,AK53*$B$4*(1+$B$5)^(($G$8+$B$8+AJ53*($B$8+$B$10))/4),0))</f>
        <v>660172.696376362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0</v>
      </c>
      <c r="AP53" s="14" t="n">
        <f aca="false">F53+N53+V53+AD53+AL53</f>
        <v>690225.087577294</v>
      </c>
      <c r="AQ53" s="14" t="n">
        <f aca="false">G53+O53+W53+AE53+AM53</f>
        <v>3766510.55163337</v>
      </c>
      <c r="AR53" s="14" t="n">
        <f aca="false">H53+P53+X53+AF53+AN53+IF($A53=$B$15,$B$14,0)</f>
        <v>0</v>
      </c>
      <c r="AS53" s="21" t="n">
        <f aca="false">I53+Q53+Y53+AG53+AO53</f>
        <v>0</v>
      </c>
      <c r="AT53" s="14" t="n">
        <f aca="false">AP53*(1-$B$12)-AS53*$B$13/4</f>
        <v>648811.582322656</v>
      </c>
      <c r="AU53" s="14" t="n">
        <f aca="false">0</f>
        <v>0</v>
      </c>
      <c r="AV53" s="14" t="n">
        <f aca="false">AT53-AR53-AU53</f>
        <v>648811.582322656</v>
      </c>
      <c r="AW53" s="21" t="n">
        <f aca="false">(1+$B$16)^(-$A53/4)</f>
        <v>0.638993333111354</v>
      </c>
      <c r="AX53" s="14" t="n">
        <f aca="false">AV53*AW53</f>
        <v>414586.275549606</v>
      </c>
      <c r="AY53" s="14" t="n">
        <f aca="false">AV53</f>
        <v>648811.582322656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333087.405886167</v>
      </c>
      <c r="G54" s="14" t="n">
        <f aca="false">IF($A54&lt;=$G$4,$E$4*$F$4,IF(C54&gt;=$B$8,E54*$B$4*(1+$B$5)^(($G$4+$B$8+D54*($B$8+$B$10))/4),0))</f>
        <v>1332349.62354467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251402.550331048</v>
      </c>
      <c r="O54" s="14" t="n">
        <f aca="false">IF($A54&lt;=$G$5,$E$5*$F$5,IF(K54&gt;=$B$8,M54*$B$4*(1+$B$5)^(($G$5+$B$8+L54*($B$8+$B$10))/4),0))</f>
        <v>1005610.20132419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78134.5075970365</v>
      </c>
      <c r="AE54" s="14" t="n">
        <f aca="false">IF($A54&lt;=$G$7,$E$7*$F$7,IF(AA54&gt;=$B$8,AC54*$B$4*(1+$B$5)^(($G$7+$B$8+AB54*($B$8+$B$10))/4),0))</f>
        <v>312538.030388146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24</v>
      </c>
      <c r="AJ54" s="21" t="n">
        <f aca="false">IF(AH54&lt;0,0,INT(AH54/($B$8+$B$10)))</f>
        <v>0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165043.174094091</v>
      </c>
      <c r="AM54" s="14" t="n">
        <f aca="false">IF($A54&lt;=$G$8,$E$8*$F$8,IF(AI54&gt;=$B$8,AK54*$B$4*(1+$B$5)^(($G$8+$B$8+AJ54*($B$8+$B$10))/4),0))</f>
        <v>660172.696376362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0</v>
      </c>
      <c r="AP54" s="14" t="n">
        <f aca="false">F54+N54+V54+AD54+AL54</f>
        <v>941627.637908342</v>
      </c>
      <c r="AQ54" s="14" t="n">
        <f aca="false">G54+O54+W54+AE54+AM54</f>
        <v>3766510.55163337</v>
      </c>
      <c r="AR54" s="14" t="n">
        <f aca="false">H54+P54+X54+AF54+AN54+IF($A54=$B$15,$B$14,0)</f>
        <v>0</v>
      </c>
      <c r="AS54" s="21" t="n">
        <f aca="false">I54+Q54+Y54+AG54+AO54</f>
        <v>0</v>
      </c>
      <c r="AT54" s="14" t="n">
        <f aca="false">AP54*(1-$B$12)-AS54*$B$13/4</f>
        <v>885129.979633841</v>
      </c>
      <c r="AU54" s="14" t="n">
        <f aca="false">0</f>
        <v>0</v>
      </c>
      <c r="AV54" s="14" t="n">
        <f aca="false">AT54-AR54-AU54</f>
        <v>885129.979633841</v>
      </c>
      <c r="AW54" s="21" t="n">
        <f aca="false">(1+$B$16)^(-$A54/4)</f>
        <v>0.627179720582548</v>
      </c>
      <c r="AX54" s="14" t="n">
        <f aca="false">AV54*AW54</f>
        <v>555135.573305989</v>
      </c>
      <c r="AY54" s="14" t="n">
        <f aca="false">AV54</f>
        <v>885129.979633841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333087.405886167</v>
      </c>
      <c r="G55" s="14" t="n">
        <f aca="false">IF($A55&lt;=$G$4,$E$4*$F$4,IF(C55&gt;=$B$8,E55*$B$4*(1+$B$5)^(($G$4+$B$8+D55*($B$8+$B$10))/4),0))</f>
        <v>1332349.62354467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251402.550331048</v>
      </c>
      <c r="O55" s="14" t="n">
        <f aca="false">IF($A55&lt;=$G$5,$E$5*$F$5,IF(K55&gt;=$B$8,M55*$B$4*(1+$B$5)^(($G$5+$B$8+L55*($B$8+$B$10))/4),0))</f>
        <v>1005610.20132419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78134.5075970365</v>
      </c>
      <c r="AE55" s="14" t="n">
        <f aca="false">IF($A55&lt;=$G$7,$E$7*$F$7,IF(AA55&gt;=$B$8,AC55*$B$4*(1+$B$5)^(($G$7+$B$8+AB55*($B$8+$B$10))/4),0))</f>
        <v>312538.030388146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0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1058588.56955236</v>
      </c>
      <c r="AO55" s="21" t="n">
        <f aca="false">IF($A55&lt;=$G$8,0,IF(AI55&lt;$B$8,AK55,0))</f>
        <v>2160</v>
      </c>
      <c r="AP55" s="14" t="n">
        <f aca="false">F55+N55+V55+AD55+AL55</f>
        <v>776584.463814252</v>
      </c>
      <c r="AQ55" s="14" t="n">
        <f aca="false">G55+O55+W55+AE55+AM55</f>
        <v>3106337.85525701</v>
      </c>
      <c r="AR55" s="14" t="n">
        <f aca="false">H55+P55+X55+AF55+AN55+IF($A55=$B$15,$B$14,0)</f>
        <v>1058588.56955236</v>
      </c>
      <c r="AS55" s="21" t="n">
        <f aca="false">I55+Q55+Y55+AG55+AO55</f>
        <v>2160</v>
      </c>
      <c r="AT55" s="14" t="n">
        <f aca="false">AP55*(1-$B$12)-AS55*$B$13/4</f>
        <v>700289.395985396</v>
      </c>
      <c r="AU55" s="14" t="n">
        <f aca="false">0</f>
        <v>0</v>
      </c>
      <c r="AV55" s="14" t="n">
        <f aca="false">AT55-AR55-AU55</f>
        <v>-358299.173566967</v>
      </c>
      <c r="AW55" s="21" t="n">
        <f aca="false">(1+$B$16)^(-$A55/4)</f>
        <v>0.615584516343389</v>
      </c>
      <c r="AX55" s="14" t="n">
        <f aca="false">AV55*AW55</f>
        <v>-220563.423466458</v>
      </c>
      <c r="AY55" s="14" t="n">
        <f aca="false">AV55</f>
        <v>-358299.173566967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333087.405886167</v>
      </c>
      <c r="G56" s="14" t="n">
        <f aca="false">IF($A56&lt;=$G$4,$E$4*$F$4,IF(C56&gt;=$B$8,E56*$B$4*(1+$B$5)^(($G$4+$B$8+D56*($B$8+$B$10))/4),0))</f>
        <v>1332349.62354467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251402.550331048</v>
      </c>
      <c r="O56" s="14" t="n">
        <f aca="false">IF($A56&lt;=$G$5,$E$5*$F$5,IF(K56&gt;=$B$8,M56*$B$4*(1+$B$5)^(($G$5+$B$8+L56*($B$8+$B$10))/4),0))</f>
        <v>1005610.20132419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78134.5075970365</v>
      </c>
      <c r="AE56" s="14" t="n">
        <f aca="false">IF($A56&lt;=$G$7,$E$7*$F$7,IF(AA56&gt;=$B$8,AC56*$B$4*(1+$B$5)^(($G$7+$B$8+AB56*($B$8+$B$10))/4),0))</f>
        <v>312538.030388146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1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0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2160</v>
      </c>
      <c r="AP56" s="14" t="n">
        <f aca="false">F56+N56+V56+AD56+AL56</f>
        <v>662624.463814252</v>
      </c>
      <c r="AQ56" s="14" t="n">
        <f aca="false">G56+O56+W56+AE56+AM56</f>
        <v>2650497.85525701</v>
      </c>
      <c r="AR56" s="14" t="n">
        <f aca="false">H56+P56+X56+AF56+AN56+IF($A56=$B$15,$B$14,0)</f>
        <v>759407.944688937</v>
      </c>
      <c r="AS56" s="21" t="n">
        <f aca="false">I56+Q56+Y56+AG56+AO56</f>
        <v>3700</v>
      </c>
      <c r="AT56" s="14" t="n">
        <f aca="false">AP56*(1-$B$12)-AS56*$B$13/4</f>
        <v>571991.995985396</v>
      </c>
      <c r="AU56" s="14" t="n">
        <f aca="false">0</f>
        <v>0</v>
      </c>
      <c r="AV56" s="14" t="n">
        <f aca="false">AT56-AR56-AU56</f>
        <v>-187415.94870354</v>
      </c>
      <c r="AW56" s="21" t="n">
        <f aca="false">(1+$B$16)^(-$A56/4)</f>
        <v>0.604203682494304</v>
      </c>
      <c r="AX56" s="14" t="n">
        <f aca="false">AV56*AW56</f>
        <v>-113237.406364843</v>
      </c>
      <c r="AY56" s="14" t="n">
        <f aca="false">AV56</f>
        <v>-187415.94870354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333087.405886167</v>
      </c>
      <c r="G57" s="14" t="n">
        <f aca="false">IF($A57&lt;=$G$4,$E$4*$F$4,IF(C57&gt;=$B$8,E57*$B$4*(1+$B$5)^(($G$4+$B$8+D57*($B$8+$B$10))/4),0))</f>
        <v>1332349.62354467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251402.550331048</v>
      </c>
      <c r="O57" s="14" t="n">
        <f aca="false">IF($A57&lt;=$G$5,$E$5*$F$5,IF(K57&gt;=$B$8,M57*$B$4*(1+$B$5)^(($G$5+$B$8+L57*($B$8+$B$10))/4),0))</f>
        <v>1005610.20132419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78134.5075970365</v>
      </c>
      <c r="AE57" s="14" t="n">
        <f aca="false">IF($A57&lt;=$G$7,$E$7*$F$7,IF(AA57&gt;=$B$8,AC57*$B$4*(1+$B$5)^(($G$7+$B$8+AB57*($B$8+$B$10))/4),0))</f>
        <v>312538.030388146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2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0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2160</v>
      </c>
      <c r="AP57" s="14" t="n">
        <f aca="false">F57+N57+V57+AD57+AL57</f>
        <v>662624.463814252</v>
      </c>
      <c r="AQ57" s="14" t="n">
        <f aca="false">G57+O57+W57+AE57+AM57</f>
        <v>2650497.85525701</v>
      </c>
      <c r="AR57" s="14" t="n">
        <f aca="false">H57+P57+X57+AF57+AN57+IF($A57=$B$15,$B$14,0)</f>
        <v>0</v>
      </c>
      <c r="AS57" s="21" t="n">
        <f aca="false">I57+Q57+Y57+AG57+AO57</f>
        <v>3700</v>
      </c>
      <c r="AT57" s="14" t="n">
        <f aca="false">AP57*(1-$B$12)-AS57*$B$13/4</f>
        <v>571991.995985396</v>
      </c>
      <c r="AU57" s="14" t="n">
        <f aca="false">0</f>
        <v>0</v>
      </c>
      <c r="AV57" s="14" t="n">
        <f aca="false">AT57-AR57-AU57</f>
        <v>571991.995985396</v>
      </c>
      <c r="AW57" s="21" t="n">
        <f aca="false">(1+$B$16)^(-$A57/4)</f>
        <v>0.5930332557878</v>
      </c>
      <c r="AX57" s="14" t="n">
        <f aca="false">AV57*AW57</f>
        <v>339210.275663782</v>
      </c>
      <c r="AY57" s="14" t="n">
        <f aca="false">AV57</f>
        <v>571991.995985396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333087.405886167</v>
      </c>
      <c r="G58" s="14" t="n">
        <f aca="false">IF($A58&lt;=$G$4,$E$4*$F$4,IF(C58&gt;=$B$8,E58*$B$4*(1+$B$5)^(($G$4+$B$8+D58*($B$8+$B$10))/4),0))</f>
        <v>1332349.62354467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251402.550331048</v>
      </c>
      <c r="O58" s="14" t="n">
        <f aca="false">IF($A58&lt;=$G$5,$E$5*$F$5,IF(K58&gt;=$B$8,M58*$B$4*(1+$B$5)^(($G$5+$B$8+L58*($B$8+$B$10))/4),0))</f>
        <v>1005610.20132419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78134.5075970365</v>
      </c>
      <c r="AE58" s="14" t="n">
        <f aca="false">IF($A58&lt;=$G$7,$E$7*$F$7,IF(AA58&gt;=$B$8,AC58*$B$4*(1+$B$5)^(($G$7+$B$8+AB58*($B$8+$B$10))/4),0))</f>
        <v>312538.030388146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3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0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2160</v>
      </c>
      <c r="AP58" s="14" t="n">
        <f aca="false">F58+N58+V58+AD58+AL58</f>
        <v>662624.463814252</v>
      </c>
      <c r="AQ58" s="14" t="n">
        <f aca="false">G58+O58+W58+AE58+AM58</f>
        <v>2650497.85525701</v>
      </c>
      <c r="AR58" s="14" t="n">
        <f aca="false">H58+P58+X58+AF58+AN58+IF($A58=$B$15,$B$14,0)</f>
        <v>0</v>
      </c>
      <c r="AS58" s="21" t="n">
        <f aca="false">I58+Q58+Y58+AG58+AO58</f>
        <v>3700</v>
      </c>
      <c r="AT58" s="14" t="n">
        <f aca="false">AP58*(1-$B$12)-AS58*$B$13/4</f>
        <v>571991.995985396</v>
      </c>
      <c r="AU58" s="14" t="n">
        <f aca="false">0</f>
        <v>0</v>
      </c>
      <c r="AV58" s="14" t="n">
        <f aca="false">AT58-AR58-AU58</f>
        <v>571991.995985396</v>
      </c>
      <c r="AW58" s="21" t="n">
        <f aca="false">(1+$B$16)^(-$A58/4)</f>
        <v>0.582069346248305</v>
      </c>
      <c r="AX58" s="14" t="n">
        <f aca="false">AV58*AW58</f>
        <v>332939.007162483</v>
      </c>
      <c r="AY58" s="14" t="n">
        <f aca="false">AV58</f>
        <v>571991.995985396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333087.405886167</v>
      </c>
      <c r="G59" s="14" t="n">
        <f aca="false">IF($A59&lt;=$G$4,$E$4*$F$4,IF(C59&gt;=$B$8,E59*$B$4*(1+$B$5)^(($G$4+$B$8+D59*($B$8+$B$10))/4),0))</f>
        <v>1332349.62354467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251402.550331048</v>
      </c>
      <c r="O59" s="14" t="n">
        <f aca="false">IF($A59&lt;=$G$5,$E$5*$F$5,IF(K59&gt;=$B$8,M59*$B$4*(1+$B$5)^(($G$5+$B$8+L59*($B$8+$B$10))/4),0))</f>
        <v>1005610.20132419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0</v>
      </c>
      <c r="X59" s="14" t="n">
        <f aca="false">IF($A59&lt;=$G$6,0,IF(S59=0,U59*$B$6*(1+$B$7)^(($G$6+T59*($B$8+$B$10))/4),0)+IF(S59=$B$8,$B$11*$B$4*(1+$B$5)^(($G$6+$B$8+T59*($B$8+$B$10))/4)*U59,0))</f>
        <v>0</v>
      </c>
      <c r="Y59" s="21" t="n">
        <f aca="false">IF($A59&lt;=$G$6,0,IF(S59&lt;$B$8,U59,0))</f>
        <v>1540</v>
      </c>
      <c r="Z59" s="21" t="n">
        <f aca="false">$A59-$G$7-1</f>
        <v>23</v>
      </c>
      <c r="AA59" s="21" t="n">
        <f aca="false">IF(Z59&lt;0,-1,MOD(Z59,$B$8+$B$10))</f>
        <v>23</v>
      </c>
      <c r="AB59" s="21" t="n">
        <f aca="false">IF(Z59&lt;0,0,INT(Z59/($B$8+$B$10)))</f>
        <v>0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78134.5075970365</v>
      </c>
      <c r="AE59" s="14" t="n">
        <f aca="false">IF($A59&lt;=$G$7,$E$7*$F$7,IF(AA59&gt;=$B$8,AC59*$B$4*(1+$B$5)^(($G$7+$B$8+AB59*($B$8+$B$10))/4),0))</f>
        <v>312538.030388146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0</v>
      </c>
      <c r="AH59" s="21" t="n">
        <f aca="false">$A59-$G$8-1</f>
        <v>29</v>
      </c>
      <c r="AI59" s="21" t="n">
        <f aca="false">IF(AH59&lt;0,-1,MOD(AH59,$B$8+$B$10))</f>
        <v>4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0</v>
      </c>
      <c r="AM59" s="14" t="n">
        <f aca="false">IF($A59&lt;=$G$8,$E$8*$F$8,IF(AI59&gt;=$B$8,AK59*$B$4*(1+$B$5)^(($G$8+$B$8+AJ59*($B$8+$B$10))/4),0))</f>
        <v>0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2160</v>
      </c>
      <c r="AP59" s="14" t="n">
        <f aca="false">F59+N59+V59+AD59+AL59</f>
        <v>662624.463814252</v>
      </c>
      <c r="AQ59" s="14" t="n">
        <f aca="false">G59+O59+W59+AE59+AM59</f>
        <v>2650497.85525701</v>
      </c>
      <c r="AR59" s="14" t="n">
        <f aca="false">H59+P59+X59+AF59+AN59+IF($A59=$B$15,$B$14,0)</f>
        <v>0</v>
      </c>
      <c r="AS59" s="21" t="n">
        <f aca="false">I59+Q59+Y59+AG59+AO59</f>
        <v>3700</v>
      </c>
      <c r="AT59" s="14" t="n">
        <f aca="false">AP59*(1-$B$12)-AS59*$B$13/4</f>
        <v>571991.995985396</v>
      </c>
      <c r="AU59" s="14" t="n">
        <f aca="false">0</f>
        <v>0</v>
      </c>
      <c r="AV59" s="14" t="n">
        <f aca="false">AT59-AR59-AU59</f>
        <v>571991.995985396</v>
      </c>
      <c r="AW59" s="21" t="n">
        <f aca="false">(1+$B$16)^(-$A59/4)</f>
        <v>0.571308135817531</v>
      </c>
      <c r="AX59" s="14" t="n">
        <f aca="false">AV59*AW59</f>
        <v>326783.680928965</v>
      </c>
      <c r="AY59" s="14" t="n">
        <f aca="false">AV59</f>
        <v>571991.995985396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333087.405886167</v>
      </c>
      <c r="G60" s="14" t="n">
        <f aca="false">IF($A60&lt;=$G$4,$E$4*$F$4,IF(C60&gt;=$B$8,E60*$B$4*(1+$B$5)^(($G$4+$B$8+D60*($B$8+$B$10))/4),0))</f>
        <v>1332349.62354467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251402.550331048</v>
      </c>
      <c r="O60" s="14" t="n">
        <f aca="false">IF($A60&lt;=$G$5,$E$5*$F$5,IF(K60&gt;=$B$8,M60*$B$4*(1+$B$5)^(($G$5+$B$8+L60*($B$8+$B$10))/4),0))</f>
        <v>1005610.20132419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0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1540</v>
      </c>
      <c r="Z60" s="21" t="n">
        <f aca="false">$A60-$G$7-1</f>
        <v>24</v>
      </c>
      <c r="AA60" s="21" t="n">
        <f aca="false">IF(Z60&lt;0,-1,MOD(Z60,$B$8+$B$10))</f>
        <v>24</v>
      </c>
      <c r="AB60" s="21" t="n">
        <f aca="false">IF(Z60&lt;0,0,INT(Z60/($B$8+$B$10)))</f>
        <v>0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78134.5075970365</v>
      </c>
      <c r="AE60" s="14" t="n">
        <f aca="false">IF($A60&lt;=$G$7,$E$7*$F$7,IF(AA60&gt;=$B$8,AC60*$B$4*(1+$B$5)^(($G$7+$B$8+AB60*($B$8+$B$10))/4),0))</f>
        <v>312538.030388146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5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0</v>
      </c>
      <c r="AM60" s="14" t="n">
        <f aca="false">IF($A60&lt;=$G$8,$E$8*$F$8,IF(AI60&gt;=$B$8,AK60*$B$4*(1+$B$5)^(($G$8+$B$8+AJ60*($B$8+$B$10))/4),0))</f>
        <v>724553.273208006</v>
      </c>
      <c r="AN60" s="14" t="n">
        <f aca="false">IF($A60&lt;=$G$8,0,IF(AI60=0,AK60*$B$6*(1+$B$7)^(($G$8+AJ60*($B$8+$B$10))/4),0)+IF(AI60=$B$8,$B$11*$B$4*(1+$B$5)^(($G$8+$B$8+AJ60*($B$8+$B$10))/4)*AK60,0))</f>
        <v>86946.3927849607</v>
      </c>
      <c r="AO60" s="21" t="n">
        <f aca="false">IF($A60&lt;=$G$8,0,IF(AI60&lt;$B$8,AK60,0))</f>
        <v>0</v>
      </c>
      <c r="AP60" s="14" t="n">
        <f aca="false">F60+N60+V60+AD60+AL60</f>
        <v>662624.463814252</v>
      </c>
      <c r="AQ60" s="14" t="n">
        <f aca="false">G60+O60+W60+AE60+AM60</f>
        <v>3375051.12846501</v>
      </c>
      <c r="AR60" s="14" t="n">
        <f aca="false">H60+P60+X60+AF60+AN60+IF($A60=$B$15,$B$14,0)</f>
        <v>86946.3927849607</v>
      </c>
      <c r="AS60" s="21" t="n">
        <f aca="false">I60+Q60+Y60+AG60+AO60</f>
        <v>1540</v>
      </c>
      <c r="AT60" s="14" t="n">
        <f aca="false">AP60*(1-$B$12)-AS60*$B$13/4</f>
        <v>601691.995985396</v>
      </c>
      <c r="AU60" s="14" t="n">
        <f aca="false">0</f>
        <v>0</v>
      </c>
      <c r="AV60" s="14" t="n">
        <f aca="false">AT60-AR60-AU60</f>
        <v>514745.603200436</v>
      </c>
      <c r="AW60" s="21" t="n">
        <f aca="false">(1+$B$16)^(-$A60/4)</f>
        <v>0.560745877024877</v>
      </c>
      <c r="AX60" s="14" t="n">
        <f aca="false">AV60*AW60</f>
        <v>288641.474711327</v>
      </c>
      <c r="AY60" s="14" t="n">
        <f aca="false">AV60</f>
        <v>514745.603200436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333087.405886167</v>
      </c>
      <c r="G61" s="14" t="n">
        <f aca="false">IF($A61&lt;=$G$4,$E$4*$F$4,IF(C61&gt;=$B$8,E61*$B$4*(1+$B$5)^(($G$4+$B$8+D61*($B$8+$B$10))/4),0))</f>
        <v>1332349.62354467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251402.550331048</v>
      </c>
      <c r="O61" s="14" t="n">
        <f aca="false">IF($A61&lt;=$G$5,$E$5*$F$5,IF(K61&gt;=$B$8,M61*$B$4*(1+$B$5)^(($G$5+$B$8+L61*($B$8+$B$10))/4),0))</f>
        <v>1005610.20132419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518506.019943725</v>
      </c>
      <c r="X61" s="14" t="n">
        <f aca="false">IF($A61&lt;=$G$6,0,IF(S61=0,U61*$B$6*(1+$B$7)^(($G$6+T61*($B$8+$B$10))/4),0)+IF(S61=$B$8,$B$11*$B$4*(1+$B$5)^(($G$6+$B$8+T61*($B$8+$B$10))/4)*U61,0))</f>
        <v>62220.722393247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0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508579.964537466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6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0</v>
      </c>
      <c r="AM61" s="14" t="n">
        <f aca="false">IF($A61&lt;=$G$8,$E$8*$F$8,IF(AI61&gt;=$B$8,AK61*$B$4*(1+$B$5)^(($G$8+$B$8+AJ61*($B$8+$B$10))/4),0))</f>
        <v>724553.273208006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584489.956217215</v>
      </c>
      <c r="AQ61" s="14" t="n">
        <f aca="false">G61+O61+W61+AE61+AM61</f>
        <v>3581019.11802059</v>
      </c>
      <c r="AR61" s="14" t="n">
        <f aca="false">H61+P61+X61+AF61+AN61+IF($A61=$B$15,$B$14,0)</f>
        <v>570800.686930713</v>
      </c>
      <c r="AS61" s="21" t="n">
        <f aca="false">I61+Q61+Y61+AG61+AO61</f>
        <v>1000</v>
      </c>
      <c r="AT61" s="14" t="n">
        <f aca="false">AP61*(1-$B$12)-AS61*$B$13/4</f>
        <v>535670.558844182</v>
      </c>
      <c r="AU61" s="14" t="n">
        <f aca="false">0</f>
        <v>0</v>
      </c>
      <c r="AV61" s="14" t="n">
        <f aca="false">AT61-AR61-AU61</f>
        <v>-35130.128086531</v>
      </c>
      <c r="AW61" s="21" t="n">
        <f aca="false">(1+$B$16)^(-$A61/4)</f>
        <v>0.550378891682413</v>
      </c>
      <c r="AX61" s="14" t="n">
        <f aca="false">AV61*AW61</f>
        <v>-19334.8809609261</v>
      </c>
      <c r="AY61" s="14" t="n">
        <f aca="false">AV61</f>
        <v>-35130.128086531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333087.405886167</v>
      </c>
      <c r="G62" s="14" t="n">
        <f aca="false">IF($A62&lt;=$G$4,$E$4*$F$4,IF(C62&gt;=$B$8,E62*$B$4*(1+$B$5)^(($G$4+$B$8+D62*($B$8+$B$10))/4),0))</f>
        <v>1332349.62354467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251402.550331048</v>
      </c>
      <c r="O62" s="14" t="n">
        <f aca="false">IF($A62&lt;=$G$5,$E$5*$F$5,IF(K62&gt;=$B$8,M62*$B$4*(1+$B$5)^(($G$5+$B$8+L62*($B$8+$B$10))/4),0))</f>
        <v>1005610.20132419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0</v>
      </c>
      <c r="W62" s="14" t="n">
        <f aca="false">IF($A62&lt;=$G$6,$E$6*$F$6,IF(S62&gt;=$B$8,U62*$B$4*(1+$B$5)^(($G$6+$B$8+T62*($B$8+$B$10))/4),0))</f>
        <v>518506.019943725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1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0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1000</v>
      </c>
      <c r="AH62" s="21" t="n">
        <f aca="false">$A62-$G$8-1</f>
        <v>32</v>
      </c>
      <c r="AI62" s="21" t="n">
        <f aca="false">IF(AH62&lt;0,-1,MOD(AH62,$B$8+$B$10))</f>
        <v>7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0</v>
      </c>
      <c r="AM62" s="14" t="n">
        <f aca="false">IF($A62&lt;=$G$8,$E$8*$F$8,IF(AI62&gt;=$B$8,AK62*$B$4*(1+$B$5)^(($G$8+$B$8+AJ62*($B$8+$B$10))/4),0))</f>
        <v>724553.273208006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584489.956217215</v>
      </c>
      <c r="AQ62" s="14" t="n">
        <f aca="false">G62+O62+W62+AE62+AM62</f>
        <v>3581019.11802059</v>
      </c>
      <c r="AR62" s="14" t="n">
        <f aca="false">H62+P62+X62+AF62+AN62+IF($A62=$B$15,$B$14,0)</f>
        <v>0</v>
      </c>
      <c r="AS62" s="21" t="n">
        <f aca="false">I62+Q62+Y62+AG62+AO62</f>
        <v>1000</v>
      </c>
      <c r="AT62" s="14" t="n">
        <f aca="false">AP62*(1-$B$12)-AS62*$B$13/4</f>
        <v>535670.558844182</v>
      </c>
      <c r="AU62" s="14" t="n">
        <f aca="false">0</f>
        <v>0</v>
      </c>
      <c r="AV62" s="14" t="n">
        <f aca="false">AT62-AR62-AU62</f>
        <v>535670.558844182</v>
      </c>
      <c r="AW62" s="21" t="n">
        <f aca="false">(1+$B$16)^(-$A62/4)</f>
        <v>0.540203569603995</v>
      </c>
      <c r="AX62" s="14" t="n">
        <f aca="false">AV62*AW62</f>
        <v>289371.148019394</v>
      </c>
      <c r="AY62" s="14" t="n">
        <f aca="false">AV62</f>
        <v>535670.558844182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23</v>
      </c>
      <c r="D63" s="0" t="n">
        <f aca="false">IF(B63&lt;0,0,INT(B63/($B$8+$B$10)))</f>
        <v>0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333087.405886167</v>
      </c>
      <c r="G63" s="14" t="n">
        <f aca="false">IF($A63&lt;=$G$4,$E$4*$F$4,IF(C63&gt;=$B$8,E63*$B$4*(1+$B$5)^(($G$4+$B$8+D63*($B$8+$B$10))/4),0))</f>
        <v>1332349.62354467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251402.550331048</v>
      </c>
      <c r="O63" s="14" t="n">
        <f aca="false">IF($A63&lt;=$G$5,$E$5*$F$5,IF(K63&gt;=$B$8,M63*$B$4*(1+$B$5)^(($G$5+$B$8+L63*($B$8+$B$10))/4),0))</f>
        <v>1005610.20132419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0</v>
      </c>
      <c r="W63" s="14" t="n">
        <f aca="false">IF($A63&lt;=$G$6,$E$6*$F$6,IF(S63&gt;=$B$8,U63*$B$4*(1+$B$5)^(($G$6+$B$8+T63*($B$8+$B$10))/4),0))</f>
        <v>518506.019943725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2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0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1000</v>
      </c>
      <c r="AH63" s="21" t="n">
        <f aca="false">$A63-$G$8-1</f>
        <v>33</v>
      </c>
      <c r="AI63" s="21" t="n">
        <f aca="false">IF(AH63&lt;0,-1,MOD(AH63,$B$8+$B$10))</f>
        <v>8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181138.318302002</v>
      </c>
      <c r="AM63" s="14" t="n">
        <f aca="false">IF($A63&lt;=$G$8,$E$8*$F$8,IF(AI63&gt;=$B$8,AK63*$B$4*(1+$B$5)^(($G$8+$B$8+AJ63*($B$8+$B$10))/4),0))</f>
        <v>724553.273208006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765628.274519217</v>
      </c>
      <c r="AQ63" s="14" t="n">
        <f aca="false">G63+O63+W63+AE63+AM63</f>
        <v>3581019.11802059</v>
      </c>
      <c r="AR63" s="14" t="n">
        <f aca="false">H63+P63+X63+AF63+AN63+IF($A63=$B$15,$B$14,0)</f>
        <v>0</v>
      </c>
      <c r="AS63" s="21" t="n">
        <f aca="false">I63+Q63+Y63+AG63+AO63</f>
        <v>1000</v>
      </c>
      <c r="AT63" s="14" t="n">
        <f aca="false">AP63*(1-$B$12)-AS63*$B$13/4</f>
        <v>705940.578048063</v>
      </c>
      <c r="AU63" s="14" t="n">
        <f aca="false">0</f>
        <v>0</v>
      </c>
      <c r="AV63" s="14" t="n">
        <f aca="false">AT63-AR63-AU63</f>
        <v>705940.578048063</v>
      </c>
      <c r="AW63" s="21" t="n">
        <f aca="false">(1+$B$16)^(-$A63/4)</f>
        <v>0.530216367348056</v>
      </c>
      <c r="AX63" s="14" t="n">
        <f aca="false">AV63*AW63</f>
        <v>374301.248856231</v>
      </c>
      <c r="AY63" s="14" t="n">
        <f aca="false">AV63</f>
        <v>705940.578048063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24</v>
      </c>
      <c r="D64" s="0" t="n">
        <f aca="false">IF(B64&lt;0,0,INT(B64/($B$8+$B$10)))</f>
        <v>0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333087.405886167</v>
      </c>
      <c r="G64" s="14" t="n">
        <f aca="false">IF($A64&lt;=$G$4,$E$4*$F$4,IF(C64&gt;=$B$8,E64*$B$4*(1+$B$5)^(($G$4+$B$8+D64*($B$8+$B$10))/4),0))</f>
        <v>1332349.62354467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251402.550331048</v>
      </c>
      <c r="O64" s="14" t="n">
        <f aca="false">IF($A64&lt;=$G$5,$E$5*$F$5,IF(K64&gt;=$B$8,M64*$B$4*(1+$B$5)^(($G$5+$B$8+L64*($B$8+$B$10))/4),0))</f>
        <v>1005610.20132419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129626.504985931</v>
      </c>
      <c r="W64" s="14" t="n">
        <f aca="false">IF($A64&lt;=$G$6,$E$6*$F$6,IF(S64&gt;=$B$8,U64*$B$4*(1+$B$5)^(($G$6+$B$8+T64*($B$8+$B$10))/4),0))</f>
        <v>518506.019943725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3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0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1000</v>
      </c>
      <c r="AH64" s="21" t="n">
        <f aca="false">$A64-$G$8-1</f>
        <v>34</v>
      </c>
      <c r="AI64" s="21" t="n">
        <f aca="false">IF(AH64&lt;0,-1,MOD(AH64,$B$8+$B$10))</f>
        <v>9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181138.318302002</v>
      </c>
      <c r="AM64" s="14" t="n">
        <f aca="false">IF($A64&lt;=$G$8,$E$8*$F$8,IF(AI64&gt;=$B$8,AK64*$B$4*(1+$B$5)^(($G$8+$B$8+AJ64*($B$8+$B$10))/4),0))</f>
        <v>724553.273208006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895254.779505148</v>
      </c>
      <c r="AQ64" s="14" t="n">
        <f aca="false">G64+O64+W64+AE64+AM64</f>
        <v>3581019.11802059</v>
      </c>
      <c r="AR64" s="14" t="n">
        <f aca="false">H64+P64+X64+AF64+AN64+IF($A64=$B$15,$B$14,0)</f>
        <v>0</v>
      </c>
      <c r="AS64" s="21" t="n">
        <f aca="false">I64+Q64+Y64+AG64+AO64</f>
        <v>1000</v>
      </c>
      <c r="AT64" s="14" t="n">
        <f aca="false">AP64*(1-$B$12)-AS64*$B$13/4</f>
        <v>827789.492734839</v>
      </c>
      <c r="AU64" s="14" t="n">
        <f aca="false">0</f>
        <v>0</v>
      </c>
      <c r="AV64" s="14" t="n">
        <f aca="false">AT64-AR64-AU64</f>
        <v>827789.492734839</v>
      </c>
      <c r="AW64" s="21" t="n">
        <f aca="false">(1+$B$16)^(-$A64/4)</f>
        <v>0.520413806983644</v>
      </c>
      <c r="AX64" s="14" t="n">
        <f aca="false">AV64*AW64</f>
        <v>430793.081295197</v>
      </c>
      <c r="AY64" s="14" t="n">
        <f aca="false">AV64</f>
        <v>827789.492734839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0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2189436.74733379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251402.550331048</v>
      </c>
      <c r="O65" s="14" t="n">
        <f aca="false">IF($A65&lt;=$G$5,$E$5*$F$5,IF(K65&gt;=$B$8,M65*$B$4*(1+$B$5)^(($G$5+$B$8+L65*($B$8+$B$10))/4),0))</f>
        <v>1005610.20132419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129626.504985931</v>
      </c>
      <c r="W65" s="14" t="n">
        <f aca="false">IF($A65&lt;=$G$6,$E$6*$F$6,IF(S65&gt;=$B$8,U65*$B$4*(1+$B$5)^(($G$6+$B$8+T65*($B$8+$B$10))/4),0))</f>
        <v>518506.019943725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4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0</v>
      </c>
      <c r="AE65" s="14" t="n">
        <f aca="false">IF($A65&lt;=$G$7,$E$7*$F$7,IF(AA65&gt;=$B$8,AC65*$B$4*(1+$B$5)^(($G$7+$B$8+AB65*($B$8+$B$10))/4),0))</f>
        <v>0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1000</v>
      </c>
      <c r="AH65" s="21" t="n">
        <f aca="false">$A65-$G$8-1</f>
        <v>35</v>
      </c>
      <c r="AI65" s="21" t="n">
        <f aca="false">IF(AH65&lt;0,-1,MOD(AH65,$B$8+$B$10))</f>
        <v>10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181138.318302002</v>
      </c>
      <c r="AM65" s="14" t="n">
        <f aca="false">IF($A65&lt;=$G$8,$E$8*$F$8,IF(AI65&gt;=$B$8,AK65*$B$4*(1+$B$5)^(($G$8+$B$8+AJ65*($B$8+$B$10))/4),0))</f>
        <v>724553.273208006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562167.373618981</v>
      </c>
      <c r="AQ65" s="14" t="n">
        <f aca="false">G65+O65+W65+AE65+AM65</f>
        <v>2248669.49447592</v>
      </c>
      <c r="AR65" s="14" t="n">
        <f aca="false">H65+P65+X65+AF65+AN65+IF($A65=$B$15,$B$14,0)</f>
        <v>2189436.74733379</v>
      </c>
      <c r="AS65" s="21" t="n">
        <f aca="false">I65+Q65+Y65+AG65+AO65</f>
        <v>5200</v>
      </c>
      <c r="AT65" s="14" t="n">
        <f aca="false">AP65*(1-$B$12)-AS65*$B$13/4</f>
        <v>456937.331201842</v>
      </c>
      <c r="AU65" s="14" t="n">
        <f aca="false">0</f>
        <v>0</v>
      </c>
      <c r="AV65" s="14" t="n">
        <f aca="false">AT65-AR65-AU65</f>
        <v>-1732499.41613195</v>
      </c>
      <c r="AW65" s="21" t="n">
        <f aca="false">(1+$B$16)^(-$A65/4)</f>
        <v>0.51079247487927</v>
      </c>
      <c r="AX65" s="14" t="n">
        <f aca="false">AV65*AW65</f>
        <v>-884947.664492928</v>
      </c>
      <c r="AY65" s="14" t="n">
        <f aca="false">AV65</f>
        <v>-1732499.41613195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1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0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4200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251402.550331048</v>
      </c>
      <c r="O66" s="14" t="n">
        <f aca="false">IF($A66&lt;=$G$5,$E$5*$F$5,IF(K66&gt;=$B$8,M66*$B$4*(1+$B$5)^(($G$5+$B$8+L66*($B$8+$B$10))/4),0))</f>
        <v>1005610.20132419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129626.504985931</v>
      </c>
      <c r="W66" s="14" t="n">
        <f aca="false">IF($A66&lt;=$G$6,$E$6*$F$6,IF(S66&gt;=$B$8,U66*$B$4*(1+$B$5)^(($G$6+$B$8+T66*($B$8+$B$10))/4),0))</f>
        <v>518506.019943725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5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0</v>
      </c>
      <c r="AE66" s="14" t="n">
        <f aca="false">IF($A66&lt;=$G$7,$E$7*$F$7,IF(AA66&gt;=$B$8,AC66*$B$4*(1+$B$5)^(($G$7+$B$8+AB66*($B$8+$B$10))/4),0))</f>
        <v>343016.992618271</v>
      </c>
      <c r="AF66" s="14" t="n">
        <f aca="false">IF($A66&lt;=$G$7,0,IF(AA66=0,AC66*$B$6*(1+$B$7)^(($G$7+AB66*($B$8+$B$10))/4),0)+IF(AA66=$B$8,$B$11*$B$4*(1+$B$5)^(($G$7+$B$8+AB66*($B$8+$B$10))/4)*AC66,0))</f>
        <v>41162.0391141925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11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181138.318302002</v>
      </c>
      <c r="AM66" s="14" t="n">
        <f aca="false">IF($A66&lt;=$G$8,$E$8*$F$8,IF(AI66&gt;=$B$8,AK66*$B$4*(1+$B$5)^(($G$8+$B$8+AJ66*($B$8+$B$10))/4),0))</f>
        <v>724553.273208006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562167.373618981</v>
      </c>
      <c r="AQ66" s="14" t="n">
        <f aca="false">G66+O66+W66+AE66+AM66</f>
        <v>2591686.48709419</v>
      </c>
      <c r="AR66" s="14" t="n">
        <f aca="false">H66+P66+X66+AF66+AN66+IF($A66=$B$15,$B$14,0)</f>
        <v>41162.0391141925</v>
      </c>
      <c r="AS66" s="21" t="n">
        <f aca="false">I66+Q66+Y66+AG66+AO66</f>
        <v>4200</v>
      </c>
      <c r="AT66" s="14" t="n">
        <f aca="false">AP66*(1-$B$12)-AS66*$B$13/4</f>
        <v>470687.331201842</v>
      </c>
      <c r="AU66" s="14" t="n">
        <f aca="false">0</f>
        <v>0</v>
      </c>
      <c r="AV66" s="14" t="n">
        <f aca="false">AT66-AR66-AU66</f>
        <v>429525.29208765</v>
      </c>
      <c r="AW66" s="21" t="n">
        <f aca="false">(1+$B$16)^(-$A66/4)</f>
        <v>0.501349020514149</v>
      </c>
      <c r="AX66" s="14" t="n">
        <f aca="false">AV66*AW66</f>
        <v>215342.084474197</v>
      </c>
      <c r="AY66" s="14" t="n">
        <f aca="false">AV66</f>
        <v>429525.29208765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2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0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4200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251402.550331048</v>
      </c>
      <c r="O67" s="14" t="n">
        <f aca="false">IF($A67&lt;=$G$5,$E$5*$F$5,IF(K67&gt;=$B$8,M67*$B$4*(1+$B$5)^(($G$5+$B$8+L67*($B$8+$B$10))/4),0))</f>
        <v>1005610.20132419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129626.504985931</v>
      </c>
      <c r="W67" s="14" t="n">
        <f aca="false">IF($A67&lt;=$G$6,$E$6*$F$6,IF(S67&gt;=$B$8,U67*$B$4*(1+$B$5)^(($G$6+$B$8+T67*($B$8+$B$10))/4),0))</f>
        <v>518506.019943725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6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0</v>
      </c>
      <c r="AE67" s="14" t="n">
        <f aca="false">IF($A67&lt;=$G$7,$E$7*$F$7,IF(AA67&gt;=$B$8,AC67*$B$4*(1+$B$5)^(($G$7+$B$8+AB67*($B$8+$B$10))/4),0))</f>
        <v>343016.992618271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12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181138.318302002</v>
      </c>
      <c r="AM67" s="14" t="n">
        <f aca="false">IF($A67&lt;=$G$8,$E$8*$F$8,IF(AI67&gt;=$B$8,AK67*$B$4*(1+$B$5)^(($G$8+$B$8+AJ67*($B$8+$B$10))/4),0))</f>
        <v>724553.273208006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562167.373618981</v>
      </c>
      <c r="AQ67" s="14" t="n">
        <f aca="false">G67+O67+W67+AE67+AM67</f>
        <v>2591686.48709419</v>
      </c>
      <c r="AR67" s="14" t="n">
        <f aca="false">H67+P67+X67+AF67+AN67+IF($A67=$B$15,$B$14,0)</f>
        <v>0</v>
      </c>
      <c r="AS67" s="21" t="n">
        <f aca="false">I67+Q67+Y67+AG67+AO67</f>
        <v>4200</v>
      </c>
      <c r="AT67" s="14" t="n">
        <f aca="false">AP67*(1-$B$12)-AS67*$B$13/4</f>
        <v>470687.331201842</v>
      </c>
      <c r="AU67" s="14" t="n">
        <f aca="false">0</f>
        <v>0</v>
      </c>
      <c r="AV67" s="14" t="n">
        <f aca="false">AT67-AR67-AU67</f>
        <v>470687.331201842</v>
      </c>
      <c r="AW67" s="21" t="n">
        <f aca="false">(1+$B$16)^(-$A67/4)</f>
        <v>0.492080155311421</v>
      </c>
      <c r="AX67" s="14" t="n">
        <f aca="false">AV67*AW67</f>
        <v>231615.895040921</v>
      </c>
      <c r="AY67" s="14" t="n">
        <f aca="false">AV67</f>
        <v>470687.331201842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3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0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4200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251402.550331048</v>
      </c>
      <c r="O68" s="14" t="n">
        <f aca="false">IF($A68&lt;=$G$5,$E$5*$F$5,IF(K68&gt;=$B$8,M68*$B$4*(1+$B$5)^(($G$5+$B$8+L68*($B$8+$B$10))/4),0))</f>
        <v>1005610.20132419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129626.504985931</v>
      </c>
      <c r="W68" s="14" t="n">
        <f aca="false">IF($A68&lt;=$G$6,$E$6*$F$6,IF(S68&gt;=$B$8,U68*$B$4*(1+$B$5)^(($G$6+$B$8+T68*($B$8+$B$10))/4),0))</f>
        <v>518506.019943725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7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0</v>
      </c>
      <c r="AE68" s="14" t="n">
        <f aca="false">IF($A68&lt;=$G$7,$E$7*$F$7,IF(AA68&gt;=$B$8,AC68*$B$4*(1+$B$5)^(($G$7+$B$8+AB68*($B$8+$B$10))/4),0))</f>
        <v>343016.992618271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13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181138.318302002</v>
      </c>
      <c r="AM68" s="14" t="n">
        <f aca="false">IF($A68&lt;=$G$8,$E$8*$F$8,IF(AI68&gt;=$B$8,AK68*$B$4*(1+$B$5)^(($G$8+$B$8+AJ68*($B$8+$B$10))/4),0))</f>
        <v>724553.273208006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562167.373618981</v>
      </c>
      <c r="AQ68" s="14" t="n">
        <f aca="false">G68+O68+W68+AE68+AM68</f>
        <v>2591686.48709419</v>
      </c>
      <c r="AR68" s="14" t="n">
        <f aca="false">H68+P68+X68+AF68+AN68+IF($A68=$B$15,$B$14,0)</f>
        <v>0</v>
      </c>
      <c r="AS68" s="21" t="n">
        <f aca="false">I68+Q68+Y68+AG68+AO68</f>
        <v>4200</v>
      </c>
      <c r="AT68" s="14" t="n">
        <f aca="false">AP68*(1-$B$12)-AS68*$B$13/4</f>
        <v>470687.331201842</v>
      </c>
      <c r="AU68" s="14" t="n">
        <f aca="false">0</f>
        <v>0</v>
      </c>
      <c r="AV68" s="14" t="n">
        <f aca="false">AT68-AR68-AU68</f>
        <v>470687.331201842</v>
      </c>
      <c r="AW68" s="21" t="n">
        <f aca="false">(1+$B$16)^(-$A68/4)</f>
        <v>0.482982651492941</v>
      </c>
      <c r="AX68" s="14" t="n">
        <f aca="false">AV68*AW68</f>
        <v>227333.815248002</v>
      </c>
      <c r="AY68" s="14" t="n">
        <f aca="false">AV68</f>
        <v>470687.331201842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4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0</v>
      </c>
      <c r="G69" s="14" t="n">
        <f aca="false">IF($A69&lt;=$G$4,$E$4*$F$4,IF(C69&gt;=$B$8,E69*$B$4*(1+$B$5)^(($G$4+$B$8+D69*($B$8+$B$10))/4),0))</f>
        <v>0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4200</v>
      </c>
      <c r="J69" s="21" t="n">
        <f aca="false">$A69-$G$5-1</f>
        <v>23</v>
      </c>
      <c r="K69" s="21" t="n">
        <f aca="false">IF(J69&lt;0,-1,MOD(J69,$B$8+$B$10))</f>
        <v>23</v>
      </c>
      <c r="L69" s="21" t="n">
        <f aca="false">IF(J69&lt;0,0,INT(J69/($B$8+$B$10)))</f>
        <v>0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251402.550331048</v>
      </c>
      <c r="O69" s="14" t="n">
        <f aca="false">IF($A69&lt;=$G$5,$E$5*$F$5,IF(K69&gt;=$B$8,M69*$B$4*(1+$B$5)^(($G$5+$B$8+L69*($B$8+$B$10))/4),0))</f>
        <v>1005610.20132419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129626.504985931</v>
      </c>
      <c r="W69" s="14" t="n">
        <f aca="false">IF($A69&lt;=$G$6,$E$6*$F$6,IF(S69&gt;=$B$8,U69*$B$4*(1+$B$5)^(($G$6+$B$8+T69*($B$8+$B$10))/4),0))</f>
        <v>518506.019943725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8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85754.2481545677</v>
      </c>
      <c r="AE69" s="14" t="n">
        <f aca="false">IF($A69&lt;=$G$7,$E$7*$F$7,IF(AA69&gt;=$B$8,AC69*$B$4*(1+$B$5)^(($G$7+$B$8+AB69*($B$8+$B$10))/4),0))</f>
        <v>343016.992618271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14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181138.318302002</v>
      </c>
      <c r="AM69" s="14" t="n">
        <f aca="false">IF($A69&lt;=$G$8,$E$8*$F$8,IF(AI69&gt;=$B$8,AK69*$B$4*(1+$B$5)^(($G$8+$B$8+AJ69*($B$8+$B$10))/4),0))</f>
        <v>724553.273208006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647921.621773549</v>
      </c>
      <c r="AQ69" s="14" t="n">
        <f aca="false">G69+O69+W69+AE69+AM69</f>
        <v>2591686.48709419</v>
      </c>
      <c r="AR69" s="14" t="n">
        <f aca="false">H69+P69+X69+AF69+AN69+IF($A69=$B$15,$B$14,0)</f>
        <v>0</v>
      </c>
      <c r="AS69" s="21" t="n">
        <f aca="false">I69+Q69+Y69+AG69+AO69</f>
        <v>4200</v>
      </c>
      <c r="AT69" s="14" t="n">
        <f aca="false">AP69*(1-$B$12)-AS69*$B$13/4</f>
        <v>551296.324467136</v>
      </c>
      <c r="AU69" s="14" t="n">
        <f aca="false">0</f>
        <v>0</v>
      </c>
      <c r="AV69" s="14" t="n">
        <f aca="false">AT69-AR69-AU69</f>
        <v>551296.324467136</v>
      </c>
      <c r="AW69" s="21" t="n">
        <f aca="false">(1+$B$16)^(-$A69/4)</f>
        <v>0.474053340955239</v>
      </c>
      <c r="AX69" s="14" t="n">
        <f aca="false">AV69*AW69</f>
        <v>261343.864469989</v>
      </c>
      <c r="AY69" s="14" t="n">
        <f aca="false">AV69+$J$9</f>
        <v>53874693.6447337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311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4037771.78716433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0</v>
      </c>
    </row>
    <row r="8" customFormat="false" ht="15" hidden="false" customHeight="false" outlineLevel="0" collapsed="false">
      <c r="A8" s="0" t="s">
        <v>26</v>
      </c>
      <c r="B8" s="24" t="n">
        <v>1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3795505.47993447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55386265.1516364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10695634.3595749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26256044.0381659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36951678.3977408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34696411.6410712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0.710550783527364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0.0505865864526172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28692255.9299797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13492957.1372986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2145211.74604831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0.0659026933866214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650416.449631884</v>
      </c>
      <c r="AN31" s="14" t="n">
        <f aca="false">IF($A31&lt;=$G$8,0,IF(AI31=0,AK31*$B$6*(1+$B$7)^(($G$8+AJ31*($B$8+$B$10))/4),0)+IF(AI31=$B$8,$B$11*$B$4*(1+$B$5)^(($G$8+$B$8+AJ31*($B$8+$B$10))/4)*AK31,0))</f>
        <v>78049.9739558261</v>
      </c>
      <c r="AO31" s="21" t="n">
        <f aca="false">IF($A31&lt;=$G$8,0,IF(AI31&lt;$B$8,AK31,0))</f>
        <v>0</v>
      </c>
      <c r="AP31" s="14" t="n">
        <f aca="false">F31+N31+V31+AD31+AL31</f>
        <v>762235</v>
      </c>
      <c r="AQ31" s="14" t="n">
        <f aca="false">G31+O31+W31+AE31+AM31</f>
        <v>3699356.44963188</v>
      </c>
      <c r="AR31" s="14" t="n">
        <f aca="false">H31+P31+X31+AF31+AN31+IF($A31=$B$15,$B$14,0)</f>
        <v>78049.9739558261</v>
      </c>
      <c r="AS31" s="21" t="n">
        <f aca="false">I31+Q31+Y31+AG31+AO31</f>
        <v>0</v>
      </c>
      <c r="AT31" s="14" t="n">
        <f aca="false">AP31*(1-$B$12)-AS31*$B$13/4</f>
        <v>716500.9</v>
      </c>
      <c r="AU31" s="14" t="n">
        <f aca="false">0</f>
        <v>0</v>
      </c>
      <c r="AV31" s="14" t="n">
        <f aca="false">AT31-AR31-AU31</f>
        <v>638450.926044174</v>
      </c>
      <c r="AW31" s="21" t="n">
        <f aca="false">(1+$B$16)^(-$A31/4)</f>
        <v>0.963366101718176</v>
      </c>
      <c r="AX31" s="14" t="n">
        <f aca="false">AV31*AW31</f>
        <v>615061.979761535</v>
      </c>
      <c r="AY31" s="14" t="n">
        <f aca="false">AV31</f>
        <v>638450.926044174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650416.449631884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0</v>
      </c>
      <c r="AP32" s="14" t="n">
        <f aca="false">F32+N32+V32+AD32+AL32</f>
        <v>762235</v>
      </c>
      <c r="AQ32" s="14" t="n">
        <f aca="false">G32+O32+W32+AE32+AM32</f>
        <v>3699356.44963188</v>
      </c>
      <c r="AR32" s="14" t="n">
        <f aca="false">H32+P32+X32+AF32+AN32+IF($A32=$B$15,$B$14,0)</f>
        <v>0</v>
      </c>
      <c r="AS32" s="21" t="n">
        <f aca="false">I32+Q32+Y32+AG32+AO32</f>
        <v>0</v>
      </c>
      <c r="AT32" s="14" t="n">
        <f aca="false">AP32*(1-$B$12)-AS32*$B$13/4</f>
        <v>716500.9</v>
      </c>
      <c r="AU32" s="14" t="n">
        <f aca="false">0</f>
        <v>0</v>
      </c>
      <c r="AV32" s="14" t="n">
        <f aca="false">AT32-AR32-AU32</f>
        <v>716500.9</v>
      </c>
      <c r="AW32" s="21" t="n">
        <f aca="false">(1+$B$16)^(-$A32/4)</f>
        <v>0.945555534284444</v>
      </c>
      <c r="AX32" s="14" t="n">
        <f aca="false">AV32*AW32</f>
        <v>677491.391314785</v>
      </c>
      <c r="AY32" s="14" t="n">
        <f aca="false">AV32</f>
        <v>716500.9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650416.449631884</v>
      </c>
      <c r="AN33" s="14" t="n">
        <f aca="false">IF($A33&lt;=$G$8,0,IF(AI33=0,AK33*$B$6*(1+$B$7)^(($G$8+AJ33*($B$8+$B$10))/4),0)+IF(AI33=$B$8,$B$11*$B$4*(1+$B$5)^(($G$8+$B$8+AJ33*($B$8+$B$10))/4)*AK33,0))</f>
        <v>0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3699356.44963188</v>
      </c>
      <c r="AR33" s="14" t="n">
        <f aca="false">H33+P33+X33+AF33+AN33+IF($A33=$B$15,$B$14,0)</f>
        <v>0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716500.9</v>
      </c>
      <c r="AW33" s="21" t="n">
        <f aca="false">(1+$B$16)^(-$A33/4)</f>
        <v>0.928074245939675</v>
      </c>
      <c r="AX33" s="14" t="n">
        <f aca="false">AV33*AW33</f>
        <v>664966.032482599</v>
      </c>
      <c r="AY33" s="14" t="n">
        <f aca="false">AV33</f>
        <v>716500.9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162604.112407971</v>
      </c>
      <c r="AM34" s="14" t="n">
        <f aca="false">IF($A34&lt;=$G$8,$E$8*$F$8,IF(AI34&gt;=$B$8,AK34*$B$4*(1+$B$5)^(($G$8+$B$8+AJ34*($B$8+$B$10))/4),0))</f>
        <v>650416.449631884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924839.112407971</v>
      </c>
      <c r="AQ34" s="14" t="n">
        <f aca="false">G34+O34+W34+AE34+AM34</f>
        <v>3699356.44963188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869348.765663493</v>
      </c>
      <c r="AU34" s="14" t="n">
        <f aca="false">0</f>
        <v>0</v>
      </c>
      <c r="AV34" s="14" t="n">
        <f aca="false">AT34-AR34-AU34</f>
        <v>869348.765663493</v>
      </c>
      <c r="AW34" s="21" t="n">
        <f aca="false">(1+$B$16)^(-$A34/4)</f>
        <v>0.910916149021652</v>
      </c>
      <c r="AX34" s="14" t="n">
        <f aca="false">AV34*AW34</f>
        <v>791903.829774916</v>
      </c>
      <c r="AY34" s="14" t="n">
        <f aca="false">AV34</f>
        <v>869348.765663493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162604.112407971</v>
      </c>
      <c r="AM35" s="14" t="n">
        <f aca="false">IF($A35&lt;=$G$8,$E$8*$F$8,IF(AI35&gt;=$B$8,AK35*$B$4*(1+$B$5)^(($G$8+$B$8+AJ35*($B$8+$B$10))/4),0))</f>
        <v>650416.449631884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924839.112407971</v>
      </c>
      <c r="AQ35" s="14" t="n">
        <f aca="false">G35+O35+W35+AE35+AM35</f>
        <v>3699356.44963188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869348.765663493</v>
      </c>
      <c r="AU35" s="14" t="n">
        <f aca="false">0</f>
        <v>0</v>
      </c>
      <c r="AV35" s="14" t="n">
        <f aca="false">AT35-AR35-AU35</f>
        <v>869348.765663493</v>
      </c>
      <c r="AW35" s="21" t="n">
        <f aca="false">(1+$B$16)^(-$A35/4)</f>
        <v>0.894075268415941</v>
      </c>
      <c r="AX35" s="14" t="n">
        <f aca="false">AV35*AW35</f>
        <v>777263.231007654</v>
      </c>
      <c r="AY35" s="14" t="n">
        <f aca="false">AV35</f>
        <v>869348.765663493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162604.112407971</v>
      </c>
      <c r="AM36" s="14" t="n">
        <f aca="false">IF($A36&lt;=$G$8,$E$8*$F$8,IF(AI36&gt;=$B$8,AK36*$B$4*(1+$B$5)^(($G$8+$B$8+AJ36*($B$8+$B$10))/4),0))</f>
        <v>650416.449631884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846839.112407971</v>
      </c>
      <c r="AQ36" s="14" t="n">
        <f aca="false">G36+O36+W36+AE36+AM36</f>
        <v>3387356.44963188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782278.765663493</v>
      </c>
      <c r="AU36" s="14" t="n">
        <f aca="false">0</f>
        <v>0</v>
      </c>
      <c r="AV36" s="14" t="n">
        <f aca="false">AT36-AR36-AU36</f>
        <v>346430.734521903</v>
      </c>
      <c r="AW36" s="21" t="n">
        <f aca="false">(1+$B$16)^(-$A36/4)</f>
        <v>0.877545739475122</v>
      </c>
      <c r="AX36" s="14" t="n">
        <f aca="false">AV36*AW36</f>
        <v>304008.815102933</v>
      </c>
      <c r="AY36" s="14" t="n">
        <f aca="false">AV36</f>
        <v>346430.734521903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307919.24176172</v>
      </c>
      <c r="AF37" s="14" t="n">
        <f aca="false">IF($A37&lt;=$G$7,0,IF(AA37=0,AC37*$B$6*(1+$B$7)^(($G$7+AB37*($B$8+$B$10))/4),0)+IF(AA37=$B$8,$B$11*$B$4*(1+$B$5)^(($G$7+$B$8+AB37*($B$8+$B$10))/4)*AC37,0))</f>
        <v>36950.3090114065</v>
      </c>
      <c r="AG37" s="21" t="n">
        <f aca="false">IF($A37&lt;=$G$7,0,IF(AA37&lt;$B$8,AC37,0))</f>
        <v>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162604.112407971</v>
      </c>
      <c r="AM37" s="14" t="n">
        <f aca="false">IF($A37&lt;=$G$8,$E$8*$F$8,IF(AI37&gt;=$B$8,AK37*$B$4*(1+$B$5)^(($G$8+$B$8+AJ37*($B$8+$B$10))/4),0))</f>
        <v>650416.449631884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846839.112407971</v>
      </c>
      <c r="AQ37" s="14" t="n">
        <f aca="false">G37+O37+W37+AE37+AM37</f>
        <v>3695275.6913936</v>
      </c>
      <c r="AR37" s="14" t="n">
        <f aca="false">H37+P37+X37+AF37+AN37+IF($A37=$B$15,$B$14,0)</f>
        <v>36950.3090114065</v>
      </c>
      <c r="AS37" s="21" t="n">
        <f aca="false">I37+Q37+Y37+AG37+AO37</f>
        <v>0</v>
      </c>
      <c r="AT37" s="14" t="n">
        <f aca="false">AP37*(1-$B$12)-AS37*$B$13/4</f>
        <v>796028.765663493</v>
      </c>
      <c r="AU37" s="14" t="n">
        <f aca="false">0</f>
        <v>0</v>
      </c>
      <c r="AV37" s="14" t="n">
        <f aca="false">AT37-AR37-AU37</f>
        <v>759078.456652086</v>
      </c>
      <c r="AW37" s="21" t="n">
        <f aca="false">(1+$B$16)^(-$A37/4)</f>
        <v>0.861321805976497</v>
      </c>
      <c r="AX37" s="14" t="n">
        <f aca="false">AV37*AW37</f>
        <v>653810.827161427</v>
      </c>
      <c r="AY37" s="14" t="n">
        <f aca="false">AV37</f>
        <v>759078.456652086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307919.24176172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162604.112407971</v>
      </c>
      <c r="AM38" s="14" t="n">
        <f aca="false">IF($A38&lt;=$G$8,$E$8*$F$8,IF(AI38&gt;=$B$8,AK38*$B$4*(1+$B$5)^(($G$8+$B$8+AJ38*($B$8+$B$10))/4),0))</f>
        <v>650416.449631884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846839.112407971</v>
      </c>
      <c r="AQ38" s="14" t="n">
        <f aca="false">G38+O38+W38+AE38+AM38</f>
        <v>3695275.6913936</v>
      </c>
      <c r="AR38" s="14" t="n">
        <f aca="false">H38+P38+X38+AF38+AN38+IF($A38=$B$15,$B$14,0)</f>
        <v>0</v>
      </c>
      <c r="AS38" s="21" t="n">
        <f aca="false">I38+Q38+Y38+AG38+AO38</f>
        <v>0</v>
      </c>
      <c r="AT38" s="14" t="n">
        <f aca="false">AP38*(1-$B$12)-AS38*$B$13/4</f>
        <v>796028.765663493</v>
      </c>
      <c r="AU38" s="14" t="n">
        <f aca="false">0</f>
        <v>0</v>
      </c>
      <c r="AV38" s="14" t="n">
        <f aca="false">AT38-AR38-AU38</f>
        <v>796028.765663493</v>
      </c>
      <c r="AW38" s="21" t="n">
        <f aca="false">(1+$B$16)^(-$A38/4)</f>
        <v>0.845397818117543</v>
      </c>
      <c r="AX38" s="14" t="n">
        <f aca="false">AV38*AW38</f>
        <v>672960.981650718</v>
      </c>
      <c r="AY38" s="14" t="n">
        <f aca="false">AV38</f>
        <v>796028.765663493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307919.24176172</v>
      </c>
      <c r="AF39" s="14" t="n">
        <f aca="false">IF($A39&lt;=$G$7,0,IF(AA39=0,AC39*$B$6*(1+$B$7)^(($G$7+AB39*($B$8+$B$10))/4),0)+IF(AA39=$B$8,$B$11*$B$4*(1+$B$5)^(($G$7+$B$8+AB39*($B$8+$B$10))/4)*AC39,0))</f>
        <v>0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162604.112407971</v>
      </c>
      <c r="AM39" s="14" t="n">
        <f aca="false">IF($A39&lt;=$G$8,$E$8*$F$8,IF(AI39&gt;=$B$8,AK39*$B$4*(1+$B$5)^(($G$8+$B$8+AJ39*($B$8+$B$10))/4),0))</f>
        <v>650416.449631884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846839.112407971</v>
      </c>
      <c r="AQ39" s="14" t="n">
        <f aca="false">G39+O39+W39+AE39+AM39</f>
        <v>3695275.6913936</v>
      </c>
      <c r="AR39" s="14" t="n">
        <f aca="false">H39+P39+X39+AF39+AN39+IF($A39=$B$15,$B$14,0)</f>
        <v>0</v>
      </c>
      <c r="AS39" s="21" t="n">
        <f aca="false">I39+Q39+Y39+AG39+AO39</f>
        <v>0</v>
      </c>
      <c r="AT39" s="14" t="n">
        <f aca="false">AP39*(1-$B$12)-AS39*$B$13/4</f>
        <v>796028.765663493</v>
      </c>
      <c r="AU39" s="14" t="n">
        <f aca="false">0</f>
        <v>0</v>
      </c>
      <c r="AV39" s="14" t="n">
        <f aca="false">AT39-AR39-AU39</f>
        <v>796028.765663493</v>
      </c>
      <c r="AW39" s="21" t="n">
        <f aca="false">(1+$B$16)^(-$A39/4)</f>
        <v>0.829768230548437</v>
      </c>
      <c r="AX39" s="14" t="n">
        <f aca="false">AV39*AW39</f>
        <v>660519.380350253</v>
      </c>
      <c r="AY39" s="14" t="n">
        <f aca="false">AV39</f>
        <v>796028.765663493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76979.8104404301</v>
      </c>
      <c r="AE40" s="14" t="n">
        <f aca="false">IF($A40&lt;=$G$7,$E$7*$F$7,IF(AA40&gt;=$B$8,AC40*$B$4*(1+$B$5)^(($G$7+$B$8+AB40*($B$8+$B$10))/4),0))</f>
        <v>307919.24176172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162604.112407971</v>
      </c>
      <c r="AM40" s="14" t="n">
        <f aca="false">IF($A40&lt;=$G$8,$E$8*$F$8,IF(AI40&gt;=$B$8,AK40*$B$4*(1+$B$5)^(($G$8+$B$8+AJ40*($B$8+$B$10))/4),0))</f>
        <v>650416.449631884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589918.922848401</v>
      </c>
      <c r="AQ40" s="14" t="n">
        <f aca="false">G40+O40+W40+AE40+AM40</f>
        <v>2359675.6913936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496773.787477497</v>
      </c>
      <c r="AU40" s="14" t="n">
        <f aca="false">0</f>
        <v>0</v>
      </c>
      <c r="AV40" s="14" t="n">
        <f aca="false">AT40-AR40-AU40</f>
        <v>-1379551.98658705</v>
      </c>
      <c r="AW40" s="21" t="n">
        <f aca="false">(1+$B$16)^(-$A40/4)</f>
        <v>0.814427600440949</v>
      </c>
      <c r="AX40" s="14" t="n">
        <f aca="false">AV40*AW40</f>
        <v>-1123545.21411963</v>
      </c>
      <c r="AY40" s="14" t="n">
        <f aca="false">AV40</f>
        <v>-1379551.98658705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1312659.72763021</v>
      </c>
      <c r="H41" s="14" t="n">
        <f aca="false">IF($A41&lt;=$G$4,0,IF(C41=0,E41*$B$6*(1+$B$7)^(($G$4+D41*($B$8+$B$10))/4),0)+IF(C41=$B$8,$B$11*$B$4*(1+$B$5)^(($G$4+$B$8+D41*($B$8+$B$10))/4)*E41,0))</f>
        <v>157519.167315626</v>
      </c>
      <c r="I41" s="21" t="n">
        <f aca="false">IF($A41&lt;=$G$4,0,IF(C41&lt;$B$8,E41,0))</f>
        <v>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76979.8104404301</v>
      </c>
      <c r="AE41" s="14" t="n">
        <f aca="false">IF($A41&lt;=$G$7,$E$7*$F$7,IF(AA41&gt;=$B$8,AC41*$B$4*(1+$B$5)^(($G$7+$B$8+AB41*($B$8+$B$10))/4),0))</f>
        <v>307919.24176172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162604.112407971</v>
      </c>
      <c r="AM41" s="14" t="n">
        <f aca="false">IF($A41&lt;=$G$8,$E$8*$F$8,IF(AI41&gt;=$B$8,AK41*$B$4*(1+$B$5)^(($G$8+$B$8+AJ41*($B$8+$B$10))/4),0))</f>
        <v>650416.449631884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589918.922848401</v>
      </c>
      <c r="AQ41" s="14" t="n">
        <f aca="false">G41+O41+W41+AE41+AM41</f>
        <v>3672335.41902382</v>
      </c>
      <c r="AR41" s="14" t="n">
        <f aca="false">H41+P41+X41+AF41+AN41+IF($A41=$B$15,$B$14,0)</f>
        <v>2057519.16731563</v>
      </c>
      <c r="AS41" s="21" t="n">
        <f aca="false">I41+Q41+Y41+AG41+AO41</f>
        <v>0</v>
      </c>
      <c r="AT41" s="14" t="n">
        <f aca="false">AP41*(1-$B$12)-AS41*$B$13/4</f>
        <v>554523.787477497</v>
      </c>
      <c r="AU41" s="14" t="n">
        <f aca="false">0</f>
        <v>0</v>
      </c>
      <c r="AV41" s="14" t="n">
        <f aca="false">AT41-AR41-AU41</f>
        <v>-1502995.37983813</v>
      </c>
      <c r="AW41" s="21" t="n">
        <f aca="false">(1+$B$16)^(-$A41/4)</f>
        <v>0.799370585593037</v>
      </c>
      <c r="AX41" s="14" t="n">
        <f aca="false">AV41*AW41</f>
        <v>-1201450.29692483</v>
      </c>
      <c r="AY41" s="14" t="n">
        <f aca="false">AV41</f>
        <v>-1502995.37983813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1312659.72763021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76979.8104404301</v>
      </c>
      <c r="AE42" s="14" t="n">
        <f aca="false">IF($A42&lt;=$G$7,$E$7*$F$7,IF(AA42&gt;=$B$8,AC42*$B$4*(1+$B$5)^(($G$7+$B$8+AB42*($B$8+$B$10))/4),0))</f>
        <v>307919.24176172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162604.112407971</v>
      </c>
      <c r="AM42" s="14" t="n">
        <f aca="false">IF($A42&lt;=$G$8,$E$8*$F$8,IF(AI42&gt;=$B$8,AK42*$B$4*(1+$B$5)^(($G$8+$B$8+AJ42*($B$8+$B$10))/4),0))</f>
        <v>650416.449631884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589918.922848401</v>
      </c>
      <c r="AQ42" s="14" t="n">
        <f aca="false">G42+O42+W42+AE42+AM42</f>
        <v>3672335.41902382</v>
      </c>
      <c r="AR42" s="14" t="n">
        <f aca="false">H42+P42+X42+AF42+AN42+IF($A42=$B$15,$B$14,0)</f>
        <v>0</v>
      </c>
      <c r="AS42" s="21" t="n">
        <f aca="false">I42+Q42+Y42+AG42+AO42</f>
        <v>0</v>
      </c>
      <c r="AT42" s="14" t="n">
        <f aca="false">AP42*(1-$B$12)-AS42*$B$13/4</f>
        <v>554523.787477497</v>
      </c>
      <c r="AU42" s="14" t="n">
        <f aca="false">0</f>
        <v>0</v>
      </c>
      <c r="AV42" s="14" t="n">
        <f aca="false">AT42-AR42-AU42</f>
        <v>554523.787477497</v>
      </c>
      <c r="AW42" s="21" t="n">
        <f aca="false">(1+$B$16)^(-$A42/4)</f>
        <v>0.784591942568485</v>
      </c>
      <c r="AX42" s="14" t="n">
        <f aca="false">AV42*AW42</f>
        <v>435074.895617403</v>
      </c>
      <c r="AY42" s="14" t="n">
        <f aca="false">AV42</f>
        <v>554523.787477497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1312659.72763021</v>
      </c>
      <c r="H43" s="14" t="n">
        <f aca="false">IF($A43&lt;=$G$4,0,IF(C43=0,E43*$B$6*(1+$B$7)^(($G$4+D43*($B$8+$B$10))/4),0)+IF(C43=$B$8,$B$11*$B$4*(1+$B$5)^(($G$4+$B$8+D43*($B$8+$B$10))/4)*E43,0))</f>
        <v>0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76979.8104404301</v>
      </c>
      <c r="AE43" s="14" t="n">
        <f aca="false">IF($A43&lt;=$G$7,$E$7*$F$7,IF(AA43&gt;=$B$8,AC43*$B$4*(1+$B$5)^(($G$7+$B$8+AB43*($B$8+$B$10))/4),0))</f>
        <v>307919.24176172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162604.112407971</v>
      </c>
      <c r="AM43" s="14" t="n">
        <f aca="false">IF($A43&lt;=$G$8,$E$8*$F$8,IF(AI43&gt;=$B$8,AK43*$B$4*(1+$B$5)^(($G$8+$B$8+AJ43*($B$8+$B$10))/4),0))</f>
        <v>650416.449631884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589918.922848401</v>
      </c>
      <c r="AQ43" s="14" t="n">
        <f aca="false">G43+O43+W43+AE43+AM43</f>
        <v>3672335.41902382</v>
      </c>
      <c r="AR43" s="14" t="n">
        <f aca="false">H43+P43+X43+AF43+AN43+IF($A43=$B$15,$B$14,0)</f>
        <v>0</v>
      </c>
      <c r="AS43" s="21" t="n">
        <f aca="false">I43+Q43+Y43+AG43+AO43</f>
        <v>0</v>
      </c>
      <c r="AT43" s="14" t="n">
        <f aca="false">AP43*(1-$B$12)-AS43*$B$13/4</f>
        <v>554523.787477497</v>
      </c>
      <c r="AU43" s="14" t="n">
        <f aca="false">0</f>
        <v>0</v>
      </c>
      <c r="AV43" s="14" t="n">
        <f aca="false">AT43-AR43-AU43</f>
        <v>554523.787477497</v>
      </c>
      <c r="AW43" s="21" t="n">
        <f aca="false">(1+$B$16)^(-$A43/4)</f>
        <v>0.770086524870939</v>
      </c>
      <c r="AX43" s="14" t="n">
        <f aca="false">AV43*AW43</f>
        <v>427031.296456817</v>
      </c>
      <c r="AY43" s="14" t="n">
        <f aca="false">AV43</f>
        <v>554523.787477497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328164.931907553</v>
      </c>
      <c r="G44" s="14" t="n">
        <f aca="false">IF($A44&lt;=$G$4,$E$4*$F$4,IF(C44&gt;=$B$8,E44*$B$4*(1+$B$5)^(($G$4+$B$8+D44*($B$8+$B$10))/4),0))</f>
        <v>1312659.72763021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76979.8104404301</v>
      </c>
      <c r="AE44" s="14" t="n">
        <f aca="false">IF($A44&lt;=$G$7,$E$7*$F$7,IF(AA44&gt;=$B$8,AC44*$B$4*(1+$B$5)^(($G$7+$B$8+AB44*($B$8+$B$10))/4),0))</f>
        <v>307919.24176172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162604.112407971</v>
      </c>
      <c r="AM44" s="14" t="n">
        <f aca="false">IF($A44&lt;=$G$8,$E$8*$F$8,IF(AI44&gt;=$B$8,AK44*$B$4*(1+$B$5)^(($G$8+$B$8+AJ44*($B$8+$B$10))/4),0))</f>
        <v>650416.449631884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918083.854755955</v>
      </c>
      <c r="AQ44" s="14" t="n">
        <f aca="false">G44+O44+W44+AE44+AM44</f>
        <v>3672335.41902382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862998.823470597</v>
      </c>
      <c r="AU44" s="14" t="n">
        <f aca="false">0</f>
        <v>0</v>
      </c>
      <c r="AV44" s="14" t="n">
        <f aca="false">AT44-AR44-AU44</f>
        <v>862998.823470597</v>
      </c>
      <c r="AW44" s="21" t="n">
        <f aca="false">(1+$B$16)^(-$A44/4)</f>
        <v>0.755849281151693</v>
      </c>
      <c r="AX44" s="14" t="n">
        <f aca="false">AV44*AW44</f>
        <v>652297.040355008</v>
      </c>
      <c r="AY44" s="14" t="n">
        <f aca="false">AV44</f>
        <v>862998.823470597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328164.931907553</v>
      </c>
      <c r="G45" s="14" t="n">
        <f aca="false">IF($A45&lt;=$G$4,$E$4*$F$4,IF(C45&gt;=$B$8,E45*$B$4*(1+$B$5)^(($G$4+$B$8+D45*($B$8+$B$10))/4),0))</f>
        <v>1312659.72763021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76979.8104404301</v>
      </c>
      <c r="AE45" s="14" t="n">
        <f aca="false">IF($A45&lt;=$G$7,$E$7*$F$7,IF(AA45&gt;=$B$8,AC45*$B$4*(1+$B$5)^(($G$7+$B$8+AB45*($B$8+$B$10))/4),0))</f>
        <v>307919.24176172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162604.112407971</v>
      </c>
      <c r="AM45" s="14" t="n">
        <f aca="false">IF($A45&lt;=$G$8,$E$8*$F$8,IF(AI45&gt;=$B$8,AK45*$B$4*(1+$B$5)^(($G$8+$B$8+AJ45*($B$8+$B$10))/4),0))</f>
        <v>650416.449631884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918083.854755955</v>
      </c>
      <c r="AQ45" s="14" t="n">
        <f aca="false">G45+O45+W45+AE45+AM45</f>
        <v>3672335.41902382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862998.823470597</v>
      </c>
      <c r="AU45" s="14" t="n">
        <f aca="false">0</f>
        <v>0</v>
      </c>
      <c r="AV45" s="14" t="n">
        <f aca="false">AT45-AR45-AU45</f>
        <v>862998.823470597</v>
      </c>
      <c r="AW45" s="21" t="n">
        <f aca="false">(1+$B$16)^(-$A45/4)</f>
        <v>0.741875253450614</v>
      </c>
      <c r="AX45" s="14" t="n">
        <f aca="false">AV45*AW45</f>
        <v>640237.470889831</v>
      </c>
      <c r="AY45" s="14" t="n">
        <f aca="false">AV45</f>
        <v>862998.823470597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328164.931907553</v>
      </c>
      <c r="G46" s="14" t="n">
        <f aca="false">IF($A46&lt;=$G$4,$E$4*$F$4,IF(C46&gt;=$B$8,E46*$B$4*(1+$B$5)^(($G$4+$B$8+D46*($B$8+$B$10))/4),0))</f>
        <v>1312659.72763021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76979.8104404301</v>
      </c>
      <c r="AE46" s="14" t="n">
        <f aca="false">IF($A46&lt;=$G$7,$E$7*$F$7,IF(AA46&gt;=$B$8,AC46*$B$4*(1+$B$5)^(($G$7+$B$8+AB46*($B$8+$B$10))/4),0))</f>
        <v>307919.24176172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162604.112407971</v>
      </c>
      <c r="AM46" s="14" t="n">
        <f aca="false">IF($A46&lt;=$G$8,$E$8*$F$8,IF(AI46&gt;=$B$8,AK46*$B$4*(1+$B$5)^(($G$8+$B$8+AJ46*($B$8+$B$10))/4),0))</f>
        <v>650416.449631884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681708.854755955</v>
      </c>
      <c r="AQ46" s="14" t="n">
        <f aca="false">G46+O46+W46+AE46+AM46</f>
        <v>2726835.41902382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598181.323470597</v>
      </c>
      <c r="AU46" s="14" t="n">
        <f aca="false">0</f>
        <v>0</v>
      </c>
      <c r="AV46" s="14" t="n">
        <f aca="false">AT46-AR46-AU46</f>
        <v>-838983.060123152</v>
      </c>
      <c r="AW46" s="21" t="n">
        <f aca="false">(1+$B$16)^(-$A46/4)</f>
        <v>0.728159575469592</v>
      </c>
      <c r="AX46" s="14" t="n">
        <f aca="false">AV46*AW46</f>
        <v>-610913.548885454</v>
      </c>
      <c r="AY46" s="14" t="n">
        <f aca="false">AV46</f>
        <v>-838983.060123152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328164.931907553</v>
      </c>
      <c r="G47" s="14" t="n">
        <f aca="false">IF($A47&lt;=$G$4,$E$4*$F$4,IF(C47&gt;=$B$8,E47*$B$4*(1+$B$5)^(($G$4+$B$8+D47*($B$8+$B$10))/4),0))</f>
        <v>1312659.72763021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990748.966821865</v>
      </c>
      <c r="P47" s="14" t="n">
        <f aca="false">IF($A47&lt;=$G$5,0,IF(K47=0,M47*$B$6*(1+$B$7)^(($G$5+L47*($B$8+$B$10))/4),0)+IF(K47=$B$8,$B$11*$B$4*(1+$B$5)^(($G$5+$B$8+L47*($B$8+$B$10))/4)*M47,0))</f>
        <v>118889.876018624</v>
      </c>
      <c r="Q47" s="21" t="n">
        <f aca="false">IF($A47&lt;=$G$5,0,IF(K47&lt;$B$8,M47,0))</f>
        <v>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76979.8104404301</v>
      </c>
      <c r="AE47" s="14" t="n">
        <f aca="false">IF($A47&lt;=$G$7,$E$7*$F$7,IF(AA47&gt;=$B$8,AC47*$B$4*(1+$B$5)^(($G$7+$B$8+AB47*($B$8+$B$10))/4),0))</f>
        <v>307919.24176172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162604.112407971</v>
      </c>
      <c r="AM47" s="14" t="n">
        <f aca="false">IF($A47&lt;=$G$8,$E$8*$F$8,IF(AI47&gt;=$B$8,AK47*$B$4*(1+$B$5)^(($G$8+$B$8+AJ47*($B$8+$B$10))/4),0))</f>
        <v>650416.449631884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681708.854755955</v>
      </c>
      <c r="AQ47" s="14" t="n">
        <f aca="false">G47+O47+W47+AE47+AM47</f>
        <v>3717584.38584568</v>
      </c>
      <c r="AR47" s="14" t="n">
        <f aca="false">H47+P47+X47+AF47+AN47+IF($A47=$B$15,$B$14,0)</f>
        <v>118889.876018624</v>
      </c>
      <c r="AS47" s="21" t="n">
        <f aca="false">I47+Q47+Y47+AG47+AO47</f>
        <v>0</v>
      </c>
      <c r="AT47" s="14" t="n">
        <f aca="false">AP47*(1-$B$12)-AS47*$B$13/4</f>
        <v>640806.323470597</v>
      </c>
      <c r="AU47" s="14" t="n">
        <f aca="false">0</f>
        <v>0</v>
      </c>
      <c r="AV47" s="14" t="n">
        <f aca="false">AT47-AR47-AU47</f>
        <v>521916.447451973</v>
      </c>
      <c r="AW47" s="21" t="n">
        <f aca="false">(1+$B$16)^(-$A47/4)</f>
        <v>0.714697470877902</v>
      </c>
      <c r="AX47" s="14" t="n">
        <f aca="false">AV47*AW47</f>
        <v>373012.365003505</v>
      </c>
      <c r="AY47" s="14" t="n">
        <f aca="false">AV47</f>
        <v>521916.447451973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328164.931907553</v>
      </c>
      <c r="G48" s="14" t="n">
        <f aca="false">IF($A48&lt;=$G$4,$E$4*$F$4,IF(C48&gt;=$B$8,E48*$B$4*(1+$B$5)^(($G$4+$B$8+D48*($B$8+$B$10))/4),0))</f>
        <v>1312659.72763021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990748.966821865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76979.8104404301</v>
      </c>
      <c r="AE48" s="14" t="n">
        <f aca="false">IF($A48&lt;=$G$7,$E$7*$F$7,IF(AA48&gt;=$B$8,AC48*$B$4*(1+$B$5)^(($G$7+$B$8+AB48*($B$8+$B$10))/4),0))</f>
        <v>307919.24176172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162604.112407971</v>
      </c>
      <c r="AM48" s="14" t="n">
        <f aca="false">IF($A48&lt;=$G$8,$E$8*$F$8,IF(AI48&gt;=$B$8,AK48*$B$4*(1+$B$5)^(($G$8+$B$8+AJ48*($B$8+$B$10))/4),0))</f>
        <v>650416.449631884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681708.854755955</v>
      </c>
      <c r="AQ48" s="14" t="n">
        <f aca="false">G48+O48+W48+AE48+AM48</f>
        <v>3717584.38584568</v>
      </c>
      <c r="AR48" s="14" t="n">
        <f aca="false">H48+P48+X48+AF48+AN48+IF($A48=$B$15,$B$14,0)</f>
        <v>0</v>
      </c>
      <c r="AS48" s="21" t="n">
        <f aca="false">I48+Q48+Y48+AG48+AO48</f>
        <v>0</v>
      </c>
      <c r="AT48" s="14" t="n">
        <f aca="false">AP48*(1-$B$12)-AS48*$B$13/4</f>
        <v>640806.323470597</v>
      </c>
      <c r="AU48" s="14" t="n">
        <f aca="false">0</f>
        <v>0</v>
      </c>
      <c r="AV48" s="14" t="n">
        <f aca="false">AT48-AR48-AU48</f>
        <v>640806.323470597</v>
      </c>
      <c r="AW48" s="21" t="n">
        <f aca="false">(1+$B$16)^(-$A48/4)</f>
        <v>0.701484251648903</v>
      </c>
      <c r="AX48" s="14" t="n">
        <f aca="false">AV48*AW48</f>
        <v>449515.544271657</v>
      </c>
      <c r="AY48" s="14" t="n">
        <f aca="false">AV48</f>
        <v>640806.323470597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328164.931907553</v>
      </c>
      <c r="G49" s="14" t="n">
        <f aca="false">IF($A49&lt;=$G$4,$E$4*$F$4,IF(C49&gt;=$B$8,E49*$B$4*(1+$B$5)^(($G$4+$B$8+D49*($B$8+$B$10))/4),0))</f>
        <v>1312659.72763021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990748.966821865</v>
      </c>
      <c r="P49" s="14" t="n">
        <f aca="false">IF($A49&lt;=$G$5,0,IF(K49=0,M49*$B$6*(1+$B$7)^(($G$5+L49*($B$8+$B$10))/4),0)+IF(K49=$B$8,$B$11*$B$4*(1+$B$5)^(($G$5+$B$8+L49*($B$8+$B$10))/4)*M49,0))</f>
        <v>0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76979.8104404301</v>
      </c>
      <c r="AE49" s="14" t="n">
        <f aca="false">IF($A49&lt;=$G$7,$E$7*$F$7,IF(AA49&gt;=$B$8,AC49*$B$4*(1+$B$5)^(($G$7+$B$8+AB49*($B$8+$B$10))/4),0))</f>
        <v>307919.24176172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162604.112407971</v>
      </c>
      <c r="AM49" s="14" t="n">
        <f aca="false">IF($A49&lt;=$G$8,$E$8*$F$8,IF(AI49&gt;=$B$8,AK49*$B$4*(1+$B$5)^(($G$8+$B$8+AJ49*($B$8+$B$10))/4),0))</f>
        <v>650416.449631884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681708.854755955</v>
      </c>
      <c r="AQ49" s="14" t="n">
        <f aca="false">G49+O49+W49+AE49+AM49</f>
        <v>3717584.38584568</v>
      </c>
      <c r="AR49" s="14" t="n">
        <f aca="false">H49+P49+X49+AF49+AN49+IF($A49=$B$15,$B$14,0)</f>
        <v>0</v>
      </c>
      <c r="AS49" s="21" t="n">
        <f aca="false">I49+Q49+Y49+AG49+AO49</f>
        <v>0</v>
      </c>
      <c r="AT49" s="14" t="n">
        <f aca="false">AP49*(1-$B$12)-AS49*$B$13/4</f>
        <v>640806.323470597</v>
      </c>
      <c r="AU49" s="14" t="n">
        <f aca="false">0</f>
        <v>0</v>
      </c>
      <c r="AV49" s="14" t="n">
        <f aca="false">AT49-AR49-AU49</f>
        <v>640806.323470597</v>
      </c>
      <c r="AW49" s="21" t="n">
        <f aca="false">(1+$B$16)^(-$A49/4)</f>
        <v>0.688515316427484</v>
      </c>
      <c r="AX49" s="14" t="n">
        <f aca="false">AV49*AW49</f>
        <v>441204.968573091</v>
      </c>
      <c r="AY49" s="14" t="n">
        <f aca="false">AV49</f>
        <v>640806.323470597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328164.931907553</v>
      </c>
      <c r="G50" s="14" t="n">
        <f aca="false">IF($A50&lt;=$G$4,$E$4*$F$4,IF(C50&gt;=$B$8,E50*$B$4*(1+$B$5)^(($G$4+$B$8+D50*($B$8+$B$10))/4),0))</f>
        <v>1312659.72763021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247687.241705466</v>
      </c>
      <c r="O50" s="14" t="n">
        <f aca="false">IF($A50&lt;=$G$5,$E$5*$F$5,IF(K50&gt;=$B$8,M50*$B$4*(1+$B$5)^(($G$5+$B$8+L50*($B$8+$B$10))/4),0))</f>
        <v>990748.966821865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76979.8104404301</v>
      </c>
      <c r="AE50" s="14" t="n">
        <f aca="false">IF($A50&lt;=$G$7,$E$7*$F$7,IF(AA50&gt;=$B$8,AC50*$B$4*(1+$B$5)^(($G$7+$B$8+AB50*($B$8+$B$10))/4),0))</f>
        <v>307919.24176172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162604.112407971</v>
      </c>
      <c r="AM50" s="14" t="n">
        <f aca="false">IF($A50&lt;=$G$8,$E$8*$F$8,IF(AI50&gt;=$B$8,AK50*$B$4*(1+$B$5)^(($G$8+$B$8+AJ50*($B$8+$B$10))/4),0))</f>
        <v>650416.449631884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929396.096461421</v>
      </c>
      <c r="AQ50" s="14" t="n">
        <f aca="false">G50+O50+W50+AE50+AM50</f>
        <v>3717584.38584568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873632.330673736</v>
      </c>
      <c r="AU50" s="14" t="n">
        <f aca="false">0</f>
        <v>0</v>
      </c>
      <c r="AV50" s="14" t="n">
        <f aca="false">AT50-AR50-AU50</f>
        <v>873632.330673736</v>
      </c>
      <c r="AW50" s="21" t="n">
        <f aca="false">(1+$B$16)^(-$A50/4)</f>
        <v>0.675786148927696</v>
      </c>
      <c r="AX50" s="14" t="n">
        <f aca="false">AV50*AW50</f>
        <v>590388.628324731</v>
      </c>
      <c r="AY50" s="14" t="n">
        <f aca="false">AV50</f>
        <v>873632.330673736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328164.931907553</v>
      </c>
      <c r="G51" s="14" t="n">
        <f aca="false">IF($A51&lt;=$G$4,$E$4*$F$4,IF(C51&gt;=$B$8,E51*$B$4*(1+$B$5)^(($G$4+$B$8+D51*($B$8+$B$10))/4),0))</f>
        <v>1312659.72763021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247687.241705466</v>
      </c>
      <c r="O51" s="14" t="n">
        <f aca="false">IF($A51&lt;=$G$5,$E$5*$F$5,IF(K51&gt;=$B$8,M51*$B$4*(1+$B$5)^(($G$5+$B$8+L51*($B$8+$B$10))/4),0))</f>
        <v>990748.966821865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76979.8104404301</v>
      </c>
      <c r="AE51" s="14" t="n">
        <f aca="false">IF($A51&lt;=$G$7,$E$7*$F$7,IF(AA51&gt;=$B$8,AC51*$B$4*(1+$B$5)^(($G$7+$B$8+AB51*($B$8+$B$10))/4),0))</f>
        <v>307919.24176172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0</v>
      </c>
      <c r="AJ51" s="21" t="n">
        <f aca="false">IF(AH51&lt;0,0,INT(AH51/($B$8+$B$10)))</f>
        <v>1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0</v>
      </c>
      <c r="AM51" s="14" t="n">
        <f aca="false">IF($A51&lt;=$G$8,$E$8*$F$8,IF(AI51&gt;=$B$8,AK51*$B$4*(1+$B$5)^(($G$8+$B$8+AJ51*($B$8+$B$10))/4),0))</f>
        <v>0</v>
      </c>
      <c r="AN51" s="14" t="n">
        <f aca="false">IF($A51&lt;=$G$8,0,IF(AI51=0,AK51*$B$6*(1+$B$7)^(($G$8+AJ51*($B$8+$B$10))/4),0)+IF(AI51=$B$8,$B$11*$B$4*(1+$B$5)^(($G$8+$B$8+AJ51*($B$8+$B$10))/4)*AK51,0))</f>
        <v>1032769.33614865</v>
      </c>
      <c r="AO51" s="21" t="n">
        <f aca="false">IF($A51&lt;=$G$8,0,IF(AI51&lt;$B$8,AK51,0))</f>
        <v>2160</v>
      </c>
      <c r="AP51" s="14" t="n">
        <f aca="false">F51+N51+V51+AD51+AL51</f>
        <v>766791.98405345</v>
      </c>
      <c r="AQ51" s="14" t="n">
        <f aca="false">G51+O51+W51+AE51+AM51</f>
        <v>3067167.9362138</v>
      </c>
      <c r="AR51" s="14" t="n">
        <f aca="false">H51+P51+X51+AF51+AN51+IF($A51=$B$15,$B$14,0)</f>
        <v>1032769.33614865</v>
      </c>
      <c r="AS51" s="21" t="n">
        <f aca="false">I51+Q51+Y51+AG51+AO51</f>
        <v>2160</v>
      </c>
      <c r="AT51" s="14" t="n">
        <f aca="false">AP51*(1-$B$12)-AS51*$B$13/4</f>
        <v>691084.465010243</v>
      </c>
      <c r="AU51" s="14" t="n">
        <f aca="false">0</f>
        <v>0</v>
      </c>
      <c r="AV51" s="14" t="n">
        <f aca="false">AT51-AR51-AU51</f>
        <v>-341684.871138405</v>
      </c>
      <c r="AW51" s="21" t="n">
        <f aca="false">(1+$B$16)^(-$A51/4)</f>
        <v>0.663292316360002</v>
      </c>
      <c r="AX51" s="14" t="n">
        <f aca="false">AV51*AW51</f>
        <v>-226636.949642561</v>
      </c>
      <c r="AY51" s="14" t="n">
        <f aca="false">AV51</f>
        <v>-341684.871138405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328164.931907553</v>
      </c>
      <c r="G52" s="14" t="n">
        <f aca="false">IF($A52&lt;=$G$4,$E$4*$F$4,IF(C52&gt;=$B$8,E52*$B$4*(1+$B$5)^(($G$4+$B$8+D52*($B$8+$B$10))/4),0))</f>
        <v>1312659.72763021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247687.241705466</v>
      </c>
      <c r="O52" s="14" t="n">
        <f aca="false">IF($A52&lt;=$G$5,$E$5*$F$5,IF(K52&gt;=$B$8,M52*$B$4*(1+$B$5)^(($G$5+$B$8+L52*($B$8+$B$10))/4),0))</f>
        <v>990748.966821865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76979.8104404301</v>
      </c>
      <c r="AE52" s="14" t="n">
        <f aca="false">IF($A52&lt;=$G$7,$E$7*$F$7,IF(AA52&gt;=$B$8,AC52*$B$4*(1+$B$5)^(($G$7+$B$8+AB52*($B$8+$B$10))/4),0))</f>
        <v>307919.24176172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1</v>
      </c>
      <c r="AJ52" s="21" t="n">
        <f aca="false">IF(AH52&lt;0,0,INT(AH52/($B$8+$B$10)))</f>
        <v>1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0</v>
      </c>
      <c r="AM52" s="14" t="n">
        <f aca="false">IF($A52&lt;=$G$8,$E$8*$F$8,IF(AI52&gt;=$B$8,AK52*$B$4*(1+$B$5)^(($G$8+$B$8+AJ52*($B$8+$B$10))/4),0))</f>
        <v>703296.147160093</v>
      </c>
      <c r="AN52" s="14" t="n">
        <f aca="false">IF($A52&lt;=$G$8,0,IF(AI52=0,AK52*$B$6*(1+$B$7)^(($G$8+AJ52*($B$8+$B$10))/4),0)+IF(AI52=$B$8,$B$11*$B$4*(1+$B$5)^(($G$8+$B$8+AJ52*($B$8+$B$10))/4)*AK52,0))</f>
        <v>84395.5376592111</v>
      </c>
      <c r="AO52" s="21" t="n">
        <f aca="false">IF($A52&lt;=$G$8,0,IF(AI52&lt;$B$8,AK52,0))</f>
        <v>0</v>
      </c>
      <c r="AP52" s="14" t="n">
        <f aca="false">F52+N52+V52+AD52+AL52</f>
        <v>766791.98405345</v>
      </c>
      <c r="AQ52" s="14" t="n">
        <f aca="false">G52+O52+W52+AE52+AM52</f>
        <v>3770464.08337389</v>
      </c>
      <c r="AR52" s="14" t="n">
        <f aca="false">H52+P52+X52+AF52+AN52+IF($A52=$B$15,$B$14,0)</f>
        <v>84395.5376592111</v>
      </c>
      <c r="AS52" s="21" t="n">
        <f aca="false">I52+Q52+Y52+AG52+AO52</f>
        <v>0</v>
      </c>
      <c r="AT52" s="14" t="n">
        <f aca="false">AP52*(1-$B$12)-AS52*$B$13/4</f>
        <v>720784.465010243</v>
      </c>
      <c r="AU52" s="14" t="n">
        <f aca="false">0</f>
        <v>0</v>
      </c>
      <c r="AV52" s="14" t="n">
        <f aca="false">AT52-AR52-AU52</f>
        <v>636388.927351032</v>
      </c>
      <c r="AW52" s="21" t="n">
        <f aca="false">(1+$B$16)^(-$A52/4)</f>
        <v>0.651029467887613</v>
      </c>
      <c r="AX52" s="14" t="n">
        <f aca="false">AV52*AW52</f>
        <v>414307.944742911</v>
      </c>
      <c r="AY52" s="14" t="n">
        <f aca="false">AV52</f>
        <v>636388.927351032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328164.931907553</v>
      </c>
      <c r="G53" s="14" t="n">
        <f aca="false">IF($A53&lt;=$G$4,$E$4*$F$4,IF(C53&gt;=$B$8,E53*$B$4*(1+$B$5)^(($G$4+$B$8+D53*($B$8+$B$10))/4),0))</f>
        <v>1312659.72763021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247687.241705466</v>
      </c>
      <c r="O53" s="14" t="n">
        <f aca="false">IF($A53&lt;=$G$5,$E$5*$F$5,IF(K53&gt;=$B$8,M53*$B$4*(1+$B$5)^(($G$5+$B$8+L53*($B$8+$B$10))/4),0))</f>
        <v>990748.966821865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76979.8104404301</v>
      </c>
      <c r="AE53" s="14" t="n">
        <f aca="false">IF($A53&lt;=$G$7,$E$7*$F$7,IF(AA53&gt;=$B$8,AC53*$B$4*(1+$B$5)^(($G$7+$B$8+AB53*($B$8+$B$10))/4),0))</f>
        <v>307919.24176172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2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703296.147160093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0</v>
      </c>
      <c r="AP53" s="14" t="n">
        <f aca="false">F53+N53+V53+AD53+AL53</f>
        <v>766791.98405345</v>
      </c>
      <c r="AQ53" s="14" t="n">
        <f aca="false">G53+O53+W53+AE53+AM53</f>
        <v>3770464.08337389</v>
      </c>
      <c r="AR53" s="14" t="n">
        <f aca="false">H53+P53+X53+AF53+AN53+IF($A53=$B$15,$B$14,0)</f>
        <v>0</v>
      </c>
      <c r="AS53" s="21" t="n">
        <f aca="false">I53+Q53+Y53+AG53+AO53</f>
        <v>0</v>
      </c>
      <c r="AT53" s="14" t="n">
        <f aca="false">AP53*(1-$B$12)-AS53*$B$13/4</f>
        <v>720784.465010243</v>
      </c>
      <c r="AU53" s="14" t="n">
        <f aca="false">0</f>
        <v>0</v>
      </c>
      <c r="AV53" s="14" t="n">
        <f aca="false">AT53-AR53-AU53</f>
        <v>720784.465010243</v>
      </c>
      <c r="AW53" s="21" t="n">
        <f aca="false">(1+$B$16)^(-$A53/4)</f>
        <v>0.638993333111354</v>
      </c>
      <c r="AX53" s="14" t="n">
        <f aca="false">AV53*AW53</f>
        <v>460576.467751779</v>
      </c>
      <c r="AY53" s="14" t="n">
        <f aca="false">AV53</f>
        <v>720784.465010243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328164.931907553</v>
      </c>
      <c r="G54" s="14" t="n">
        <f aca="false">IF($A54&lt;=$G$4,$E$4*$F$4,IF(C54&gt;=$B$8,E54*$B$4*(1+$B$5)^(($G$4+$B$8+D54*($B$8+$B$10))/4),0))</f>
        <v>1312659.72763021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247687.241705466</v>
      </c>
      <c r="O54" s="14" t="n">
        <f aca="false">IF($A54&lt;=$G$5,$E$5*$F$5,IF(K54&gt;=$B$8,M54*$B$4*(1+$B$5)^(($G$5+$B$8+L54*($B$8+$B$10))/4),0))</f>
        <v>990748.966821865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76979.8104404301</v>
      </c>
      <c r="AE54" s="14" t="n">
        <f aca="false">IF($A54&lt;=$G$7,$E$7*$F$7,IF(AA54&gt;=$B$8,AC54*$B$4*(1+$B$5)^(($G$7+$B$8+AB54*($B$8+$B$10))/4),0))</f>
        <v>307919.24176172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3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703296.147160093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0</v>
      </c>
      <c r="AP54" s="14" t="n">
        <f aca="false">F54+N54+V54+AD54+AL54</f>
        <v>766791.98405345</v>
      </c>
      <c r="AQ54" s="14" t="n">
        <f aca="false">G54+O54+W54+AE54+AM54</f>
        <v>3770464.08337389</v>
      </c>
      <c r="AR54" s="14" t="n">
        <f aca="false">H54+P54+X54+AF54+AN54+IF($A54=$B$15,$B$14,0)</f>
        <v>0</v>
      </c>
      <c r="AS54" s="21" t="n">
        <f aca="false">I54+Q54+Y54+AG54+AO54</f>
        <v>0</v>
      </c>
      <c r="AT54" s="14" t="n">
        <f aca="false">AP54*(1-$B$12)-AS54*$B$13/4</f>
        <v>720784.465010243</v>
      </c>
      <c r="AU54" s="14" t="n">
        <f aca="false">0</f>
        <v>0</v>
      </c>
      <c r="AV54" s="14" t="n">
        <f aca="false">AT54-AR54-AU54</f>
        <v>720784.465010243</v>
      </c>
      <c r="AW54" s="21" t="n">
        <f aca="false">(1+$B$16)^(-$A54/4)</f>
        <v>0.627179720582548</v>
      </c>
      <c r="AX54" s="14" t="n">
        <f aca="false">AV54*AW54</f>
        <v>452061.399365366</v>
      </c>
      <c r="AY54" s="14" t="n">
        <f aca="false">AV54</f>
        <v>720784.465010243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328164.931907553</v>
      </c>
      <c r="G55" s="14" t="n">
        <f aca="false">IF($A55&lt;=$G$4,$E$4*$F$4,IF(C55&gt;=$B$8,E55*$B$4*(1+$B$5)^(($G$4+$B$8+D55*($B$8+$B$10))/4),0))</f>
        <v>1312659.72763021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247687.241705466</v>
      </c>
      <c r="O55" s="14" t="n">
        <f aca="false">IF($A55&lt;=$G$5,$E$5*$F$5,IF(K55&gt;=$B$8,M55*$B$4*(1+$B$5)^(($G$5+$B$8+L55*($B$8+$B$10))/4),0))</f>
        <v>990748.966821865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76979.8104404301</v>
      </c>
      <c r="AE55" s="14" t="n">
        <f aca="false">IF($A55&lt;=$G$7,$E$7*$F$7,IF(AA55&gt;=$B$8,AC55*$B$4*(1+$B$5)^(($G$7+$B$8+AB55*($B$8+$B$10))/4),0))</f>
        <v>307919.24176172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4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175824.036790023</v>
      </c>
      <c r="AM55" s="14" t="n">
        <f aca="false">IF($A55&lt;=$G$8,$E$8*$F$8,IF(AI55&gt;=$B$8,AK55*$B$4*(1+$B$5)^(($G$8+$B$8+AJ55*($B$8+$B$10))/4),0))</f>
        <v>703296.147160093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0</v>
      </c>
      <c r="AP55" s="14" t="n">
        <f aca="false">F55+N55+V55+AD55+AL55</f>
        <v>942616.020843473</v>
      </c>
      <c r="AQ55" s="14" t="n">
        <f aca="false">G55+O55+W55+AE55+AM55</f>
        <v>3770464.08337389</v>
      </c>
      <c r="AR55" s="14" t="n">
        <f aca="false">H55+P55+X55+AF55+AN55+IF($A55=$B$15,$B$14,0)</f>
        <v>0</v>
      </c>
      <c r="AS55" s="21" t="n">
        <f aca="false">I55+Q55+Y55+AG55+AO55</f>
        <v>0</v>
      </c>
      <c r="AT55" s="14" t="n">
        <f aca="false">AP55*(1-$B$12)-AS55*$B$13/4</f>
        <v>886059.059592865</v>
      </c>
      <c r="AU55" s="14" t="n">
        <f aca="false">0</f>
        <v>0</v>
      </c>
      <c r="AV55" s="14" t="n">
        <f aca="false">AT55-AR55-AU55</f>
        <v>886059.059592865</v>
      </c>
      <c r="AW55" s="21" t="n">
        <f aca="false">(1+$B$16)^(-$A55/4)</f>
        <v>0.615584516343389</v>
      </c>
      <c r="AX55" s="14" t="n">
        <f aca="false">AV55*AW55</f>
        <v>545444.237651152</v>
      </c>
      <c r="AY55" s="14" t="n">
        <f aca="false">AV55</f>
        <v>886059.059592865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328164.931907553</v>
      </c>
      <c r="G56" s="14" t="n">
        <f aca="false">IF($A56&lt;=$G$4,$E$4*$F$4,IF(C56&gt;=$B$8,E56*$B$4*(1+$B$5)^(($G$4+$B$8+D56*($B$8+$B$10))/4),0))</f>
        <v>1312659.72763021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247687.241705466</v>
      </c>
      <c r="O56" s="14" t="n">
        <f aca="false">IF($A56&lt;=$G$5,$E$5*$F$5,IF(K56&gt;=$B$8,M56*$B$4*(1+$B$5)^(($G$5+$B$8+L56*($B$8+$B$10))/4),0))</f>
        <v>990748.966821865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76979.8104404301</v>
      </c>
      <c r="AE56" s="14" t="n">
        <f aca="false">IF($A56&lt;=$G$7,$E$7*$F$7,IF(AA56&gt;=$B$8,AC56*$B$4*(1+$B$5)^(($G$7+$B$8+AB56*($B$8+$B$10))/4),0))</f>
        <v>307919.24176172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5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175824.036790023</v>
      </c>
      <c r="AM56" s="14" t="n">
        <f aca="false">IF($A56&lt;=$G$8,$E$8*$F$8,IF(AI56&gt;=$B$8,AK56*$B$4*(1+$B$5)^(($G$8+$B$8+AJ56*($B$8+$B$10))/4),0))</f>
        <v>703296.147160093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0</v>
      </c>
      <c r="AP56" s="14" t="n">
        <f aca="false">F56+N56+V56+AD56+AL56</f>
        <v>828656.020843473</v>
      </c>
      <c r="AQ56" s="14" t="n">
        <f aca="false">G56+O56+W56+AE56+AM56</f>
        <v>3314624.08337389</v>
      </c>
      <c r="AR56" s="14" t="n">
        <f aca="false">H56+P56+X56+AF56+AN56+IF($A56=$B$15,$B$14,0)</f>
        <v>759407.944688937</v>
      </c>
      <c r="AS56" s="21" t="n">
        <f aca="false">I56+Q56+Y56+AG56+AO56</f>
        <v>1540</v>
      </c>
      <c r="AT56" s="14" t="n">
        <f aca="false">AP56*(1-$B$12)-AS56*$B$13/4</f>
        <v>757761.659592865</v>
      </c>
      <c r="AU56" s="14" t="n">
        <f aca="false">0</f>
        <v>0</v>
      </c>
      <c r="AV56" s="14" t="n">
        <f aca="false">AT56-AR56-AU56</f>
        <v>-1646.28509607213</v>
      </c>
      <c r="AW56" s="21" t="n">
        <f aca="false">(1+$B$16)^(-$A56/4)</f>
        <v>0.604203682494304</v>
      </c>
      <c r="AX56" s="14" t="n">
        <f aca="false">AV56*AW56</f>
        <v>-994.691517482268</v>
      </c>
      <c r="AY56" s="14" t="n">
        <f aca="false">AV56</f>
        <v>-1646.28509607213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328164.931907553</v>
      </c>
      <c r="G57" s="14" t="n">
        <f aca="false">IF($A57&lt;=$G$4,$E$4*$F$4,IF(C57&gt;=$B$8,E57*$B$4*(1+$B$5)^(($G$4+$B$8+D57*($B$8+$B$10))/4),0))</f>
        <v>1312659.72763021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247687.241705466</v>
      </c>
      <c r="O57" s="14" t="n">
        <f aca="false">IF($A57&lt;=$G$5,$E$5*$F$5,IF(K57&gt;=$B$8,M57*$B$4*(1+$B$5)^(($G$5+$B$8+L57*($B$8+$B$10))/4),0))</f>
        <v>990748.966821865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510843.369402684</v>
      </c>
      <c r="X57" s="14" t="n">
        <f aca="false">IF($A57&lt;=$G$6,0,IF(S57=0,U57*$B$6*(1+$B$7)^(($G$6+T57*($B$8+$B$10))/4),0)+IF(S57=$B$8,$B$11*$B$4*(1+$B$5)^(($G$6+$B$8+T57*($B$8+$B$10))/4)*U57,0))</f>
        <v>61301.2043283221</v>
      </c>
      <c r="Y57" s="21" t="n">
        <f aca="false">IF($A57&lt;=$G$6,0,IF(S57&lt;$B$8,U57,0))</f>
        <v>0</v>
      </c>
      <c r="Z57" s="21" t="n">
        <f aca="false">$A57-$G$7-1</f>
        <v>21</v>
      </c>
      <c r="AA57" s="21" t="n">
        <f aca="false">IF(Z57&lt;0,-1,MOD(Z57,$B$8+$B$10))</f>
        <v>0</v>
      </c>
      <c r="AB57" s="21" t="n">
        <f aca="false">IF(Z57&lt;0,0,INT(Z57/($B$8+$B$10)))</f>
        <v>1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0</v>
      </c>
      <c r="AE57" s="14" t="n">
        <f aca="false">IF($A57&lt;=$G$7,$E$7*$F$7,IF(AA57&gt;=$B$8,AC57*$B$4*(1+$B$5)^(($G$7+$B$8+AB57*($B$8+$B$10))/4),0))</f>
        <v>0</v>
      </c>
      <c r="AF57" s="14" t="n">
        <f aca="false">IF($A57&lt;=$G$7,0,IF(AA57=0,AC57*$B$6*(1+$B$7)^(($G$7+AB57*($B$8+$B$10))/4),0)+IF(AA57=$B$8,$B$11*$B$4*(1+$B$5)^(($G$7+$B$8+AB57*($B$8+$B$10))/4)*AC57,0))</f>
        <v>496175.575158504</v>
      </c>
      <c r="AG57" s="21" t="n">
        <f aca="false">IF($A57&lt;=$G$7,0,IF(AA57&lt;$B$8,AC57,0))</f>
        <v>1000</v>
      </c>
      <c r="AH57" s="21" t="n">
        <f aca="false">$A57-$G$8-1</f>
        <v>27</v>
      </c>
      <c r="AI57" s="21" t="n">
        <f aca="false">IF(AH57&lt;0,-1,MOD(AH57,$B$8+$B$10))</f>
        <v>6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175824.036790023</v>
      </c>
      <c r="AM57" s="14" t="n">
        <f aca="false">IF($A57&lt;=$G$8,$E$8*$F$8,IF(AI57&gt;=$B$8,AK57*$B$4*(1+$B$5)^(($G$8+$B$8+AJ57*($B$8+$B$10))/4),0))</f>
        <v>703296.147160093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751676.210403043</v>
      </c>
      <c r="AQ57" s="14" t="n">
        <f aca="false">G57+O57+W57+AE57+AM57</f>
        <v>3517548.21101486</v>
      </c>
      <c r="AR57" s="14" t="n">
        <f aca="false">H57+P57+X57+AF57+AN57+IF($A57=$B$15,$B$14,0)</f>
        <v>557476.779486826</v>
      </c>
      <c r="AS57" s="21" t="n">
        <f aca="false">I57+Q57+Y57+AG57+AO57</f>
        <v>1000</v>
      </c>
      <c r="AT57" s="14" t="n">
        <f aca="false">AP57*(1-$B$12)-AS57*$B$13/4</f>
        <v>692825.63777886</v>
      </c>
      <c r="AU57" s="14" t="n">
        <f aca="false">0</f>
        <v>0</v>
      </c>
      <c r="AV57" s="14" t="n">
        <f aca="false">AT57-AR57-AU57</f>
        <v>135348.858292035</v>
      </c>
      <c r="AW57" s="21" t="n">
        <f aca="false">(1+$B$16)^(-$A57/4)</f>
        <v>0.5930332557878</v>
      </c>
      <c r="AX57" s="14" t="n">
        <f aca="false">AV57*AW57</f>
        <v>80266.3741000869</v>
      </c>
      <c r="AY57" s="14" t="n">
        <f aca="false">AV57</f>
        <v>135348.858292035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328164.931907553</v>
      </c>
      <c r="G58" s="14" t="n">
        <f aca="false">IF($A58&lt;=$G$4,$E$4*$F$4,IF(C58&gt;=$B$8,E58*$B$4*(1+$B$5)^(($G$4+$B$8+D58*($B$8+$B$10))/4),0))</f>
        <v>1312659.72763021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247687.241705466</v>
      </c>
      <c r="O58" s="14" t="n">
        <f aca="false">IF($A58&lt;=$G$5,$E$5*$F$5,IF(K58&gt;=$B$8,M58*$B$4*(1+$B$5)^(($G$5+$B$8+L58*($B$8+$B$10))/4),0))</f>
        <v>990748.966821865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510843.369402684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0</v>
      </c>
      <c r="Z58" s="21" t="n">
        <f aca="false">$A58-$G$7-1</f>
        <v>22</v>
      </c>
      <c r="AA58" s="21" t="n">
        <f aca="false">IF(Z58&lt;0,-1,MOD(Z58,$B$8+$B$10))</f>
        <v>1</v>
      </c>
      <c r="AB58" s="21" t="n">
        <f aca="false">IF(Z58&lt;0,0,INT(Z58/($B$8+$B$10)))</f>
        <v>1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0</v>
      </c>
      <c r="AE58" s="14" t="n">
        <f aca="false">IF($A58&lt;=$G$7,$E$7*$F$7,IF(AA58&gt;=$B$8,AC58*$B$4*(1+$B$5)^(($G$7+$B$8+AB58*($B$8+$B$10))/4),0))</f>
        <v>332953.473870534</v>
      </c>
      <c r="AF58" s="14" t="n">
        <f aca="false">IF($A58&lt;=$G$7,0,IF(AA58=0,AC58*$B$6*(1+$B$7)^(($G$7+AB58*($B$8+$B$10))/4),0)+IF(AA58=$B$8,$B$11*$B$4*(1+$B$5)^(($G$7+$B$8+AB58*($B$8+$B$10))/4)*AC58,0))</f>
        <v>39954.4168644641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7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175824.036790023</v>
      </c>
      <c r="AM58" s="14" t="n">
        <f aca="false">IF($A58&lt;=$G$8,$E$8*$F$8,IF(AI58&gt;=$B$8,AK58*$B$4*(1+$B$5)^(($G$8+$B$8+AJ58*($B$8+$B$10))/4),0))</f>
        <v>703296.147160093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751676.210403043</v>
      </c>
      <c r="AQ58" s="14" t="n">
        <f aca="false">G58+O58+W58+AE58+AM58</f>
        <v>3850501.68488539</v>
      </c>
      <c r="AR58" s="14" t="n">
        <f aca="false">H58+P58+X58+AF58+AN58+IF($A58=$B$15,$B$14,0)</f>
        <v>39954.4168644641</v>
      </c>
      <c r="AS58" s="21" t="n">
        <f aca="false">I58+Q58+Y58+AG58+AO58</f>
        <v>0</v>
      </c>
      <c r="AT58" s="14" t="n">
        <f aca="false">AP58*(1-$B$12)-AS58*$B$13/4</f>
        <v>706575.63777886</v>
      </c>
      <c r="AU58" s="14" t="n">
        <f aca="false">0</f>
        <v>0</v>
      </c>
      <c r="AV58" s="14" t="n">
        <f aca="false">AT58-AR58-AU58</f>
        <v>666621.220914396</v>
      </c>
      <c r="AW58" s="21" t="n">
        <f aca="false">(1+$B$16)^(-$A58/4)</f>
        <v>0.582069346248305</v>
      </c>
      <c r="AX58" s="14" t="n">
        <f aca="false">AV58*AW58</f>
        <v>388019.778252889</v>
      </c>
      <c r="AY58" s="14" t="n">
        <f aca="false">AV58</f>
        <v>666621.220914396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328164.931907553</v>
      </c>
      <c r="G59" s="14" t="n">
        <f aca="false">IF($A59&lt;=$G$4,$E$4*$F$4,IF(C59&gt;=$B$8,E59*$B$4*(1+$B$5)^(($G$4+$B$8+D59*($B$8+$B$10))/4),0))</f>
        <v>1312659.72763021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247687.241705466</v>
      </c>
      <c r="O59" s="14" t="n">
        <f aca="false">IF($A59&lt;=$G$5,$E$5*$F$5,IF(K59&gt;=$B$8,M59*$B$4*(1+$B$5)^(($G$5+$B$8+L59*($B$8+$B$10))/4),0))</f>
        <v>990748.966821865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510843.369402684</v>
      </c>
      <c r="X59" s="14" t="n">
        <f aca="false">IF($A59&lt;=$G$6,0,IF(S59=0,U59*$B$6*(1+$B$7)^(($G$6+T59*($B$8+$B$10))/4),0)+IF(S59=$B$8,$B$11*$B$4*(1+$B$5)^(($G$6+$B$8+T59*($B$8+$B$10))/4)*U59,0))</f>
        <v>0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2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332953.473870534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0</v>
      </c>
      <c r="AH59" s="21" t="n">
        <f aca="false">$A59-$G$8-1</f>
        <v>29</v>
      </c>
      <c r="AI59" s="21" t="n">
        <f aca="false">IF(AH59&lt;0,-1,MOD(AH59,$B$8+$B$10))</f>
        <v>8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175824.036790023</v>
      </c>
      <c r="AM59" s="14" t="n">
        <f aca="false">IF($A59&lt;=$G$8,$E$8*$F$8,IF(AI59&gt;=$B$8,AK59*$B$4*(1+$B$5)^(($G$8+$B$8+AJ59*($B$8+$B$10))/4),0))</f>
        <v>703296.147160093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751676.210403043</v>
      </c>
      <c r="AQ59" s="14" t="n">
        <f aca="false">G59+O59+W59+AE59+AM59</f>
        <v>3850501.68488539</v>
      </c>
      <c r="AR59" s="14" t="n">
        <f aca="false">H59+P59+X59+AF59+AN59+IF($A59=$B$15,$B$14,0)</f>
        <v>0</v>
      </c>
      <c r="AS59" s="21" t="n">
        <f aca="false">I59+Q59+Y59+AG59+AO59</f>
        <v>0</v>
      </c>
      <c r="AT59" s="14" t="n">
        <f aca="false">AP59*(1-$B$12)-AS59*$B$13/4</f>
        <v>706575.63777886</v>
      </c>
      <c r="AU59" s="14" t="n">
        <f aca="false">0</f>
        <v>0</v>
      </c>
      <c r="AV59" s="14" t="n">
        <f aca="false">AT59-AR59-AU59</f>
        <v>706575.63777886</v>
      </c>
      <c r="AW59" s="21" t="n">
        <f aca="false">(1+$B$16)^(-$A59/4)</f>
        <v>0.571308135817531</v>
      </c>
      <c r="AX59" s="14" t="n">
        <f aca="false">AV59*AW59</f>
        <v>403672.410433524</v>
      </c>
      <c r="AY59" s="14" t="n">
        <f aca="false">AV59</f>
        <v>706575.63777886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328164.931907553</v>
      </c>
      <c r="G60" s="14" t="n">
        <f aca="false">IF($A60&lt;=$G$4,$E$4*$F$4,IF(C60&gt;=$B$8,E60*$B$4*(1+$B$5)^(($G$4+$B$8+D60*($B$8+$B$10))/4),0))</f>
        <v>1312659.72763021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247687.241705466</v>
      </c>
      <c r="O60" s="14" t="n">
        <f aca="false">IF($A60&lt;=$G$5,$E$5*$F$5,IF(K60&gt;=$B$8,M60*$B$4*(1+$B$5)^(($G$5+$B$8+L60*($B$8+$B$10))/4),0))</f>
        <v>990748.966821865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127710.842350671</v>
      </c>
      <c r="W60" s="14" t="n">
        <f aca="false">IF($A60&lt;=$G$6,$E$6*$F$6,IF(S60&gt;=$B$8,U60*$B$4*(1+$B$5)^(($G$6+$B$8+T60*($B$8+$B$10))/4),0))</f>
        <v>510843.369402684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3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332953.473870534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9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175824.036790023</v>
      </c>
      <c r="AM60" s="14" t="n">
        <f aca="false">IF($A60&lt;=$G$8,$E$8*$F$8,IF(AI60&gt;=$B$8,AK60*$B$4*(1+$B$5)^(($G$8+$B$8+AJ60*($B$8+$B$10))/4),0))</f>
        <v>703296.147160093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879387.052753714</v>
      </c>
      <c r="AQ60" s="14" t="n">
        <f aca="false">G60+O60+W60+AE60+AM60</f>
        <v>3850501.68488539</v>
      </c>
      <c r="AR60" s="14" t="n">
        <f aca="false">H60+P60+X60+AF60+AN60+IF($A60=$B$15,$B$14,0)</f>
        <v>0</v>
      </c>
      <c r="AS60" s="21" t="n">
        <f aca="false">I60+Q60+Y60+AG60+AO60</f>
        <v>0</v>
      </c>
      <c r="AT60" s="14" t="n">
        <f aca="false">AP60*(1-$B$12)-AS60*$B$13/4</f>
        <v>826623.829588491</v>
      </c>
      <c r="AU60" s="14" t="n">
        <f aca="false">0</f>
        <v>0</v>
      </c>
      <c r="AV60" s="14" t="n">
        <f aca="false">AT60-AR60-AU60</f>
        <v>826623.829588491</v>
      </c>
      <c r="AW60" s="21" t="n">
        <f aca="false">(1+$B$16)^(-$A60/4)</f>
        <v>0.560745877024877</v>
      </c>
      <c r="AX60" s="14" t="n">
        <f aca="false">AV60*AW60</f>
        <v>463525.904292261</v>
      </c>
      <c r="AY60" s="14" t="n">
        <f aca="false">AV60</f>
        <v>826623.829588491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0</v>
      </c>
      <c r="D61" s="0" t="n">
        <f aca="false">IF(B61&lt;0,0,INT(B61/($B$8+$B$10)))</f>
        <v>1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0</v>
      </c>
      <c r="G61" s="14" t="n">
        <f aca="false">IF($A61&lt;=$G$4,$E$4*$F$4,IF(C61&gt;=$B$8,E61*$B$4*(1+$B$5)^(($G$4+$B$8+D61*($B$8+$B$10))/4),0))</f>
        <v>0</v>
      </c>
      <c r="H61" s="14" t="n">
        <f aca="false">IF($A61&lt;=$G$4,0,IF(C61=0,E61*$B$6*(1+$B$7)^(($G$4+D61*($B$8+$B$10))/4),0)+IF(C61=$B$8,$B$11*$B$4*(1+$B$5)^(($G$4+$B$8+D61*($B$8+$B$10))/4)*E61,0))</f>
        <v>2136035.85105736</v>
      </c>
      <c r="I61" s="21" t="n">
        <f aca="false">IF($A61&lt;=$G$4,0,IF(C61&lt;$B$8,E61,0))</f>
        <v>4200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247687.241705466</v>
      </c>
      <c r="O61" s="14" t="n">
        <f aca="false">IF($A61&lt;=$G$5,$E$5*$F$5,IF(K61&gt;=$B$8,M61*$B$4*(1+$B$5)^(($G$5+$B$8+L61*($B$8+$B$10))/4),0))</f>
        <v>990748.966821865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127710.842350671</v>
      </c>
      <c r="W61" s="14" t="n">
        <f aca="false">IF($A61&lt;=$G$6,$E$6*$F$6,IF(S61&gt;=$B$8,U61*$B$4*(1+$B$5)^(($G$6+$B$8+T61*($B$8+$B$10))/4),0))</f>
        <v>510843.369402684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4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83238.3684676335</v>
      </c>
      <c r="AE61" s="14" t="n">
        <f aca="false">IF($A61&lt;=$G$7,$E$7*$F$7,IF(AA61&gt;=$B$8,AC61*$B$4*(1+$B$5)^(($G$7+$B$8+AB61*($B$8+$B$10))/4),0))</f>
        <v>332953.473870534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0</v>
      </c>
      <c r="AH61" s="21" t="n">
        <f aca="false">$A61-$G$8-1</f>
        <v>31</v>
      </c>
      <c r="AI61" s="21" t="n">
        <f aca="false">IF(AH61&lt;0,-1,MOD(AH61,$B$8+$B$10))</f>
        <v>10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175824.036790023</v>
      </c>
      <c r="AM61" s="14" t="n">
        <f aca="false">IF($A61&lt;=$G$8,$E$8*$F$8,IF(AI61&gt;=$B$8,AK61*$B$4*(1+$B$5)^(($G$8+$B$8+AJ61*($B$8+$B$10))/4),0))</f>
        <v>703296.147160093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634460.489313794</v>
      </c>
      <c r="AQ61" s="14" t="n">
        <f aca="false">G61+O61+W61+AE61+AM61</f>
        <v>2537841.95725518</v>
      </c>
      <c r="AR61" s="14" t="n">
        <f aca="false">H61+P61+X61+AF61+AN61+IF($A61=$B$15,$B$14,0)</f>
        <v>2136035.85105736</v>
      </c>
      <c r="AS61" s="21" t="n">
        <f aca="false">I61+Q61+Y61+AG61+AO61</f>
        <v>4200</v>
      </c>
      <c r="AT61" s="14" t="n">
        <f aca="false">AP61*(1-$B$12)-AS61*$B$13/4</f>
        <v>538642.859954966</v>
      </c>
      <c r="AU61" s="14" t="n">
        <f aca="false">0</f>
        <v>0</v>
      </c>
      <c r="AV61" s="14" t="n">
        <f aca="false">AT61-AR61-AU61</f>
        <v>-1597392.99110239</v>
      </c>
      <c r="AW61" s="21" t="n">
        <f aca="false">(1+$B$16)^(-$A61/4)</f>
        <v>0.550378891682413</v>
      </c>
      <c r="AX61" s="14" t="n">
        <f aca="false">AV61*AW61</f>
        <v>-879171.384024189</v>
      </c>
      <c r="AY61" s="14" t="n">
        <f aca="false">AV61</f>
        <v>-1597392.99110239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1</v>
      </c>
      <c r="D62" s="0" t="n">
        <f aca="false">IF(B62&lt;0,0,INT(B62/($B$8+$B$10)))</f>
        <v>1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0</v>
      </c>
      <c r="G62" s="14" t="n">
        <f aca="false">IF($A62&lt;=$G$4,$E$4*$F$4,IF(C62&gt;=$B$8,E62*$B$4*(1+$B$5)^(($G$4+$B$8+D62*($B$8+$B$10))/4),0))</f>
        <v>1419380.65911009</v>
      </c>
      <c r="H62" s="14" t="n">
        <f aca="false">IF($A62&lt;=$G$4,0,IF(C62=0,E62*$B$6*(1+$B$7)^(($G$4+D62*($B$8+$B$10))/4),0)+IF(C62=$B$8,$B$11*$B$4*(1+$B$5)^(($G$4+$B$8+D62*($B$8+$B$10))/4)*E62,0))</f>
        <v>170325.67909321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247687.241705466</v>
      </c>
      <c r="O62" s="14" t="n">
        <f aca="false">IF($A62&lt;=$G$5,$E$5*$F$5,IF(K62&gt;=$B$8,M62*$B$4*(1+$B$5)^(($G$5+$B$8+L62*($B$8+$B$10))/4),0))</f>
        <v>990748.966821865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127710.842350671</v>
      </c>
      <c r="W62" s="14" t="n">
        <f aca="false">IF($A62&lt;=$G$6,$E$6*$F$6,IF(S62&gt;=$B$8,U62*$B$4*(1+$B$5)^(($G$6+$B$8+T62*($B$8+$B$10))/4),0))</f>
        <v>510843.369402684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5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83238.3684676335</v>
      </c>
      <c r="AE62" s="14" t="n">
        <f aca="false">IF($A62&lt;=$G$7,$E$7*$F$7,IF(AA62&gt;=$B$8,AC62*$B$4*(1+$B$5)^(($G$7+$B$8+AB62*($B$8+$B$10))/4),0))</f>
        <v>332953.473870534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11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175824.036790023</v>
      </c>
      <c r="AM62" s="14" t="n">
        <f aca="false">IF($A62&lt;=$G$8,$E$8*$F$8,IF(AI62&gt;=$B$8,AK62*$B$4*(1+$B$5)^(($G$8+$B$8+AJ62*($B$8+$B$10))/4),0))</f>
        <v>703296.147160093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634460.489313794</v>
      </c>
      <c r="AQ62" s="14" t="n">
        <f aca="false">G62+O62+W62+AE62+AM62</f>
        <v>3957222.61636526</v>
      </c>
      <c r="AR62" s="14" t="n">
        <f aca="false">H62+P62+X62+AF62+AN62+IF($A62=$B$15,$B$14,0)</f>
        <v>170325.67909321</v>
      </c>
      <c r="AS62" s="21" t="n">
        <f aca="false">I62+Q62+Y62+AG62+AO62</f>
        <v>0</v>
      </c>
      <c r="AT62" s="14" t="n">
        <f aca="false">AP62*(1-$B$12)-AS62*$B$13/4</f>
        <v>596392.859954966</v>
      </c>
      <c r="AU62" s="14" t="n">
        <f aca="false">0</f>
        <v>0</v>
      </c>
      <c r="AV62" s="14" t="n">
        <f aca="false">AT62-AR62-AU62</f>
        <v>426067.180861756</v>
      </c>
      <c r="AW62" s="21" t="n">
        <f aca="false">(1+$B$16)^(-$A62/4)</f>
        <v>0.540203569603995</v>
      </c>
      <c r="AX62" s="14" t="n">
        <f aca="false">AV62*AW62</f>
        <v>230163.011992632</v>
      </c>
      <c r="AY62" s="14" t="n">
        <f aca="false">AV62</f>
        <v>426067.180861756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2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1419380.65911009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247687.241705466</v>
      </c>
      <c r="O63" s="14" t="n">
        <f aca="false">IF($A63&lt;=$G$5,$E$5*$F$5,IF(K63&gt;=$B$8,M63*$B$4*(1+$B$5)^(($G$5+$B$8+L63*($B$8+$B$10))/4),0))</f>
        <v>990748.966821865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127710.842350671</v>
      </c>
      <c r="W63" s="14" t="n">
        <f aca="false">IF($A63&lt;=$G$6,$E$6*$F$6,IF(S63&gt;=$B$8,U63*$B$4*(1+$B$5)^(($G$6+$B$8+T63*($B$8+$B$10))/4),0))</f>
        <v>510843.369402684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6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83238.3684676335</v>
      </c>
      <c r="AE63" s="14" t="n">
        <f aca="false">IF($A63&lt;=$G$7,$E$7*$F$7,IF(AA63&gt;=$B$8,AC63*$B$4*(1+$B$5)^(($G$7+$B$8+AB63*($B$8+$B$10))/4),0))</f>
        <v>332953.473870534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12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175824.036790023</v>
      </c>
      <c r="AM63" s="14" t="n">
        <f aca="false">IF($A63&lt;=$G$8,$E$8*$F$8,IF(AI63&gt;=$B$8,AK63*$B$4*(1+$B$5)^(($G$8+$B$8+AJ63*($B$8+$B$10))/4),0))</f>
        <v>703296.147160093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634460.489313794</v>
      </c>
      <c r="AQ63" s="14" t="n">
        <f aca="false">G63+O63+W63+AE63+AM63</f>
        <v>3957222.61636526</v>
      </c>
      <c r="AR63" s="14" t="n">
        <f aca="false">H63+P63+X63+AF63+AN63+IF($A63=$B$15,$B$14,0)</f>
        <v>0</v>
      </c>
      <c r="AS63" s="21" t="n">
        <f aca="false">I63+Q63+Y63+AG63+AO63</f>
        <v>0</v>
      </c>
      <c r="AT63" s="14" t="n">
        <f aca="false">AP63*(1-$B$12)-AS63*$B$13/4</f>
        <v>596392.859954966</v>
      </c>
      <c r="AU63" s="14" t="n">
        <f aca="false">0</f>
        <v>0</v>
      </c>
      <c r="AV63" s="14" t="n">
        <f aca="false">AT63-AR63-AU63</f>
        <v>596392.859954966</v>
      </c>
      <c r="AW63" s="21" t="n">
        <f aca="false">(1+$B$16)^(-$A63/4)</f>
        <v>0.530216367348056</v>
      </c>
      <c r="AX63" s="14" t="n">
        <f aca="false">AV63*AW63</f>
        <v>316217.25571764</v>
      </c>
      <c r="AY63" s="14" t="n">
        <f aca="false">AV63</f>
        <v>596392.859954966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3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1419380.65911009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247687.241705466</v>
      </c>
      <c r="O64" s="14" t="n">
        <f aca="false">IF($A64&lt;=$G$5,$E$5*$F$5,IF(K64&gt;=$B$8,M64*$B$4*(1+$B$5)^(($G$5+$B$8+L64*($B$8+$B$10))/4),0))</f>
        <v>990748.966821865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127710.842350671</v>
      </c>
      <c r="W64" s="14" t="n">
        <f aca="false">IF($A64&lt;=$G$6,$E$6*$F$6,IF(S64&gt;=$B$8,U64*$B$4*(1+$B$5)^(($G$6+$B$8+T64*($B$8+$B$10))/4),0))</f>
        <v>510843.369402684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7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83238.3684676335</v>
      </c>
      <c r="AE64" s="14" t="n">
        <f aca="false">IF($A64&lt;=$G$7,$E$7*$F$7,IF(AA64&gt;=$B$8,AC64*$B$4*(1+$B$5)^(($G$7+$B$8+AB64*($B$8+$B$10))/4),0))</f>
        <v>332953.473870534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13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175824.036790023</v>
      </c>
      <c r="AM64" s="14" t="n">
        <f aca="false">IF($A64&lt;=$G$8,$E$8*$F$8,IF(AI64&gt;=$B$8,AK64*$B$4*(1+$B$5)^(($G$8+$B$8+AJ64*($B$8+$B$10))/4),0))</f>
        <v>703296.147160093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634460.489313794</v>
      </c>
      <c r="AQ64" s="14" t="n">
        <f aca="false">G64+O64+W64+AE64+AM64</f>
        <v>3957222.61636526</v>
      </c>
      <c r="AR64" s="14" t="n">
        <f aca="false">H64+P64+X64+AF64+AN64+IF($A64=$B$15,$B$14,0)</f>
        <v>0</v>
      </c>
      <c r="AS64" s="21" t="n">
        <f aca="false">I64+Q64+Y64+AG64+AO64</f>
        <v>0</v>
      </c>
      <c r="AT64" s="14" t="n">
        <f aca="false">AP64*(1-$B$12)-AS64*$B$13/4</f>
        <v>596392.859954966</v>
      </c>
      <c r="AU64" s="14" t="n">
        <f aca="false">0</f>
        <v>0</v>
      </c>
      <c r="AV64" s="14" t="n">
        <f aca="false">AT64-AR64-AU64</f>
        <v>596392.859954966</v>
      </c>
      <c r="AW64" s="21" t="n">
        <f aca="false">(1+$B$16)^(-$A64/4)</f>
        <v>0.520413806983644</v>
      </c>
      <c r="AX64" s="14" t="n">
        <f aca="false">AV64*AW64</f>
        <v>310371.078707027</v>
      </c>
      <c r="AY64" s="14" t="n">
        <f aca="false">AV64</f>
        <v>596392.859954966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4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354845.164777521</v>
      </c>
      <c r="G65" s="14" t="n">
        <f aca="false">IF($A65&lt;=$G$4,$E$4*$F$4,IF(C65&gt;=$B$8,E65*$B$4*(1+$B$5)^(($G$4+$B$8+D65*($B$8+$B$10))/4),0))</f>
        <v>1419380.65911009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247687.241705466</v>
      </c>
      <c r="O65" s="14" t="n">
        <f aca="false">IF($A65&lt;=$G$5,$E$5*$F$5,IF(K65&gt;=$B$8,M65*$B$4*(1+$B$5)^(($G$5+$B$8+L65*($B$8+$B$10))/4),0))</f>
        <v>990748.966821865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127710.842350671</v>
      </c>
      <c r="W65" s="14" t="n">
        <f aca="false">IF($A65&lt;=$G$6,$E$6*$F$6,IF(S65&gt;=$B$8,U65*$B$4*(1+$B$5)^(($G$6+$B$8+T65*($B$8+$B$10))/4),0))</f>
        <v>510843.369402684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8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83238.3684676335</v>
      </c>
      <c r="AE65" s="14" t="n">
        <f aca="false">IF($A65&lt;=$G$7,$E$7*$F$7,IF(AA65&gt;=$B$8,AC65*$B$4*(1+$B$5)^(($G$7+$B$8+AB65*($B$8+$B$10))/4),0))</f>
        <v>332953.473870534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14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175824.036790023</v>
      </c>
      <c r="AM65" s="14" t="n">
        <f aca="false">IF($A65&lt;=$G$8,$E$8*$F$8,IF(AI65&gt;=$B$8,AK65*$B$4*(1+$B$5)^(($G$8+$B$8+AJ65*($B$8+$B$10))/4),0))</f>
        <v>703296.147160093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989305.654091316</v>
      </c>
      <c r="AQ65" s="14" t="n">
        <f aca="false">G65+O65+W65+AE65+AM65</f>
        <v>3957222.61636526</v>
      </c>
      <c r="AR65" s="14" t="n">
        <f aca="false">H65+P65+X65+AF65+AN65+IF($A65=$B$15,$B$14,0)</f>
        <v>0</v>
      </c>
      <c r="AS65" s="21" t="n">
        <f aca="false">I65+Q65+Y65+AG65+AO65</f>
        <v>0</v>
      </c>
      <c r="AT65" s="14" t="n">
        <f aca="false">AP65*(1-$B$12)-AS65*$B$13/4</f>
        <v>929947.314845837</v>
      </c>
      <c r="AU65" s="14" t="n">
        <f aca="false">0</f>
        <v>0</v>
      </c>
      <c r="AV65" s="14" t="n">
        <f aca="false">AT65-AR65-AU65</f>
        <v>929947.314845837</v>
      </c>
      <c r="AW65" s="21" t="n">
        <f aca="false">(1+$B$16)^(-$A65/4)</f>
        <v>0.51079247487927</v>
      </c>
      <c r="AX65" s="14" t="n">
        <f aca="false">AV65*AW65</f>
        <v>475010.090457436</v>
      </c>
      <c r="AY65" s="14" t="n">
        <f aca="false">AV65</f>
        <v>929947.314845837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5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354845.164777521</v>
      </c>
      <c r="G66" s="14" t="n">
        <f aca="false">IF($A66&lt;=$G$4,$E$4*$F$4,IF(C66&gt;=$B$8,E66*$B$4*(1+$B$5)^(($G$4+$B$8+D66*($B$8+$B$10))/4),0))</f>
        <v>1419380.65911009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247687.241705466</v>
      </c>
      <c r="O66" s="14" t="n">
        <f aca="false">IF($A66&lt;=$G$5,$E$5*$F$5,IF(K66&gt;=$B$8,M66*$B$4*(1+$B$5)^(($G$5+$B$8+L66*($B$8+$B$10))/4),0))</f>
        <v>990748.966821865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127710.842350671</v>
      </c>
      <c r="W66" s="14" t="n">
        <f aca="false">IF($A66&lt;=$G$6,$E$6*$F$6,IF(S66&gt;=$B$8,U66*$B$4*(1+$B$5)^(($G$6+$B$8+T66*($B$8+$B$10))/4),0))</f>
        <v>510843.369402684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9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83238.3684676335</v>
      </c>
      <c r="AE66" s="14" t="n">
        <f aca="false">IF($A66&lt;=$G$7,$E$7*$F$7,IF(AA66&gt;=$B$8,AC66*$B$4*(1+$B$5)^(($G$7+$B$8+AB66*($B$8+$B$10))/4),0))</f>
        <v>332953.473870534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15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175824.036790023</v>
      </c>
      <c r="AM66" s="14" t="n">
        <f aca="false">IF($A66&lt;=$G$8,$E$8*$F$8,IF(AI66&gt;=$B$8,AK66*$B$4*(1+$B$5)^(($G$8+$B$8+AJ66*($B$8+$B$10))/4),0))</f>
        <v>703296.147160093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989305.654091316</v>
      </c>
      <c r="AQ66" s="14" t="n">
        <f aca="false">G66+O66+W66+AE66+AM66</f>
        <v>3957222.61636526</v>
      </c>
      <c r="AR66" s="14" t="n">
        <f aca="false">H66+P66+X66+AF66+AN66+IF($A66=$B$15,$B$14,0)</f>
        <v>0</v>
      </c>
      <c r="AS66" s="21" t="n">
        <f aca="false">I66+Q66+Y66+AG66+AO66</f>
        <v>0</v>
      </c>
      <c r="AT66" s="14" t="n">
        <f aca="false">AP66*(1-$B$12)-AS66*$B$13/4</f>
        <v>929947.314845837</v>
      </c>
      <c r="AU66" s="14" t="n">
        <f aca="false">0</f>
        <v>0</v>
      </c>
      <c r="AV66" s="14" t="n">
        <f aca="false">AT66-AR66-AU66</f>
        <v>929947.314845837</v>
      </c>
      <c r="AW66" s="21" t="n">
        <f aca="false">(1+$B$16)^(-$A66/4)</f>
        <v>0.501349020514149</v>
      </c>
      <c r="AX66" s="14" t="n">
        <f aca="false">AV66*AW66</f>
        <v>466228.175427723</v>
      </c>
      <c r="AY66" s="14" t="n">
        <f aca="false">AV66</f>
        <v>929947.314845837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6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354845.164777521</v>
      </c>
      <c r="G67" s="14" t="n">
        <f aca="false">IF($A67&lt;=$G$4,$E$4*$F$4,IF(C67&gt;=$B$8,E67*$B$4*(1+$B$5)^(($G$4+$B$8+D67*($B$8+$B$10))/4),0))</f>
        <v>1419380.65911009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0</v>
      </c>
      <c r="L67" s="21" t="n">
        <f aca="false">IF(J67&lt;0,0,INT(J67/($B$8+$B$10)))</f>
        <v>1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0</v>
      </c>
      <c r="O67" s="14" t="n">
        <f aca="false">IF($A67&lt;=$G$5,$E$5*$F$5,IF(K67&gt;=$B$8,M67*$B$4*(1+$B$5)^(($G$5+$B$8+L67*($B$8+$B$10))/4),0))</f>
        <v>0</v>
      </c>
      <c r="P67" s="14" t="n">
        <f aca="false">IF($A67&lt;=$G$5,0,IF(K67=0,M67*$B$6*(1+$B$7)^(($G$5+L67*($B$8+$B$10))/4),0)+IF(K67=$B$8,$B$11*$B$4*(1+$B$5)^(($G$5+$B$8+L67*($B$8+$B$10))/4)*M67,0))</f>
        <v>1636088.30068408</v>
      </c>
      <c r="Q67" s="21" t="n">
        <f aca="false">IF($A67&lt;=$G$5,0,IF(K67&lt;$B$8,M67,0))</f>
        <v>3100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127710.842350671</v>
      </c>
      <c r="W67" s="14" t="n">
        <f aca="false">IF($A67&lt;=$G$6,$E$6*$F$6,IF(S67&gt;=$B$8,U67*$B$4*(1+$B$5)^(($G$6+$B$8+T67*($B$8+$B$10))/4),0))</f>
        <v>510843.369402684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10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83238.3684676335</v>
      </c>
      <c r="AE67" s="14" t="n">
        <f aca="false">IF($A67&lt;=$G$7,$E$7*$F$7,IF(AA67&gt;=$B$8,AC67*$B$4*(1+$B$5)^(($G$7+$B$8+AB67*($B$8+$B$10))/4),0))</f>
        <v>332953.473870534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16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175824.036790023</v>
      </c>
      <c r="AM67" s="14" t="n">
        <f aca="false">IF($A67&lt;=$G$8,$E$8*$F$8,IF(AI67&gt;=$B$8,AK67*$B$4*(1+$B$5)^(($G$8+$B$8+AJ67*($B$8+$B$10))/4),0))</f>
        <v>703296.147160093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741618.412385849</v>
      </c>
      <c r="AQ67" s="14" t="n">
        <f aca="false">G67+O67+W67+AE67+AM67</f>
        <v>2966473.6495434</v>
      </c>
      <c r="AR67" s="14" t="n">
        <f aca="false">H67+P67+X67+AF67+AN67+IF($A67=$B$15,$B$14,0)</f>
        <v>1636088.30068408</v>
      </c>
      <c r="AS67" s="21" t="n">
        <f aca="false">I67+Q67+Y67+AG67+AO67</f>
        <v>3100</v>
      </c>
      <c r="AT67" s="14" t="n">
        <f aca="false">AP67*(1-$B$12)-AS67*$B$13/4</f>
        <v>654496.307642698</v>
      </c>
      <c r="AU67" s="14" t="n">
        <f aca="false">0</f>
        <v>0</v>
      </c>
      <c r="AV67" s="14" t="n">
        <f aca="false">AT67-AR67-AU67</f>
        <v>-981591.993041381</v>
      </c>
      <c r="AW67" s="21" t="n">
        <f aca="false">(1+$B$16)^(-$A67/4)</f>
        <v>0.492080155311421</v>
      </c>
      <c r="AX67" s="14" t="n">
        <f aca="false">AV67*AW67</f>
        <v>-483021.94038825</v>
      </c>
      <c r="AY67" s="14" t="n">
        <f aca="false">AV67</f>
        <v>-981591.993041381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7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354845.164777521</v>
      </c>
      <c r="G68" s="14" t="n">
        <f aca="false">IF($A68&lt;=$G$4,$E$4*$F$4,IF(C68&gt;=$B$8,E68*$B$4*(1+$B$5)^(($G$4+$B$8+D68*($B$8+$B$10))/4),0))</f>
        <v>1419380.65911009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1</v>
      </c>
      <c r="L68" s="21" t="n">
        <f aca="false">IF(J68&lt;0,0,INT(J68/($B$8+$B$10)))</f>
        <v>1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0</v>
      </c>
      <c r="O68" s="14" t="n">
        <f aca="false">IF($A68&lt;=$G$5,$E$5*$F$5,IF(K68&gt;=$B$8,M68*$B$4*(1+$B$5)^(($G$5+$B$8+L68*($B$8+$B$10))/4),0))</f>
        <v>1071298.13762094</v>
      </c>
      <c r="P68" s="14" t="n">
        <f aca="false">IF($A68&lt;=$G$5,0,IF(K68=0,M68*$B$6*(1+$B$7)^(($G$5+L68*($B$8+$B$10))/4),0)+IF(K68=$B$8,$B$11*$B$4*(1+$B$5)^(($G$5+$B$8+L68*($B$8+$B$10))/4)*M68,0))</f>
        <v>128555.776514513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127710.842350671</v>
      </c>
      <c r="W68" s="14" t="n">
        <f aca="false">IF($A68&lt;=$G$6,$E$6*$F$6,IF(S68&gt;=$B$8,U68*$B$4*(1+$B$5)^(($G$6+$B$8+T68*($B$8+$B$10))/4),0))</f>
        <v>510843.369402684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11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83238.3684676335</v>
      </c>
      <c r="AE68" s="14" t="n">
        <f aca="false">IF($A68&lt;=$G$7,$E$7*$F$7,IF(AA68&gt;=$B$8,AC68*$B$4*(1+$B$5)^(($G$7+$B$8+AB68*($B$8+$B$10))/4),0))</f>
        <v>332953.473870534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17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175824.036790023</v>
      </c>
      <c r="AM68" s="14" t="n">
        <f aca="false">IF($A68&lt;=$G$8,$E$8*$F$8,IF(AI68&gt;=$B$8,AK68*$B$4*(1+$B$5)^(($G$8+$B$8+AJ68*($B$8+$B$10))/4),0))</f>
        <v>703296.147160093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741618.412385849</v>
      </c>
      <c r="AQ68" s="14" t="n">
        <f aca="false">G68+O68+W68+AE68+AM68</f>
        <v>4037771.78716433</v>
      </c>
      <c r="AR68" s="14" t="n">
        <f aca="false">H68+P68+X68+AF68+AN68+IF($A68=$B$15,$B$14,0)</f>
        <v>128555.776514513</v>
      </c>
      <c r="AS68" s="21" t="n">
        <f aca="false">I68+Q68+Y68+AG68+AO68</f>
        <v>0</v>
      </c>
      <c r="AT68" s="14" t="n">
        <f aca="false">AP68*(1-$B$12)-AS68*$B$13/4</f>
        <v>697121.307642698</v>
      </c>
      <c r="AU68" s="14" t="n">
        <f aca="false">0</f>
        <v>0</v>
      </c>
      <c r="AV68" s="14" t="n">
        <f aca="false">AT68-AR68-AU68</f>
        <v>568565.531128186</v>
      </c>
      <c r="AW68" s="21" t="n">
        <f aca="false">(1+$B$16)^(-$A68/4)</f>
        <v>0.482982651492941</v>
      </c>
      <c r="AX68" s="14" t="n">
        <f aca="false">AV68*AW68</f>
        <v>274607.287771784</v>
      </c>
      <c r="AY68" s="14" t="n">
        <f aca="false">AV68</f>
        <v>568565.531128186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8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354845.164777521</v>
      </c>
      <c r="G69" s="14" t="n">
        <f aca="false">IF($A69&lt;=$G$4,$E$4*$F$4,IF(C69&gt;=$B$8,E69*$B$4*(1+$B$5)^(($G$4+$B$8+D69*($B$8+$B$10))/4),0))</f>
        <v>1419380.65911009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2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1071298.13762094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127710.842350671</v>
      </c>
      <c r="W69" s="14" t="n">
        <f aca="false">IF($A69&lt;=$G$6,$E$6*$F$6,IF(S69&gt;=$B$8,U69*$B$4*(1+$B$5)^(($G$6+$B$8+T69*($B$8+$B$10))/4),0))</f>
        <v>510843.369402684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12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83238.3684676335</v>
      </c>
      <c r="AE69" s="14" t="n">
        <f aca="false">IF($A69&lt;=$G$7,$E$7*$F$7,IF(AA69&gt;=$B$8,AC69*$B$4*(1+$B$5)^(($G$7+$B$8+AB69*($B$8+$B$10))/4),0))</f>
        <v>332953.473870534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18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175824.036790023</v>
      </c>
      <c r="AM69" s="14" t="n">
        <f aca="false">IF($A69&lt;=$G$8,$E$8*$F$8,IF(AI69&gt;=$B$8,AK69*$B$4*(1+$B$5)^(($G$8+$B$8+AJ69*($B$8+$B$10))/4),0))</f>
        <v>703296.147160093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741618.412385849</v>
      </c>
      <c r="AQ69" s="14" t="n">
        <f aca="false">G69+O69+W69+AE69+AM69</f>
        <v>4037771.78716433</v>
      </c>
      <c r="AR69" s="14" t="n">
        <f aca="false">H69+P69+X69+AF69+AN69+IF($A69=$B$15,$B$14,0)</f>
        <v>0</v>
      </c>
      <c r="AS69" s="21" t="n">
        <f aca="false">I69+Q69+Y69+AG69+AO69</f>
        <v>0</v>
      </c>
      <c r="AT69" s="14" t="n">
        <f aca="false">AP69*(1-$B$12)-AS69*$B$13/4</f>
        <v>697121.307642698</v>
      </c>
      <c r="AU69" s="14" t="n">
        <f aca="false">0</f>
        <v>0</v>
      </c>
      <c r="AV69" s="14" t="n">
        <f aca="false">AT69-AR69-AU69</f>
        <v>697121.307642698</v>
      </c>
      <c r="AW69" s="21" t="n">
        <f aca="false">(1+$B$16)^(-$A69/4)</f>
        <v>0.474053340955239</v>
      </c>
      <c r="AX69" s="14" t="n">
        <f aca="false">AV69*AW69</f>
        <v>330472.684939106</v>
      </c>
      <c r="AY69" s="14" t="n">
        <f aca="false">AV69+$J$9</f>
        <v>56083386.4592791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312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4009715.83407217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0</v>
      </c>
    </row>
    <row r="8" customFormat="false" ht="15" hidden="false" customHeight="false" outlineLevel="0" collapsed="false">
      <c r="A8" s="0" t="s">
        <v>26</v>
      </c>
      <c r="B8" s="24" t="n">
        <v>0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3769132.88402784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55001420.6039618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11798270.8494525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26073607.1945924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37871878.0440449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35560448.8676478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0.688468820169647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0.0533937223309904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30427306.3480489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13455512.732894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3009248.97262492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0.09244663736912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648000</v>
      </c>
      <c r="AN30" s="14" t="n">
        <f aca="false">IF($A30&lt;=$G$8,0,IF(AI30=0,AK30*$B$6*(1+$B$7)^(($G$8+AJ30*($B$8+$B$10))/4),0)+IF(AI30=$B$8,$B$11*$B$4*(1+$B$5)^(($G$8+$B$8+AJ30*($B$8+$B$10))/4)*AK30,0))</f>
        <v>984960</v>
      </c>
      <c r="AO30" s="21" t="n">
        <f aca="false">IF($A30&lt;=$G$8,0,IF(AI30&lt;$B$8,AK30,0))</f>
        <v>0</v>
      </c>
      <c r="AP30" s="14" t="n">
        <f aca="false">F30+N30+V30+AD30+AL30</f>
        <v>762235</v>
      </c>
      <c r="AQ30" s="14" t="n">
        <f aca="false">G30+O30+W30+AE30+AM30</f>
        <v>3696940</v>
      </c>
      <c r="AR30" s="14" t="n">
        <f aca="false">H30+P30+X30+AF30+AN30+IF($A30=$B$15,$B$14,0)</f>
        <v>984960</v>
      </c>
      <c r="AS30" s="21" t="n">
        <f aca="false">I30+Q30+Y30+AG30+AO30</f>
        <v>0</v>
      </c>
      <c r="AT30" s="14" t="n">
        <f aca="false">AP30*(1-$B$12)-AS30*$B$13/4</f>
        <v>716500.9</v>
      </c>
      <c r="AU30" s="14" t="n">
        <f aca="false">0</f>
        <v>0</v>
      </c>
      <c r="AV30" s="14" t="n">
        <f aca="false">AT30-AR30-AU30</f>
        <v>-268459.1</v>
      </c>
      <c r="AW30" s="21" t="n">
        <f aca="false">(1+$B$16)^(-$A30/4)</f>
        <v>0.98151215057083</v>
      </c>
      <c r="AX30" s="14" t="n">
        <f aca="false">AV30*AW30</f>
        <v>-263495.86858131</v>
      </c>
      <c r="AY30" s="14" t="n">
        <f aca="false">AV30</f>
        <v>-268459.1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648000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0</v>
      </c>
      <c r="AP31" s="14" t="n">
        <f aca="false">F31+N31+V31+AD31+AL31</f>
        <v>762235</v>
      </c>
      <c r="AQ31" s="14" t="n">
        <f aca="false">G31+O31+W31+AE31+AM31</f>
        <v>3696940</v>
      </c>
      <c r="AR31" s="14" t="n">
        <f aca="false">H31+P31+X31+AF31+AN31+IF($A31=$B$15,$B$14,0)</f>
        <v>0</v>
      </c>
      <c r="AS31" s="21" t="n">
        <f aca="false">I31+Q31+Y31+AG31+AO31</f>
        <v>0</v>
      </c>
      <c r="AT31" s="14" t="n">
        <f aca="false">AP31*(1-$B$12)-AS31*$B$13/4</f>
        <v>716500.9</v>
      </c>
      <c r="AU31" s="14" t="n">
        <f aca="false">0</f>
        <v>0</v>
      </c>
      <c r="AV31" s="14" t="n">
        <f aca="false">AT31-AR31-AU31</f>
        <v>716500.9</v>
      </c>
      <c r="AW31" s="21" t="n">
        <f aca="false">(1+$B$16)^(-$A31/4)</f>
        <v>0.963366101718176</v>
      </c>
      <c r="AX31" s="14" t="n">
        <f aca="false">AV31*AW31</f>
        <v>690252.678910565</v>
      </c>
      <c r="AY31" s="14" t="n">
        <f aca="false">AV31</f>
        <v>716500.9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648000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0</v>
      </c>
      <c r="AP32" s="14" t="n">
        <f aca="false">F32+N32+V32+AD32+AL32</f>
        <v>762235</v>
      </c>
      <c r="AQ32" s="14" t="n">
        <f aca="false">G32+O32+W32+AE32+AM32</f>
        <v>3696940</v>
      </c>
      <c r="AR32" s="14" t="n">
        <f aca="false">H32+P32+X32+AF32+AN32+IF($A32=$B$15,$B$14,0)</f>
        <v>0</v>
      </c>
      <c r="AS32" s="21" t="n">
        <f aca="false">I32+Q32+Y32+AG32+AO32</f>
        <v>0</v>
      </c>
      <c r="AT32" s="14" t="n">
        <f aca="false">AP32*(1-$B$12)-AS32*$B$13/4</f>
        <v>716500.9</v>
      </c>
      <c r="AU32" s="14" t="n">
        <f aca="false">0</f>
        <v>0</v>
      </c>
      <c r="AV32" s="14" t="n">
        <f aca="false">AT32-AR32-AU32</f>
        <v>716500.9</v>
      </c>
      <c r="AW32" s="21" t="n">
        <f aca="false">(1+$B$16)^(-$A32/4)</f>
        <v>0.945555534284444</v>
      </c>
      <c r="AX32" s="14" t="n">
        <f aca="false">AV32*AW32</f>
        <v>677491.391314785</v>
      </c>
      <c r="AY32" s="14" t="n">
        <f aca="false">AV32</f>
        <v>716500.9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162000</v>
      </c>
      <c r="AM33" s="14" t="n">
        <f aca="false">IF($A33&lt;=$G$8,$E$8*$F$8,IF(AI33&gt;=$B$8,AK33*$B$4*(1+$B$5)^(($G$8+$B$8+AJ33*($B$8+$B$10))/4),0))</f>
        <v>648000</v>
      </c>
      <c r="AN33" s="14" t="n">
        <f aca="false">IF($A33&lt;=$G$8,0,IF(AI33=0,AK33*$B$6*(1+$B$7)^(($G$8+AJ33*($B$8+$B$10))/4),0)+IF(AI33=$B$8,$B$11*$B$4*(1+$B$5)^(($G$8+$B$8+AJ33*($B$8+$B$10))/4)*AK33,0))</f>
        <v>0</v>
      </c>
      <c r="AO33" s="21" t="n">
        <f aca="false">IF($A33&lt;=$G$8,0,IF(AI33&lt;$B$8,AK33,0))</f>
        <v>0</v>
      </c>
      <c r="AP33" s="14" t="n">
        <f aca="false">F33+N33+V33+AD33+AL33</f>
        <v>924235</v>
      </c>
      <c r="AQ33" s="14" t="n">
        <f aca="false">G33+O33+W33+AE33+AM33</f>
        <v>3696940</v>
      </c>
      <c r="AR33" s="14" t="n">
        <f aca="false">H33+P33+X33+AF33+AN33+IF($A33=$B$15,$B$14,0)</f>
        <v>0</v>
      </c>
      <c r="AS33" s="21" t="n">
        <f aca="false">I33+Q33+Y33+AG33+AO33</f>
        <v>0</v>
      </c>
      <c r="AT33" s="14" t="n">
        <f aca="false">AP33*(1-$B$12)-AS33*$B$13/4</f>
        <v>868780.9</v>
      </c>
      <c r="AU33" s="14" t="n">
        <f aca="false">0</f>
        <v>0</v>
      </c>
      <c r="AV33" s="14" t="n">
        <f aca="false">AT33-AR33-AU33</f>
        <v>868780.9</v>
      </c>
      <c r="AW33" s="21" t="n">
        <f aca="false">(1+$B$16)^(-$A33/4)</f>
        <v>0.928074245939675</v>
      </c>
      <c r="AX33" s="14" t="n">
        <f aca="false">AV33*AW33</f>
        <v>806293.178654292</v>
      </c>
      <c r="AY33" s="14" t="n">
        <f aca="false">AV33</f>
        <v>868780.9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162000</v>
      </c>
      <c r="AM34" s="14" t="n">
        <f aca="false">IF($A34&lt;=$G$8,$E$8*$F$8,IF(AI34&gt;=$B$8,AK34*$B$4*(1+$B$5)^(($G$8+$B$8+AJ34*($B$8+$B$10))/4),0))</f>
        <v>648000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924235</v>
      </c>
      <c r="AQ34" s="14" t="n">
        <f aca="false">G34+O34+W34+AE34+AM34</f>
        <v>3696940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868780.9</v>
      </c>
      <c r="AU34" s="14" t="n">
        <f aca="false">0</f>
        <v>0</v>
      </c>
      <c r="AV34" s="14" t="n">
        <f aca="false">AT34-AR34-AU34</f>
        <v>868780.9</v>
      </c>
      <c r="AW34" s="21" t="n">
        <f aca="false">(1+$B$16)^(-$A34/4)</f>
        <v>0.910916149021652</v>
      </c>
      <c r="AX34" s="14" t="n">
        <f aca="false">AV34*AW34</f>
        <v>791386.551771565</v>
      </c>
      <c r="AY34" s="14" t="n">
        <f aca="false">AV34</f>
        <v>868780.9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162000</v>
      </c>
      <c r="AM35" s="14" t="n">
        <f aca="false">IF($A35&lt;=$G$8,$E$8*$F$8,IF(AI35&gt;=$B$8,AK35*$B$4*(1+$B$5)^(($G$8+$B$8+AJ35*($B$8+$B$10))/4),0))</f>
        <v>648000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924235</v>
      </c>
      <c r="AQ35" s="14" t="n">
        <f aca="false">G35+O35+W35+AE35+AM35</f>
        <v>3696940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868780.9</v>
      </c>
      <c r="AU35" s="14" t="n">
        <f aca="false">0</f>
        <v>0</v>
      </c>
      <c r="AV35" s="14" t="n">
        <f aca="false">AT35-AR35-AU35</f>
        <v>868780.9</v>
      </c>
      <c r="AW35" s="21" t="n">
        <f aca="false">(1+$B$16)^(-$A35/4)</f>
        <v>0.894075268415941</v>
      </c>
      <c r="AX35" s="14" t="n">
        <f aca="false">AV35*AW35</f>
        <v>776755.516362143</v>
      </c>
      <c r="AY35" s="14" t="n">
        <f aca="false">AV35</f>
        <v>868780.9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306775.24957206</v>
      </c>
      <c r="AF36" s="14" t="n">
        <f aca="false">IF($A36&lt;=$G$7,0,IF(AA36=0,AC36*$B$6*(1+$B$7)^(($G$7+AB36*($B$8+$B$10))/4),0)+IF(AA36=$B$8,$B$11*$B$4*(1+$B$5)^(($G$7+$B$8+AB36*($B$8+$B$10))/4)*AC36,0))</f>
        <v>472661.061090237</v>
      </c>
      <c r="AG36" s="21" t="n">
        <f aca="false">IF($A36&lt;=$G$7,0,IF(AA36&lt;$B$8,AC36,0))</f>
        <v>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162000</v>
      </c>
      <c r="AM36" s="14" t="n">
        <f aca="false">IF($A36&lt;=$G$8,$E$8*$F$8,IF(AI36&gt;=$B$8,AK36*$B$4*(1+$B$5)^(($G$8+$B$8+AJ36*($B$8+$B$10))/4),0))</f>
        <v>648000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846235</v>
      </c>
      <c r="AQ36" s="14" t="n">
        <f aca="false">G36+O36+W36+AE36+AM36</f>
        <v>3691715.24957206</v>
      </c>
      <c r="AR36" s="14" t="n">
        <f aca="false">H36+P36+X36+AF36+AN36+IF($A36=$B$15,$B$14,0)</f>
        <v>472661.061090237</v>
      </c>
      <c r="AS36" s="21" t="n">
        <f aca="false">I36+Q36+Y36+AG36+AO36</f>
        <v>0</v>
      </c>
      <c r="AT36" s="14" t="n">
        <f aca="false">AP36*(1-$B$12)-AS36*$B$13/4</f>
        <v>795460.9</v>
      </c>
      <c r="AU36" s="14" t="n">
        <f aca="false">0</f>
        <v>0</v>
      </c>
      <c r="AV36" s="14" t="n">
        <f aca="false">AT36-AR36-AU36</f>
        <v>322799.838909763</v>
      </c>
      <c r="AW36" s="21" t="n">
        <f aca="false">(1+$B$16)^(-$A36/4)</f>
        <v>0.877545739475122</v>
      </c>
      <c r="AX36" s="14" t="n">
        <f aca="false">AV36*AW36</f>
        <v>283271.623338519</v>
      </c>
      <c r="AY36" s="14" t="n">
        <f aca="false">AV36</f>
        <v>322799.838909763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306775.24957206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162000</v>
      </c>
      <c r="AM37" s="14" t="n">
        <f aca="false">IF($A37&lt;=$G$8,$E$8*$F$8,IF(AI37&gt;=$B$8,AK37*$B$4*(1+$B$5)^(($G$8+$B$8+AJ37*($B$8+$B$10))/4),0))</f>
        <v>648000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846235</v>
      </c>
      <c r="AQ37" s="14" t="n">
        <f aca="false">G37+O37+W37+AE37+AM37</f>
        <v>3691715.24957206</v>
      </c>
      <c r="AR37" s="14" t="n">
        <f aca="false">H37+P37+X37+AF37+AN37+IF($A37=$B$15,$B$14,0)</f>
        <v>0</v>
      </c>
      <c r="AS37" s="21" t="n">
        <f aca="false">I37+Q37+Y37+AG37+AO37</f>
        <v>0</v>
      </c>
      <c r="AT37" s="14" t="n">
        <f aca="false">AP37*(1-$B$12)-AS37*$B$13/4</f>
        <v>795460.9</v>
      </c>
      <c r="AU37" s="14" t="n">
        <f aca="false">0</f>
        <v>0</v>
      </c>
      <c r="AV37" s="14" t="n">
        <f aca="false">AT37-AR37-AU37</f>
        <v>795460.9</v>
      </c>
      <c r="AW37" s="21" t="n">
        <f aca="false">(1+$B$16)^(-$A37/4)</f>
        <v>0.861321805976497</v>
      </c>
      <c r="AX37" s="14" t="n">
        <f aca="false">AV37*AW37</f>
        <v>685147.81897169</v>
      </c>
      <c r="AY37" s="14" t="n">
        <f aca="false">AV37</f>
        <v>795460.9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306775.24957206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162000</v>
      </c>
      <c r="AM38" s="14" t="n">
        <f aca="false">IF($A38&lt;=$G$8,$E$8*$F$8,IF(AI38&gt;=$B$8,AK38*$B$4*(1+$B$5)^(($G$8+$B$8+AJ38*($B$8+$B$10))/4),0))</f>
        <v>648000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846235</v>
      </c>
      <c r="AQ38" s="14" t="n">
        <f aca="false">G38+O38+W38+AE38+AM38</f>
        <v>3691715.24957206</v>
      </c>
      <c r="AR38" s="14" t="n">
        <f aca="false">H38+P38+X38+AF38+AN38+IF($A38=$B$15,$B$14,0)</f>
        <v>0</v>
      </c>
      <c r="AS38" s="21" t="n">
        <f aca="false">I38+Q38+Y38+AG38+AO38</f>
        <v>0</v>
      </c>
      <c r="AT38" s="14" t="n">
        <f aca="false">AP38*(1-$B$12)-AS38*$B$13/4</f>
        <v>795460.9</v>
      </c>
      <c r="AU38" s="14" t="n">
        <f aca="false">0</f>
        <v>0</v>
      </c>
      <c r="AV38" s="14" t="n">
        <f aca="false">AT38-AR38-AU38</f>
        <v>795460.9</v>
      </c>
      <c r="AW38" s="21" t="n">
        <f aca="false">(1+$B$16)^(-$A38/4)</f>
        <v>0.845397818117543</v>
      </c>
      <c r="AX38" s="14" t="n">
        <f aca="false">AV38*AW38</f>
        <v>672480.909257817</v>
      </c>
      <c r="AY38" s="14" t="n">
        <f aca="false">AV38</f>
        <v>795460.9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76693.8123930151</v>
      </c>
      <c r="AE39" s="14" t="n">
        <f aca="false">IF($A39&lt;=$G$7,$E$7*$F$7,IF(AA39&gt;=$B$8,AC39*$B$4*(1+$B$5)^(($G$7+$B$8+AB39*($B$8+$B$10))/4),0))</f>
        <v>306775.24957206</v>
      </c>
      <c r="AF39" s="14" t="n">
        <f aca="false">IF($A39&lt;=$G$7,0,IF(AA39=0,AC39*$B$6*(1+$B$7)^(($G$7+AB39*($B$8+$B$10))/4),0)+IF(AA39=$B$8,$B$11*$B$4*(1+$B$5)^(($G$7+$B$8+AB39*($B$8+$B$10))/4)*AC39,0))</f>
        <v>0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162000</v>
      </c>
      <c r="AM39" s="14" t="n">
        <f aca="false">IF($A39&lt;=$G$8,$E$8*$F$8,IF(AI39&gt;=$B$8,AK39*$B$4*(1+$B$5)^(($G$8+$B$8+AJ39*($B$8+$B$10))/4),0))</f>
        <v>648000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922928.812393015</v>
      </c>
      <c r="AQ39" s="14" t="n">
        <f aca="false">G39+O39+W39+AE39+AM39</f>
        <v>3691715.24957206</v>
      </c>
      <c r="AR39" s="14" t="n">
        <f aca="false">H39+P39+X39+AF39+AN39+IF($A39=$B$15,$B$14,0)</f>
        <v>0</v>
      </c>
      <c r="AS39" s="21" t="n">
        <f aca="false">I39+Q39+Y39+AG39+AO39</f>
        <v>0</v>
      </c>
      <c r="AT39" s="14" t="n">
        <f aca="false">AP39*(1-$B$12)-AS39*$B$13/4</f>
        <v>867553.083649434</v>
      </c>
      <c r="AU39" s="14" t="n">
        <f aca="false">0</f>
        <v>0</v>
      </c>
      <c r="AV39" s="14" t="n">
        <f aca="false">AT39-AR39-AU39</f>
        <v>867553.083649434</v>
      </c>
      <c r="AW39" s="21" t="n">
        <f aca="false">(1+$B$16)^(-$A39/4)</f>
        <v>0.829768230548437</v>
      </c>
      <c r="AX39" s="14" t="n">
        <f aca="false">AV39*AW39</f>
        <v>719867.987126631</v>
      </c>
      <c r="AY39" s="14" t="n">
        <f aca="false">AV39</f>
        <v>867553.083649434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1307782.88892569</v>
      </c>
      <c r="H40" s="14" t="n">
        <f aca="false">IF($A40&lt;=$G$4,0,IF(C40=0,E40*$B$6*(1+$B$7)^(($G$4+D40*($B$8+$B$10))/4),0)+IF(C40=$B$8,$B$11*$B$4*(1+$B$5)^(($G$4+$B$8+D40*($B$8+$B$10))/4)*E40,0))</f>
        <v>2033259.72073563</v>
      </c>
      <c r="I40" s="21" t="n">
        <f aca="false">IF($A40&lt;=$G$4,0,IF(C40&lt;$B$8,E40,0))</f>
        <v>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76693.8123930151</v>
      </c>
      <c r="AE40" s="14" t="n">
        <f aca="false">IF($A40&lt;=$G$7,$E$7*$F$7,IF(AA40&gt;=$B$8,AC40*$B$4*(1+$B$5)^(($G$7+$B$8+AB40*($B$8+$B$10))/4),0))</f>
        <v>306775.24957206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162000</v>
      </c>
      <c r="AM40" s="14" t="n">
        <f aca="false">IF($A40&lt;=$G$8,$E$8*$F$8,IF(AI40&gt;=$B$8,AK40*$B$4*(1+$B$5)^(($G$8+$B$8+AJ40*($B$8+$B$10))/4),0))</f>
        <v>648000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589028.812393015</v>
      </c>
      <c r="AQ40" s="14" t="n">
        <f aca="false">G40+O40+W40+AE40+AM40</f>
        <v>3663898.13849775</v>
      </c>
      <c r="AR40" s="14" t="n">
        <f aca="false">H40+P40+X40+AF40+AN40+IF($A40=$B$15,$B$14,0)</f>
        <v>2033259.72073563</v>
      </c>
      <c r="AS40" s="21" t="n">
        <f aca="false">I40+Q40+Y40+AG40+AO40</f>
        <v>0</v>
      </c>
      <c r="AT40" s="14" t="n">
        <f aca="false">AP40*(1-$B$12)-AS40*$B$13/4</f>
        <v>553687.083649434</v>
      </c>
      <c r="AU40" s="14" t="n">
        <f aca="false">0</f>
        <v>0</v>
      </c>
      <c r="AV40" s="14" t="n">
        <f aca="false">AT40-AR40-AU40</f>
        <v>-1479572.63708619</v>
      </c>
      <c r="AW40" s="21" t="n">
        <f aca="false">(1+$B$16)^(-$A40/4)</f>
        <v>0.814427600440949</v>
      </c>
      <c r="AX40" s="14" t="n">
        <f aca="false">AV40*AW40</f>
        <v>-1205004.79250019</v>
      </c>
      <c r="AY40" s="14" t="n">
        <f aca="false">AV40</f>
        <v>-1479572.63708619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1307782.88892569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76693.8123930151</v>
      </c>
      <c r="AE41" s="14" t="n">
        <f aca="false">IF($A41&lt;=$G$7,$E$7*$F$7,IF(AA41&gt;=$B$8,AC41*$B$4*(1+$B$5)^(($G$7+$B$8+AB41*($B$8+$B$10))/4),0))</f>
        <v>306775.24957206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162000</v>
      </c>
      <c r="AM41" s="14" t="n">
        <f aca="false">IF($A41&lt;=$G$8,$E$8*$F$8,IF(AI41&gt;=$B$8,AK41*$B$4*(1+$B$5)^(($G$8+$B$8+AJ41*($B$8+$B$10))/4),0))</f>
        <v>648000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589028.812393015</v>
      </c>
      <c r="AQ41" s="14" t="n">
        <f aca="false">G41+O41+W41+AE41+AM41</f>
        <v>3663898.13849775</v>
      </c>
      <c r="AR41" s="14" t="n">
        <f aca="false">H41+P41+X41+AF41+AN41+IF($A41=$B$15,$B$14,0)</f>
        <v>1900000</v>
      </c>
      <c r="AS41" s="21" t="n">
        <f aca="false">I41+Q41+Y41+AG41+AO41</f>
        <v>0</v>
      </c>
      <c r="AT41" s="14" t="n">
        <f aca="false">AP41*(1-$B$12)-AS41*$B$13/4</f>
        <v>553687.083649434</v>
      </c>
      <c r="AU41" s="14" t="n">
        <f aca="false">0</f>
        <v>0</v>
      </c>
      <c r="AV41" s="14" t="n">
        <f aca="false">AT41-AR41-AU41</f>
        <v>-1346312.91635057</v>
      </c>
      <c r="AW41" s="21" t="n">
        <f aca="false">(1+$B$16)^(-$A41/4)</f>
        <v>0.799370585593037</v>
      </c>
      <c r="AX41" s="14" t="n">
        <f aca="false">AV41*AW41</f>
        <v>-1076202.94433462</v>
      </c>
      <c r="AY41" s="14" t="n">
        <f aca="false">AV41</f>
        <v>-1346312.91635057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1307782.88892569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76693.8123930151</v>
      </c>
      <c r="AE42" s="14" t="n">
        <f aca="false">IF($A42&lt;=$G$7,$E$7*$F$7,IF(AA42&gt;=$B$8,AC42*$B$4*(1+$B$5)^(($G$7+$B$8+AB42*($B$8+$B$10))/4),0))</f>
        <v>306775.24957206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162000</v>
      </c>
      <c r="AM42" s="14" t="n">
        <f aca="false">IF($A42&lt;=$G$8,$E$8*$F$8,IF(AI42&gt;=$B$8,AK42*$B$4*(1+$B$5)^(($G$8+$B$8+AJ42*($B$8+$B$10))/4),0))</f>
        <v>648000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589028.812393015</v>
      </c>
      <c r="AQ42" s="14" t="n">
        <f aca="false">G42+O42+W42+AE42+AM42</f>
        <v>3663898.13849775</v>
      </c>
      <c r="AR42" s="14" t="n">
        <f aca="false">H42+P42+X42+AF42+AN42+IF($A42=$B$15,$B$14,0)</f>
        <v>0</v>
      </c>
      <c r="AS42" s="21" t="n">
        <f aca="false">I42+Q42+Y42+AG42+AO42</f>
        <v>0</v>
      </c>
      <c r="AT42" s="14" t="n">
        <f aca="false">AP42*(1-$B$12)-AS42*$B$13/4</f>
        <v>553687.083649434</v>
      </c>
      <c r="AU42" s="14" t="n">
        <f aca="false">0</f>
        <v>0</v>
      </c>
      <c r="AV42" s="14" t="n">
        <f aca="false">AT42-AR42-AU42</f>
        <v>553687.083649434</v>
      </c>
      <c r="AW42" s="21" t="n">
        <f aca="false">(1+$B$16)^(-$A42/4)</f>
        <v>0.784591942568485</v>
      </c>
      <c r="AX42" s="14" t="n">
        <f aca="false">AV42*AW42</f>
        <v>434418.424535589</v>
      </c>
      <c r="AY42" s="14" t="n">
        <f aca="false">AV42</f>
        <v>553687.083649434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326945.722231423</v>
      </c>
      <c r="G43" s="14" t="n">
        <f aca="false">IF($A43&lt;=$G$4,$E$4*$F$4,IF(C43&gt;=$B$8,E43*$B$4*(1+$B$5)^(($G$4+$B$8+D43*($B$8+$B$10))/4),0))</f>
        <v>1307782.88892569</v>
      </c>
      <c r="H43" s="14" t="n">
        <f aca="false">IF($A43&lt;=$G$4,0,IF(C43=0,E43*$B$6*(1+$B$7)^(($G$4+D43*($B$8+$B$10))/4),0)+IF(C43=$B$8,$B$11*$B$4*(1+$B$5)^(($G$4+$B$8+D43*($B$8+$B$10))/4)*E43,0))</f>
        <v>0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76693.8123930151</v>
      </c>
      <c r="AE43" s="14" t="n">
        <f aca="false">IF($A43&lt;=$G$7,$E$7*$F$7,IF(AA43&gt;=$B$8,AC43*$B$4*(1+$B$5)^(($G$7+$B$8+AB43*($B$8+$B$10))/4),0))</f>
        <v>306775.24957206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162000</v>
      </c>
      <c r="AM43" s="14" t="n">
        <f aca="false">IF($A43&lt;=$G$8,$E$8*$F$8,IF(AI43&gt;=$B$8,AK43*$B$4*(1+$B$5)^(($G$8+$B$8+AJ43*($B$8+$B$10))/4),0))</f>
        <v>648000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915974.534624439</v>
      </c>
      <c r="AQ43" s="14" t="n">
        <f aca="false">G43+O43+W43+AE43+AM43</f>
        <v>3663898.13849775</v>
      </c>
      <c r="AR43" s="14" t="n">
        <f aca="false">H43+P43+X43+AF43+AN43+IF($A43=$B$15,$B$14,0)</f>
        <v>0</v>
      </c>
      <c r="AS43" s="21" t="n">
        <f aca="false">I43+Q43+Y43+AG43+AO43</f>
        <v>0</v>
      </c>
      <c r="AT43" s="14" t="n">
        <f aca="false">AP43*(1-$B$12)-AS43*$B$13/4</f>
        <v>861016.062546972</v>
      </c>
      <c r="AU43" s="14" t="n">
        <f aca="false">0</f>
        <v>0</v>
      </c>
      <c r="AV43" s="14" t="n">
        <f aca="false">AT43-AR43-AU43</f>
        <v>861016.062546972</v>
      </c>
      <c r="AW43" s="21" t="n">
        <f aca="false">(1+$B$16)^(-$A43/4)</f>
        <v>0.770086524870939</v>
      </c>
      <c r="AX43" s="14" t="n">
        <f aca="false">AV43*AW43</f>
        <v>663056.867464857</v>
      </c>
      <c r="AY43" s="14" t="n">
        <f aca="false">AV43</f>
        <v>861016.062546972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326945.722231423</v>
      </c>
      <c r="G44" s="14" t="n">
        <f aca="false">IF($A44&lt;=$G$4,$E$4*$F$4,IF(C44&gt;=$B$8,E44*$B$4*(1+$B$5)^(($G$4+$B$8+D44*($B$8+$B$10))/4),0))</f>
        <v>1307782.88892569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76693.8123930151</v>
      </c>
      <c r="AE44" s="14" t="n">
        <f aca="false">IF($A44&lt;=$G$7,$E$7*$F$7,IF(AA44&gt;=$B$8,AC44*$B$4*(1+$B$5)^(($G$7+$B$8+AB44*($B$8+$B$10))/4),0))</f>
        <v>306775.24957206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162000</v>
      </c>
      <c r="AM44" s="14" t="n">
        <f aca="false">IF($A44&lt;=$G$8,$E$8*$F$8,IF(AI44&gt;=$B$8,AK44*$B$4*(1+$B$5)^(($G$8+$B$8+AJ44*($B$8+$B$10))/4),0))</f>
        <v>648000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915974.534624439</v>
      </c>
      <c r="AQ44" s="14" t="n">
        <f aca="false">G44+O44+W44+AE44+AM44</f>
        <v>3663898.13849775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861016.062546972</v>
      </c>
      <c r="AU44" s="14" t="n">
        <f aca="false">0</f>
        <v>0</v>
      </c>
      <c r="AV44" s="14" t="n">
        <f aca="false">AT44-AR44-AU44</f>
        <v>861016.062546972</v>
      </c>
      <c r="AW44" s="21" t="n">
        <f aca="false">(1+$B$16)^(-$A44/4)</f>
        <v>0.755849281151693</v>
      </c>
      <c r="AX44" s="14" t="n">
        <f aca="false">AV44*AW44</f>
        <v>650798.37193619</v>
      </c>
      <c r="AY44" s="14" t="n">
        <f aca="false">AV44</f>
        <v>861016.062546972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326945.722231423</v>
      </c>
      <c r="G45" s="14" t="n">
        <f aca="false">IF($A45&lt;=$G$4,$E$4*$F$4,IF(C45&gt;=$B$8,E45*$B$4*(1+$B$5)^(($G$4+$B$8+D45*($B$8+$B$10))/4),0))</f>
        <v>1307782.88892569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76693.8123930151</v>
      </c>
      <c r="AE45" s="14" t="n">
        <f aca="false">IF($A45&lt;=$G$7,$E$7*$F$7,IF(AA45&gt;=$B$8,AC45*$B$4*(1+$B$5)^(($G$7+$B$8+AB45*($B$8+$B$10))/4),0))</f>
        <v>306775.24957206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162000</v>
      </c>
      <c r="AM45" s="14" t="n">
        <f aca="false">IF($A45&lt;=$G$8,$E$8*$F$8,IF(AI45&gt;=$B$8,AK45*$B$4*(1+$B$5)^(($G$8+$B$8+AJ45*($B$8+$B$10))/4),0))</f>
        <v>648000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915974.534624439</v>
      </c>
      <c r="AQ45" s="14" t="n">
        <f aca="false">G45+O45+W45+AE45+AM45</f>
        <v>3663898.13849775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861016.062546972</v>
      </c>
      <c r="AU45" s="14" t="n">
        <f aca="false">0</f>
        <v>0</v>
      </c>
      <c r="AV45" s="14" t="n">
        <f aca="false">AT45-AR45-AU45</f>
        <v>861016.062546972</v>
      </c>
      <c r="AW45" s="21" t="n">
        <f aca="false">(1+$B$16)^(-$A45/4)</f>
        <v>0.741875253450614</v>
      </c>
      <c r="AX45" s="14" t="n">
        <f aca="false">AV45*AW45</f>
        <v>638766.509627085</v>
      </c>
      <c r="AY45" s="14" t="n">
        <f aca="false">AV45</f>
        <v>861016.062546972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326945.722231423</v>
      </c>
      <c r="G46" s="14" t="n">
        <f aca="false">IF($A46&lt;=$G$4,$E$4*$F$4,IF(C46&gt;=$B$8,E46*$B$4*(1+$B$5)^(($G$4+$B$8+D46*($B$8+$B$10))/4),0))</f>
        <v>1307782.88892569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987068.10208125</v>
      </c>
      <c r="P46" s="14" t="n">
        <f aca="false">IF($A46&lt;=$G$5,0,IF(K46=0,M46*$B$6*(1+$B$7)^(($G$5+L46*($B$8+$B$10))/4),0)+IF(K46=$B$8,$B$11*$B$4*(1+$B$5)^(($G$5+$B$8+L46*($B$8+$B$10))/4)*M46,0))</f>
        <v>1555612.5558435</v>
      </c>
      <c r="Q46" s="21" t="n">
        <f aca="false">IF($A46&lt;=$G$5,0,IF(K46&lt;$B$8,M46,0))</f>
        <v>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76693.8123930151</v>
      </c>
      <c r="AE46" s="14" t="n">
        <f aca="false">IF($A46&lt;=$G$7,$E$7*$F$7,IF(AA46&gt;=$B$8,AC46*$B$4*(1+$B$5)^(($G$7+$B$8+AB46*($B$8+$B$10))/4),0))</f>
        <v>306775.24957206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162000</v>
      </c>
      <c r="AM46" s="14" t="n">
        <f aca="false">IF($A46&lt;=$G$8,$E$8*$F$8,IF(AI46&gt;=$B$8,AK46*$B$4*(1+$B$5)^(($G$8+$B$8+AJ46*($B$8+$B$10))/4),0))</f>
        <v>648000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679599.534624439</v>
      </c>
      <c r="AQ46" s="14" t="n">
        <f aca="false">G46+O46+W46+AE46+AM46</f>
        <v>3705466.240579</v>
      </c>
      <c r="AR46" s="14" t="n">
        <f aca="false">H46+P46+X46+AF46+AN46+IF($A46=$B$15,$B$14,0)</f>
        <v>1555612.5558435</v>
      </c>
      <c r="AS46" s="21" t="n">
        <f aca="false">I46+Q46+Y46+AG46+AO46</f>
        <v>0</v>
      </c>
      <c r="AT46" s="14" t="n">
        <f aca="false">AP46*(1-$B$12)-AS46*$B$13/4</f>
        <v>638823.562546972</v>
      </c>
      <c r="AU46" s="14" t="n">
        <f aca="false">0</f>
        <v>0</v>
      </c>
      <c r="AV46" s="14" t="n">
        <f aca="false">AT46-AR46-AU46</f>
        <v>-916788.993296527</v>
      </c>
      <c r="AW46" s="21" t="n">
        <f aca="false">(1+$B$16)^(-$A46/4)</f>
        <v>0.728159575469592</v>
      </c>
      <c r="AX46" s="14" t="n">
        <f aca="false">AV46*AW46</f>
        <v>-667568.684153994</v>
      </c>
      <c r="AY46" s="14" t="n">
        <f aca="false">AV46</f>
        <v>-916788.993296527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326945.722231423</v>
      </c>
      <c r="G47" s="14" t="n">
        <f aca="false">IF($A47&lt;=$G$4,$E$4*$F$4,IF(C47&gt;=$B$8,E47*$B$4*(1+$B$5)^(($G$4+$B$8+D47*($B$8+$B$10))/4),0))</f>
        <v>1307782.88892569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987068.10208125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76693.8123930151</v>
      </c>
      <c r="AE47" s="14" t="n">
        <f aca="false">IF($A47&lt;=$G$7,$E$7*$F$7,IF(AA47&gt;=$B$8,AC47*$B$4*(1+$B$5)^(($G$7+$B$8+AB47*($B$8+$B$10))/4),0))</f>
        <v>306775.24957206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162000</v>
      </c>
      <c r="AM47" s="14" t="n">
        <f aca="false">IF($A47&lt;=$G$8,$E$8*$F$8,IF(AI47&gt;=$B$8,AK47*$B$4*(1+$B$5)^(($G$8+$B$8+AJ47*($B$8+$B$10))/4),0))</f>
        <v>648000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679599.534624439</v>
      </c>
      <c r="AQ47" s="14" t="n">
        <f aca="false">G47+O47+W47+AE47+AM47</f>
        <v>3705466.240579</v>
      </c>
      <c r="AR47" s="14" t="n">
        <f aca="false">H47+P47+X47+AF47+AN47+IF($A47=$B$15,$B$14,0)</f>
        <v>0</v>
      </c>
      <c r="AS47" s="21" t="n">
        <f aca="false">I47+Q47+Y47+AG47+AO47</f>
        <v>0</v>
      </c>
      <c r="AT47" s="14" t="n">
        <f aca="false">AP47*(1-$B$12)-AS47*$B$13/4</f>
        <v>638823.562546972</v>
      </c>
      <c r="AU47" s="14" t="n">
        <f aca="false">0</f>
        <v>0</v>
      </c>
      <c r="AV47" s="14" t="n">
        <f aca="false">AT47-AR47-AU47</f>
        <v>638823.562546972</v>
      </c>
      <c r="AW47" s="21" t="n">
        <f aca="false">(1+$B$16)^(-$A47/4)</f>
        <v>0.714697470877902</v>
      </c>
      <c r="AX47" s="14" t="n">
        <f aca="false">AV47*AW47</f>
        <v>456565.584489532</v>
      </c>
      <c r="AY47" s="14" t="n">
        <f aca="false">AV47</f>
        <v>638823.562546972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326945.722231423</v>
      </c>
      <c r="G48" s="14" t="n">
        <f aca="false">IF($A48&lt;=$G$4,$E$4*$F$4,IF(C48&gt;=$B$8,E48*$B$4*(1+$B$5)^(($G$4+$B$8+D48*($B$8+$B$10))/4),0))</f>
        <v>1307782.88892569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987068.10208125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76693.8123930151</v>
      </c>
      <c r="AE48" s="14" t="n">
        <f aca="false">IF($A48&lt;=$G$7,$E$7*$F$7,IF(AA48&gt;=$B$8,AC48*$B$4*(1+$B$5)^(($G$7+$B$8+AB48*($B$8+$B$10))/4),0))</f>
        <v>306775.24957206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162000</v>
      </c>
      <c r="AM48" s="14" t="n">
        <f aca="false">IF($A48&lt;=$G$8,$E$8*$F$8,IF(AI48&gt;=$B$8,AK48*$B$4*(1+$B$5)^(($G$8+$B$8+AJ48*($B$8+$B$10))/4),0))</f>
        <v>648000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679599.534624439</v>
      </c>
      <c r="AQ48" s="14" t="n">
        <f aca="false">G48+O48+W48+AE48+AM48</f>
        <v>3705466.240579</v>
      </c>
      <c r="AR48" s="14" t="n">
        <f aca="false">H48+P48+X48+AF48+AN48+IF($A48=$B$15,$B$14,0)</f>
        <v>0</v>
      </c>
      <c r="AS48" s="21" t="n">
        <f aca="false">I48+Q48+Y48+AG48+AO48</f>
        <v>0</v>
      </c>
      <c r="AT48" s="14" t="n">
        <f aca="false">AP48*(1-$B$12)-AS48*$B$13/4</f>
        <v>638823.562546972</v>
      </c>
      <c r="AU48" s="14" t="n">
        <f aca="false">0</f>
        <v>0</v>
      </c>
      <c r="AV48" s="14" t="n">
        <f aca="false">AT48-AR48-AU48</f>
        <v>638823.562546972</v>
      </c>
      <c r="AW48" s="21" t="n">
        <f aca="false">(1+$B$16)^(-$A48/4)</f>
        <v>0.701484251648903</v>
      </c>
      <c r="AX48" s="14" t="n">
        <f aca="false">AV48*AW48</f>
        <v>448124.668708949</v>
      </c>
      <c r="AY48" s="14" t="n">
        <f aca="false">AV48</f>
        <v>638823.562546972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326945.722231423</v>
      </c>
      <c r="G49" s="14" t="n">
        <f aca="false">IF($A49&lt;=$G$4,$E$4*$F$4,IF(C49&gt;=$B$8,E49*$B$4*(1+$B$5)^(($G$4+$B$8+D49*($B$8+$B$10))/4),0))</f>
        <v>1307782.88892569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246767.025520312</v>
      </c>
      <c r="O49" s="14" t="n">
        <f aca="false">IF($A49&lt;=$G$5,$E$5*$F$5,IF(K49&gt;=$B$8,M49*$B$4*(1+$B$5)^(($G$5+$B$8+L49*($B$8+$B$10))/4),0))</f>
        <v>987068.10208125</v>
      </c>
      <c r="P49" s="14" t="n">
        <f aca="false">IF($A49&lt;=$G$5,0,IF(K49=0,M49*$B$6*(1+$B$7)^(($G$5+L49*($B$8+$B$10))/4),0)+IF(K49=$B$8,$B$11*$B$4*(1+$B$5)^(($G$5+$B$8+L49*($B$8+$B$10))/4)*M49,0))</f>
        <v>0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76693.8123930151</v>
      </c>
      <c r="AE49" s="14" t="n">
        <f aca="false">IF($A49&lt;=$G$7,$E$7*$F$7,IF(AA49&gt;=$B$8,AC49*$B$4*(1+$B$5)^(($G$7+$B$8+AB49*($B$8+$B$10))/4),0))</f>
        <v>306775.24957206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162000</v>
      </c>
      <c r="AM49" s="14" t="n">
        <f aca="false">IF($A49&lt;=$G$8,$E$8*$F$8,IF(AI49&gt;=$B$8,AK49*$B$4*(1+$B$5)^(($G$8+$B$8+AJ49*($B$8+$B$10))/4),0))</f>
        <v>648000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926366.560144751</v>
      </c>
      <c r="AQ49" s="14" t="n">
        <f aca="false">G49+O49+W49+AE49+AM49</f>
        <v>3705466.240579</v>
      </c>
      <c r="AR49" s="14" t="n">
        <f aca="false">H49+P49+X49+AF49+AN49+IF($A49=$B$15,$B$14,0)</f>
        <v>0</v>
      </c>
      <c r="AS49" s="21" t="n">
        <f aca="false">I49+Q49+Y49+AG49+AO49</f>
        <v>0</v>
      </c>
      <c r="AT49" s="14" t="n">
        <f aca="false">AP49*(1-$B$12)-AS49*$B$13/4</f>
        <v>870784.566536066</v>
      </c>
      <c r="AU49" s="14" t="n">
        <f aca="false">0</f>
        <v>0</v>
      </c>
      <c r="AV49" s="14" t="n">
        <f aca="false">AT49-AR49-AU49</f>
        <v>870784.566536066</v>
      </c>
      <c r="AW49" s="21" t="n">
        <f aca="false">(1+$B$16)^(-$A49/4)</f>
        <v>0.688515316427484</v>
      </c>
      <c r="AX49" s="14" t="n">
        <f aca="false">AV49*AW49</f>
        <v>599548.511368749</v>
      </c>
      <c r="AY49" s="14" t="n">
        <f aca="false">AV49</f>
        <v>870784.566536066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326945.722231423</v>
      </c>
      <c r="G50" s="14" t="n">
        <f aca="false">IF($A50&lt;=$G$4,$E$4*$F$4,IF(C50&gt;=$B$8,E50*$B$4*(1+$B$5)^(($G$4+$B$8+D50*($B$8+$B$10))/4),0))</f>
        <v>1307782.88892569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246767.025520312</v>
      </c>
      <c r="O50" s="14" t="n">
        <f aca="false">IF($A50&lt;=$G$5,$E$5*$F$5,IF(K50&gt;=$B$8,M50*$B$4*(1+$B$5)^(($G$5+$B$8+L50*($B$8+$B$10))/4),0))</f>
        <v>987068.10208125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76693.8123930151</v>
      </c>
      <c r="AE50" s="14" t="n">
        <f aca="false">IF($A50&lt;=$G$7,$E$7*$F$7,IF(AA50&gt;=$B$8,AC50*$B$4*(1+$B$5)^(($G$7+$B$8+AB50*($B$8+$B$10))/4),0))</f>
        <v>306775.24957206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0</v>
      </c>
      <c r="AJ50" s="21" t="n">
        <f aca="false">IF(AH50&lt;0,0,INT(AH50/($B$8+$B$10)))</f>
        <v>1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0</v>
      </c>
      <c r="AM50" s="14" t="n">
        <f aca="false">IF($A50&lt;=$G$8,$E$8*$F$8,IF(AI50&gt;=$B$8,AK50*$B$4*(1+$B$5)^(($G$8+$B$8+AJ50*($B$8+$B$10))/4),0))</f>
        <v>698080.034517075</v>
      </c>
      <c r="AN50" s="14" t="n">
        <f aca="false">IF($A50&lt;=$G$8,0,IF(AI50=0,AK50*$B$6*(1+$B$7)^(($G$8+AJ50*($B$8+$B$10))/4),0)+IF(AI50=$B$8,$B$11*$B$4*(1+$B$5)^(($G$8+$B$8+AJ50*($B$8+$B$10))/4)*AK50,0))</f>
        <v>1110183.13487642</v>
      </c>
      <c r="AO50" s="21" t="n">
        <f aca="false">IF($A50&lt;=$G$8,0,IF(AI50&lt;$B$8,AK50,0))</f>
        <v>0</v>
      </c>
      <c r="AP50" s="14" t="n">
        <f aca="false">F50+N50+V50+AD50+AL50</f>
        <v>764366.560144751</v>
      </c>
      <c r="AQ50" s="14" t="n">
        <f aca="false">G50+O50+W50+AE50+AM50</f>
        <v>3755546.27509608</v>
      </c>
      <c r="AR50" s="14" t="n">
        <f aca="false">H50+P50+X50+AF50+AN50+IF($A50=$B$15,$B$14,0)</f>
        <v>1110183.13487642</v>
      </c>
      <c r="AS50" s="21" t="n">
        <f aca="false">I50+Q50+Y50+AG50+AO50</f>
        <v>0</v>
      </c>
      <c r="AT50" s="14" t="n">
        <f aca="false">AP50*(1-$B$12)-AS50*$B$13/4</f>
        <v>718504.566536066</v>
      </c>
      <c r="AU50" s="14" t="n">
        <f aca="false">0</f>
        <v>0</v>
      </c>
      <c r="AV50" s="14" t="n">
        <f aca="false">AT50-AR50-AU50</f>
        <v>-391678.568340358</v>
      </c>
      <c r="AW50" s="21" t="n">
        <f aca="false">(1+$B$16)^(-$A50/4)</f>
        <v>0.675786148927696</v>
      </c>
      <c r="AX50" s="14" t="n">
        <f aca="false">AV50*AW50</f>
        <v>-264690.951316244</v>
      </c>
      <c r="AY50" s="14" t="n">
        <f aca="false">AV50</f>
        <v>-391678.568340358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326945.722231423</v>
      </c>
      <c r="G51" s="14" t="n">
        <f aca="false">IF($A51&lt;=$G$4,$E$4*$F$4,IF(C51&gt;=$B$8,E51*$B$4*(1+$B$5)^(($G$4+$B$8+D51*($B$8+$B$10))/4),0))</f>
        <v>1307782.88892569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246767.025520312</v>
      </c>
      <c r="O51" s="14" t="n">
        <f aca="false">IF($A51&lt;=$G$5,$E$5*$F$5,IF(K51&gt;=$B$8,M51*$B$4*(1+$B$5)^(($G$5+$B$8+L51*($B$8+$B$10))/4),0))</f>
        <v>987068.10208125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76693.8123930151</v>
      </c>
      <c r="AE51" s="14" t="n">
        <f aca="false">IF($A51&lt;=$G$7,$E$7*$F$7,IF(AA51&gt;=$B$8,AC51*$B$4*(1+$B$5)^(($G$7+$B$8+AB51*($B$8+$B$10))/4),0))</f>
        <v>306775.24957206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1</v>
      </c>
      <c r="AJ51" s="21" t="n">
        <f aca="false">IF(AH51&lt;0,0,INT(AH51/($B$8+$B$10)))</f>
        <v>1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0</v>
      </c>
      <c r="AM51" s="14" t="n">
        <f aca="false">IF($A51&lt;=$G$8,$E$8*$F$8,IF(AI51&gt;=$B$8,AK51*$B$4*(1+$B$5)^(($G$8+$B$8+AJ51*($B$8+$B$10))/4),0))</f>
        <v>698080.034517075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764366.560144751</v>
      </c>
      <c r="AQ51" s="14" t="n">
        <f aca="false">G51+O51+W51+AE51+AM51</f>
        <v>3755546.27509608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718504.566536066</v>
      </c>
      <c r="AU51" s="14" t="n">
        <f aca="false">0</f>
        <v>0</v>
      </c>
      <c r="AV51" s="14" t="n">
        <f aca="false">AT51-AR51-AU51</f>
        <v>718504.566536066</v>
      </c>
      <c r="AW51" s="21" t="n">
        <f aca="false">(1+$B$16)^(-$A51/4)</f>
        <v>0.663292316360002</v>
      </c>
      <c r="AX51" s="14" t="n">
        <f aca="false">AV51*AW51</f>
        <v>476578.558252946</v>
      </c>
      <c r="AY51" s="14" t="n">
        <f aca="false">AV51</f>
        <v>718504.566536066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326945.722231423</v>
      </c>
      <c r="G52" s="14" t="n">
        <f aca="false">IF($A52&lt;=$G$4,$E$4*$F$4,IF(C52&gt;=$B$8,E52*$B$4*(1+$B$5)^(($G$4+$B$8+D52*($B$8+$B$10))/4),0))</f>
        <v>1307782.88892569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246767.025520312</v>
      </c>
      <c r="O52" s="14" t="n">
        <f aca="false">IF($A52&lt;=$G$5,$E$5*$F$5,IF(K52&gt;=$B$8,M52*$B$4*(1+$B$5)^(($G$5+$B$8+L52*($B$8+$B$10))/4),0))</f>
        <v>987068.10208125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76693.8123930151</v>
      </c>
      <c r="AE52" s="14" t="n">
        <f aca="false">IF($A52&lt;=$G$7,$E$7*$F$7,IF(AA52&gt;=$B$8,AC52*$B$4*(1+$B$5)^(($G$7+$B$8+AB52*($B$8+$B$10))/4),0))</f>
        <v>306775.24957206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</v>
      </c>
      <c r="AJ52" s="21" t="n">
        <f aca="false">IF(AH52&lt;0,0,INT(AH52/($B$8+$B$10)))</f>
        <v>1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0</v>
      </c>
      <c r="AM52" s="14" t="n">
        <f aca="false">IF($A52&lt;=$G$8,$E$8*$F$8,IF(AI52&gt;=$B$8,AK52*$B$4*(1+$B$5)^(($G$8+$B$8+AJ52*($B$8+$B$10))/4),0))</f>
        <v>698080.034517075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764366.560144751</v>
      </c>
      <c r="AQ52" s="14" t="n">
        <f aca="false">G52+O52+W52+AE52+AM52</f>
        <v>3755546.27509608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718504.566536066</v>
      </c>
      <c r="AU52" s="14" t="n">
        <f aca="false">0</f>
        <v>0</v>
      </c>
      <c r="AV52" s="14" t="n">
        <f aca="false">AT52-AR52-AU52</f>
        <v>718504.566536066</v>
      </c>
      <c r="AW52" s="21" t="n">
        <f aca="false">(1+$B$16)^(-$A52/4)</f>
        <v>0.651029467887613</v>
      </c>
      <c r="AX52" s="14" t="n">
        <f aca="false">AV52*AW52</f>
        <v>467767.645626795</v>
      </c>
      <c r="AY52" s="14" t="n">
        <f aca="false">AV52</f>
        <v>718504.566536066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326945.722231423</v>
      </c>
      <c r="G53" s="14" t="n">
        <f aca="false">IF($A53&lt;=$G$4,$E$4*$F$4,IF(C53&gt;=$B$8,E53*$B$4*(1+$B$5)^(($G$4+$B$8+D53*($B$8+$B$10))/4),0))</f>
        <v>1307782.88892569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246767.025520312</v>
      </c>
      <c r="O53" s="14" t="n">
        <f aca="false">IF($A53&lt;=$G$5,$E$5*$F$5,IF(K53&gt;=$B$8,M53*$B$4*(1+$B$5)^(($G$5+$B$8+L53*($B$8+$B$10))/4),0))</f>
        <v>987068.10208125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76693.8123930151</v>
      </c>
      <c r="AE53" s="14" t="n">
        <f aca="false">IF($A53&lt;=$G$7,$E$7*$F$7,IF(AA53&gt;=$B$8,AC53*$B$4*(1+$B$5)^(($G$7+$B$8+AB53*($B$8+$B$10))/4),0))</f>
        <v>306775.24957206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3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174520.008629269</v>
      </c>
      <c r="AM53" s="14" t="n">
        <f aca="false">IF($A53&lt;=$G$8,$E$8*$F$8,IF(AI53&gt;=$B$8,AK53*$B$4*(1+$B$5)^(($G$8+$B$8+AJ53*($B$8+$B$10))/4),0))</f>
        <v>698080.034517075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0</v>
      </c>
      <c r="AP53" s="14" t="n">
        <f aca="false">F53+N53+V53+AD53+AL53</f>
        <v>938886.56877402</v>
      </c>
      <c r="AQ53" s="14" t="n">
        <f aca="false">G53+O53+W53+AE53+AM53</f>
        <v>3755546.27509608</v>
      </c>
      <c r="AR53" s="14" t="n">
        <f aca="false">H53+P53+X53+AF53+AN53+IF($A53=$B$15,$B$14,0)</f>
        <v>0</v>
      </c>
      <c r="AS53" s="21" t="n">
        <f aca="false">I53+Q53+Y53+AG53+AO53</f>
        <v>0</v>
      </c>
      <c r="AT53" s="14" t="n">
        <f aca="false">AP53*(1-$B$12)-AS53*$B$13/4</f>
        <v>882553.374647578</v>
      </c>
      <c r="AU53" s="14" t="n">
        <f aca="false">0</f>
        <v>0</v>
      </c>
      <c r="AV53" s="14" t="n">
        <f aca="false">AT53-AR53-AU53</f>
        <v>882553.374647578</v>
      </c>
      <c r="AW53" s="21" t="n">
        <f aca="false">(1+$B$16)^(-$A53/4)</f>
        <v>0.638993333111354</v>
      </c>
      <c r="AX53" s="14" t="n">
        <f aca="false">AV53*AW53</f>
        <v>563945.72251473</v>
      </c>
      <c r="AY53" s="14" t="n">
        <f aca="false">AV53</f>
        <v>882553.374647578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326945.722231423</v>
      </c>
      <c r="G54" s="14" t="n">
        <f aca="false">IF($A54&lt;=$G$4,$E$4*$F$4,IF(C54&gt;=$B$8,E54*$B$4*(1+$B$5)^(($G$4+$B$8+D54*($B$8+$B$10))/4),0))</f>
        <v>1307782.88892569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246767.025520312</v>
      </c>
      <c r="O54" s="14" t="n">
        <f aca="false">IF($A54&lt;=$G$5,$E$5*$F$5,IF(K54&gt;=$B$8,M54*$B$4*(1+$B$5)^(($G$5+$B$8+L54*($B$8+$B$10))/4),0))</f>
        <v>987068.10208125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76693.8123930151</v>
      </c>
      <c r="AE54" s="14" t="n">
        <f aca="false">IF($A54&lt;=$G$7,$E$7*$F$7,IF(AA54&gt;=$B$8,AC54*$B$4*(1+$B$5)^(($G$7+$B$8+AB54*($B$8+$B$10))/4),0))</f>
        <v>306775.24957206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4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174520.008629269</v>
      </c>
      <c r="AM54" s="14" t="n">
        <f aca="false">IF($A54&lt;=$G$8,$E$8*$F$8,IF(AI54&gt;=$B$8,AK54*$B$4*(1+$B$5)^(($G$8+$B$8+AJ54*($B$8+$B$10))/4),0))</f>
        <v>698080.034517075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0</v>
      </c>
      <c r="AP54" s="14" t="n">
        <f aca="false">F54+N54+V54+AD54+AL54</f>
        <v>938886.56877402</v>
      </c>
      <c r="AQ54" s="14" t="n">
        <f aca="false">G54+O54+W54+AE54+AM54</f>
        <v>3755546.27509608</v>
      </c>
      <c r="AR54" s="14" t="n">
        <f aca="false">H54+P54+X54+AF54+AN54+IF($A54=$B$15,$B$14,0)</f>
        <v>0</v>
      </c>
      <c r="AS54" s="21" t="n">
        <f aca="false">I54+Q54+Y54+AG54+AO54</f>
        <v>0</v>
      </c>
      <c r="AT54" s="14" t="n">
        <f aca="false">AP54*(1-$B$12)-AS54*$B$13/4</f>
        <v>882553.374647578</v>
      </c>
      <c r="AU54" s="14" t="n">
        <f aca="false">0</f>
        <v>0</v>
      </c>
      <c r="AV54" s="14" t="n">
        <f aca="false">AT54-AR54-AU54</f>
        <v>882553.374647578</v>
      </c>
      <c r="AW54" s="21" t="n">
        <f aca="false">(1+$B$16)^(-$A54/4)</f>
        <v>0.627179720582548</v>
      </c>
      <c r="AX54" s="14" t="n">
        <f aca="false">AV54*AW54</f>
        <v>553519.578910653</v>
      </c>
      <c r="AY54" s="14" t="n">
        <f aca="false">AV54</f>
        <v>882553.374647578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326945.722231423</v>
      </c>
      <c r="G55" s="14" t="n">
        <f aca="false">IF($A55&lt;=$G$4,$E$4*$F$4,IF(C55&gt;=$B$8,E55*$B$4*(1+$B$5)^(($G$4+$B$8+D55*($B$8+$B$10))/4),0))</f>
        <v>1307782.88892569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246767.025520312</v>
      </c>
      <c r="O55" s="14" t="n">
        <f aca="false">IF($A55&lt;=$G$5,$E$5*$F$5,IF(K55&gt;=$B$8,M55*$B$4*(1+$B$5)^(($G$5+$B$8+L55*($B$8+$B$10))/4),0))</f>
        <v>987068.10208125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76693.8123930151</v>
      </c>
      <c r="AE55" s="14" t="n">
        <f aca="false">IF($A55&lt;=$G$7,$E$7*$F$7,IF(AA55&gt;=$B$8,AC55*$B$4*(1+$B$5)^(($G$7+$B$8+AB55*($B$8+$B$10))/4),0))</f>
        <v>306775.24957206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5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174520.008629269</v>
      </c>
      <c r="AM55" s="14" t="n">
        <f aca="false">IF($A55&lt;=$G$8,$E$8*$F$8,IF(AI55&gt;=$B$8,AK55*$B$4*(1+$B$5)^(($G$8+$B$8+AJ55*($B$8+$B$10))/4),0))</f>
        <v>698080.034517075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0</v>
      </c>
      <c r="AP55" s="14" t="n">
        <f aca="false">F55+N55+V55+AD55+AL55</f>
        <v>938886.56877402</v>
      </c>
      <c r="AQ55" s="14" t="n">
        <f aca="false">G55+O55+W55+AE55+AM55</f>
        <v>3755546.27509608</v>
      </c>
      <c r="AR55" s="14" t="n">
        <f aca="false">H55+P55+X55+AF55+AN55+IF($A55=$B$15,$B$14,0)</f>
        <v>0</v>
      </c>
      <c r="AS55" s="21" t="n">
        <f aca="false">I55+Q55+Y55+AG55+AO55</f>
        <v>0</v>
      </c>
      <c r="AT55" s="14" t="n">
        <f aca="false">AP55*(1-$B$12)-AS55*$B$13/4</f>
        <v>882553.374647578</v>
      </c>
      <c r="AU55" s="14" t="n">
        <f aca="false">0</f>
        <v>0</v>
      </c>
      <c r="AV55" s="14" t="n">
        <f aca="false">AT55-AR55-AU55</f>
        <v>882553.374647578</v>
      </c>
      <c r="AW55" s="21" t="n">
        <f aca="false">(1+$B$16)^(-$A55/4)</f>
        <v>0.615584516343389</v>
      </c>
      <c r="AX55" s="14" t="n">
        <f aca="false">AV55*AW55</f>
        <v>543286.192279656</v>
      </c>
      <c r="AY55" s="14" t="n">
        <f aca="false">AV55</f>
        <v>882553.374647578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326945.722231423</v>
      </c>
      <c r="G56" s="14" t="n">
        <f aca="false">IF($A56&lt;=$G$4,$E$4*$F$4,IF(C56&gt;=$B$8,E56*$B$4*(1+$B$5)^(($G$4+$B$8+D56*($B$8+$B$10))/4),0))</f>
        <v>1307782.88892569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246767.025520312</v>
      </c>
      <c r="O56" s="14" t="n">
        <f aca="false">IF($A56&lt;=$G$5,$E$5*$F$5,IF(K56&gt;=$B$8,M56*$B$4*(1+$B$5)^(($G$5+$B$8+L56*($B$8+$B$10))/4),0))</f>
        <v>987068.10208125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508945.466493491</v>
      </c>
      <c r="X56" s="14" t="n">
        <f aca="false">IF($A56&lt;=$G$6,0,IF(S56=0,U56*$B$6*(1+$B$7)^(($G$6+T56*($B$8+$B$10))/4),0)+IF(S56=$B$8,$B$11*$B$4*(1+$B$5)^(($G$6+$B$8+T56*($B$8+$B$10))/4)*U56,0))</f>
        <v>820481.400668156</v>
      </c>
      <c r="Y56" s="21" t="n">
        <f aca="false">IF($A56&lt;=$G$6,0,IF(S56&lt;$B$8,U56,0))</f>
        <v>0</v>
      </c>
      <c r="Z56" s="21" t="n">
        <f aca="false">$A56-$G$7-1</f>
        <v>20</v>
      </c>
      <c r="AA56" s="21" t="n">
        <f aca="false">IF(Z56&lt;0,-1,MOD(Z56,$B$8+$B$10))</f>
        <v>0</v>
      </c>
      <c r="AB56" s="21" t="n">
        <f aca="false">IF(Z56&lt;0,0,INT(Z56/($B$8+$B$10)))</f>
        <v>1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0</v>
      </c>
      <c r="AE56" s="14" t="n">
        <f aca="false">IF($A56&lt;=$G$7,$E$7*$F$7,IF(AA56&gt;=$B$8,AC56*$B$4*(1+$B$5)^(($G$7+$B$8+AB56*($B$8+$B$10))/4),0))</f>
        <v>330484.069151617</v>
      </c>
      <c r="AF56" s="14" t="n">
        <f aca="false">IF($A56&lt;=$G$7,0,IF(AA56=0,AC56*$B$6*(1+$B$7)^(($G$7+AB56*($B$8+$B$10))/4),0)+IF(AA56=$B$8,$B$11*$B$4*(1+$B$5)^(($G$7+$B$8+AB56*($B$8+$B$10))/4)*AC56,0))</f>
        <v>532780.130303997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6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174520.008629269</v>
      </c>
      <c r="AM56" s="14" t="n">
        <f aca="false">IF($A56&lt;=$G$8,$E$8*$F$8,IF(AI56&gt;=$B$8,AK56*$B$4*(1+$B$5)^(($G$8+$B$8+AJ56*($B$8+$B$10))/4),0))</f>
        <v>698080.034517075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0</v>
      </c>
      <c r="AP56" s="14" t="n">
        <f aca="false">F56+N56+V56+AD56+AL56</f>
        <v>748232.756381005</v>
      </c>
      <c r="AQ56" s="14" t="n">
        <f aca="false">G56+O56+W56+AE56+AM56</f>
        <v>3832360.56116913</v>
      </c>
      <c r="AR56" s="14" t="n">
        <f aca="false">H56+P56+X56+AF56+AN56+IF($A56=$B$15,$B$14,0)</f>
        <v>1353261.53097215</v>
      </c>
      <c r="AS56" s="21" t="n">
        <f aca="false">I56+Q56+Y56+AG56+AO56</f>
        <v>0</v>
      </c>
      <c r="AT56" s="14" t="n">
        <f aca="false">AP56*(1-$B$12)-AS56*$B$13/4</f>
        <v>703338.790998144</v>
      </c>
      <c r="AU56" s="14" t="n">
        <f aca="false">0</f>
        <v>0</v>
      </c>
      <c r="AV56" s="14" t="n">
        <f aca="false">AT56-AR56-AU56</f>
        <v>-649922.739974008</v>
      </c>
      <c r="AW56" s="21" t="n">
        <f aca="false">(1+$B$16)^(-$A56/4)</f>
        <v>0.604203682494304</v>
      </c>
      <c r="AX56" s="14" t="n">
        <f aca="false">AV56*AW56</f>
        <v>-392685.712829084</v>
      </c>
      <c r="AY56" s="14" t="n">
        <f aca="false">AV56</f>
        <v>-649922.739974008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326945.722231423</v>
      </c>
      <c r="G57" s="14" t="n">
        <f aca="false">IF($A57&lt;=$G$4,$E$4*$F$4,IF(C57&gt;=$B$8,E57*$B$4*(1+$B$5)^(($G$4+$B$8+D57*($B$8+$B$10))/4),0))</f>
        <v>1307782.88892569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246767.025520312</v>
      </c>
      <c r="O57" s="14" t="n">
        <f aca="false">IF($A57&lt;=$G$5,$E$5*$F$5,IF(K57&gt;=$B$8,M57*$B$4*(1+$B$5)^(($G$5+$B$8+L57*($B$8+$B$10))/4),0))</f>
        <v>987068.10208125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508945.466493491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0</v>
      </c>
      <c r="Z57" s="21" t="n">
        <f aca="false">$A57-$G$7-1</f>
        <v>21</v>
      </c>
      <c r="AA57" s="21" t="n">
        <f aca="false">IF(Z57&lt;0,-1,MOD(Z57,$B$8+$B$10))</f>
        <v>1</v>
      </c>
      <c r="AB57" s="21" t="n">
        <f aca="false">IF(Z57&lt;0,0,INT(Z57/($B$8+$B$10)))</f>
        <v>1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0</v>
      </c>
      <c r="AE57" s="14" t="n">
        <f aca="false">IF($A57&lt;=$G$7,$E$7*$F$7,IF(AA57&gt;=$B$8,AC57*$B$4*(1+$B$5)^(($G$7+$B$8+AB57*($B$8+$B$10))/4),0))</f>
        <v>330484.069151617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7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174520.008629269</v>
      </c>
      <c r="AM57" s="14" t="n">
        <f aca="false">IF($A57&lt;=$G$8,$E$8*$F$8,IF(AI57&gt;=$B$8,AK57*$B$4*(1+$B$5)^(($G$8+$B$8+AJ57*($B$8+$B$10))/4),0))</f>
        <v>698080.034517075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748232.756381005</v>
      </c>
      <c r="AQ57" s="14" t="n">
        <f aca="false">G57+O57+W57+AE57+AM57</f>
        <v>3832360.56116913</v>
      </c>
      <c r="AR57" s="14" t="n">
        <f aca="false">H57+P57+X57+AF57+AN57+IF($A57=$B$15,$B$14,0)</f>
        <v>0</v>
      </c>
      <c r="AS57" s="21" t="n">
        <f aca="false">I57+Q57+Y57+AG57+AO57</f>
        <v>0</v>
      </c>
      <c r="AT57" s="14" t="n">
        <f aca="false">AP57*(1-$B$12)-AS57*$B$13/4</f>
        <v>703338.790998144</v>
      </c>
      <c r="AU57" s="14" t="n">
        <f aca="false">0</f>
        <v>0</v>
      </c>
      <c r="AV57" s="14" t="n">
        <f aca="false">AT57-AR57-AU57</f>
        <v>703338.790998144</v>
      </c>
      <c r="AW57" s="21" t="n">
        <f aca="false">(1+$B$16)^(-$A57/4)</f>
        <v>0.5930332557878</v>
      </c>
      <c r="AX57" s="14" t="n">
        <f aca="false">AV57*AW57</f>
        <v>417103.293147484</v>
      </c>
      <c r="AY57" s="14" t="n">
        <f aca="false">AV57</f>
        <v>703338.790998144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326945.722231423</v>
      </c>
      <c r="G58" s="14" t="n">
        <f aca="false">IF($A58&lt;=$G$4,$E$4*$F$4,IF(C58&gt;=$B$8,E58*$B$4*(1+$B$5)^(($G$4+$B$8+D58*($B$8+$B$10))/4),0))</f>
        <v>1307782.88892569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246767.025520312</v>
      </c>
      <c r="O58" s="14" t="n">
        <f aca="false">IF($A58&lt;=$G$5,$E$5*$F$5,IF(K58&gt;=$B$8,M58*$B$4*(1+$B$5)^(($G$5+$B$8+L58*($B$8+$B$10))/4),0))</f>
        <v>987068.10208125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508945.466493491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0</v>
      </c>
      <c r="Z58" s="21" t="n">
        <f aca="false">$A58-$G$7-1</f>
        <v>22</v>
      </c>
      <c r="AA58" s="21" t="n">
        <f aca="false">IF(Z58&lt;0,-1,MOD(Z58,$B$8+$B$10))</f>
        <v>2</v>
      </c>
      <c r="AB58" s="21" t="n">
        <f aca="false">IF(Z58&lt;0,0,INT(Z58/($B$8+$B$10)))</f>
        <v>1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0</v>
      </c>
      <c r="AE58" s="14" t="n">
        <f aca="false">IF($A58&lt;=$G$7,$E$7*$F$7,IF(AA58&gt;=$B$8,AC58*$B$4*(1+$B$5)^(($G$7+$B$8+AB58*($B$8+$B$10))/4),0))</f>
        <v>330484.069151617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8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174520.008629269</v>
      </c>
      <c r="AM58" s="14" t="n">
        <f aca="false">IF($A58&lt;=$G$8,$E$8*$F$8,IF(AI58&gt;=$B$8,AK58*$B$4*(1+$B$5)^(($G$8+$B$8+AJ58*($B$8+$B$10))/4),0))</f>
        <v>698080.034517075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748232.756381005</v>
      </c>
      <c r="AQ58" s="14" t="n">
        <f aca="false">G58+O58+W58+AE58+AM58</f>
        <v>3832360.56116913</v>
      </c>
      <c r="AR58" s="14" t="n">
        <f aca="false">H58+P58+X58+AF58+AN58+IF($A58=$B$15,$B$14,0)</f>
        <v>0</v>
      </c>
      <c r="AS58" s="21" t="n">
        <f aca="false">I58+Q58+Y58+AG58+AO58</f>
        <v>0</v>
      </c>
      <c r="AT58" s="14" t="n">
        <f aca="false">AP58*(1-$B$12)-AS58*$B$13/4</f>
        <v>703338.790998144</v>
      </c>
      <c r="AU58" s="14" t="n">
        <f aca="false">0</f>
        <v>0</v>
      </c>
      <c r="AV58" s="14" t="n">
        <f aca="false">AT58-AR58-AU58</f>
        <v>703338.790998144</v>
      </c>
      <c r="AW58" s="21" t="n">
        <f aca="false">(1+$B$16)^(-$A58/4)</f>
        <v>0.582069346248305</v>
      </c>
      <c r="AX58" s="14" t="n">
        <f aca="false">AV58*AW58</f>
        <v>409391.950267363</v>
      </c>
      <c r="AY58" s="14" t="n">
        <f aca="false">AV58</f>
        <v>703338.790998144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326945.722231423</v>
      </c>
      <c r="G59" s="14" t="n">
        <f aca="false">IF($A59&lt;=$G$4,$E$4*$F$4,IF(C59&gt;=$B$8,E59*$B$4*(1+$B$5)^(($G$4+$B$8+D59*($B$8+$B$10))/4),0))</f>
        <v>1307782.88892569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246767.025520312</v>
      </c>
      <c r="O59" s="14" t="n">
        <f aca="false">IF($A59&lt;=$G$5,$E$5*$F$5,IF(K59&gt;=$B$8,M59*$B$4*(1+$B$5)^(($G$5+$B$8+L59*($B$8+$B$10))/4),0))</f>
        <v>987068.10208125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127236.366623373</v>
      </c>
      <c r="W59" s="14" t="n">
        <f aca="false">IF($A59&lt;=$G$6,$E$6*$F$6,IF(S59&gt;=$B$8,U59*$B$4*(1+$B$5)^(($G$6+$B$8+T59*($B$8+$B$10))/4),0))</f>
        <v>508945.466493491</v>
      </c>
      <c r="X59" s="14" t="n">
        <f aca="false">IF($A59&lt;=$G$6,0,IF(S59=0,U59*$B$6*(1+$B$7)^(($G$6+T59*($B$8+$B$10))/4),0)+IF(S59=$B$8,$B$11*$B$4*(1+$B$5)^(($G$6+$B$8+T59*($B$8+$B$10))/4)*U59,0))</f>
        <v>0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3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82621.0172879044</v>
      </c>
      <c r="AE59" s="14" t="n">
        <f aca="false">IF($A59&lt;=$G$7,$E$7*$F$7,IF(AA59&gt;=$B$8,AC59*$B$4*(1+$B$5)^(($G$7+$B$8+AB59*($B$8+$B$10))/4),0))</f>
        <v>330484.069151617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0</v>
      </c>
      <c r="AH59" s="21" t="n">
        <f aca="false">$A59-$G$8-1</f>
        <v>29</v>
      </c>
      <c r="AI59" s="21" t="n">
        <f aca="false">IF(AH59&lt;0,-1,MOD(AH59,$B$8+$B$10))</f>
        <v>9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174520.008629269</v>
      </c>
      <c r="AM59" s="14" t="n">
        <f aca="false">IF($A59&lt;=$G$8,$E$8*$F$8,IF(AI59&gt;=$B$8,AK59*$B$4*(1+$B$5)^(($G$8+$B$8+AJ59*($B$8+$B$10))/4),0))</f>
        <v>698080.034517075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958090.140292282</v>
      </c>
      <c r="AQ59" s="14" t="n">
        <f aca="false">G59+O59+W59+AE59+AM59</f>
        <v>3832360.56116913</v>
      </c>
      <c r="AR59" s="14" t="n">
        <f aca="false">H59+P59+X59+AF59+AN59+IF($A59=$B$15,$B$14,0)</f>
        <v>0</v>
      </c>
      <c r="AS59" s="21" t="n">
        <f aca="false">I59+Q59+Y59+AG59+AO59</f>
        <v>0</v>
      </c>
      <c r="AT59" s="14" t="n">
        <f aca="false">AP59*(1-$B$12)-AS59*$B$13/4</f>
        <v>900604.731874745</v>
      </c>
      <c r="AU59" s="14" t="n">
        <f aca="false">0</f>
        <v>0</v>
      </c>
      <c r="AV59" s="14" t="n">
        <f aca="false">AT59-AR59-AU59</f>
        <v>900604.731874745</v>
      </c>
      <c r="AW59" s="21" t="n">
        <f aca="false">(1+$B$16)^(-$A59/4)</f>
        <v>0.571308135817531</v>
      </c>
      <c r="AX59" s="14" t="n">
        <f aca="false">AV59*AW59</f>
        <v>514522.810475808</v>
      </c>
      <c r="AY59" s="14" t="n">
        <f aca="false">AV59</f>
        <v>900604.731874745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0</v>
      </c>
      <c r="D60" s="0" t="n">
        <f aca="false">IF(B60&lt;0,0,INT(B60/($B$8+$B$10)))</f>
        <v>1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0</v>
      </c>
      <c r="G60" s="14" t="n">
        <f aca="false">IF($A60&lt;=$G$4,$E$4*$F$4,IF(C60&gt;=$B$8,E60*$B$4*(1+$B$5)^(($G$4+$B$8+D60*($B$8+$B$10))/4),0))</f>
        <v>1408853.58679335</v>
      </c>
      <c r="H60" s="14" t="n">
        <f aca="false">IF($A60&lt;=$G$4,0,IF(C60=0,E60*$B$6*(1+$B$7)^(($G$4+D60*($B$8+$B$10))/4),0)+IF(C60=$B$8,$B$11*$B$4*(1+$B$5)^(($G$4+$B$8+D60*($B$8+$B$10))/4)*E60,0))</f>
        <v>2291952.82125018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246767.025520312</v>
      </c>
      <c r="O60" s="14" t="n">
        <f aca="false">IF($A60&lt;=$G$5,$E$5*$F$5,IF(K60&gt;=$B$8,M60*$B$4*(1+$B$5)^(($G$5+$B$8+L60*($B$8+$B$10))/4),0))</f>
        <v>987068.10208125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127236.366623373</v>
      </c>
      <c r="W60" s="14" t="n">
        <f aca="false">IF($A60&lt;=$G$6,$E$6*$F$6,IF(S60&gt;=$B$8,U60*$B$4*(1+$B$5)^(($G$6+$B$8+T60*($B$8+$B$10))/4),0))</f>
        <v>508945.466493491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4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82621.0172879044</v>
      </c>
      <c r="AE60" s="14" t="n">
        <f aca="false">IF($A60&lt;=$G$7,$E$7*$F$7,IF(AA60&gt;=$B$8,AC60*$B$4*(1+$B$5)^(($G$7+$B$8+AB60*($B$8+$B$10))/4),0))</f>
        <v>330484.069151617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10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174520.008629269</v>
      </c>
      <c r="AM60" s="14" t="n">
        <f aca="false">IF($A60&lt;=$G$8,$E$8*$F$8,IF(AI60&gt;=$B$8,AK60*$B$4*(1+$B$5)^(($G$8+$B$8+AJ60*($B$8+$B$10))/4),0))</f>
        <v>698080.034517075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631144.418060858</v>
      </c>
      <c r="AQ60" s="14" t="n">
        <f aca="false">G60+O60+W60+AE60+AM60</f>
        <v>3933431.25903678</v>
      </c>
      <c r="AR60" s="14" t="n">
        <f aca="false">H60+P60+X60+AF60+AN60+IF($A60=$B$15,$B$14,0)</f>
        <v>2291952.82125018</v>
      </c>
      <c r="AS60" s="21" t="n">
        <f aca="false">I60+Q60+Y60+AG60+AO60</f>
        <v>0</v>
      </c>
      <c r="AT60" s="14" t="n">
        <f aca="false">AP60*(1-$B$12)-AS60*$B$13/4</f>
        <v>593275.752977207</v>
      </c>
      <c r="AU60" s="14" t="n">
        <f aca="false">0</f>
        <v>0</v>
      </c>
      <c r="AV60" s="14" t="n">
        <f aca="false">AT60-AR60-AU60</f>
        <v>-1698677.06827298</v>
      </c>
      <c r="AW60" s="21" t="n">
        <f aca="false">(1+$B$16)^(-$A60/4)</f>
        <v>0.560745877024877</v>
      </c>
      <c r="AX60" s="14" t="n">
        <f aca="false">AV60*AW60</f>
        <v>-952526.162430776</v>
      </c>
      <c r="AY60" s="14" t="n">
        <f aca="false">AV60</f>
        <v>-1698677.06827298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1</v>
      </c>
      <c r="D61" s="0" t="n">
        <f aca="false">IF(B61&lt;0,0,INT(B61/($B$8+$B$10)))</f>
        <v>1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0</v>
      </c>
      <c r="G61" s="14" t="n">
        <f aca="false">IF($A61&lt;=$G$4,$E$4*$F$4,IF(C61&gt;=$B$8,E61*$B$4*(1+$B$5)^(($G$4+$B$8+D61*($B$8+$B$10))/4),0))</f>
        <v>1408853.58679335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246767.025520312</v>
      </c>
      <c r="O61" s="14" t="n">
        <f aca="false">IF($A61&lt;=$G$5,$E$5*$F$5,IF(K61&gt;=$B$8,M61*$B$4*(1+$B$5)^(($G$5+$B$8+L61*($B$8+$B$10))/4),0))</f>
        <v>987068.10208125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127236.366623373</v>
      </c>
      <c r="W61" s="14" t="n">
        <f aca="false">IF($A61&lt;=$G$6,$E$6*$F$6,IF(S61&gt;=$B$8,U61*$B$4*(1+$B$5)^(($G$6+$B$8+T61*($B$8+$B$10))/4),0))</f>
        <v>508945.466493491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5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82621.0172879044</v>
      </c>
      <c r="AE61" s="14" t="n">
        <f aca="false">IF($A61&lt;=$G$7,$E$7*$F$7,IF(AA61&gt;=$B$8,AC61*$B$4*(1+$B$5)^(($G$7+$B$8+AB61*($B$8+$B$10))/4),0))</f>
        <v>330484.069151617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0</v>
      </c>
      <c r="AH61" s="21" t="n">
        <f aca="false">$A61-$G$8-1</f>
        <v>31</v>
      </c>
      <c r="AI61" s="21" t="n">
        <f aca="false">IF(AH61&lt;0,-1,MOD(AH61,$B$8+$B$10))</f>
        <v>11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174520.008629269</v>
      </c>
      <c r="AM61" s="14" t="n">
        <f aca="false">IF($A61&lt;=$G$8,$E$8*$F$8,IF(AI61&gt;=$B$8,AK61*$B$4*(1+$B$5)^(($G$8+$B$8+AJ61*($B$8+$B$10))/4),0))</f>
        <v>698080.034517075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631144.418060858</v>
      </c>
      <c r="AQ61" s="14" t="n">
        <f aca="false">G61+O61+W61+AE61+AM61</f>
        <v>3933431.25903678</v>
      </c>
      <c r="AR61" s="14" t="n">
        <f aca="false">H61+P61+X61+AF61+AN61+IF($A61=$B$15,$B$14,0)</f>
        <v>0</v>
      </c>
      <c r="AS61" s="21" t="n">
        <f aca="false">I61+Q61+Y61+AG61+AO61</f>
        <v>0</v>
      </c>
      <c r="AT61" s="14" t="n">
        <f aca="false">AP61*(1-$B$12)-AS61*$B$13/4</f>
        <v>593275.752977207</v>
      </c>
      <c r="AU61" s="14" t="n">
        <f aca="false">0</f>
        <v>0</v>
      </c>
      <c r="AV61" s="14" t="n">
        <f aca="false">AT61-AR61-AU61</f>
        <v>593275.752977207</v>
      </c>
      <c r="AW61" s="21" t="n">
        <f aca="false">(1+$B$16)^(-$A61/4)</f>
        <v>0.550378891682413</v>
      </c>
      <c r="AX61" s="14" t="n">
        <f aca="false">AV61*AW61</f>
        <v>326526.451385644</v>
      </c>
      <c r="AY61" s="14" t="n">
        <f aca="false">AV61</f>
        <v>593275.752977207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</v>
      </c>
      <c r="D62" s="0" t="n">
        <f aca="false">IF(B62&lt;0,0,INT(B62/($B$8+$B$10)))</f>
        <v>1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0</v>
      </c>
      <c r="G62" s="14" t="n">
        <f aca="false">IF($A62&lt;=$G$4,$E$4*$F$4,IF(C62&gt;=$B$8,E62*$B$4*(1+$B$5)^(($G$4+$B$8+D62*($B$8+$B$10))/4),0))</f>
        <v>1408853.58679335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246767.025520312</v>
      </c>
      <c r="O62" s="14" t="n">
        <f aca="false">IF($A62&lt;=$G$5,$E$5*$F$5,IF(K62&gt;=$B$8,M62*$B$4*(1+$B$5)^(($G$5+$B$8+L62*($B$8+$B$10))/4),0))</f>
        <v>987068.10208125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127236.366623373</v>
      </c>
      <c r="W62" s="14" t="n">
        <f aca="false">IF($A62&lt;=$G$6,$E$6*$F$6,IF(S62&gt;=$B$8,U62*$B$4*(1+$B$5)^(($G$6+$B$8+T62*($B$8+$B$10))/4),0))</f>
        <v>508945.466493491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6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82621.0172879044</v>
      </c>
      <c r="AE62" s="14" t="n">
        <f aca="false">IF($A62&lt;=$G$7,$E$7*$F$7,IF(AA62&gt;=$B$8,AC62*$B$4*(1+$B$5)^(($G$7+$B$8+AB62*($B$8+$B$10))/4),0))</f>
        <v>330484.069151617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12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174520.008629269</v>
      </c>
      <c r="AM62" s="14" t="n">
        <f aca="false">IF($A62&lt;=$G$8,$E$8*$F$8,IF(AI62&gt;=$B$8,AK62*$B$4*(1+$B$5)^(($G$8+$B$8+AJ62*($B$8+$B$10))/4),0))</f>
        <v>698080.034517075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631144.418060858</v>
      </c>
      <c r="AQ62" s="14" t="n">
        <f aca="false">G62+O62+W62+AE62+AM62</f>
        <v>3933431.25903678</v>
      </c>
      <c r="AR62" s="14" t="n">
        <f aca="false">H62+P62+X62+AF62+AN62+IF($A62=$B$15,$B$14,0)</f>
        <v>0</v>
      </c>
      <c r="AS62" s="21" t="n">
        <f aca="false">I62+Q62+Y62+AG62+AO62</f>
        <v>0</v>
      </c>
      <c r="AT62" s="14" t="n">
        <f aca="false">AP62*(1-$B$12)-AS62*$B$13/4</f>
        <v>593275.752977207</v>
      </c>
      <c r="AU62" s="14" t="n">
        <f aca="false">0</f>
        <v>0</v>
      </c>
      <c r="AV62" s="14" t="n">
        <f aca="false">AT62-AR62-AU62</f>
        <v>593275.752977207</v>
      </c>
      <c r="AW62" s="21" t="n">
        <f aca="false">(1+$B$16)^(-$A62/4)</f>
        <v>0.540203569603995</v>
      </c>
      <c r="AX62" s="14" t="n">
        <f aca="false">AV62*AW62</f>
        <v>320489.679517785</v>
      </c>
      <c r="AY62" s="14" t="n">
        <f aca="false">AV62</f>
        <v>593275.752977207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3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352213.396698336</v>
      </c>
      <c r="G63" s="14" t="n">
        <f aca="false">IF($A63&lt;=$G$4,$E$4*$F$4,IF(C63&gt;=$B$8,E63*$B$4*(1+$B$5)^(($G$4+$B$8+D63*($B$8+$B$10))/4),0))</f>
        <v>1408853.58679335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246767.025520312</v>
      </c>
      <c r="O63" s="14" t="n">
        <f aca="false">IF($A63&lt;=$G$5,$E$5*$F$5,IF(K63&gt;=$B$8,M63*$B$4*(1+$B$5)^(($G$5+$B$8+L63*($B$8+$B$10))/4),0))</f>
        <v>987068.10208125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127236.366623373</v>
      </c>
      <c r="W63" s="14" t="n">
        <f aca="false">IF($A63&lt;=$G$6,$E$6*$F$6,IF(S63&gt;=$B$8,U63*$B$4*(1+$B$5)^(($G$6+$B$8+T63*($B$8+$B$10))/4),0))</f>
        <v>508945.466493491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7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82621.0172879044</v>
      </c>
      <c r="AE63" s="14" t="n">
        <f aca="false">IF($A63&lt;=$G$7,$E$7*$F$7,IF(AA63&gt;=$B$8,AC63*$B$4*(1+$B$5)^(($G$7+$B$8+AB63*($B$8+$B$10))/4),0))</f>
        <v>330484.069151617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13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174520.008629269</v>
      </c>
      <c r="AM63" s="14" t="n">
        <f aca="false">IF($A63&lt;=$G$8,$E$8*$F$8,IF(AI63&gt;=$B$8,AK63*$B$4*(1+$B$5)^(($G$8+$B$8+AJ63*($B$8+$B$10))/4),0))</f>
        <v>698080.034517075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983357.814759195</v>
      </c>
      <c r="AQ63" s="14" t="n">
        <f aca="false">G63+O63+W63+AE63+AM63</f>
        <v>3933431.25903678</v>
      </c>
      <c r="AR63" s="14" t="n">
        <f aca="false">H63+P63+X63+AF63+AN63+IF($A63=$B$15,$B$14,0)</f>
        <v>0</v>
      </c>
      <c r="AS63" s="21" t="n">
        <f aca="false">I63+Q63+Y63+AG63+AO63</f>
        <v>0</v>
      </c>
      <c r="AT63" s="14" t="n">
        <f aca="false">AP63*(1-$B$12)-AS63*$B$13/4</f>
        <v>924356.345873643</v>
      </c>
      <c r="AU63" s="14" t="n">
        <f aca="false">0</f>
        <v>0</v>
      </c>
      <c r="AV63" s="14" t="n">
        <f aca="false">AT63-AR63-AU63</f>
        <v>924356.345873643</v>
      </c>
      <c r="AW63" s="21" t="n">
        <f aca="false">(1+$B$16)^(-$A63/4)</f>
        <v>0.530216367348056</v>
      </c>
      <c r="AX63" s="14" t="n">
        <f aca="false">AV63*AW63</f>
        <v>490108.863844247</v>
      </c>
      <c r="AY63" s="14" t="n">
        <f aca="false">AV63</f>
        <v>924356.345873643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4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352213.396698336</v>
      </c>
      <c r="G64" s="14" t="n">
        <f aca="false">IF($A64&lt;=$G$4,$E$4*$F$4,IF(C64&gt;=$B$8,E64*$B$4*(1+$B$5)^(($G$4+$B$8+D64*($B$8+$B$10))/4),0))</f>
        <v>1408853.58679335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246767.025520312</v>
      </c>
      <c r="O64" s="14" t="n">
        <f aca="false">IF($A64&lt;=$G$5,$E$5*$F$5,IF(K64&gt;=$B$8,M64*$B$4*(1+$B$5)^(($G$5+$B$8+L64*($B$8+$B$10))/4),0))</f>
        <v>987068.10208125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127236.366623373</v>
      </c>
      <c r="W64" s="14" t="n">
        <f aca="false">IF($A64&lt;=$G$6,$E$6*$F$6,IF(S64&gt;=$B$8,U64*$B$4*(1+$B$5)^(($G$6+$B$8+T64*($B$8+$B$10))/4),0))</f>
        <v>508945.466493491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8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82621.0172879044</v>
      </c>
      <c r="AE64" s="14" t="n">
        <f aca="false">IF($A64&lt;=$G$7,$E$7*$F$7,IF(AA64&gt;=$B$8,AC64*$B$4*(1+$B$5)^(($G$7+$B$8+AB64*($B$8+$B$10))/4),0))</f>
        <v>330484.069151617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14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174520.008629269</v>
      </c>
      <c r="AM64" s="14" t="n">
        <f aca="false">IF($A64&lt;=$G$8,$E$8*$F$8,IF(AI64&gt;=$B$8,AK64*$B$4*(1+$B$5)^(($G$8+$B$8+AJ64*($B$8+$B$10))/4),0))</f>
        <v>698080.034517075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983357.814759195</v>
      </c>
      <c r="AQ64" s="14" t="n">
        <f aca="false">G64+O64+W64+AE64+AM64</f>
        <v>3933431.25903678</v>
      </c>
      <c r="AR64" s="14" t="n">
        <f aca="false">H64+P64+X64+AF64+AN64+IF($A64=$B$15,$B$14,0)</f>
        <v>0</v>
      </c>
      <c r="AS64" s="21" t="n">
        <f aca="false">I64+Q64+Y64+AG64+AO64</f>
        <v>0</v>
      </c>
      <c r="AT64" s="14" t="n">
        <f aca="false">AP64*(1-$B$12)-AS64*$B$13/4</f>
        <v>924356.345873643</v>
      </c>
      <c r="AU64" s="14" t="n">
        <f aca="false">0</f>
        <v>0</v>
      </c>
      <c r="AV64" s="14" t="n">
        <f aca="false">AT64-AR64-AU64</f>
        <v>924356.345873643</v>
      </c>
      <c r="AW64" s="21" t="n">
        <f aca="false">(1+$B$16)^(-$A64/4)</f>
        <v>0.520413806983644</v>
      </c>
      <c r="AX64" s="14" t="n">
        <f aca="false">AV64*AW64</f>
        <v>481047.804965593</v>
      </c>
      <c r="AY64" s="14" t="n">
        <f aca="false">AV64</f>
        <v>924356.345873643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5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352213.396698336</v>
      </c>
      <c r="G65" s="14" t="n">
        <f aca="false">IF($A65&lt;=$G$4,$E$4*$F$4,IF(C65&gt;=$B$8,E65*$B$4*(1+$B$5)^(($G$4+$B$8+D65*($B$8+$B$10))/4),0))</f>
        <v>1408853.58679335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246767.025520312</v>
      </c>
      <c r="O65" s="14" t="n">
        <f aca="false">IF($A65&lt;=$G$5,$E$5*$F$5,IF(K65&gt;=$B$8,M65*$B$4*(1+$B$5)^(($G$5+$B$8+L65*($B$8+$B$10))/4),0))</f>
        <v>987068.10208125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127236.366623373</v>
      </c>
      <c r="W65" s="14" t="n">
        <f aca="false">IF($A65&lt;=$G$6,$E$6*$F$6,IF(S65&gt;=$B$8,U65*$B$4*(1+$B$5)^(($G$6+$B$8+T65*($B$8+$B$10))/4),0))</f>
        <v>508945.466493491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9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82621.0172879044</v>
      </c>
      <c r="AE65" s="14" t="n">
        <f aca="false">IF($A65&lt;=$G$7,$E$7*$F$7,IF(AA65&gt;=$B$8,AC65*$B$4*(1+$B$5)^(($G$7+$B$8+AB65*($B$8+$B$10))/4),0))</f>
        <v>330484.069151617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15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174520.008629269</v>
      </c>
      <c r="AM65" s="14" t="n">
        <f aca="false">IF($A65&lt;=$G$8,$E$8*$F$8,IF(AI65&gt;=$B$8,AK65*$B$4*(1+$B$5)^(($G$8+$B$8+AJ65*($B$8+$B$10))/4),0))</f>
        <v>698080.034517075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983357.814759195</v>
      </c>
      <c r="AQ65" s="14" t="n">
        <f aca="false">G65+O65+W65+AE65+AM65</f>
        <v>3933431.25903678</v>
      </c>
      <c r="AR65" s="14" t="n">
        <f aca="false">H65+P65+X65+AF65+AN65+IF($A65=$B$15,$B$14,0)</f>
        <v>0</v>
      </c>
      <c r="AS65" s="21" t="n">
        <f aca="false">I65+Q65+Y65+AG65+AO65</f>
        <v>0</v>
      </c>
      <c r="AT65" s="14" t="n">
        <f aca="false">AP65*(1-$B$12)-AS65*$B$13/4</f>
        <v>924356.345873643</v>
      </c>
      <c r="AU65" s="14" t="n">
        <f aca="false">0</f>
        <v>0</v>
      </c>
      <c r="AV65" s="14" t="n">
        <f aca="false">AT65-AR65-AU65</f>
        <v>924356.345873643</v>
      </c>
      <c r="AW65" s="21" t="n">
        <f aca="false">(1+$B$16)^(-$A65/4)</f>
        <v>0.51079247487927</v>
      </c>
      <c r="AX65" s="14" t="n">
        <f aca="false">AV65*AW65</f>
        <v>472154.265579156</v>
      </c>
      <c r="AY65" s="14" t="n">
        <f aca="false">AV65</f>
        <v>924356.345873643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6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352213.396698336</v>
      </c>
      <c r="G66" s="14" t="n">
        <f aca="false">IF($A66&lt;=$G$4,$E$4*$F$4,IF(C66&gt;=$B$8,E66*$B$4*(1+$B$5)^(($G$4+$B$8+D66*($B$8+$B$10))/4),0))</f>
        <v>1408853.58679335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0</v>
      </c>
      <c r="L66" s="21" t="n">
        <f aca="false">IF(J66&lt;0,0,INT(J66/($B$8+$B$10)))</f>
        <v>1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0</v>
      </c>
      <c r="O66" s="14" t="n">
        <f aca="false">IF($A66&lt;=$G$5,$E$5*$F$5,IF(K66&gt;=$B$8,M66*$B$4*(1+$B$5)^(($G$5+$B$8+L66*($B$8+$B$10))/4),0))</f>
        <v>1063352.67711664</v>
      </c>
      <c r="P66" s="14" t="n">
        <f aca="false">IF($A66&lt;=$G$5,0,IF(K66=0,M66*$B$6*(1+$B$7)^(($G$5+L66*($B$8+$B$10))/4),0)+IF(K66=$B$8,$B$11*$B$4*(1+$B$5)^(($G$5+$B$8+L66*($B$8+$B$10))/4)*M66,0))</f>
        <v>1753621.90812586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127236.366623373</v>
      </c>
      <c r="W66" s="14" t="n">
        <f aca="false">IF($A66&lt;=$G$6,$E$6*$F$6,IF(S66&gt;=$B$8,U66*$B$4*(1+$B$5)^(($G$6+$B$8+T66*($B$8+$B$10))/4),0))</f>
        <v>508945.466493491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10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82621.0172879044</v>
      </c>
      <c r="AE66" s="14" t="n">
        <f aca="false">IF($A66&lt;=$G$7,$E$7*$F$7,IF(AA66&gt;=$B$8,AC66*$B$4*(1+$B$5)^(($G$7+$B$8+AB66*($B$8+$B$10))/4),0))</f>
        <v>330484.069151617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16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174520.008629269</v>
      </c>
      <c r="AM66" s="14" t="n">
        <f aca="false">IF($A66&lt;=$G$8,$E$8*$F$8,IF(AI66&gt;=$B$8,AK66*$B$4*(1+$B$5)^(($G$8+$B$8+AJ66*($B$8+$B$10))/4),0))</f>
        <v>698080.034517075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736590.789238882</v>
      </c>
      <c r="AQ66" s="14" t="n">
        <f aca="false">G66+O66+W66+AE66+AM66</f>
        <v>4009715.83407217</v>
      </c>
      <c r="AR66" s="14" t="n">
        <f aca="false">H66+P66+X66+AF66+AN66+IF($A66=$B$15,$B$14,0)</f>
        <v>1753621.90812586</v>
      </c>
      <c r="AS66" s="21" t="n">
        <f aca="false">I66+Q66+Y66+AG66+AO66</f>
        <v>0</v>
      </c>
      <c r="AT66" s="14" t="n">
        <f aca="false">AP66*(1-$B$12)-AS66*$B$13/4</f>
        <v>692395.341884549</v>
      </c>
      <c r="AU66" s="14" t="n">
        <f aca="false">0</f>
        <v>0</v>
      </c>
      <c r="AV66" s="14" t="n">
        <f aca="false">AT66-AR66-AU66</f>
        <v>-1061226.56624131</v>
      </c>
      <c r="AW66" s="21" t="n">
        <f aca="false">(1+$B$16)^(-$A66/4)</f>
        <v>0.501349020514149</v>
      </c>
      <c r="AX66" s="14" t="n">
        <f aca="false">AV66*AW66</f>
        <v>-532044.899528673</v>
      </c>
      <c r="AY66" s="14" t="n">
        <f aca="false">AV66</f>
        <v>-1061226.56624131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7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352213.396698336</v>
      </c>
      <c r="G67" s="14" t="n">
        <f aca="false">IF($A67&lt;=$G$4,$E$4*$F$4,IF(C67&gt;=$B$8,E67*$B$4*(1+$B$5)^(($G$4+$B$8+D67*($B$8+$B$10))/4),0))</f>
        <v>1408853.58679335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1</v>
      </c>
      <c r="L67" s="21" t="n">
        <f aca="false">IF(J67&lt;0,0,INT(J67/($B$8+$B$10)))</f>
        <v>1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0</v>
      </c>
      <c r="O67" s="14" t="n">
        <f aca="false">IF($A67&lt;=$G$5,$E$5*$F$5,IF(K67&gt;=$B$8,M67*$B$4*(1+$B$5)^(($G$5+$B$8+L67*($B$8+$B$10))/4),0))</f>
        <v>1063352.67711664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127236.366623373</v>
      </c>
      <c r="W67" s="14" t="n">
        <f aca="false">IF($A67&lt;=$G$6,$E$6*$F$6,IF(S67&gt;=$B$8,U67*$B$4*(1+$B$5)^(($G$6+$B$8+T67*($B$8+$B$10))/4),0))</f>
        <v>508945.466493491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11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82621.0172879044</v>
      </c>
      <c r="AE67" s="14" t="n">
        <f aca="false">IF($A67&lt;=$G$7,$E$7*$F$7,IF(AA67&gt;=$B$8,AC67*$B$4*(1+$B$5)^(($G$7+$B$8+AB67*($B$8+$B$10))/4),0))</f>
        <v>330484.069151617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17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174520.008629269</v>
      </c>
      <c r="AM67" s="14" t="n">
        <f aca="false">IF($A67&lt;=$G$8,$E$8*$F$8,IF(AI67&gt;=$B$8,AK67*$B$4*(1+$B$5)^(($G$8+$B$8+AJ67*($B$8+$B$10))/4),0))</f>
        <v>698080.034517075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736590.789238882</v>
      </c>
      <c r="AQ67" s="14" t="n">
        <f aca="false">G67+O67+W67+AE67+AM67</f>
        <v>4009715.83407217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692395.341884549</v>
      </c>
      <c r="AU67" s="14" t="n">
        <f aca="false">0</f>
        <v>0</v>
      </c>
      <c r="AV67" s="14" t="n">
        <f aca="false">AT67-AR67-AU67</f>
        <v>692395.341884549</v>
      </c>
      <c r="AW67" s="21" t="n">
        <f aca="false">(1+$B$16)^(-$A67/4)</f>
        <v>0.492080155311421</v>
      </c>
      <c r="AX67" s="14" t="n">
        <f aca="false">AV67*AW67</f>
        <v>340714.007371454</v>
      </c>
      <c r="AY67" s="14" t="n">
        <f aca="false">AV67</f>
        <v>692395.341884549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8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352213.396698336</v>
      </c>
      <c r="G68" s="14" t="n">
        <f aca="false">IF($A68&lt;=$G$4,$E$4*$F$4,IF(C68&gt;=$B$8,E68*$B$4*(1+$B$5)^(($G$4+$B$8+D68*($B$8+$B$10))/4),0))</f>
        <v>1408853.58679335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</v>
      </c>
      <c r="L68" s="21" t="n">
        <f aca="false">IF(J68&lt;0,0,INT(J68/($B$8+$B$10)))</f>
        <v>1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0</v>
      </c>
      <c r="O68" s="14" t="n">
        <f aca="false">IF($A68&lt;=$G$5,$E$5*$F$5,IF(K68&gt;=$B$8,M68*$B$4*(1+$B$5)^(($G$5+$B$8+L68*($B$8+$B$10))/4),0))</f>
        <v>1063352.67711664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127236.366623373</v>
      </c>
      <c r="W68" s="14" t="n">
        <f aca="false">IF($A68&lt;=$G$6,$E$6*$F$6,IF(S68&gt;=$B$8,U68*$B$4*(1+$B$5)^(($G$6+$B$8+T68*($B$8+$B$10))/4),0))</f>
        <v>508945.466493491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12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82621.0172879044</v>
      </c>
      <c r="AE68" s="14" t="n">
        <f aca="false">IF($A68&lt;=$G$7,$E$7*$F$7,IF(AA68&gt;=$B$8,AC68*$B$4*(1+$B$5)^(($G$7+$B$8+AB68*($B$8+$B$10))/4),0))</f>
        <v>330484.069151617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18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174520.008629269</v>
      </c>
      <c r="AM68" s="14" t="n">
        <f aca="false">IF($A68&lt;=$G$8,$E$8*$F$8,IF(AI68&gt;=$B$8,AK68*$B$4*(1+$B$5)^(($G$8+$B$8+AJ68*($B$8+$B$10))/4),0))</f>
        <v>698080.034517075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736590.789238882</v>
      </c>
      <c r="AQ68" s="14" t="n">
        <f aca="false">G68+O68+W68+AE68+AM68</f>
        <v>4009715.83407217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692395.341884549</v>
      </c>
      <c r="AU68" s="14" t="n">
        <f aca="false">0</f>
        <v>0</v>
      </c>
      <c r="AV68" s="14" t="n">
        <f aca="false">AT68-AR68-AU68</f>
        <v>692395.341884549</v>
      </c>
      <c r="AW68" s="21" t="n">
        <f aca="false">(1+$B$16)^(-$A68/4)</f>
        <v>0.482982651492941</v>
      </c>
      <c r="AX68" s="14" t="n">
        <f aca="false">AV68*AW68</f>
        <v>334414.938104761</v>
      </c>
      <c r="AY68" s="14" t="n">
        <f aca="false">AV68</f>
        <v>692395.341884549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9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352213.396698336</v>
      </c>
      <c r="G69" s="14" t="n">
        <f aca="false">IF($A69&lt;=$G$4,$E$4*$F$4,IF(C69&gt;=$B$8,E69*$B$4*(1+$B$5)^(($G$4+$B$8+D69*($B$8+$B$10))/4),0))</f>
        <v>1408853.58679335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3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265838.16927916</v>
      </c>
      <c r="O69" s="14" t="n">
        <f aca="false">IF($A69&lt;=$G$5,$E$5*$F$5,IF(K69&gt;=$B$8,M69*$B$4*(1+$B$5)^(($G$5+$B$8+L69*($B$8+$B$10))/4),0))</f>
        <v>1063352.67711664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127236.366623373</v>
      </c>
      <c r="W69" s="14" t="n">
        <f aca="false">IF($A69&lt;=$G$6,$E$6*$F$6,IF(S69&gt;=$B$8,U69*$B$4*(1+$B$5)^(($G$6+$B$8+T69*($B$8+$B$10))/4),0))</f>
        <v>508945.466493491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13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82621.0172879044</v>
      </c>
      <c r="AE69" s="14" t="n">
        <f aca="false">IF($A69&lt;=$G$7,$E$7*$F$7,IF(AA69&gt;=$B$8,AC69*$B$4*(1+$B$5)^(($G$7+$B$8+AB69*($B$8+$B$10))/4),0))</f>
        <v>330484.069151617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19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174520.008629269</v>
      </c>
      <c r="AM69" s="14" t="n">
        <f aca="false">IF($A69&lt;=$G$8,$E$8*$F$8,IF(AI69&gt;=$B$8,AK69*$B$4*(1+$B$5)^(($G$8+$B$8+AJ69*($B$8+$B$10))/4),0))</f>
        <v>698080.034517075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1002428.95851804</v>
      </c>
      <c r="AQ69" s="14" t="n">
        <f aca="false">G69+O69+W69+AE69+AM69</f>
        <v>4009715.83407217</v>
      </c>
      <c r="AR69" s="14" t="n">
        <f aca="false">H69+P69+X69+AF69+AN69+IF($A69=$B$15,$B$14,0)</f>
        <v>0</v>
      </c>
      <c r="AS69" s="21" t="n">
        <f aca="false">I69+Q69+Y69+AG69+AO69</f>
        <v>0</v>
      </c>
      <c r="AT69" s="14" t="n">
        <f aca="false">AP69*(1-$B$12)-AS69*$B$13/4</f>
        <v>942283.221006959</v>
      </c>
      <c r="AU69" s="14" t="n">
        <f aca="false">0</f>
        <v>0</v>
      </c>
      <c r="AV69" s="14" t="n">
        <f aca="false">AT69-AR69-AU69</f>
        <v>942283.221006959</v>
      </c>
      <c r="AW69" s="21" t="n">
        <f aca="false">(1+$B$16)^(-$A69/4)</f>
        <v>0.474053340955239</v>
      </c>
      <c r="AX69" s="14" t="n">
        <f aca="false">AV69*AW69</f>
        <v>446692.509044413</v>
      </c>
      <c r="AY69" s="14" t="n">
        <f aca="false">AV69+$J$9</f>
        <v>55943703.8249687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313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64106017.0044416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8894115.06377498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30389671.5362889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39283786.6000639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36886184.6009989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0.773593234422047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0.0587282923782302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25" t="n">
        <v>0.0575</v>
      </c>
      <c r="I17" s="21" t="s">
        <v>109</v>
      </c>
      <c r="J17" s="14" t="n">
        <f aca="false">SUM(AR30:AR69)</f>
        <v>13438058.5009865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4334984.70597604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0.133174344416068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347572.82661038</v>
      </c>
      <c r="AW36" s="21" t="n">
        <f aca="false">(1+$B$16)^(-$A36/4)</f>
        <v>0.877545739475122</v>
      </c>
      <c r="AX36" s="14" t="n">
        <f aca="false">AV36*AW36</f>
        <v>305011.053149265</v>
      </c>
      <c r="AY36" s="14" t="n">
        <f aca="false">AV36</f>
        <v>347572.82661038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-1450770.91631257</v>
      </c>
      <c r="AW40" s="21" t="n">
        <f aca="false">(1+$B$16)^(-$A40/4)</f>
        <v>0.814427600440949</v>
      </c>
      <c r="AX40" s="14" t="n">
        <f aca="false">AV40*AW40</f>
        <v>-1181547.87616197</v>
      </c>
      <c r="AY40" s="14" t="n">
        <f aca="false">AV40</f>
        <v>-1450770.91631257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-834995.32902794</v>
      </c>
      <c r="AW46" s="21" t="n">
        <f aca="false">(1+$B$16)^(-$A46/4)</f>
        <v>0.728159575469592</v>
      </c>
      <c r="AX46" s="14" t="n">
        <f aca="false">AV46*AW46</f>
        <v>-608009.844304077</v>
      </c>
      <c r="AY46" s="14" t="n">
        <f aca="false">AV46</f>
        <v>-834995.32902794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-349929.46132618</v>
      </c>
      <c r="AW53" s="21" t="n">
        <f aca="false">(1+$B$16)^(-$A53/4)</f>
        <v>0.638993333111354</v>
      </c>
      <c r="AX53" s="14" t="n">
        <f aca="false">AV53*AW53</f>
        <v>-223602.592846676</v>
      </c>
      <c r="AY53" s="14" t="n">
        <f aca="false">AV53</f>
        <v>-349929.46132618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845069.415413036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-247997.015917393</v>
      </c>
      <c r="AW56" s="21" t="n">
        <f aca="false">(1+$B$16)^(-$A56/4)</f>
        <v>0.604203682494304</v>
      </c>
      <c r="AX56" s="14" t="n">
        <f aca="false">AV56*AW56</f>
        <v>-149840.710264888</v>
      </c>
      <c r="AY56" s="14" t="n">
        <f aca="false">AV56</f>
        <v>-247997.015917393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564098.735311823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135250.668239268</v>
      </c>
      <c r="AW59" s="21" t="n">
        <f aca="false">(1+$B$16)^(-$A59/4)</f>
        <v>0.571308135817531</v>
      </c>
      <c r="AX59" s="14" t="n">
        <f aca="false">AV59*AW59</f>
        <v>77269.8071398515</v>
      </c>
      <c r="AY59" s="14" t="n">
        <f aca="false">AV59</f>
        <v>135250.668239268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-1697056.85717009</v>
      </c>
      <c r="AW63" s="21" t="n">
        <f aca="false">(1+$B$16)^(-$A63/4)</f>
        <v>0.530216367348056</v>
      </c>
      <c r="AX63" s="14" t="n">
        <f aca="false">AV63*AW63</f>
        <v>-899807.321991836</v>
      </c>
      <c r="AY63" s="14" t="n">
        <f aca="false">AV63</f>
        <v>-1697056.85717009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-992363.743699641</v>
      </c>
      <c r="AW69" s="21" t="n">
        <f aca="false">(1+$B$16)^(-$A69/4)</f>
        <v>0.474053340955239</v>
      </c>
      <c r="AX69" s="14" t="n">
        <f aca="false">AV69*AW69</f>
        <v>-470433.348143663</v>
      </c>
      <c r="AY69" s="14" t="n">
        <f aca="false">AV69+$J$9</f>
        <v>63113653.260742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314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47141479.2069401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8894115.06377498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22347575.7156219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31241690.7793968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29334920.9196214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0.715312620991677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0.030141843304581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25" t="n">
        <v>0.0775</v>
      </c>
      <c r="I17" s="21" t="s">
        <v>109</v>
      </c>
      <c r="J17" s="14" t="n">
        <f aca="false">SUM(AR30:AR69)</f>
        <v>13438058.5009865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-3216278.97540147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-0.0988067716635306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347572.82661038</v>
      </c>
      <c r="AW36" s="21" t="n">
        <f aca="false">(1+$B$16)^(-$A36/4)</f>
        <v>0.877545739475122</v>
      </c>
      <c r="AX36" s="14" t="n">
        <f aca="false">AV36*AW36</f>
        <v>305011.053149265</v>
      </c>
      <c r="AY36" s="14" t="n">
        <f aca="false">AV36</f>
        <v>347572.82661038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-1450770.91631257</v>
      </c>
      <c r="AW40" s="21" t="n">
        <f aca="false">(1+$B$16)^(-$A40/4)</f>
        <v>0.814427600440949</v>
      </c>
      <c r="AX40" s="14" t="n">
        <f aca="false">AV40*AW40</f>
        <v>-1181547.87616197</v>
      </c>
      <c r="AY40" s="14" t="n">
        <f aca="false">AV40</f>
        <v>-1450770.91631257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-834995.32902794</v>
      </c>
      <c r="AW46" s="21" t="n">
        <f aca="false">(1+$B$16)^(-$A46/4)</f>
        <v>0.728159575469592</v>
      </c>
      <c r="AX46" s="14" t="n">
        <f aca="false">AV46*AW46</f>
        <v>-608009.844304077</v>
      </c>
      <c r="AY46" s="14" t="n">
        <f aca="false">AV46</f>
        <v>-834995.32902794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-349929.46132618</v>
      </c>
      <c r="AW53" s="21" t="n">
        <f aca="false">(1+$B$16)^(-$A53/4)</f>
        <v>0.638993333111354</v>
      </c>
      <c r="AX53" s="14" t="n">
        <f aca="false">AV53*AW53</f>
        <v>-223602.592846676</v>
      </c>
      <c r="AY53" s="14" t="n">
        <f aca="false">AV53</f>
        <v>-349929.46132618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845069.415413036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-247997.015917393</v>
      </c>
      <c r="AW56" s="21" t="n">
        <f aca="false">(1+$B$16)^(-$A56/4)</f>
        <v>0.604203682494304</v>
      </c>
      <c r="AX56" s="14" t="n">
        <f aca="false">AV56*AW56</f>
        <v>-149840.710264888</v>
      </c>
      <c r="AY56" s="14" t="n">
        <f aca="false">AV56</f>
        <v>-247997.015917393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564098.735311823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135250.668239268</v>
      </c>
      <c r="AW59" s="21" t="n">
        <f aca="false">(1+$B$16)^(-$A59/4)</f>
        <v>0.571308135817531</v>
      </c>
      <c r="AX59" s="14" t="n">
        <f aca="false">AV59*AW59</f>
        <v>77269.8071398515</v>
      </c>
      <c r="AY59" s="14" t="n">
        <f aca="false">AV59</f>
        <v>135250.668239268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-1697056.85717009</v>
      </c>
      <c r="AW63" s="21" t="n">
        <f aca="false">(1+$B$16)^(-$A63/4)</f>
        <v>0.530216367348056</v>
      </c>
      <c r="AX63" s="14" t="n">
        <f aca="false">AV63*AW63</f>
        <v>-899807.321991836</v>
      </c>
      <c r="AY63" s="14" t="n">
        <f aca="false">AV63</f>
        <v>-1697056.85717009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-992363.743699641</v>
      </c>
      <c r="AW69" s="21" t="n">
        <f aca="false">(1+$B$16)^(-$A69/4)</f>
        <v>0.474053340955239</v>
      </c>
      <c r="AX69" s="14" t="n">
        <f aca="false">AV69*AW69</f>
        <v>-470433.348143663</v>
      </c>
      <c r="AY69" s="14" t="n">
        <f aca="false">AV69+$J$9</f>
        <v>46149115.4632404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315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0.05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0.05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0.05</v>
      </c>
      <c r="I6" s="21" t="s">
        <v>263</v>
      </c>
      <c r="J6" s="14" t="n">
        <f aca="false">AQ69</f>
        <v>2738376.83500615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0.05</v>
      </c>
      <c r="I7" s="21" t="s">
        <v>98</v>
      </c>
      <c r="J7" s="14" t="n">
        <f aca="false">AS69</f>
        <v>2797.75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0.05</v>
      </c>
      <c r="I8" s="21" t="s">
        <v>101</v>
      </c>
      <c r="J8" s="14" t="n">
        <f aca="false">(J6+J7*J4)*(1-$B$12)</f>
        <v>3486299.12939179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49401653.6689331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8888608.58747804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23419018.9704714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32307627.5579494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30335800.5238962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0.724875849471313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0.034332736029123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24856237.0665472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12592019.6665134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-2215399.37112673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-0.0680589157472339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25" t="n">
        <v>0.05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2052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861840</v>
      </c>
      <c r="AO30" s="21" t="n">
        <f aca="false">IF($A30&lt;=$G$8,0,IF(AI30&lt;$B$8,AK30,0))</f>
        <v>2052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861840</v>
      </c>
      <c r="AS30" s="21" t="n">
        <f aca="false">I30+Q30+Y30+AG30+AO30</f>
        <v>2052</v>
      </c>
      <c r="AT30" s="14" t="n">
        <f aca="false">AP30*(1-$B$12)-AS30*$B$13/4</f>
        <v>688285.9</v>
      </c>
      <c r="AU30" s="14" t="n">
        <f aca="false">0</f>
        <v>0</v>
      </c>
      <c r="AV30" s="14" t="n">
        <f aca="false">AT30-AR30-AU30</f>
        <v>-173554.1</v>
      </c>
      <c r="AW30" s="21" t="n">
        <f aca="false">(1+$B$16)^(-$A30/4)</f>
        <v>0.98151215057083</v>
      </c>
      <c r="AX30" s="14" t="n">
        <f aca="false">AV30*AW30</f>
        <v>-170345.457931385</v>
      </c>
      <c r="AY30" s="14" t="n">
        <f aca="false">AV30</f>
        <v>-173554.1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2052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2052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2052</v>
      </c>
      <c r="AT31" s="14" t="n">
        <f aca="false">AP31*(1-$B$12)-AS31*$B$13/4</f>
        <v>688285.9</v>
      </c>
      <c r="AU31" s="14" t="n">
        <f aca="false">0</f>
        <v>0</v>
      </c>
      <c r="AV31" s="14" t="n">
        <f aca="false">AT31-AR31-AU31</f>
        <v>688285.9</v>
      </c>
      <c r="AW31" s="21" t="n">
        <f aca="false">(1+$B$16)^(-$A31/4)</f>
        <v>0.963366101718176</v>
      </c>
      <c r="AX31" s="14" t="n">
        <f aca="false">AV31*AW31</f>
        <v>663071.304350586</v>
      </c>
      <c r="AY31" s="14" t="n">
        <f aca="false">AV31</f>
        <v>688285.9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2052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2052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2052</v>
      </c>
      <c r="AT32" s="14" t="n">
        <f aca="false">AP32*(1-$B$12)-AS32*$B$13/4</f>
        <v>688285.9</v>
      </c>
      <c r="AU32" s="14" t="n">
        <f aca="false">0</f>
        <v>0</v>
      </c>
      <c r="AV32" s="14" t="n">
        <f aca="false">AT32-AR32-AU32</f>
        <v>688285.9</v>
      </c>
      <c r="AW32" s="21" t="n">
        <f aca="false">(1+$B$16)^(-$A32/4)</f>
        <v>0.945555534284444</v>
      </c>
      <c r="AX32" s="14" t="n">
        <f aca="false">AV32*AW32</f>
        <v>650812.54191495</v>
      </c>
      <c r="AY32" s="14" t="n">
        <f aca="false">AV32</f>
        <v>688285.9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2052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622512.595167537</v>
      </c>
      <c r="AN33" s="14" t="n">
        <f aca="false">IF($A33&lt;=$G$8,0,IF(AI33=0,AK33*$B$6*(1+$B$7)^(($G$8+AJ33*($B$8+$B$10))/4),0)+IF(AI33=$B$8,$B$11*$B$4*(1+$B$5)^(($G$8+$B$8+AJ33*($B$8+$B$10))/4)*AK33,0))</f>
        <v>74701.5114201045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3671452.59516754</v>
      </c>
      <c r="AR33" s="14" t="n">
        <f aca="false">H33+P33+X33+AF33+AN33+IF($A33=$B$15,$B$14,0)</f>
        <v>74701.5114201045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641799.388579896</v>
      </c>
      <c r="AW33" s="21" t="n">
        <f aca="false">(1+$B$16)^(-$A33/4)</f>
        <v>0.928074245939675</v>
      </c>
      <c r="AX33" s="14" t="n">
        <f aca="false">AV33*AW33</f>
        <v>595637.483600831</v>
      </c>
      <c r="AY33" s="14" t="n">
        <f aca="false">AV33</f>
        <v>641799.388579896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2052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622512.595167537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3671452.59516754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2052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622512.595167537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3671452.59516754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950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414055.62958451</v>
      </c>
      <c r="AG36" s="21" t="n">
        <f aca="false">IF($A36&lt;=$G$7,0,IF(AA36&lt;$B$8,AC36,0))</f>
        <v>950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2052</v>
      </c>
      <c r="AL36" s="14" t="n">
        <f aca="false">IF($A36&lt;=$G$8,$E$8*$F$8/4,IF(AI36&gt;=$B$8+$B$9,AK36*$B$4*(1+$B$5)^(($G$8+$B$8+AJ36*($B$8+$B$10))/4)/4,0))</f>
        <v>155628.148791884</v>
      </c>
      <c r="AM36" s="14" t="n">
        <f aca="false">IF($A36&lt;=$G$8,$E$8*$F$8,IF(AI36&gt;=$B$8,AK36*$B$4*(1+$B$5)^(($G$8+$B$8+AJ36*($B$8+$B$10))/4),0))</f>
        <v>622512.595167537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839863.148791884</v>
      </c>
      <c r="AQ36" s="14" t="n">
        <f aca="false">G36+O36+W36+AE36+AM36</f>
        <v>3359452.59516754</v>
      </c>
      <c r="AR36" s="14" t="n">
        <f aca="false">H36+P36+X36+AF36+AN36+IF($A36=$B$15,$B$14,0)</f>
        <v>414055.62958451</v>
      </c>
      <c r="AS36" s="21" t="n">
        <f aca="false">I36+Q36+Y36+AG36+AO36</f>
        <v>950</v>
      </c>
      <c r="AT36" s="14" t="n">
        <f aca="false">AP36*(1-$B$12)-AS36*$B$13/4</f>
        <v>776408.859864371</v>
      </c>
      <c r="AU36" s="14" t="n">
        <f aca="false">0</f>
        <v>0</v>
      </c>
      <c r="AV36" s="14" t="n">
        <f aca="false">AT36-AR36-AU36</f>
        <v>362353.230279861</v>
      </c>
      <c r="AW36" s="21" t="n">
        <f aca="false">(1+$B$16)^(-$A36/4)</f>
        <v>0.877545739475122</v>
      </c>
      <c r="AX36" s="14" t="n">
        <f aca="false">AV36*AW36</f>
        <v>317981.53341714</v>
      </c>
      <c r="AY36" s="14" t="n">
        <f aca="false">AV36</f>
        <v>362353.230279861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950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950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2052</v>
      </c>
      <c r="AL37" s="14" t="n">
        <f aca="false">IF($A37&lt;=$G$8,$E$8*$F$8/4,IF(AI37&gt;=$B$8+$B$9,AK37*$B$4*(1+$B$5)^(($G$8+$B$8+AJ37*($B$8+$B$10))/4)/4,0))</f>
        <v>155628.148791884</v>
      </c>
      <c r="AM37" s="14" t="n">
        <f aca="false">IF($A37&lt;=$G$8,$E$8*$F$8,IF(AI37&gt;=$B$8,AK37*$B$4*(1+$B$5)^(($G$8+$B$8+AJ37*($B$8+$B$10))/4),0))</f>
        <v>622512.595167537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839863.148791884</v>
      </c>
      <c r="AQ37" s="14" t="n">
        <f aca="false">G37+O37+W37+AE37+AM37</f>
        <v>3359452.59516754</v>
      </c>
      <c r="AR37" s="14" t="n">
        <f aca="false">H37+P37+X37+AF37+AN37+IF($A37=$B$15,$B$14,0)</f>
        <v>0</v>
      </c>
      <c r="AS37" s="21" t="n">
        <f aca="false">I37+Q37+Y37+AG37+AO37</f>
        <v>950</v>
      </c>
      <c r="AT37" s="14" t="n">
        <f aca="false">AP37*(1-$B$12)-AS37*$B$13/4</f>
        <v>776408.859864371</v>
      </c>
      <c r="AU37" s="14" t="n">
        <f aca="false">0</f>
        <v>0</v>
      </c>
      <c r="AV37" s="14" t="n">
        <f aca="false">AT37-AR37-AU37</f>
        <v>776408.859864371</v>
      </c>
      <c r="AW37" s="21" t="n">
        <f aca="false">(1+$B$16)^(-$A37/4)</f>
        <v>0.861321805976497</v>
      </c>
      <c r="AX37" s="14" t="n">
        <f aca="false">AV37*AW37</f>
        <v>668737.881354533</v>
      </c>
      <c r="AY37" s="14" t="n">
        <f aca="false">AV37</f>
        <v>776408.859864371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950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950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2052</v>
      </c>
      <c r="AL38" s="14" t="n">
        <f aca="false">IF($A38&lt;=$G$8,$E$8*$F$8/4,IF(AI38&gt;=$B$8+$B$9,AK38*$B$4*(1+$B$5)^(($G$8+$B$8+AJ38*($B$8+$B$10))/4)/4,0))</f>
        <v>155628.148791884</v>
      </c>
      <c r="AM38" s="14" t="n">
        <f aca="false">IF($A38&lt;=$G$8,$E$8*$F$8,IF(AI38&gt;=$B$8,AK38*$B$4*(1+$B$5)^(($G$8+$B$8+AJ38*($B$8+$B$10))/4),0))</f>
        <v>622512.595167537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839863.148791884</v>
      </c>
      <c r="AQ38" s="14" t="n">
        <f aca="false">G38+O38+W38+AE38+AM38</f>
        <v>3359452.59516754</v>
      </c>
      <c r="AR38" s="14" t="n">
        <f aca="false">H38+P38+X38+AF38+AN38+IF($A38=$B$15,$B$14,0)</f>
        <v>0</v>
      </c>
      <c r="AS38" s="21" t="n">
        <f aca="false">I38+Q38+Y38+AG38+AO38</f>
        <v>950</v>
      </c>
      <c r="AT38" s="14" t="n">
        <f aca="false">AP38*(1-$B$12)-AS38*$B$13/4</f>
        <v>776408.859864371</v>
      </c>
      <c r="AU38" s="14" t="n">
        <f aca="false">0</f>
        <v>0</v>
      </c>
      <c r="AV38" s="14" t="n">
        <f aca="false">AT38-AR38-AU38</f>
        <v>776408.859864371</v>
      </c>
      <c r="AW38" s="21" t="n">
        <f aca="false">(1+$B$16)^(-$A38/4)</f>
        <v>0.845397818117543</v>
      </c>
      <c r="AX38" s="14" t="n">
        <f aca="false">AV38*AW38</f>
        <v>656374.356096469</v>
      </c>
      <c r="AY38" s="14" t="n">
        <f aca="false">AV38</f>
        <v>776408.859864371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950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294709.038185605</v>
      </c>
      <c r="AF39" s="14" t="n">
        <f aca="false">IF($A39&lt;=$G$7,0,IF(AA39=0,AC39*$B$6*(1+$B$7)^(($G$7+AB39*($B$8+$B$10))/4),0)+IF(AA39=$B$8,$B$11*$B$4*(1+$B$5)^(($G$7+$B$8+AB39*($B$8+$B$10))/4)*AC39,0))</f>
        <v>35365.0845822726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2052</v>
      </c>
      <c r="AL39" s="14" t="n">
        <f aca="false">IF($A39&lt;=$G$8,$E$8*$F$8/4,IF(AI39&gt;=$B$8+$B$9,AK39*$B$4*(1+$B$5)^(($G$8+$B$8+AJ39*($B$8+$B$10))/4)/4,0))</f>
        <v>155628.148791884</v>
      </c>
      <c r="AM39" s="14" t="n">
        <f aca="false">IF($A39&lt;=$G$8,$E$8*$F$8,IF(AI39&gt;=$B$8,AK39*$B$4*(1+$B$5)^(($G$8+$B$8+AJ39*($B$8+$B$10))/4),0))</f>
        <v>622512.595167537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839863.148791884</v>
      </c>
      <c r="AQ39" s="14" t="n">
        <f aca="false">G39+O39+W39+AE39+AM39</f>
        <v>3654161.63335314</v>
      </c>
      <c r="AR39" s="14" t="n">
        <f aca="false">H39+P39+X39+AF39+AN39+IF($A39=$B$15,$B$14,0)</f>
        <v>35365.0845822726</v>
      </c>
      <c r="AS39" s="21" t="n">
        <f aca="false">I39+Q39+Y39+AG39+AO39</f>
        <v>0</v>
      </c>
      <c r="AT39" s="14" t="n">
        <f aca="false">AP39*(1-$B$12)-AS39*$B$13/4</f>
        <v>789471.359864371</v>
      </c>
      <c r="AU39" s="14" t="n">
        <f aca="false">0</f>
        <v>0</v>
      </c>
      <c r="AV39" s="14" t="n">
        <f aca="false">AT39-AR39-AU39</f>
        <v>754106.275282099</v>
      </c>
      <c r="AW39" s="21" t="n">
        <f aca="false">(1+$B$16)^(-$A39/4)</f>
        <v>0.829768230548437</v>
      </c>
      <c r="AX39" s="14" t="n">
        <f aca="false">AV39*AW39</f>
        <v>625733.429686299</v>
      </c>
      <c r="AY39" s="14" t="n">
        <f aca="false">AV39</f>
        <v>754106.275282099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3990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1782509.48536132</v>
      </c>
      <c r="I40" s="21" t="n">
        <f aca="false">IF($A40&lt;=$G$4,0,IF(C40&lt;$B$8,E40,0))</f>
        <v>3990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950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294709.038185605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2052</v>
      </c>
      <c r="AL40" s="14" t="n">
        <f aca="false">IF($A40&lt;=$G$8,$E$8*$F$8/4,IF(AI40&gt;=$B$8+$B$9,AK40*$B$4*(1+$B$5)^(($G$8+$B$8+AJ40*($B$8+$B$10))/4)/4,0))</f>
        <v>155628.148791884</v>
      </c>
      <c r="AM40" s="14" t="n">
        <f aca="false">IF($A40&lt;=$G$8,$E$8*$F$8,IF(AI40&gt;=$B$8,AK40*$B$4*(1+$B$5)^(($G$8+$B$8+AJ40*($B$8+$B$10))/4),0))</f>
        <v>622512.595167537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505963.148791884</v>
      </c>
      <c r="AQ40" s="14" t="n">
        <f aca="false">G40+O40+W40+AE40+AM40</f>
        <v>2318561.63335314</v>
      </c>
      <c r="AR40" s="14" t="n">
        <f aca="false">H40+P40+X40+AF40+AN40+IF($A40=$B$15,$B$14,0)</f>
        <v>1782509.48536132</v>
      </c>
      <c r="AS40" s="21" t="n">
        <f aca="false">I40+Q40+Y40+AG40+AO40</f>
        <v>3990</v>
      </c>
      <c r="AT40" s="14" t="n">
        <f aca="false">AP40*(1-$B$12)-AS40*$B$13/4</f>
        <v>420742.859864371</v>
      </c>
      <c r="AU40" s="14" t="n">
        <f aca="false">0</f>
        <v>0</v>
      </c>
      <c r="AV40" s="14" t="n">
        <f aca="false">AT40-AR40-AU40</f>
        <v>-1361766.62549694</v>
      </c>
      <c r="AW40" s="21" t="n">
        <f aca="false">(1+$B$16)^(-$A40/4)</f>
        <v>0.814427600440949</v>
      </c>
      <c r="AX40" s="14" t="n">
        <f aca="false">AV40*AW40</f>
        <v>-1109060.32516404</v>
      </c>
      <c r="AY40" s="14" t="n">
        <f aca="false">AV40</f>
        <v>-1361766.62549694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3990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3990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950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294709.038185605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2052</v>
      </c>
      <c r="AL41" s="14" t="n">
        <f aca="false">IF($A41&lt;=$G$8,$E$8*$F$8/4,IF(AI41&gt;=$B$8+$B$9,AK41*$B$4*(1+$B$5)^(($G$8+$B$8+AJ41*($B$8+$B$10))/4)/4,0))</f>
        <v>155628.148791884</v>
      </c>
      <c r="AM41" s="14" t="n">
        <f aca="false">IF($A41&lt;=$G$8,$E$8*$F$8,IF(AI41&gt;=$B$8,AK41*$B$4*(1+$B$5)^(($G$8+$B$8+AJ41*($B$8+$B$10))/4),0))</f>
        <v>622512.595167537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505963.148791884</v>
      </c>
      <c r="AQ41" s="14" t="n">
        <f aca="false">G41+O41+W41+AE41+AM41</f>
        <v>2318561.63335314</v>
      </c>
      <c r="AR41" s="14" t="n">
        <f aca="false">H41+P41+X41+AF41+AN41+IF($A41=$B$15,$B$14,0)</f>
        <v>1900000</v>
      </c>
      <c r="AS41" s="21" t="n">
        <f aca="false">I41+Q41+Y41+AG41+AO41</f>
        <v>3990</v>
      </c>
      <c r="AT41" s="14" t="n">
        <f aca="false">AP41*(1-$B$12)-AS41*$B$13/4</f>
        <v>420742.859864371</v>
      </c>
      <c r="AU41" s="14" t="n">
        <f aca="false">0</f>
        <v>0</v>
      </c>
      <c r="AV41" s="14" t="n">
        <f aca="false">AT41-AR41-AU41</f>
        <v>-1479257.14013563</v>
      </c>
      <c r="AW41" s="21" t="n">
        <f aca="false">(1+$B$16)^(-$A41/4)</f>
        <v>0.799370585593037</v>
      </c>
      <c r="AX41" s="14" t="n">
        <f aca="false">AV41*AW41</f>
        <v>-1182474.6463529</v>
      </c>
      <c r="AY41" s="14" t="n">
        <f aca="false">AV41</f>
        <v>-1479257.14013563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3990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3990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950</v>
      </c>
      <c r="AD42" s="14" t="n">
        <f aca="false">IF($A42&lt;=$G$7,$E$7*$F$7/4,IF(AA42&gt;=$B$8+$B$9,AC42*$B$4*(1+$B$5)^(($G$7+$B$8+AB42*($B$8+$B$10))/4)/4,0))</f>
        <v>73677.2595464013</v>
      </c>
      <c r="AE42" s="14" t="n">
        <f aca="false">IF($A42&lt;=$G$7,$E$7*$F$7,IF(AA42&gt;=$B$8,AC42*$B$4*(1+$B$5)^(($G$7+$B$8+AB42*($B$8+$B$10))/4),0))</f>
        <v>294709.038185605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2052</v>
      </c>
      <c r="AL42" s="14" t="n">
        <f aca="false">IF($A42&lt;=$G$8,$E$8*$F$8/4,IF(AI42&gt;=$B$8+$B$9,AK42*$B$4*(1+$B$5)^(($G$8+$B$8+AJ42*($B$8+$B$10))/4)/4,0))</f>
        <v>155628.148791884</v>
      </c>
      <c r="AM42" s="14" t="n">
        <f aca="false">IF($A42&lt;=$G$8,$E$8*$F$8,IF(AI42&gt;=$B$8,AK42*$B$4*(1+$B$5)^(($G$8+$B$8+AJ42*($B$8+$B$10))/4),0))</f>
        <v>622512.595167537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579640.408338286</v>
      </c>
      <c r="AQ42" s="14" t="n">
        <f aca="false">G42+O42+W42+AE42+AM42</f>
        <v>2318561.63335314</v>
      </c>
      <c r="AR42" s="14" t="n">
        <f aca="false">H42+P42+X42+AF42+AN42+IF($A42=$B$15,$B$14,0)</f>
        <v>0</v>
      </c>
      <c r="AS42" s="21" t="n">
        <f aca="false">I42+Q42+Y42+AG42+AO42</f>
        <v>3990</v>
      </c>
      <c r="AT42" s="14" t="n">
        <f aca="false">AP42*(1-$B$12)-AS42*$B$13/4</f>
        <v>489999.483837988</v>
      </c>
      <c r="AU42" s="14" t="n">
        <f aca="false">0</f>
        <v>0</v>
      </c>
      <c r="AV42" s="14" t="n">
        <f aca="false">AT42-AR42-AU42</f>
        <v>489999.483837988</v>
      </c>
      <c r="AW42" s="21" t="n">
        <f aca="false">(1+$B$16)^(-$A42/4)</f>
        <v>0.784591942568485</v>
      </c>
      <c r="AX42" s="14" t="n">
        <f aca="false">AV42*AW42</f>
        <v>384449.646882003</v>
      </c>
      <c r="AY42" s="14" t="n">
        <f aca="false">AV42</f>
        <v>489999.483837988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3990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1256344.62978524</v>
      </c>
      <c r="H43" s="14" t="n">
        <f aca="false">IF($A43&lt;=$G$4,0,IF(C43=0,E43*$B$6*(1+$B$7)^(($G$4+D43*($B$8+$B$10))/4),0)+IF(C43=$B$8,$B$11*$B$4*(1+$B$5)^(($G$4+$B$8+D43*($B$8+$B$10))/4)*E43,0))</f>
        <v>150761.355574228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950</v>
      </c>
      <c r="AD43" s="14" t="n">
        <f aca="false">IF($A43&lt;=$G$7,$E$7*$F$7/4,IF(AA43&gt;=$B$8+$B$9,AC43*$B$4*(1+$B$5)^(($G$7+$B$8+AB43*($B$8+$B$10))/4)/4,0))</f>
        <v>73677.2595464013</v>
      </c>
      <c r="AE43" s="14" t="n">
        <f aca="false">IF($A43&lt;=$G$7,$E$7*$F$7,IF(AA43&gt;=$B$8,AC43*$B$4*(1+$B$5)^(($G$7+$B$8+AB43*($B$8+$B$10))/4),0))</f>
        <v>294709.038185605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2052</v>
      </c>
      <c r="AL43" s="14" t="n">
        <f aca="false">IF($A43&lt;=$G$8,$E$8*$F$8/4,IF(AI43&gt;=$B$8+$B$9,AK43*$B$4*(1+$B$5)^(($G$8+$B$8+AJ43*($B$8+$B$10))/4)/4,0))</f>
        <v>155628.148791884</v>
      </c>
      <c r="AM43" s="14" t="n">
        <f aca="false">IF($A43&lt;=$G$8,$E$8*$F$8,IF(AI43&gt;=$B$8,AK43*$B$4*(1+$B$5)^(($G$8+$B$8+AJ43*($B$8+$B$10))/4),0))</f>
        <v>622512.595167537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579640.408338286</v>
      </c>
      <c r="AQ43" s="14" t="n">
        <f aca="false">G43+O43+W43+AE43+AM43</f>
        <v>3574906.26313838</v>
      </c>
      <c r="AR43" s="14" t="n">
        <f aca="false">H43+P43+X43+AF43+AN43+IF($A43=$B$15,$B$14,0)</f>
        <v>150761.355574228</v>
      </c>
      <c r="AS43" s="21" t="n">
        <f aca="false">I43+Q43+Y43+AG43+AO43</f>
        <v>0</v>
      </c>
      <c r="AT43" s="14" t="n">
        <f aca="false">AP43*(1-$B$12)-AS43*$B$13/4</f>
        <v>544861.983837989</v>
      </c>
      <c r="AU43" s="14" t="n">
        <f aca="false">0</f>
        <v>0</v>
      </c>
      <c r="AV43" s="14" t="n">
        <f aca="false">AT43-AR43-AU43</f>
        <v>394100.62826376</v>
      </c>
      <c r="AW43" s="21" t="n">
        <f aca="false">(1+$B$16)^(-$A43/4)</f>
        <v>0.770086524870939</v>
      </c>
      <c r="AX43" s="14" t="n">
        <f aca="false">AV43*AW43</f>
        <v>303491.583269093</v>
      </c>
      <c r="AY43" s="14" t="n">
        <f aca="false">AV43</f>
        <v>394100.62826376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3990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1256344.62978524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950</v>
      </c>
      <c r="AD44" s="14" t="n">
        <f aca="false">IF($A44&lt;=$G$7,$E$7*$F$7/4,IF(AA44&gt;=$B$8+$B$9,AC44*$B$4*(1+$B$5)^(($G$7+$B$8+AB44*($B$8+$B$10))/4)/4,0))</f>
        <v>73677.2595464013</v>
      </c>
      <c r="AE44" s="14" t="n">
        <f aca="false">IF($A44&lt;=$G$7,$E$7*$F$7,IF(AA44&gt;=$B$8,AC44*$B$4*(1+$B$5)^(($G$7+$B$8+AB44*($B$8+$B$10))/4),0))</f>
        <v>294709.038185605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2052</v>
      </c>
      <c r="AL44" s="14" t="n">
        <f aca="false">IF($A44&lt;=$G$8,$E$8*$F$8/4,IF(AI44&gt;=$B$8+$B$9,AK44*$B$4*(1+$B$5)^(($G$8+$B$8+AJ44*($B$8+$B$10))/4)/4,0))</f>
        <v>155628.148791884</v>
      </c>
      <c r="AM44" s="14" t="n">
        <f aca="false">IF($A44&lt;=$G$8,$E$8*$F$8,IF(AI44&gt;=$B$8,AK44*$B$4*(1+$B$5)^(($G$8+$B$8+AJ44*($B$8+$B$10))/4),0))</f>
        <v>622512.595167537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579640.408338286</v>
      </c>
      <c r="AQ44" s="14" t="n">
        <f aca="false">G44+O44+W44+AE44+AM44</f>
        <v>3574906.26313838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544861.983837989</v>
      </c>
      <c r="AU44" s="14" t="n">
        <f aca="false">0</f>
        <v>0</v>
      </c>
      <c r="AV44" s="14" t="n">
        <f aca="false">AT44-AR44-AU44</f>
        <v>544861.983837989</v>
      </c>
      <c r="AW44" s="21" t="n">
        <f aca="false">(1+$B$16)^(-$A44/4)</f>
        <v>0.755849281151693</v>
      </c>
      <c r="AX44" s="14" t="n">
        <f aca="false">AV44*AW44</f>
        <v>411833.538810829</v>
      </c>
      <c r="AY44" s="14" t="n">
        <f aca="false">AV44</f>
        <v>544861.983837989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3990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1256344.62978524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950</v>
      </c>
      <c r="AD45" s="14" t="n">
        <f aca="false">IF($A45&lt;=$G$7,$E$7*$F$7/4,IF(AA45&gt;=$B$8+$B$9,AC45*$B$4*(1+$B$5)^(($G$7+$B$8+AB45*($B$8+$B$10))/4)/4,0))</f>
        <v>73677.2595464013</v>
      </c>
      <c r="AE45" s="14" t="n">
        <f aca="false">IF($A45&lt;=$G$7,$E$7*$F$7,IF(AA45&gt;=$B$8,AC45*$B$4*(1+$B$5)^(($G$7+$B$8+AB45*($B$8+$B$10))/4),0))</f>
        <v>294709.038185605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2052</v>
      </c>
      <c r="AL45" s="14" t="n">
        <f aca="false">IF($A45&lt;=$G$8,$E$8*$F$8/4,IF(AI45&gt;=$B$8+$B$9,AK45*$B$4*(1+$B$5)^(($G$8+$B$8+AJ45*($B$8+$B$10))/4)/4,0))</f>
        <v>155628.148791884</v>
      </c>
      <c r="AM45" s="14" t="n">
        <f aca="false">IF($A45&lt;=$G$8,$E$8*$F$8,IF(AI45&gt;=$B$8,AK45*$B$4*(1+$B$5)^(($G$8+$B$8+AJ45*($B$8+$B$10))/4),0))</f>
        <v>622512.595167537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579640.408338286</v>
      </c>
      <c r="AQ45" s="14" t="n">
        <f aca="false">G45+O45+W45+AE45+AM45</f>
        <v>3574906.26313838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544861.983837989</v>
      </c>
      <c r="AU45" s="14" t="n">
        <f aca="false">0</f>
        <v>0</v>
      </c>
      <c r="AV45" s="14" t="n">
        <f aca="false">AT45-AR45-AU45</f>
        <v>544861.983837989</v>
      </c>
      <c r="AW45" s="21" t="n">
        <f aca="false">(1+$B$16)^(-$A45/4)</f>
        <v>0.741875253450614</v>
      </c>
      <c r="AX45" s="14" t="n">
        <f aca="false">AV45*AW45</f>
        <v>404219.622355412</v>
      </c>
      <c r="AY45" s="14" t="n">
        <f aca="false">AV45</f>
        <v>544861.983837989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3990</v>
      </c>
      <c r="F46" s="14" t="n">
        <f aca="false">IF($A46&lt;=$G$4,$E$4*$F$4/4,IF(C46&gt;=$B$8+$B$9,E46*$B$4*(1+$B$5)^(($G$4+$B$8+D46*($B$8+$B$10))/4)/4,0))</f>
        <v>314086.157446309</v>
      </c>
      <c r="G46" s="14" t="n">
        <f aca="false">IF($A46&lt;=$G$4,$E$4*$F$4,IF(C46&gt;=$B$8,E46*$B$4*(1+$B$5)^(($G$4+$B$8+D46*($B$8+$B$10))/4),0))</f>
        <v>1256344.62978524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2945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1365306.16441406</v>
      </c>
      <c r="Q46" s="21" t="n">
        <f aca="false">IF($A46&lt;=$G$5,0,IF(K46&lt;$B$8,M46,0))</f>
        <v>2945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950</v>
      </c>
      <c r="AD46" s="14" t="n">
        <f aca="false">IF($A46&lt;=$G$7,$E$7*$F$7/4,IF(AA46&gt;=$B$8+$B$9,AC46*$B$4*(1+$B$5)^(($G$7+$B$8+AB46*($B$8+$B$10))/4)/4,0))</f>
        <v>73677.2595464013</v>
      </c>
      <c r="AE46" s="14" t="n">
        <f aca="false">IF($A46&lt;=$G$7,$E$7*$F$7,IF(AA46&gt;=$B$8,AC46*$B$4*(1+$B$5)^(($G$7+$B$8+AB46*($B$8+$B$10))/4),0))</f>
        <v>294709.038185605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2052</v>
      </c>
      <c r="AL46" s="14" t="n">
        <f aca="false">IF($A46&lt;=$G$8,$E$8*$F$8/4,IF(AI46&gt;=$B$8+$B$9,AK46*$B$4*(1+$B$5)^(($G$8+$B$8+AJ46*($B$8+$B$10))/4)/4,0))</f>
        <v>155628.148791884</v>
      </c>
      <c r="AM46" s="14" t="n">
        <f aca="false">IF($A46&lt;=$G$8,$E$8*$F$8,IF(AI46&gt;=$B$8,AK46*$B$4*(1+$B$5)^(($G$8+$B$8+AJ46*($B$8+$B$10))/4),0))</f>
        <v>622512.595167537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657351.565784594</v>
      </c>
      <c r="AQ46" s="14" t="n">
        <f aca="false">G46+O46+W46+AE46+AM46</f>
        <v>2629406.26313838</v>
      </c>
      <c r="AR46" s="14" t="n">
        <f aca="false">H46+P46+X46+AF46+AN46+IF($A46=$B$15,$B$14,0)</f>
        <v>1365306.16441406</v>
      </c>
      <c r="AS46" s="21" t="n">
        <f aca="false">I46+Q46+Y46+AG46+AO46</f>
        <v>2945</v>
      </c>
      <c r="AT46" s="14" t="n">
        <f aca="false">AP46*(1-$B$12)-AS46*$B$13/4</f>
        <v>577416.721837519</v>
      </c>
      <c r="AU46" s="14" t="n">
        <f aca="false">0</f>
        <v>0</v>
      </c>
      <c r="AV46" s="14" t="n">
        <f aca="false">AT46-AR46-AU46</f>
        <v>-787889.442576543</v>
      </c>
      <c r="AW46" s="21" t="n">
        <f aca="false">(1+$B$16)^(-$A46/4)</f>
        <v>0.728159575469592</v>
      </c>
      <c r="AX46" s="14" t="n">
        <f aca="false">AV46*AW46</f>
        <v>-573709.242023509</v>
      </c>
      <c r="AY46" s="14" t="n">
        <f aca="false">AV46</f>
        <v>-787889.442576543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3990</v>
      </c>
      <c r="F47" s="14" t="n">
        <f aca="false">IF($A47&lt;=$G$4,$E$4*$F$4/4,IF(C47&gt;=$B$8+$B$9,E47*$B$4*(1+$B$5)^(($G$4+$B$8+D47*($B$8+$B$10))/4)/4,0))</f>
        <v>314086.157446309</v>
      </c>
      <c r="G47" s="14" t="n">
        <f aca="false">IF($A47&lt;=$G$4,$E$4*$F$4,IF(C47&gt;=$B$8,E47*$B$4*(1+$B$5)^(($G$4+$B$8+D47*($B$8+$B$10))/4),0))</f>
        <v>1256344.62978524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2945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2945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950</v>
      </c>
      <c r="AD47" s="14" t="n">
        <f aca="false">IF($A47&lt;=$G$7,$E$7*$F$7/4,IF(AA47&gt;=$B$8+$B$9,AC47*$B$4*(1+$B$5)^(($G$7+$B$8+AB47*($B$8+$B$10))/4)/4,0))</f>
        <v>73677.2595464013</v>
      </c>
      <c r="AE47" s="14" t="n">
        <f aca="false">IF($A47&lt;=$G$7,$E$7*$F$7,IF(AA47&gt;=$B$8,AC47*$B$4*(1+$B$5)^(($G$7+$B$8+AB47*($B$8+$B$10))/4),0))</f>
        <v>294709.038185605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2052</v>
      </c>
      <c r="AL47" s="14" t="n">
        <f aca="false">IF($A47&lt;=$G$8,$E$8*$F$8/4,IF(AI47&gt;=$B$8+$B$9,AK47*$B$4*(1+$B$5)^(($G$8+$B$8+AJ47*($B$8+$B$10))/4)/4,0))</f>
        <v>155628.148791884</v>
      </c>
      <c r="AM47" s="14" t="n">
        <f aca="false">IF($A47&lt;=$G$8,$E$8*$F$8,IF(AI47&gt;=$B$8,AK47*$B$4*(1+$B$5)^(($G$8+$B$8+AJ47*($B$8+$B$10))/4),0))</f>
        <v>622512.595167537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657351.565784594</v>
      </c>
      <c r="AQ47" s="14" t="n">
        <f aca="false">G47+O47+W47+AE47+AM47</f>
        <v>2629406.26313838</v>
      </c>
      <c r="AR47" s="14" t="n">
        <f aca="false">H47+P47+X47+AF47+AN47+IF($A47=$B$15,$B$14,0)</f>
        <v>0</v>
      </c>
      <c r="AS47" s="21" t="n">
        <f aca="false">I47+Q47+Y47+AG47+AO47</f>
        <v>2945</v>
      </c>
      <c r="AT47" s="14" t="n">
        <f aca="false">AP47*(1-$B$12)-AS47*$B$13/4</f>
        <v>577416.721837519</v>
      </c>
      <c r="AU47" s="14" t="n">
        <f aca="false">0</f>
        <v>0</v>
      </c>
      <c r="AV47" s="14" t="n">
        <f aca="false">AT47-AR47-AU47</f>
        <v>577416.721837519</v>
      </c>
      <c r="AW47" s="21" t="n">
        <f aca="false">(1+$B$16)^(-$A47/4)</f>
        <v>0.714697470877902</v>
      </c>
      <c r="AX47" s="14" t="n">
        <f aca="false">AV47*AW47</f>
        <v>412678.270739884</v>
      </c>
      <c r="AY47" s="14" t="n">
        <f aca="false">AV47</f>
        <v>577416.721837519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3990</v>
      </c>
      <c r="F48" s="14" t="n">
        <f aca="false">IF($A48&lt;=$G$4,$E$4*$F$4/4,IF(C48&gt;=$B$8+$B$9,E48*$B$4*(1+$B$5)^(($G$4+$B$8+D48*($B$8+$B$10))/4)/4,0))</f>
        <v>314086.157446309</v>
      </c>
      <c r="G48" s="14" t="n">
        <f aca="false">IF($A48&lt;=$G$4,$E$4*$F$4,IF(C48&gt;=$B$8,E48*$B$4*(1+$B$5)^(($G$4+$B$8+D48*($B$8+$B$10))/4),0))</f>
        <v>1256344.62978524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2945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2945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950</v>
      </c>
      <c r="AD48" s="14" t="n">
        <f aca="false">IF($A48&lt;=$G$7,$E$7*$F$7/4,IF(AA48&gt;=$B$8+$B$9,AC48*$B$4*(1+$B$5)^(($G$7+$B$8+AB48*($B$8+$B$10))/4)/4,0))</f>
        <v>73677.2595464013</v>
      </c>
      <c r="AE48" s="14" t="n">
        <f aca="false">IF($A48&lt;=$G$7,$E$7*$F$7,IF(AA48&gt;=$B$8,AC48*$B$4*(1+$B$5)^(($G$7+$B$8+AB48*($B$8+$B$10))/4),0))</f>
        <v>294709.038185605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2052</v>
      </c>
      <c r="AL48" s="14" t="n">
        <f aca="false">IF($A48&lt;=$G$8,$E$8*$F$8/4,IF(AI48&gt;=$B$8+$B$9,AK48*$B$4*(1+$B$5)^(($G$8+$B$8+AJ48*($B$8+$B$10))/4)/4,0))</f>
        <v>155628.148791884</v>
      </c>
      <c r="AM48" s="14" t="n">
        <f aca="false">IF($A48&lt;=$G$8,$E$8*$F$8,IF(AI48&gt;=$B$8,AK48*$B$4*(1+$B$5)^(($G$8+$B$8+AJ48*($B$8+$B$10))/4),0))</f>
        <v>622512.595167537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657351.565784594</v>
      </c>
      <c r="AQ48" s="14" t="n">
        <f aca="false">G48+O48+W48+AE48+AM48</f>
        <v>2629406.26313838</v>
      </c>
      <c r="AR48" s="14" t="n">
        <f aca="false">H48+P48+X48+AF48+AN48+IF($A48=$B$15,$B$14,0)</f>
        <v>0</v>
      </c>
      <c r="AS48" s="21" t="n">
        <f aca="false">I48+Q48+Y48+AG48+AO48</f>
        <v>2945</v>
      </c>
      <c r="AT48" s="14" t="n">
        <f aca="false">AP48*(1-$B$12)-AS48*$B$13/4</f>
        <v>577416.721837519</v>
      </c>
      <c r="AU48" s="14" t="n">
        <f aca="false">0</f>
        <v>0</v>
      </c>
      <c r="AV48" s="14" t="n">
        <f aca="false">AT48-AR48-AU48</f>
        <v>577416.721837519</v>
      </c>
      <c r="AW48" s="21" t="n">
        <f aca="false">(1+$B$16)^(-$A48/4)</f>
        <v>0.701484251648903</v>
      </c>
      <c r="AX48" s="14" t="n">
        <f aca="false">AV48*AW48</f>
        <v>405048.737007755</v>
      </c>
      <c r="AY48" s="14" t="n">
        <f aca="false">AV48</f>
        <v>577416.721837519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3990</v>
      </c>
      <c r="F49" s="14" t="n">
        <f aca="false">IF($A49&lt;=$G$4,$E$4*$F$4/4,IF(C49&gt;=$B$8+$B$9,E49*$B$4*(1+$B$5)^(($G$4+$B$8+D49*($B$8+$B$10))/4)/4,0))</f>
        <v>314086.157446309</v>
      </c>
      <c r="G49" s="14" t="n">
        <f aca="false">IF($A49&lt;=$G$4,$E$4*$F$4,IF(C49&gt;=$B$8,E49*$B$4*(1+$B$5)^(($G$4+$B$8+D49*($B$8+$B$10))/4),0))</f>
        <v>1256344.62978524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2945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948244.329990269</v>
      </c>
      <c r="P49" s="14" t="n">
        <f aca="false">IF($A49&lt;=$G$5,0,IF(K49=0,M49*$B$6*(1+$B$7)^(($G$5+L49*($B$8+$B$10))/4),0)+IF(K49=$B$8,$B$11*$B$4*(1+$B$5)^(($G$5+$B$8+L49*($B$8+$B$10))/4)*M49,0))</f>
        <v>113789.319598832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950</v>
      </c>
      <c r="AD49" s="14" t="n">
        <f aca="false">IF($A49&lt;=$G$7,$E$7*$F$7/4,IF(AA49&gt;=$B$8+$B$9,AC49*$B$4*(1+$B$5)^(($G$7+$B$8+AB49*($B$8+$B$10))/4)/4,0))</f>
        <v>73677.2595464013</v>
      </c>
      <c r="AE49" s="14" t="n">
        <f aca="false">IF($A49&lt;=$G$7,$E$7*$F$7,IF(AA49&gt;=$B$8,AC49*$B$4*(1+$B$5)^(($G$7+$B$8+AB49*($B$8+$B$10))/4),0))</f>
        <v>294709.038185605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2052</v>
      </c>
      <c r="AL49" s="14" t="n">
        <f aca="false">IF($A49&lt;=$G$8,$E$8*$F$8/4,IF(AI49&gt;=$B$8+$B$9,AK49*$B$4*(1+$B$5)^(($G$8+$B$8+AJ49*($B$8+$B$10))/4)/4,0))</f>
        <v>155628.148791884</v>
      </c>
      <c r="AM49" s="14" t="n">
        <f aca="false">IF($A49&lt;=$G$8,$E$8*$F$8,IF(AI49&gt;=$B$8,AK49*$B$4*(1+$B$5)^(($G$8+$B$8+AJ49*($B$8+$B$10))/4),0))</f>
        <v>622512.595167537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657351.565784594</v>
      </c>
      <c r="AQ49" s="14" t="n">
        <f aca="false">G49+O49+W49+AE49+AM49</f>
        <v>3577650.59312865</v>
      </c>
      <c r="AR49" s="14" t="n">
        <f aca="false">H49+P49+X49+AF49+AN49+IF($A49=$B$15,$B$14,0)</f>
        <v>113789.319598832</v>
      </c>
      <c r="AS49" s="21" t="n">
        <f aca="false">I49+Q49+Y49+AG49+AO49</f>
        <v>0</v>
      </c>
      <c r="AT49" s="14" t="n">
        <f aca="false">AP49*(1-$B$12)-AS49*$B$13/4</f>
        <v>617910.471837519</v>
      </c>
      <c r="AU49" s="14" t="n">
        <f aca="false">0</f>
        <v>0</v>
      </c>
      <c r="AV49" s="14" t="n">
        <f aca="false">AT49-AR49-AU49</f>
        <v>504121.152238687</v>
      </c>
      <c r="AW49" s="21" t="n">
        <f aca="false">(1+$B$16)^(-$A49/4)</f>
        <v>0.688515316427484</v>
      </c>
      <c r="AX49" s="14" t="n">
        <f aca="false">AV49*AW49</f>
        <v>347095.134651407</v>
      </c>
      <c r="AY49" s="14" t="n">
        <f aca="false">AV49</f>
        <v>504121.152238687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3990</v>
      </c>
      <c r="F50" s="14" t="n">
        <f aca="false">IF($A50&lt;=$G$4,$E$4*$F$4/4,IF(C50&gt;=$B$8+$B$9,E50*$B$4*(1+$B$5)^(($G$4+$B$8+D50*($B$8+$B$10))/4)/4,0))</f>
        <v>314086.157446309</v>
      </c>
      <c r="G50" s="14" t="n">
        <f aca="false">IF($A50&lt;=$G$4,$E$4*$F$4,IF(C50&gt;=$B$8,E50*$B$4*(1+$B$5)^(($G$4+$B$8+D50*($B$8+$B$10))/4),0))</f>
        <v>1256344.62978524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2945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948244.329990269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950</v>
      </c>
      <c r="AD50" s="14" t="n">
        <f aca="false">IF($A50&lt;=$G$7,$E$7*$F$7/4,IF(AA50&gt;=$B$8+$B$9,AC50*$B$4*(1+$B$5)^(($G$7+$B$8+AB50*($B$8+$B$10))/4)/4,0))</f>
        <v>73677.2595464013</v>
      </c>
      <c r="AE50" s="14" t="n">
        <f aca="false">IF($A50&lt;=$G$7,$E$7*$F$7,IF(AA50&gt;=$B$8,AC50*$B$4*(1+$B$5)^(($G$7+$B$8+AB50*($B$8+$B$10))/4),0))</f>
        <v>294709.038185605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2052</v>
      </c>
      <c r="AL50" s="14" t="n">
        <f aca="false">IF($A50&lt;=$G$8,$E$8*$F$8/4,IF(AI50&gt;=$B$8+$B$9,AK50*$B$4*(1+$B$5)^(($G$8+$B$8+AJ50*($B$8+$B$10))/4)/4,0))</f>
        <v>155628.148791884</v>
      </c>
      <c r="AM50" s="14" t="n">
        <f aca="false">IF($A50&lt;=$G$8,$E$8*$F$8,IF(AI50&gt;=$B$8,AK50*$B$4*(1+$B$5)^(($G$8+$B$8+AJ50*($B$8+$B$10))/4),0))</f>
        <v>622512.595167537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657351.565784594</v>
      </c>
      <c r="AQ50" s="14" t="n">
        <f aca="false">G50+O50+W50+AE50+AM50</f>
        <v>3577650.59312865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617910.471837519</v>
      </c>
      <c r="AU50" s="14" t="n">
        <f aca="false">0</f>
        <v>0</v>
      </c>
      <c r="AV50" s="14" t="n">
        <f aca="false">AT50-AR50-AU50</f>
        <v>617910.471837519</v>
      </c>
      <c r="AW50" s="21" t="n">
        <f aca="false">(1+$B$16)^(-$A50/4)</f>
        <v>0.675786148927696</v>
      </c>
      <c r="AX50" s="14" t="n">
        <f aca="false">AV50*AW50</f>
        <v>417575.338145172</v>
      </c>
      <c r="AY50" s="14" t="n">
        <f aca="false">AV50</f>
        <v>617910.471837519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3990</v>
      </c>
      <c r="F51" s="14" t="n">
        <f aca="false">IF($A51&lt;=$G$4,$E$4*$F$4/4,IF(C51&gt;=$B$8+$B$9,E51*$B$4*(1+$B$5)^(($G$4+$B$8+D51*($B$8+$B$10))/4)/4,0))</f>
        <v>314086.157446309</v>
      </c>
      <c r="G51" s="14" t="n">
        <f aca="false">IF($A51&lt;=$G$4,$E$4*$F$4,IF(C51&gt;=$B$8,E51*$B$4*(1+$B$5)^(($G$4+$B$8+D51*($B$8+$B$10))/4),0))</f>
        <v>1256344.62978524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2945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948244.329990269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950</v>
      </c>
      <c r="AD51" s="14" t="n">
        <f aca="false">IF($A51&lt;=$G$7,$E$7*$F$7/4,IF(AA51&gt;=$B$8+$B$9,AC51*$B$4*(1+$B$5)^(($G$7+$B$8+AB51*($B$8+$B$10))/4)/4,0))</f>
        <v>73677.2595464013</v>
      </c>
      <c r="AE51" s="14" t="n">
        <f aca="false">IF($A51&lt;=$G$7,$E$7*$F$7,IF(AA51&gt;=$B$8,AC51*$B$4*(1+$B$5)^(($G$7+$B$8+AB51*($B$8+$B$10))/4),0))</f>
        <v>294709.038185605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2052</v>
      </c>
      <c r="AL51" s="14" t="n">
        <f aca="false">IF($A51&lt;=$G$8,$E$8*$F$8/4,IF(AI51&gt;=$B$8+$B$9,AK51*$B$4*(1+$B$5)^(($G$8+$B$8+AJ51*($B$8+$B$10))/4)/4,0))</f>
        <v>155628.148791884</v>
      </c>
      <c r="AM51" s="14" t="n">
        <f aca="false">IF($A51&lt;=$G$8,$E$8*$F$8,IF(AI51&gt;=$B$8,AK51*$B$4*(1+$B$5)^(($G$8+$B$8+AJ51*($B$8+$B$10))/4),0))</f>
        <v>622512.595167537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657351.565784594</v>
      </c>
      <c r="AQ51" s="14" t="n">
        <f aca="false">G51+O51+W51+AE51+AM51</f>
        <v>3577650.59312865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617910.471837519</v>
      </c>
      <c r="AU51" s="14" t="n">
        <f aca="false">0</f>
        <v>0</v>
      </c>
      <c r="AV51" s="14" t="n">
        <f aca="false">AT51-AR51-AU51</f>
        <v>617910.471837519</v>
      </c>
      <c r="AW51" s="21" t="n">
        <f aca="false">(1+$B$16)^(-$A51/4)</f>
        <v>0.663292316360002</v>
      </c>
      <c r="AX51" s="14" t="n">
        <f aca="false">AV51*AW51</f>
        <v>409855.268168209</v>
      </c>
      <c r="AY51" s="14" t="n">
        <f aca="false">AV51</f>
        <v>617910.471837519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3990</v>
      </c>
      <c r="F52" s="14" t="n">
        <f aca="false">IF($A52&lt;=$G$4,$E$4*$F$4/4,IF(C52&gt;=$B$8+$B$9,E52*$B$4*(1+$B$5)^(($G$4+$B$8+D52*($B$8+$B$10))/4)/4,0))</f>
        <v>314086.157446309</v>
      </c>
      <c r="G52" s="14" t="n">
        <f aca="false">IF($A52&lt;=$G$4,$E$4*$F$4,IF(C52&gt;=$B$8,E52*$B$4*(1+$B$5)^(($G$4+$B$8+D52*($B$8+$B$10))/4),0))</f>
        <v>1256344.62978524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2945</v>
      </c>
      <c r="N52" s="14" t="n">
        <f aca="false">IF($A52&lt;=$G$5,$E$5*$F$5/4,IF(K52&gt;=$B$8+$B$9,M52*$B$4*(1+$B$5)^(($G$5+$B$8+L52*($B$8+$B$10))/4)/4,0))</f>
        <v>237061.082497567</v>
      </c>
      <c r="O52" s="14" t="n">
        <f aca="false">IF($A52&lt;=$G$5,$E$5*$F$5,IF(K52&gt;=$B$8,M52*$B$4*(1+$B$5)^(($G$5+$B$8+L52*($B$8+$B$10))/4),0))</f>
        <v>948244.329990269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950</v>
      </c>
      <c r="AD52" s="14" t="n">
        <f aca="false">IF($A52&lt;=$G$7,$E$7*$F$7/4,IF(AA52&gt;=$B$8+$B$9,AC52*$B$4*(1+$B$5)^(($G$7+$B$8+AB52*($B$8+$B$10))/4)/4,0))</f>
        <v>73677.2595464013</v>
      </c>
      <c r="AE52" s="14" t="n">
        <f aca="false">IF($A52&lt;=$G$7,$E$7*$F$7,IF(AA52&gt;=$B$8,AC52*$B$4*(1+$B$5)^(($G$7+$B$8+AB52*($B$8+$B$10))/4),0))</f>
        <v>294709.038185605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2052</v>
      </c>
      <c r="AL52" s="14" t="n">
        <f aca="false">IF($A52&lt;=$G$8,$E$8*$F$8/4,IF(AI52&gt;=$B$8+$B$9,AK52*$B$4*(1+$B$5)^(($G$8+$B$8+AJ52*($B$8+$B$10))/4)/4,0))</f>
        <v>155628.148791884</v>
      </c>
      <c r="AM52" s="14" t="n">
        <f aca="false">IF($A52&lt;=$G$8,$E$8*$F$8,IF(AI52&gt;=$B$8,AK52*$B$4*(1+$B$5)^(($G$8+$B$8+AJ52*($B$8+$B$10))/4),0))</f>
        <v>622512.595167537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894412.648282162</v>
      </c>
      <c r="AQ52" s="14" t="n">
        <f aca="false">G52+O52+W52+AE52+AM52</f>
        <v>3577650.59312865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840747.889385232</v>
      </c>
      <c r="AU52" s="14" t="n">
        <f aca="false">0</f>
        <v>0</v>
      </c>
      <c r="AV52" s="14" t="n">
        <f aca="false">AT52-AR52-AU52</f>
        <v>840747.889385232</v>
      </c>
      <c r="AW52" s="21" t="n">
        <f aca="false">(1+$B$16)^(-$A52/4)</f>
        <v>0.651029467887613</v>
      </c>
      <c r="AX52" s="14" t="n">
        <f aca="false">AV52*AW52</f>
        <v>547351.651054101</v>
      </c>
      <c r="AY52" s="14" t="n">
        <f aca="false">AV52</f>
        <v>840747.889385232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3990</v>
      </c>
      <c r="F53" s="14" t="n">
        <f aca="false">IF($A53&lt;=$G$4,$E$4*$F$4/4,IF(C53&gt;=$B$8+$B$9,E53*$B$4*(1+$B$5)^(($G$4+$B$8+D53*($B$8+$B$10))/4)/4,0))</f>
        <v>314086.157446309</v>
      </c>
      <c r="G53" s="14" t="n">
        <f aca="false">IF($A53&lt;=$G$4,$E$4*$F$4,IF(C53&gt;=$B$8,E53*$B$4*(1+$B$5)^(($G$4+$B$8+D53*($B$8+$B$10))/4),0))</f>
        <v>1256344.62978524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2945</v>
      </c>
      <c r="N53" s="14" t="n">
        <f aca="false">IF($A53&lt;=$G$5,$E$5*$F$5/4,IF(K53&gt;=$B$8+$B$9,M53*$B$4*(1+$B$5)^(($G$5+$B$8+L53*($B$8+$B$10))/4)/4,0))</f>
        <v>237061.082497567</v>
      </c>
      <c r="O53" s="14" t="n">
        <f aca="false">IF($A53&lt;=$G$5,$E$5*$F$5,IF(K53&gt;=$B$8,M53*$B$4*(1+$B$5)^(($G$5+$B$8+L53*($B$8+$B$10))/4),0))</f>
        <v>948244.329990269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950</v>
      </c>
      <c r="AD53" s="14" t="n">
        <f aca="false">IF($A53&lt;=$G$7,$E$7*$F$7/4,IF(AA53&gt;=$B$8+$B$9,AC53*$B$4*(1+$B$5)^(($G$7+$B$8+AB53*($B$8+$B$10))/4)/4,0))</f>
        <v>73677.2595464013</v>
      </c>
      <c r="AE53" s="14" t="n">
        <f aca="false">IF($A53&lt;=$G$7,$E$7*$F$7,IF(AA53&gt;=$B$8,AC53*$B$4*(1+$B$5)^(($G$7+$B$8+AB53*($B$8+$B$10))/4),0))</f>
        <v>294709.038185605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1949.4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943653.332891695</v>
      </c>
      <c r="AO53" s="21" t="n">
        <f aca="false">IF($A53&lt;=$G$8,0,IF(AI53&lt;$B$8,AK53,0))</f>
        <v>1949.4</v>
      </c>
      <c r="AP53" s="14" t="n">
        <f aca="false">F53+N53+V53+AD53+AL53</f>
        <v>738784.499490277</v>
      </c>
      <c r="AQ53" s="14" t="n">
        <f aca="false">G53+O53+W53+AE53+AM53</f>
        <v>2955137.99796111</v>
      </c>
      <c r="AR53" s="14" t="n">
        <f aca="false">H53+P53+X53+AF53+AN53+IF($A53=$B$15,$B$14,0)</f>
        <v>943653.332891695</v>
      </c>
      <c r="AS53" s="21" t="n">
        <f aca="false">I53+Q53+Y53+AG53+AO53</f>
        <v>1949.4</v>
      </c>
      <c r="AT53" s="14" t="n">
        <f aca="false">AP53*(1-$B$12)-AS53*$B$13/4</f>
        <v>667653.179520861</v>
      </c>
      <c r="AU53" s="14" t="n">
        <f aca="false">0</f>
        <v>0</v>
      </c>
      <c r="AV53" s="14" t="n">
        <f aca="false">AT53-AR53-AU53</f>
        <v>-276000.153370834</v>
      </c>
      <c r="AW53" s="21" t="n">
        <f aca="false">(1+$B$16)^(-$A53/4)</f>
        <v>0.638993333111354</v>
      </c>
      <c r="AX53" s="14" t="n">
        <f aca="false">AV53*AW53</f>
        <v>-176362.257941674</v>
      </c>
      <c r="AY53" s="14" t="n">
        <f aca="false">AV53</f>
        <v>-276000.153370834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3990</v>
      </c>
      <c r="F54" s="14" t="n">
        <f aca="false">IF($A54&lt;=$G$4,$E$4*$F$4/4,IF(C54&gt;=$B$8+$B$9,E54*$B$4*(1+$B$5)^(($G$4+$B$8+D54*($B$8+$B$10))/4)/4,0))</f>
        <v>314086.157446309</v>
      </c>
      <c r="G54" s="14" t="n">
        <f aca="false">IF($A54&lt;=$G$4,$E$4*$F$4,IF(C54&gt;=$B$8,E54*$B$4*(1+$B$5)^(($G$4+$B$8+D54*($B$8+$B$10))/4),0))</f>
        <v>1256344.62978524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2945</v>
      </c>
      <c r="N54" s="14" t="n">
        <f aca="false">IF($A54&lt;=$G$5,$E$5*$F$5/4,IF(K54&gt;=$B$8+$B$9,M54*$B$4*(1+$B$5)^(($G$5+$B$8+L54*($B$8+$B$10))/4)/4,0))</f>
        <v>237061.082497567</v>
      </c>
      <c r="O54" s="14" t="n">
        <f aca="false">IF($A54&lt;=$G$5,$E$5*$F$5,IF(K54&gt;=$B$8,M54*$B$4*(1+$B$5)^(($G$5+$B$8+L54*($B$8+$B$10))/4),0))</f>
        <v>948244.329990269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950</v>
      </c>
      <c r="AD54" s="14" t="n">
        <f aca="false">IF($A54&lt;=$G$7,$E$7*$F$7/4,IF(AA54&gt;=$B$8+$B$9,AC54*$B$4*(1+$B$5)^(($G$7+$B$8+AB54*($B$8+$B$10))/4)/4,0))</f>
        <v>73677.2595464013</v>
      </c>
      <c r="AE54" s="14" t="n">
        <f aca="false">IF($A54&lt;=$G$7,$E$7*$F$7,IF(AA54&gt;=$B$8,AC54*$B$4*(1+$B$5)^(($G$7+$B$8+AB54*($B$8+$B$10))/4),0))</f>
        <v>294709.038185605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1949.4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1949.4</v>
      </c>
      <c r="AP54" s="14" t="n">
        <f aca="false">F54+N54+V54+AD54+AL54</f>
        <v>738784.499490277</v>
      </c>
      <c r="AQ54" s="14" t="n">
        <f aca="false">G54+O54+W54+AE54+AM54</f>
        <v>2955137.99796111</v>
      </c>
      <c r="AR54" s="14" t="n">
        <f aca="false">H54+P54+X54+AF54+AN54+IF($A54=$B$15,$B$14,0)</f>
        <v>0</v>
      </c>
      <c r="AS54" s="21" t="n">
        <f aca="false">I54+Q54+Y54+AG54+AO54</f>
        <v>1949.4</v>
      </c>
      <c r="AT54" s="14" t="n">
        <f aca="false">AP54*(1-$B$12)-AS54*$B$13/4</f>
        <v>667653.179520861</v>
      </c>
      <c r="AU54" s="14" t="n">
        <f aca="false">0</f>
        <v>0</v>
      </c>
      <c r="AV54" s="14" t="n">
        <f aca="false">AT54-AR54-AU54</f>
        <v>667653.179520861</v>
      </c>
      <c r="AW54" s="21" t="n">
        <f aca="false">(1+$B$16)^(-$A54/4)</f>
        <v>0.627179720582548</v>
      </c>
      <c r="AX54" s="14" t="n">
        <f aca="false">AV54*AW54</f>
        <v>418738.534577943</v>
      </c>
      <c r="AY54" s="14" t="n">
        <f aca="false">AV54</f>
        <v>667653.179520861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3990</v>
      </c>
      <c r="F55" s="14" t="n">
        <f aca="false">IF($A55&lt;=$G$4,$E$4*$F$4/4,IF(C55&gt;=$B$8+$B$9,E55*$B$4*(1+$B$5)^(($G$4+$B$8+D55*($B$8+$B$10))/4)/4,0))</f>
        <v>314086.157446309</v>
      </c>
      <c r="G55" s="14" t="n">
        <f aca="false">IF($A55&lt;=$G$4,$E$4*$F$4,IF(C55&gt;=$B$8,E55*$B$4*(1+$B$5)^(($G$4+$B$8+D55*($B$8+$B$10))/4),0))</f>
        <v>1256344.62978524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2945</v>
      </c>
      <c r="N55" s="14" t="n">
        <f aca="false">IF($A55&lt;=$G$5,$E$5*$F$5/4,IF(K55&gt;=$B$8+$B$9,M55*$B$4*(1+$B$5)^(($G$5+$B$8+L55*($B$8+$B$10))/4)/4,0))</f>
        <v>237061.082497567</v>
      </c>
      <c r="O55" s="14" t="n">
        <f aca="false">IF($A55&lt;=$G$5,$E$5*$F$5,IF(K55&gt;=$B$8,M55*$B$4*(1+$B$5)^(($G$5+$B$8+L55*($B$8+$B$10))/4),0))</f>
        <v>948244.329990269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950</v>
      </c>
      <c r="AD55" s="14" t="n">
        <f aca="false">IF($A55&lt;=$G$7,$E$7*$F$7/4,IF(AA55&gt;=$B$8+$B$9,AC55*$B$4*(1+$B$5)^(($G$7+$B$8+AB55*($B$8+$B$10))/4)/4,0))</f>
        <v>73677.2595464013</v>
      </c>
      <c r="AE55" s="14" t="n">
        <f aca="false">IF($A55&lt;=$G$7,$E$7*$F$7,IF(AA55&gt;=$B$8,AC55*$B$4*(1+$B$5)^(($G$7+$B$8+AB55*($B$8+$B$10))/4),0))</f>
        <v>294709.038185605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1949.4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1949.4</v>
      </c>
      <c r="AP55" s="14" t="n">
        <f aca="false">F55+N55+V55+AD55+AL55</f>
        <v>738784.499490277</v>
      </c>
      <c r="AQ55" s="14" t="n">
        <f aca="false">G55+O55+W55+AE55+AM55</f>
        <v>2955137.99796111</v>
      </c>
      <c r="AR55" s="14" t="n">
        <f aca="false">H55+P55+X55+AF55+AN55+IF($A55=$B$15,$B$14,0)</f>
        <v>0</v>
      </c>
      <c r="AS55" s="21" t="n">
        <f aca="false">I55+Q55+Y55+AG55+AO55</f>
        <v>1949.4</v>
      </c>
      <c r="AT55" s="14" t="n">
        <f aca="false">AP55*(1-$B$12)-AS55*$B$13/4</f>
        <v>667653.179520861</v>
      </c>
      <c r="AU55" s="14" t="n">
        <f aca="false">0</f>
        <v>0</v>
      </c>
      <c r="AV55" s="14" t="n">
        <f aca="false">AT55-AR55-AU55</f>
        <v>667653.179520861</v>
      </c>
      <c r="AW55" s="21" t="n">
        <f aca="false">(1+$B$16)^(-$A55/4)</f>
        <v>0.615584516343389</v>
      </c>
      <c r="AX55" s="14" t="n">
        <f aca="false">AV55*AW55</f>
        <v>410996.959600475</v>
      </c>
      <c r="AY55" s="14" t="n">
        <f aca="false">AV55</f>
        <v>667653.179520861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3990</v>
      </c>
      <c r="F56" s="14" t="n">
        <f aca="false">IF($A56&lt;=$G$4,$E$4*$F$4/4,IF(C56&gt;=$B$8+$B$9,E56*$B$4*(1+$B$5)^(($G$4+$B$8+D56*($B$8+$B$10))/4)/4,0))</f>
        <v>314086.157446309</v>
      </c>
      <c r="G56" s="14" t="n">
        <f aca="false">IF($A56&lt;=$G$4,$E$4*$F$4,IF(C56&gt;=$B$8,E56*$B$4*(1+$B$5)^(($G$4+$B$8+D56*($B$8+$B$10))/4),0))</f>
        <v>1256344.62978524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2945</v>
      </c>
      <c r="N56" s="14" t="n">
        <f aca="false">IF($A56&lt;=$G$5,$E$5*$F$5/4,IF(K56&gt;=$B$8+$B$9,M56*$B$4*(1+$B$5)^(($G$5+$B$8+L56*($B$8+$B$10))/4)/4,0))</f>
        <v>237061.082497567</v>
      </c>
      <c r="O56" s="14" t="n">
        <f aca="false">IF($A56&lt;=$G$5,$E$5*$F$5,IF(K56&gt;=$B$8,M56*$B$4*(1+$B$5)^(($G$5+$B$8+L56*($B$8+$B$10))/4),0))</f>
        <v>948244.329990269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1463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721437.54745449</v>
      </c>
      <c r="Y56" s="21" t="n">
        <f aca="false">IF($A56&lt;=$G$6,0,IF(S56&lt;$B$8,U56,0))</f>
        <v>1463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950</v>
      </c>
      <c r="AD56" s="14" t="n">
        <f aca="false">IF($A56&lt;=$G$7,$E$7*$F$7/4,IF(AA56&gt;=$B$8+$B$9,AC56*$B$4*(1+$B$5)^(($G$7+$B$8+AB56*($B$8+$B$10))/4)/4,0))</f>
        <v>73677.2595464013</v>
      </c>
      <c r="AE56" s="14" t="n">
        <f aca="false">IF($A56&lt;=$G$7,$E$7*$F$7,IF(AA56&gt;=$B$8,AC56*$B$4*(1+$B$5)^(($G$7+$B$8+AB56*($B$8+$B$10))/4),0))</f>
        <v>294709.038185605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1949.4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644245.644404163</v>
      </c>
      <c r="AN56" s="14" t="n">
        <f aca="false">IF($A56&lt;=$G$8,0,IF(AI56=0,AK56*$B$6*(1+$B$7)^(($G$8+AJ56*($B$8+$B$10))/4),0)+IF(AI56=$B$8,$B$11*$B$4*(1+$B$5)^(($G$8+$B$8+AJ56*($B$8+$B$10))/4)*AK56,0))</f>
        <v>77309.4773284996</v>
      </c>
      <c r="AO56" s="21" t="n">
        <f aca="false">IF($A56&lt;=$G$8,0,IF(AI56&lt;$B$8,AK56,0))</f>
        <v>0</v>
      </c>
      <c r="AP56" s="14" t="n">
        <f aca="false">F56+N56+V56+AD56+AL56</f>
        <v>624824.499490277</v>
      </c>
      <c r="AQ56" s="14" t="n">
        <f aca="false">G56+O56+W56+AE56+AM56</f>
        <v>3143543.64236527</v>
      </c>
      <c r="AR56" s="14" t="n">
        <f aca="false">H56+P56+X56+AF56+AN56+IF($A56=$B$15,$B$14,0)</f>
        <v>798747.024782989</v>
      </c>
      <c r="AS56" s="21" t="n">
        <f aca="false">I56+Q56+Y56+AG56+AO56</f>
        <v>1463</v>
      </c>
      <c r="AT56" s="14" t="n">
        <f aca="false">AP56*(1-$B$12)-AS56*$B$13/4</f>
        <v>567218.779520861</v>
      </c>
      <c r="AU56" s="14" t="n">
        <f aca="false">0</f>
        <v>0</v>
      </c>
      <c r="AV56" s="14" t="n">
        <f aca="false">AT56-AR56-AU56</f>
        <v>-231528.245262129</v>
      </c>
      <c r="AW56" s="21" t="n">
        <f aca="false">(1+$B$16)^(-$A56/4)</f>
        <v>0.604203682494304</v>
      </c>
      <c r="AX56" s="14" t="n">
        <f aca="false">AV56*AW56</f>
        <v>-139890.218388823</v>
      </c>
      <c r="AY56" s="14" t="n">
        <f aca="false">AV56</f>
        <v>-231528.245262129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3990</v>
      </c>
      <c r="F57" s="14" t="n">
        <f aca="false">IF($A57&lt;=$G$4,$E$4*$F$4/4,IF(C57&gt;=$B$8+$B$9,E57*$B$4*(1+$B$5)^(($G$4+$B$8+D57*($B$8+$B$10))/4)/4,0))</f>
        <v>314086.157446309</v>
      </c>
      <c r="G57" s="14" t="n">
        <f aca="false">IF($A57&lt;=$G$4,$E$4*$F$4,IF(C57&gt;=$B$8,E57*$B$4*(1+$B$5)^(($G$4+$B$8+D57*($B$8+$B$10))/4),0))</f>
        <v>1256344.62978524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2945</v>
      </c>
      <c r="N57" s="14" t="n">
        <f aca="false">IF($A57&lt;=$G$5,$E$5*$F$5/4,IF(K57&gt;=$B$8+$B$9,M57*$B$4*(1+$B$5)^(($G$5+$B$8+L57*($B$8+$B$10))/4)/4,0))</f>
        <v>237061.082497567</v>
      </c>
      <c r="O57" s="14" t="n">
        <f aca="false">IF($A57&lt;=$G$5,$E$5*$F$5,IF(K57&gt;=$B$8,M57*$B$4*(1+$B$5)^(($G$5+$B$8+L57*($B$8+$B$10))/4),0))</f>
        <v>948244.329990269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1463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1463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950</v>
      </c>
      <c r="AD57" s="14" t="n">
        <f aca="false">IF($A57&lt;=$G$7,$E$7*$F$7/4,IF(AA57&gt;=$B$8+$B$9,AC57*$B$4*(1+$B$5)^(($G$7+$B$8+AB57*($B$8+$B$10))/4)/4,0))</f>
        <v>73677.2595464013</v>
      </c>
      <c r="AE57" s="14" t="n">
        <f aca="false">IF($A57&lt;=$G$7,$E$7*$F$7,IF(AA57&gt;=$B$8,AC57*$B$4*(1+$B$5)^(($G$7+$B$8+AB57*($B$8+$B$10))/4),0))</f>
        <v>294709.038185605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1949.4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644245.644404163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624824.499490277</v>
      </c>
      <c r="AQ57" s="14" t="n">
        <f aca="false">G57+O57+W57+AE57+AM57</f>
        <v>3143543.64236527</v>
      </c>
      <c r="AR57" s="14" t="n">
        <f aca="false">H57+P57+X57+AF57+AN57+IF($A57=$B$15,$B$14,0)</f>
        <v>0</v>
      </c>
      <c r="AS57" s="21" t="n">
        <f aca="false">I57+Q57+Y57+AG57+AO57</f>
        <v>1463</v>
      </c>
      <c r="AT57" s="14" t="n">
        <f aca="false">AP57*(1-$B$12)-AS57*$B$13/4</f>
        <v>567218.779520861</v>
      </c>
      <c r="AU57" s="14" t="n">
        <f aca="false">0</f>
        <v>0</v>
      </c>
      <c r="AV57" s="14" t="n">
        <f aca="false">AT57-AR57-AU57</f>
        <v>567218.779520861</v>
      </c>
      <c r="AW57" s="21" t="n">
        <f aca="false">(1+$B$16)^(-$A57/4)</f>
        <v>0.5930332557878</v>
      </c>
      <c r="AX57" s="14" t="n">
        <f aca="false">AV57*AW57</f>
        <v>336379.599563238</v>
      </c>
      <c r="AY57" s="14" t="n">
        <f aca="false">AV57</f>
        <v>567218.779520861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3990</v>
      </c>
      <c r="F58" s="14" t="n">
        <f aca="false">IF($A58&lt;=$G$4,$E$4*$F$4/4,IF(C58&gt;=$B$8+$B$9,E58*$B$4*(1+$B$5)^(($G$4+$B$8+D58*($B$8+$B$10))/4)/4,0))</f>
        <v>314086.157446309</v>
      </c>
      <c r="G58" s="14" t="n">
        <f aca="false">IF($A58&lt;=$G$4,$E$4*$F$4,IF(C58&gt;=$B$8,E58*$B$4*(1+$B$5)^(($G$4+$B$8+D58*($B$8+$B$10))/4),0))</f>
        <v>1256344.62978524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2945</v>
      </c>
      <c r="N58" s="14" t="n">
        <f aca="false">IF($A58&lt;=$G$5,$E$5*$F$5/4,IF(K58&gt;=$B$8+$B$9,M58*$B$4*(1+$B$5)^(($G$5+$B$8+L58*($B$8+$B$10))/4)/4,0))</f>
        <v>237061.082497567</v>
      </c>
      <c r="O58" s="14" t="n">
        <f aca="false">IF($A58&lt;=$G$5,$E$5*$F$5,IF(K58&gt;=$B$8,M58*$B$4*(1+$B$5)^(($G$5+$B$8+L58*($B$8+$B$10))/4),0))</f>
        <v>948244.329990269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1463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1463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950</v>
      </c>
      <c r="AD58" s="14" t="n">
        <f aca="false">IF($A58&lt;=$G$7,$E$7*$F$7/4,IF(AA58&gt;=$B$8+$B$9,AC58*$B$4*(1+$B$5)^(($G$7+$B$8+AB58*($B$8+$B$10))/4)/4,0))</f>
        <v>73677.2595464013</v>
      </c>
      <c r="AE58" s="14" t="n">
        <f aca="false">IF($A58&lt;=$G$7,$E$7*$F$7,IF(AA58&gt;=$B$8,AC58*$B$4*(1+$B$5)^(($G$7+$B$8+AB58*($B$8+$B$10))/4),0))</f>
        <v>294709.038185605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1949.4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644245.644404163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624824.499490277</v>
      </c>
      <c r="AQ58" s="14" t="n">
        <f aca="false">G58+O58+W58+AE58+AM58</f>
        <v>3143543.64236527</v>
      </c>
      <c r="AR58" s="14" t="n">
        <f aca="false">H58+P58+X58+AF58+AN58+IF($A58=$B$15,$B$14,0)</f>
        <v>0</v>
      </c>
      <c r="AS58" s="21" t="n">
        <f aca="false">I58+Q58+Y58+AG58+AO58</f>
        <v>1463</v>
      </c>
      <c r="AT58" s="14" t="n">
        <f aca="false">AP58*(1-$B$12)-AS58*$B$13/4</f>
        <v>567218.779520861</v>
      </c>
      <c r="AU58" s="14" t="n">
        <f aca="false">0</f>
        <v>0</v>
      </c>
      <c r="AV58" s="14" t="n">
        <f aca="false">AT58-AR58-AU58</f>
        <v>567218.779520861</v>
      </c>
      <c r="AW58" s="21" t="n">
        <f aca="false">(1+$B$16)^(-$A58/4)</f>
        <v>0.582069346248305</v>
      </c>
      <c r="AX58" s="14" t="n">
        <f aca="false">AV58*AW58</f>
        <v>330160.664175469</v>
      </c>
      <c r="AY58" s="14" t="n">
        <f aca="false">AV58</f>
        <v>567218.779520861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3990</v>
      </c>
      <c r="F59" s="14" t="n">
        <f aca="false">IF($A59&lt;=$G$4,$E$4*$F$4/4,IF(C59&gt;=$B$8+$B$9,E59*$B$4*(1+$B$5)^(($G$4+$B$8+D59*($B$8+$B$10))/4)/4,0))</f>
        <v>314086.157446309</v>
      </c>
      <c r="G59" s="14" t="n">
        <f aca="false">IF($A59&lt;=$G$4,$E$4*$F$4,IF(C59&gt;=$B$8,E59*$B$4*(1+$B$5)^(($G$4+$B$8+D59*($B$8+$B$10))/4),0))</f>
        <v>1256344.62978524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2945</v>
      </c>
      <c r="N59" s="14" t="n">
        <f aca="false">IF($A59&lt;=$G$5,$E$5*$F$5/4,IF(K59&gt;=$B$8+$B$9,M59*$B$4*(1+$B$5)^(($G$5+$B$8+L59*($B$8+$B$10))/4)/4,0))</f>
        <v>237061.082497567</v>
      </c>
      <c r="O59" s="14" t="n">
        <f aca="false">IF($A59&lt;=$G$5,$E$5*$F$5,IF(K59&gt;=$B$8,M59*$B$4*(1+$B$5)^(($G$5+$B$8+L59*($B$8+$B$10))/4),0))</f>
        <v>948244.329990269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1463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488927.412261753</v>
      </c>
      <c r="X59" s="14" t="n">
        <f aca="false">IF($A59&lt;=$G$6,0,IF(S59=0,U59*$B$6*(1+$B$7)^(($G$6+T59*($B$8+$B$10))/4),0)+IF(S59=$B$8,$B$11*$B$4*(1+$B$5)^(($G$6+$B$8+T59*($B$8+$B$10))/4)*U59,0))</f>
        <v>58671.2894714103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902.5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453361.38362108</v>
      </c>
      <c r="AG59" s="21" t="n">
        <f aca="false">IF($A59&lt;=$G$7,0,IF(AA59&lt;$B$8,AC59,0))</f>
        <v>902.5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1949.4</v>
      </c>
      <c r="AL59" s="14" t="n">
        <f aca="false">IF($A59&lt;=$G$8,$E$8*$F$8/4,IF(AI59&gt;=$B$8+$B$9,AK59*$B$4*(1+$B$5)^(($G$8+$B$8+AJ59*($B$8+$B$10))/4)/4,0))</f>
        <v>161061.411101041</v>
      </c>
      <c r="AM59" s="14" t="n">
        <f aca="false">IF($A59&lt;=$G$8,$E$8*$F$8,IF(AI59&gt;=$B$8,AK59*$B$4*(1+$B$5)^(($G$8+$B$8+AJ59*($B$8+$B$10))/4),0))</f>
        <v>644245.644404163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712208.651044917</v>
      </c>
      <c r="AQ59" s="14" t="n">
        <f aca="false">G59+O59+W59+AE59+AM59</f>
        <v>3337762.01644142</v>
      </c>
      <c r="AR59" s="14" t="n">
        <f aca="false">H59+P59+X59+AF59+AN59+IF($A59=$B$15,$B$14,0)</f>
        <v>512032.673092491</v>
      </c>
      <c r="AS59" s="21" t="n">
        <f aca="false">I59+Q59+Y59+AG59+AO59</f>
        <v>902.5</v>
      </c>
      <c r="AT59" s="14" t="n">
        <f aca="false">AP59*(1-$B$12)-AS59*$B$13/4</f>
        <v>657066.756982222</v>
      </c>
      <c r="AU59" s="14" t="n">
        <f aca="false">0</f>
        <v>0</v>
      </c>
      <c r="AV59" s="14" t="n">
        <f aca="false">AT59-AR59-AU59</f>
        <v>145034.083889731</v>
      </c>
      <c r="AW59" s="21" t="n">
        <f aca="false">(1+$B$16)^(-$A59/4)</f>
        <v>0.571308135817531</v>
      </c>
      <c r="AX59" s="14" t="n">
        <f aca="false">AV59*AW59</f>
        <v>82859.1520970456</v>
      </c>
      <c r="AY59" s="14" t="n">
        <f aca="false">AV59</f>
        <v>145034.083889731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3990</v>
      </c>
      <c r="F60" s="14" t="n">
        <f aca="false">IF($A60&lt;=$G$4,$E$4*$F$4/4,IF(C60&gt;=$B$8+$B$9,E60*$B$4*(1+$B$5)^(($G$4+$B$8+D60*($B$8+$B$10))/4)/4,0))</f>
        <v>314086.157446309</v>
      </c>
      <c r="G60" s="14" t="n">
        <f aca="false">IF($A60&lt;=$G$4,$E$4*$F$4,IF(C60&gt;=$B$8,E60*$B$4*(1+$B$5)^(($G$4+$B$8+D60*($B$8+$B$10))/4),0))</f>
        <v>1256344.62978524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2945</v>
      </c>
      <c r="N60" s="14" t="n">
        <f aca="false">IF($A60&lt;=$G$5,$E$5*$F$5/4,IF(K60&gt;=$B$8+$B$9,M60*$B$4*(1+$B$5)^(($G$5+$B$8+L60*($B$8+$B$10))/4)/4,0))</f>
        <v>237061.082497567</v>
      </c>
      <c r="O60" s="14" t="n">
        <f aca="false">IF($A60&lt;=$G$5,$E$5*$F$5,IF(K60&gt;=$B$8,M60*$B$4*(1+$B$5)^(($G$5+$B$8+L60*($B$8+$B$10))/4),0))</f>
        <v>948244.329990269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1463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488927.412261753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902.5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902.5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1949.4</v>
      </c>
      <c r="AL60" s="14" t="n">
        <f aca="false">IF($A60&lt;=$G$8,$E$8*$F$8/4,IF(AI60&gt;=$B$8+$B$9,AK60*$B$4*(1+$B$5)^(($G$8+$B$8+AJ60*($B$8+$B$10))/4)/4,0))</f>
        <v>161061.411101041</v>
      </c>
      <c r="AM60" s="14" t="n">
        <f aca="false">IF($A60&lt;=$G$8,$E$8*$F$8,IF(AI60&gt;=$B$8,AK60*$B$4*(1+$B$5)^(($G$8+$B$8+AJ60*($B$8+$B$10))/4),0))</f>
        <v>644245.644404163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712208.651044917</v>
      </c>
      <c r="AQ60" s="14" t="n">
        <f aca="false">G60+O60+W60+AE60+AM60</f>
        <v>3337762.01644142</v>
      </c>
      <c r="AR60" s="14" t="n">
        <f aca="false">H60+P60+X60+AF60+AN60+IF($A60=$B$15,$B$14,0)</f>
        <v>0</v>
      </c>
      <c r="AS60" s="21" t="n">
        <f aca="false">I60+Q60+Y60+AG60+AO60</f>
        <v>902.5</v>
      </c>
      <c r="AT60" s="14" t="n">
        <f aca="false">AP60*(1-$B$12)-AS60*$B$13/4</f>
        <v>657066.756982222</v>
      </c>
      <c r="AU60" s="14" t="n">
        <f aca="false">0</f>
        <v>0</v>
      </c>
      <c r="AV60" s="14" t="n">
        <f aca="false">AT60-AR60-AU60</f>
        <v>657066.756982222</v>
      </c>
      <c r="AW60" s="21" t="n">
        <f aca="false">(1+$B$16)^(-$A60/4)</f>
        <v>0.560745877024877</v>
      </c>
      <c r="AX60" s="14" t="n">
        <f aca="false">AV60*AW60</f>
        <v>368447.474907887</v>
      </c>
      <c r="AY60" s="14" t="n">
        <f aca="false">AV60</f>
        <v>657066.756982222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3990</v>
      </c>
      <c r="F61" s="14" t="n">
        <f aca="false">IF($A61&lt;=$G$4,$E$4*$F$4/4,IF(C61&gt;=$B$8+$B$9,E61*$B$4*(1+$B$5)^(($G$4+$B$8+D61*($B$8+$B$10))/4)/4,0))</f>
        <v>314086.157446309</v>
      </c>
      <c r="G61" s="14" t="n">
        <f aca="false">IF($A61&lt;=$G$4,$E$4*$F$4,IF(C61&gt;=$B$8,E61*$B$4*(1+$B$5)^(($G$4+$B$8+D61*($B$8+$B$10))/4),0))</f>
        <v>1256344.62978524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2945</v>
      </c>
      <c r="N61" s="14" t="n">
        <f aca="false">IF($A61&lt;=$G$5,$E$5*$F$5/4,IF(K61&gt;=$B$8+$B$9,M61*$B$4*(1+$B$5)^(($G$5+$B$8+L61*($B$8+$B$10))/4)/4,0))</f>
        <v>237061.082497567</v>
      </c>
      <c r="O61" s="14" t="n">
        <f aca="false">IF($A61&lt;=$G$5,$E$5*$F$5,IF(K61&gt;=$B$8,M61*$B$4*(1+$B$5)^(($G$5+$B$8+L61*($B$8+$B$10))/4),0))</f>
        <v>948244.329990269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1463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488927.412261753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902.5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902.5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1949.4</v>
      </c>
      <c r="AL61" s="14" t="n">
        <f aca="false">IF($A61&lt;=$G$8,$E$8*$F$8/4,IF(AI61&gt;=$B$8+$B$9,AK61*$B$4*(1+$B$5)^(($G$8+$B$8+AJ61*($B$8+$B$10))/4)/4,0))</f>
        <v>161061.411101041</v>
      </c>
      <c r="AM61" s="14" t="n">
        <f aca="false">IF($A61&lt;=$G$8,$E$8*$F$8,IF(AI61&gt;=$B$8,AK61*$B$4*(1+$B$5)^(($G$8+$B$8+AJ61*($B$8+$B$10))/4),0))</f>
        <v>644245.644404163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712208.651044917</v>
      </c>
      <c r="AQ61" s="14" t="n">
        <f aca="false">G61+O61+W61+AE61+AM61</f>
        <v>3337762.01644142</v>
      </c>
      <c r="AR61" s="14" t="n">
        <f aca="false">H61+P61+X61+AF61+AN61+IF($A61=$B$15,$B$14,0)</f>
        <v>0</v>
      </c>
      <c r="AS61" s="21" t="n">
        <f aca="false">I61+Q61+Y61+AG61+AO61</f>
        <v>902.5</v>
      </c>
      <c r="AT61" s="14" t="n">
        <f aca="false">AP61*(1-$B$12)-AS61*$B$13/4</f>
        <v>657066.756982222</v>
      </c>
      <c r="AU61" s="14" t="n">
        <f aca="false">0</f>
        <v>0</v>
      </c>
      <c r="AV61" s="14" t="n">
        <f aca="false">AT61-AR61-AU61</f>
        <v>657066.756982222</v>
      </c>
      <c r="AW61" s="21" t="n">
        <f aca="false">(1+$B$16)^(-$A61/4)</f>
        <v>0.550378891682413</v>
      </c>
      <c r="AX61" s="14" t="n">
        <f aca="false">AV61*AW61</f>
        <v>361635.673469232</v>
      </c>
      <c r="AY61" s="14" t="n">
        <f aca="false">AV61</f>
        <v>657066.756982222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3990</v>
      </c>
      <c r="F62" s="14" t="n">
        <f aca="false">IF($A62&lt;=$G$4,$E$4*$F$4/4,IF(C62&gt;=$B$8+$B$9,E62*$B$4*(1+$B$5)^(($G$4+$B$8+D62*($B$8+$B$10))/4)/4,0))</f>
        <v>314086.157446309</v>
      </c>
      <c r="G62" s="14" t="n">
        <f aca="false">IF($A62&lt;=$G$4,$E$4*$F$4,IF(C62&gt;=$B$8,E62*$B$4*(1+$B$5)^(($G$4+$B$8+D62*($B$8+$B$10))/4),0))</f>
        <v>1256344.62978524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2945</v>
      </c>
      <c r="N62" s="14" t="n">
        <f aca="false">IF($A62&lt;=$G$5,$E$5*$F$5/4,IF(K62&gt;=$B$8+$B$9,M62*$B$4*(1+$B$5)^(($G$5+$B$8+L62*($B$8+$B$10))/4)/4,0))</f>
        <v>237061.082497567</v>
      </c>
      <c r="O62" s="14" t="n">
        <f aca="false">IF($A62&lt;=$G$5,$E$5*$F$5,IF(K62&gt;=$B$8,M62*$B$4*(1+$B$5)^(($G$5+$B$8+L62*($B$8+$B$10))/4),0))</f>
        <v>948244.329990269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1463</v>
      </c>
      <c r="V62" s="14" t="n">
        <f aca="false">IF($A62&lt;=$G$6,$E$6*$F$6/4,IF(S62&gt;=$B$8+$B$9,U62*$B$4*(1+$B$5)^(($G$6+$B$8+T62*($B$8+$B$10))/4)/4,0))</f>
        <v>122231.853065438</v>
      </c>
      <c r="W62" s="14" t="n">
        <f aca="false">IF($A62&lt;=$G$6,$E$6*$F$6,IF(S62&gt;=$B$8,U62*$B$4*(1+$B$5)^(($G$6+$B$8+T62*($B$8+$B$10))/4),0))</f>
        <v>488927.412261753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902.5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304997.867820679</v>
      </c>
      <c r="AF62" s="14" t="n">
        <f aca="false">IF($A62&lt;=$G$7,0,IF(AA62=0,AC62*$B$6*(1+$B$7)^(($G$7+AB62*($B$8+$B$10))/4),0)+IF(AA62=$B$8,$B$11*$B$4*(1+$B$5)^(($G$7+$B$8+AB62*($B$8+$B$10))/4)*AC62,0))</f>
        <v>36599.7441384815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1949.4</v>
      </c>
      <c r="AL62" s="14" t="n">
        <f aca="false">IF($A62&lt;=$G$8,$E$8*$F$8/4,IF(AI62&gt;=$B$8+$B$9,AK62*$B$4*(1+$B$5)^(($G$8+$B$8+AJ62*($B$8+$B$10))/4)/4,0))</f>
        <v>161061.411101041</v>
      </c>
      <c r="AM62" s="14" t="n">
        <f aca="false">IF($A62&lt;=$G$8,$E$8*$F$8,IF(AI62&gt;=$B$8,AK62*$B$4*(1+$B$5)^(($G$8+$B$8+AJ62*($B$8+$B$10))/4),0))</f>
        <v>644245.644404163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834440.504110355</v>
      </c>
      <c r="AQ62" s="14" t="n">
        <f aca="false">G62+O62+W62+AE62+AM62</f>
        <v>3642759.8842621</v>
      </c>
      <c r="AR62" s="14" t="n">
        <f aca="false">H62+P62+X62+AF62+AN62+IF($A62=$B$15,$B$14,0)</f>
        <v>36599.7441384815</v>
      </c>
      <c r="AS62" s="21" t="n">
        <f aca="false">I62+Q62+Y62+AG62+AO62</f>
        <v>0</v>
      </c>
      <c r="AT62" s="14" t="n">
        <f aca="false">AP62*(1-$B$12)-AS62*$B$13/4</f>
        <v>784374.073863734</v>
      </c>
      <c r="AU62" s="14" t="n">
        <f aca="false">0</f>
        <v>0</v>
      </c>
      <c r="AV62" s="14" t="n">
        <f aca="false">AT62-AR62-AU62</f>
        <v>747774.329725252</v>
      </c>
      <c r="AW62" s="21" t="n">
        <f aca="false">(1+$B$16)^(-$A62/4)</f>
        <v>0.540203569603995</v>
      </c>
      <c r="AX62" s="14" t="n">
        <f aca="false">AV62*AW62</f>
        <v>403950.362175816</v>
      </c>
      <c r="AY62" s="14" t="n">
        <f aca="false">AV62</f>
        <v>747774.329725252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3790.5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1951720.75648875</v>
      </c>
      <c r="I63" s="21" t="n">
        <f aca="false">IF($A63&lt;=$G$4,0,IF(C63&lt;$B$8,E63,0))</f>
        <v>3790.5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2945</v>
      </c>
      <c r="N63" s="14" t="n">
        <f aca="false">IF($A63&lt;=$G$5,$E$5*$F$5/4,IF(K63&gt;=$B$8+$B$9,M63*$B$4*(1+$B$5)^(($G$5+$B$8+L63*($B$8+$B$10))/4)/4,0))</f>
        <v>237061.082497567</v>
      </c>
      <c r="O63" s="14" t="n">
        <f aca="false">IF($A63&lt;=$G$5,$E$5*$F$5,IF(K63&gt;=$B$8,M63*$B$4*(1+$B$5)^(($G$5+$B$8+L63*($B$8+$B$10))/4),0))</f>
        <v>948244.329990269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1463</v>
      </c>
      <c r="V63" s="14" t="n">
        <f aca="false">IF($A63&lt;=$G$6,$E$6*$F$6/4,IF(S63&gt;=$B$8+$B$9,U63*$B$4*(1+$B$5)^(($G$6+$B$8+T63*($B$8+$B$10))/4)/4,0))</f>
        <v>122231.853065438</v>
      </c>
      <c r="W63" s="14" t="n">
        <f aca="false">IF($A63&lt;=$G$6,$E$6*$F$6,IF(S63&gt;=$B$8,U63*$B$4*(1+$B$5)^(($G$6+$B$8+T63*($B$8+$B$10))/4),0))</f>
        <v>488927.412261753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902.5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304997.867820679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1949.4</v>
      </c>
      <c r="AL63" s="14" t="n">
        <f aca="false">IF($A63&lt;=$G$8,$E$8*$F$8/4,IF(AI63&gt;=$B$8+$B$9,AK63*$B$4*(1+$B$5)^(($G$8+$B$8+AJ63*($B$8+$B$10))/4)/4,0))</f>
        <v>161061.411101041</v>
      </c>
      <c r="AM63" s="14" t="n">
        <f aca="false">IF($A63&lt;=$G$8,$E$8*$F$8,IF(AI63&gt;=$B$8,AK63*$B$4*(1+$B$5)^(($G$8+$B$8+AJ63*($B$8+$B$10))/4),0))</f>
        <v>644245.644404163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520354.346664046</v>
      </c>
      <c r="AQ63" s="14" t="n">
        <f aca="false">G63+O63+W63+AE63+AM63</f>
        <v>2386415.25447686</v>
      </c>
      <c r="AR63" s="14" t="n">
        <f aca="false">H63+P63+X63+AF63+AN63+IF($A63=$B$15,$B$14,0)</f>
        <v>1951720.75648875</v>
      </c>
      <c r="AS63" s="21" t="n">
        <f aca="false">I63+Q63+Y63+AG63+AO63</f>
        <v>3790.5</v>
      </c>
      <c r="AT63" s="14" t="n">
        <f aca="false">AP63*(1-$B$12)-AS63*$B$13/4</f>
        <v>437013.710864203</v>
      </c>
      <c r="AU63" s="14" t="n">
        <f aca="false">0</f>
        <v>0</v>
      </c>
      <c r="AV63" s="14" t="n">
        <f aca="false">AT63-AR63-AU63</f>
        <v>-1514707.04562455</v>
      </c>
      <c r="AW63" s="21" t="n">
        <f aca="false">(1+$B$16)^(-$A63/4)</f>
        <v>0.530216367348056</v>
      </c>
      <c r="AX63" s="14" t="n">
        <f aca="false">AV63*AW63</f>
        <v>-803122.467327554</v>
      </c>
      <c r="AY63" s="14" t="n">
        <f aca="false">AV63</f>
        <v>-1514707.04562455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3790.5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3790.5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2945</v>
      </c>
      <c r="N64" s="14" t="n">
        <f aca="false">IF($A64&lt;=$G$5,$E$5*$F$5/4,IF(K64&gt;=$B$8+$B$9,M64*$B$4*(1+$B$5)^(($G$5+$B$8+L64*($B$8+$B$10))/4)/4,0))</f>
        <v>237061.082497567</v>
      </c>
      <c r="O64" s="14" t="n">
        <f aca="false">IF($A64&lt;=$G$5,$E$5*$F$5,IF(K64&gt;=$B$8,M64*$B$4*(1+$B$5)^(($G$5+$B$8+L64*($B$8+$B$10))/4),0))</f>
        <v>948244.329990269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1463</v>
      </c>
      <c r="V64" s="14" t="n">
        <f aca="false">IF($A64&lt;=$G$6,$E$6*$F$6/4,IF(S64&gt;=$B$8+$B$9,U64*$B$4*(1+$B$5)^(($G$6+$B$8+T64*($B$8+$B$10))/4)/4,0))</f>
        <v>122231.853065438</v>
      </c>
      <c r="W64" s="14" t="n">
        <f aca="false">IF($A64&lt;=$G$6,$E$6*$F$6,IF(S64&gt;=$B$8,U64*$B$4*(1+$B$5)^(($G$6+$B$8+T64*($B$8+$B$10))/4),0))</f>
        <v>488927.412261753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902.5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304997.867820679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1949.4</v>
      </c>
      <c r="AL64" s="14" t="n">
        <f aca="false">IF($A64&lt;=$G$8,$E$8*$F$8/4,IF(AI64&gt;=$B$8+$B$9,AK64*$B$4*(1+$B$5)^(($G$8+$B$8+AJ64*($B$8+$B$10))/4)/4,0))</f>
        <v>161061.411101041</v>
      </c>
      <c r="AM64" s="14" t="n">
        <f aca="false">IF($A64&lt;=$G$8,$E$8*$F$8,IF(AI64&gt;=$B$8,AK64*$B$4*(1+$B$5)^(($G$8+$B$8+AJ64*($B$8+$B$10))/4),0))</f>
        <v>644245.644404163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520354.346664046</v>
      </c>
      <c r="AQ64" s="14" t="n">
        <f aca="false">G64+O64+W64+AE64+AM64</f>
        <v>2386415.25447686</v>
      </c>
      <c r="AR64" s="14" t="n">
        <f aca="false">H64+P64+X64+AF64+AN64+IF($A64=$B$15,$B$14,0)</f>
        <v>0</v>
      </c>
      <c r="AS64" s="21" t="n">
        <f aca="false">I64+Q64+Y64+AG64+AO64</f>
        <v>3790.5</v>
      </c>
      <c r="AT64" s="14" t="n">
        <f aca="false">AP64*(1-$B$12)-AS64*$B$13/4</f>
        <v>437013.710864203</v>
      </c>
      <c r="AU64" s="14" t="n">
        <f aca="false">0</f>
        <v>0</v>
      </c>
      <c r="AV64" s="14" t="n">
        <f aca="false">AT64-AR64-AU64</f>
        <v>437013.710864203</v>
      </c>
      <c r="AW64" s="21" t="n">
        <f aca="false">(1+$B$16)^(-$A64/4)</f>
        <v>0.520413806983644</v>
      </c>
      <c r="AX64" s="14" t="n">
        <f aca="false">AV64*AW64</f>
        <v>227427.96897489</v>
      </c>
      <c r="AY64" s="14" t="n">
        <f aca="false">AV64</f>
        <v>437013.710864203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3790.5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3790.5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2945</v>
      </c>
      <c r="N65" s="14" t="n">
        <f aca="false">IF($A65&lt;=$G$5,$E$5*$F$5/4,IF(K65&gt;=$B$8+$B$9,M65*$B$4*(1+$B$5)^(($G$5+$B$8+L65*($B$8+$B$10))/4)/4,0))</f>
        <v>237061.082497567</v>
      </c>
      <c r="O65" s="14" t="n">
        <f aca="false">IF($A65&lt;=$G$5,$E$5*$F$5,IF(K65&gt;=$B$8,M65*$B$4*(1+$B$5)^(($G$5+$B$8+L65*($B$8+$B$10))/4),0))</f>
        <v>948244.329990269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1463</v>
      </c>
      <c r="V65" s="14" t="n">
        <f aca="false">IF($A65&lt;=$G$6,$E$6*$F$6/4,IF(S65&gt;=$B$8+$B$9,U65*$B$4*(1+$B$5)^(($G$6+$B$8+T65*($B$8+$B$10))/4)/4,0))</f>
        <v>122231.853065438</v>
      </c>
      <c r="W65" s="14" t="n">
        <f aca="false">IF($A65&lt;=$G$6,$E$6*$F$6,IF(S65&gt;=$B$8,U65*$B$4*(1+$B$5)^(($G$6+$B$8+T65*($B$8+$B$10))/4),0))</f>
        <v>488927.412261753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902.5</v>
      </c>
      <c r="AD65" s="14" t="n">
        <f aca="false">IF($A65&lt;=$G$7,$E$7*$F$7/4,IF(AA65&gt;=$B$8+$B$9,AC65*$B$4*(1+$B$5)^(($G$7+$B$8+AB65*($B$8+$B$10))/4)/4,0))</f>
        <v>76249.4669551698</v>
      </c>
      <c r="AE65" s="14" t="n">
        <f aca="false">IF($A65&lt;=$G$7,$E$7*$F$7,IF(AA65&gt;=$B$8,AC65*$B$4*(1+$B$5)^(($G$7+$B$8+AB65*($B$8+$B$10))/4),0))</f>
        <v>304997.867820679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1949.4</v>
      </c>
      <c r="AL65" s="14" t="n">
        <f aca="false">IF($A65&lt;=$G$8,$E$8*$F$8/4,IF(AI65&gt;=$B$8+$B$9,AK65*$B$4*(1+$B$5)^(($G$8+$B$8+AJ65*($B$8+$B$10))/4)/4,0))</f>
        <v>161061.411101041</v>
      </c>
      <c r="AM65" s="14" t="n">
        <f aca="false">IF($A65&lt;=$G$8,$E$8*$F$8,IF(AI65&gt;=$B$8,AK65*$B$4*(1+$B$5)^(($G$8+$B$8+AJ65*($B$8+$B$10))/4),0))</f>
        <v>644245.644404163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596603.813619216</v>
      </c>
      <c r="AQ65" s="14" t="n">
        <f aca="false">G65+O65+W65+AE65+AM65</f>
        <v>2386415.25447686</v>
      </c>
      <c r="AR65" s="14" t="n">
        <f aca="false">H65+P65+X65+AF65+AN65+IF($A65=$B$15,$B$14,0)</f>
        <v>0</v>
      </c>
      <c r="AS65" s="21" t="n">
        <f aca="false">I65+Q65+Y65+AG65+AO65</f>
        <v>3790.5</v>
      </c>
      <c r="AT65" s="14" t="n">
        <f aca="false">AP65*(1-$B$12)-AS65*$B$13/4</f>
        <v>508688.209802063</v>
      </c>
      <c r="AU65" s="14" t="n">
        <f aca="false">0</f>
        <v>0</v>
      </c>
      <c r="AV65" s="14" t="n">
        <f aca="false">AT65-AR65-AU65</f>
        <v>508688.209802063</v>
      </c>
      <c r="AW65" s="21" t="n">
        <f aca="false">(1+$B$16)^(-$A65/4)</f>
        <v>0.51079247487927</v>
      </c>
      <c r="AX65" s="14" t="n">
        <f aca="false">AV65*AW65</f>
        <v>259834.109626701</v>
      </c>
      <c r="AY65" s="14" t="n">
        <f aca="false">AV65</f>
        <v>508688.209802063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3790.5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1300205.91051956</v>
      </c>
      <c r="H66" s="14" t="n">
        <f aca="false">IF($A66&lt;=$G$4,0,IF(C66=0,E66*$B$6*(1+$B$7)^(($G$4+D66*($B$8+$B$10))/4),0)+IF(C66=$B$8,$B$11*$B$4*(1+$B$5)^(($G$4+$B$8+D66*($B$8+$B$10))/4)*E66,0))</f>
        <v>156024.709262347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2945</v>
      </c>
      <c r="N66" s="14" t="n">
        <f aca="false">IF($A66&lt;=$G$5,$E$5*$F$5/4,IF(K66&gt;=$B$8+$B$9,M66*$B$4*(1+$B$5)^(($G$5+$B$8+L66*($B$8+$B$10))/4)/4,0))</f>
        <v>237061.082497567</v>
      </c>
      <c r="O66" s="14" t="n">
        <f aca="false">IF($A66&lt;=$G$5,$E$5*$F$5,IF(K66&gt;=$B$8,M66*$B$4*(1+$B$5)^(($G$5+$B$8+L66*($B$8+$B$10))/4),0))</f>
        <v>948244.329990269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1463</v>
      </c>
      <c r="V66" s="14" t="n">
        <f aca="false">IF($A66&lt;=$G$6,$E$6*$F$6/4,IF(S66&gt;=$B$8+$B$9,U66*$B$4*(1+$B$5)^(($G$6+$B$8+T66*($B$8+$B$10))/4)/4,0))</f>
        <v>122231.853065438</v>
      </c>
      <c r="W66" s="14" t="n">
        <f aca="false">IF($A66&lt;=$G$6,$E$6*$F$6,IF(S66&gt;=$B$8,U66*$B$4*(1+$B$5)^(($G$6+$B$8+T66*($B$8+$B$10))/4),0))</f>
        <v>488927.412261753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902.5</v>
      </c>
      <c r="AD66" s="14" t="n">
        <f aca="false">IF($A66&lt;=$G$7,$E$7*$F$7/4,IF(AA66&gt;=$B$8+$B$9,AC66*$B$4*(1+$B$5)^(($G$7+$B$8+AB66*($B$8+$B$10))/4)/4,0))</f>
        <v>76249.4669551698</v>
      </c>
      <c r="AE66" s="14" t="n">
        <f aca="false">IF($A66&lt;=$G$7,$E$7*$F$7,IF(AA66&gt;=$B$8,AC66*$B$4*(1+$B$5)^(($G$7+$B$8+AB66*($B$8+$B$10))/4),0))</f>
        <v>304997.867820679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1949.4</v>
      </c>
      <c r="AL66" s="14" t="n">
        <f aca="false">IF($A66&lt;=$G$8,$E$8*$F$8/4,IF(AI66&gt;=$B$8+$B$9,AK66*$B$4*(1+$B$5)^(($G$8+$B$8+AJ66*($B$8+$B$10))/4)/4,0))</f>
        <v>161061.411101041</v>
      </c>
      <c r="AM66" s="14" t="n">
        <f aca="false">IF($A66&lt;=$G$8,$E$8*$F$8,IF(AI66&gt;=$B$8,AK66*$B$4*(1+$B$5)^(($G$8+$B$8+AJ66*($B$8+$B$10))/4),0))</f>
        <v>644245.644404163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596603.813619216</v>
      </c>
      <c r="AQ66" s="14" t="n">
        <f aca="false">G66+O66+W66+AE66+AM66</f>
        <v>3686621.16499642</v>
      </c>
      <c r="AR66" s="14" t="n">
        <f aca="false">H66+P66+X66+AF66+AN66+IF($A66=$B$15,$B$14,0)</f>
        <v>156024.709262347</v>
      </c>
      <c r="AS66" s="21" t="n">
        <f aca="false">I66+Q66+Y66+AG66+AO66</f>
        <v>0</v>
      </c>
      <c r="AT66" s="14" t="n">
        <f aca="false">AP66*(1-$B$12)-AS66*$B$13/4</f>
        <v>560807.584802063</v>
      </c>
      <c r="AU66" s="14" t="n">
        <f aca="false">0</f>
        <v>0</v>
      </c>
      <c r="AV66" s="14" t="n">
        <f aca="false">AT66-AR66-AU66</f>
        <v>404782.875539716</v>
      </c>
      <c r="AW66" s="21" t="n">
        <f aca="false">(1+$B$16)^(-$A66/4)</f>
        <v>0.501349020514149</v>
      </c>
      <c r="AX66" s="14" t="n">
        <f aca="false">AV66*AW66</f>
        <v>202937.498172737</v>
      </c>
      <c r="AY66" s="14" t="n">
        <f aca="false">AV66</f>
        <v>404782.875539716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3790.5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1300205.91051956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2945</v>
      </c>
      <c r="N67" s="14" t="n">
        <f aca="false">IF($A67&lt;=$G$5,$E$5*$F$5/4,IF(K67&gt;=$B$8+$B$9,M67*$B$4*(1+$B$5)^(($G$5+$B$8+L67*($B$8+$B$10))/4)/4,0))</f>
        <v>237061.082497567</v>
      </c>
      <c r="O67" s="14" t="n">
        <f aca="false">IF($A67&lt;=$G$5,$E$5*$F$5,IF(K67&gt;=$B$8,M67*$B$4*(1+$B$5)^(($G$5+$B$8+L67*($B$8+$B$10))/4),0))</f>
        <v>948244.329990269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1463</v>
      </c>
      <c r="V67" s="14" t="n">
        <f aca="false">IF($A67&lt;=$G$6,$E$6*$F$6/4,IF(S67&gt;=$B$8+$B$9,U67*$B$4*(1+$B$5)^(($G$6+$B$8+T67*($B$8+$B$10))/4)/4,0))</f>
        <v>122231.853065438</v>
      </c>
      <c r="W67" s="14" t="n">
        <f aca="false">IF($A67&lt;=$G$6,$E$6*$F$6,IF(S67&gt;=$B$8,U67*$B$4*(1+$B$5)^(($G$6+$B$8+T67*($B$8+$B$10))/4),0))</f>
        <v>488927.412261753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902.5</v>
      </c>
      <c r="AD67" s="14" t="n">
        <f aca="false">IF($A67&lt;=$G$7,$E$7*$F$7/4,IF(AA67&gt;=$B$8+$B$9,AC67*$B$4*(1+$B$5)^(($G$7+$B$8+AB67*($B$8+$B$10))/4)/4,0))</f>
        <v>76249.4669551698</v>
      </c>
      <c r="AE67" s="14" t="n">
        <f aca="false">IF($A67&lt;=$G$7,$E$7*$F$7,IF(AA67&gt;=$B$8,AC67*$B$4*(1+$B$5)^(($G$7+$B$8+AB67*($B$8+$B$10))/4),0))</f>
        <v>304997.867820679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1949.4</v>
      </c>
      <c r="AL67" s="14" t="n">
        <f aca="false">IF($A67&lt;=$G$8,$E$8*$F$8/4,IF(AI67&gt;=$B$8+$B$9,AK67*$B$4*(1+$B$5)^(($G$8+$B$8+AJ67*($B$8+$B$10))/4)/4,0))</f>
        <v>161061.411101041</v>
      </c>
      <c r="AM67" s="14" t="n">
        <f aca="false">IF($A67&lt;=$G$8,$E$8*$F$8,IF(AI67&gt;=$B$8,AK67*$B$4*(1+$B$5)^(($G$8+$B$8+AJ67*($B$8+$B$10))/4),0))</f>
        <v>644245.644404163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596603.813619216</v>
      </c>
      <c r="AQ67" s="14" t="n">
        <f aca="false">G67+O67+W67+AE67+AM67</f>
        <v>3686621.16499642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560807.584802063</v>
      </c>
      <c r="AU67" s="14" t="n">
        <f aca="false">0</f>
        <v>0</v>
      </c>
      <c r="AV67" s="14" t="n">
        <f aca="false">AT67-AR67-AU67</f>
        <v>560807.584802063</v>
      </c>
      <c r="AW67" s="21" t="n">
        <f aca="false">(1+$B$16)^(-$A67/4)</f>
        <v>0.492080155311421</v>
      </c>
      <c r="AX67" s="14" t="n">
        <f aca="false">AV67*AW67</f>
        <v>275962.283429222</v>
      </c>
      <c r="AY67" s="14" t="n">
        <f aca="false">AV67</f>
        <v>560807.584802063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3790.5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1300205.91051956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2945</v>
      </c>
      <c r="N68" s="14" t="n">
        <f aca="false">IF($A68&lt;=$G$5,$E$5*$F$5/4,IF(K68&gt;=$B$8+$B$9,M68*$B$4*(1+$B$5)^(($G$5+$B$8+L68*($B$8+$B$10))/4)/4,0))</f>
        <v>237061.082497567</v>
      </c>
      <c r="O68" s="14" t="n">
        <f aca="false">IF($A68&lt;=$G$5,$E$5*$F$5,IF(K68&gt;=$B$8,M68*$B$4*(1+$B$5)^(($G$5+$B$8+L68*($B$8+$B$10))/4),0))</f>
        <v>948244.329990269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1463</v>
      </c>
      <c r="V68" s="14" t="n">
        <f aca="false">IF($A68&lt;=$G$6,$E$6*$F$6/4,IF(S68&gt;=$B$8+$B$9,U68*$B$4*(1+$B$5)^(($G$6+$B$8+T68*($B$8+$B$10))/4)/4,0))</f>
        <v>122231.853065438</v>
      </c>
      <c r="W68" s="14" t="n">
        <f aca="false">IF($A68&lt;=$G$6,$E$6*$F$6,IF(S68&gt;=$B$8,U68*$B$4*(1+$B$5)^(($G$6+$B$8+T68*($B$8+$B$10))/4),0))</f>
        <v>488927.412261753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902.5</v>
      </c>
      <c r="AD68" s="14" t="n">
        <f aca="false">IF($A68&lt;=$G$7,$E$7*$F$7/4,IF(AA68&gt;=$B$8+$B$9,AC68*$B$4*(1+$B$5)^(($G$7+$B$8+AB68*($B$8+$B$10))/4)/4,0))</f>
        <v>76249.4669551698</v>
      </c>
      <c r="AE68" s="14" t="n">
        <f aca="false">IF($A68&lt;=$G$7,$E$7*$F$7,IF(AA68&gt;=$B$8,AC68*$B$4*(1+$B$5)^(($G$7+$B$8+AB68*($B$8+$B$10))/4),0))</f>
        <v>304997.867820679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1949.4</v>
      </c>
      <c r="AL68" s="14" t="n">
        <f aca="false">IF($A68&lt;=$G$8,$E$8*$F$8/4,IF(AI68&gt;=$B$8+$B$9,AK68*$B$4*(1+$B$5)^(($G$8+$B$8+AJ68*($B$8+$B$10))/4)/4,0))</f>
        <v>161061.411101041</v>
      </c>
      <c r="AM68" s="14" t="n">
        <f aca="false">IF($A68&lt;=$G$8,$E$8*$F$8,IF(AI68&gt;=$B$8,AK68*$B$4*(1+$B$5)^(($G$8+$B$8+AJ68*($B$8+$B$10))/4),0))</f>
        <v>644245.644404163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596603.813619216</v>
      </c>
      <c r="AQ68" s="14" t="n">
        <f aca="false">G68+O68+W68+AE68+AM68</f>
        <v>3686621.16499642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560807.584802063</v>
      </c>
      <c r="AU68" s="14" t="n">
        <f aca="false">0</f>
        <v>0</v>
      </c>
      <c r="AV68" s="14" t="n">
        <f aca="false">AT68-AR68-AU68</f>
        <v>560807.584802063</v>
      </c>
      <c r="AW68" s="21" t="n">
        <f aca="false">(1+$B$16)^(-$A68/4)</f>
        <v>0.482982651492941</v>
      </c>
      <c r="AX68" s="14" t="n">
        <f aca="false">AV68*AW68</f>
        <v>270860.334285053</v>
      </c>
      <c r="AY68" s="14" t="n">
        <f aca="false">AV68</f>
        <v>560807.584802063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3790.5</v>
      </c>
      <c r="F69" s="14" t="n">
        <f aca="false">IF($A69&lt;=$G$4,$E$4*$F$4/4,IF(C69&gt;=$B$8+$B$9,E69*$B$4*(1+$B$5)^(($G$4+$B$8+D69*($B$8+$B$10))/4)/4,0))</f>
        <v>325051.477629889</v>
      </c>
      <c r="G69" s="14" t="n">
        <f aca="false">IF($A69&lt;=$G$4,$E$4*$F$4,IF(C69&gt;=$B$8,E69*$B$4*(1+$B$5)^(($G$4+$B$8+D69*($B$8+$B$10))/4),0))</f>
        <v>1300205.91051956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2797.75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1494912.8753213</v>
      </c>
      <c r="Q69" s="21" t="n">
        <f aca="false">IF($A69&lt;=$G$5,0,IF(K69&lt;$B$8,M69,0))</f>
        <v>2797.75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1463</v>
      </c>
      <c r="V69" s="14" t="n">
        <f aca="false">IF($A69&lt;=$G$6,$E$6*$F$6/4,IF(S69&gt;=$B$8+$B$9,U69*$B$4*(1+$B$5)^(($G$6+$B$8+T69*($B$8+$B$10))/4)/4,0))</f>
        <v>122231.853065438</v>
      </c>
      <c r="W69" s="14" t="n">
        <f aca="false">IF($A69&lt;=$G$6,$E$6*$F$6,IF(S69&gt;=$B$8,U69*$B$4*(1+$B$5)^(($G$6+$B$8+T69*($B$8+$B$10))/4),0))</f>
        <v>488927.412261753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902.5</v>
      </c>
      <c r="AD69" s="14" t="n">
        <f aca="false">IF($A69&lt;=$G$7,$E$7*$F$7/4,IF(AA69&gt;=$B$8+$B$9,AC69*$B$4*(1+$B$5)^(($G$7+$B$8+AB69*($B$8+$B$10))/4)/4,0))</f>
        <v>76249.4669551698</v>
      </c>
      <c r="AE69" s="14" t="n">
        <f aca="false">IF($A69&lt;=$G$7,$E$7*$F$7,IF(AA69&gt;=$B$8,AC69*$B$4*(1+$B$5)^(($G$7+$B$8+AB69*($B$8+$B$10))/4),0))</f>
        <v>304997.867820679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1949.4</v>
      </c>
      <c r="AL69" s="14" t="n">
        <f aca="false">IF($A69&lt;=$G$8,$E$8*$F$8/4,IF(AI69&gt;=$B$8+$B$9,AK69*$B$4*(1+$B$5)^(($G$8+$B$8+AJ69*($B$8+$B$10))/4)/4,0))</f>
        <v>161061.411101041</v>
      </c>
      <c r="AM69" s="14" t="n">
        <f aca="false">IF($A69&lt;=$G$8,$E$8*$F$8,IF(AI69&gt;=$B$8,AK69*$B$4*(1+$B$5)^(($G$8+$B$8+AJ69*($B$8+$B$10))/4),0))</f>
        <v>644245.644404163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684594.208751538</v>
      </c>
      <c r="AQ69" s="14" t="n">
        <f aca="false">G69+O69+W69+AE69+AM69</f>
        <v>2738376.83500615</v>
      </c>
      <c r="AR69" s="14" t="n">
        <f aca="false">H69+P69+X69+AF69+AN69+IF($A69=$B$15,$B$14,0)</f>
        <v>1494912.8753213</v>
      </c>
      <c r="AS69" s="21" t="n">
        <f aca="false">I69+Q69+Y69+AG69+AO69</f>
        <v>2797.75</v>
      </c>
      <c r="AT69" s="14" t="n">
        <f aca="false">AP69*(1-$B$12)-AS69*$B$13/4</f>
        <v>605049.493726445</v>
      </c>
      <c r="AU69" s="14" t="n">
        <f aca="false">0</f>
        <v>0</v>
      </c>
      <c r="AV69" s="14" t="n">
        <f aca="false">AT69-AR69-AU69</f>
        <v>-889863.38159485</v>
      </c>
      <c r="AW69" s="21" t="n">
        <f aca="false">(1+$B$16)^(-$A69/4)</f>
        <v>0.474053340955239</v>
      </c>
      <c r="AX69" s="14" t="n">
        <f aca="false">AV69*AW69</f>
        <v>-421842.709038765</v>
      </c>
      <c r="AY69" s="14" t="n">
        <f aca="false">AV69+$J$9</f>
        <v>48511790.2873383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316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0.1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0.1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0.1</v>
      </c>
      <c r="I6" s="21" t="s">
        <v>263</v>
      </c>
      <c r="J6" s="14" t="n">
        <f aca="false">AQ69</f>
        <v>2482090.82538145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0.1</v>
      </c>
      <c r="I7" s="21" t="s">
        <v>98</v>
      </c>
      <c r="J7" s="14" t="n">
        <f aca="false">AS69</f>
        <v>2511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0.1</v>
      </c>
      <c r="I8" s="21" t="s">
        <v>101</v>
      </c>
      <c r="J8" s="14" t="n">
        <f aca="false">(J6+J7*J4)*(1-$B$12)</f>
        <v>3151893.54498174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44672729.1588306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8873508.26627835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21177256.5073321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30050764.7736105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28216680.5386014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0.704716058538692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0.0250732698188842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23969496.3483216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11774310.9277691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-4334519.3564215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-0.133160048489772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25" t="n">
        <v>0.1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1944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816480</v>
      </c>
      <c r="AO30" s="21" t="n">
        <f aca="false">IF($A30&lt;=$G$8,0,IF(AI30&lt;$B$8,AK30,0))</f>
        <v>1944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816480</v>
      </c>
      <c r="AS30" s="21" t="n">
        <f aca="false">I30+Q30+Y30+AG30+AO30</f>
        <v>1944</v>
      </c>
      <c r="AT30" s="14" t="n">
        <f aca="false">AP30*(1-$B$12)-AS30*$B$13/4</f>
        <v>689770.9</v>
      </c>
      <c r="AU30" s="14" t="n">
        <f aca="false">0</f>
        <v>0</v>
      </c>
      <c r="AV30" s="14" t="n">
        <f aca="false">AT30-AR30-AU30</f>
        <v>-126709.1</v>
      </c>
      <c r="AW30" s="21" t="n">
        <f aca="false">(1+$B$16)^(-$A30/4)</f>
        <v>0.98151215057083</v>
      </c>
      <c r="AX30" s="14" t="n">
        <f aca="false">AV30*AW30</f>
        <v>-124366.521237894</v>
      </c>
      <c r="AY30" s="14" t="n">
        <f aca="false">AV30</f>
        <v>-126709.1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1944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1944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1944</v>
      </c>
      <c r="AT31" s="14" t="n">
        <f aca="false">AP31*(1-$B$12)-AS31*$B$13/4</f>
        <v>689770.9</v>
      </c>
      <c r="AU31" s="14" t="n">
        <f aca="false">0</f>
        <v>0</v>
      </c>
      <c r="AV31" s="14" t="n">
        <f aca="false">AT31-AR31-AU31</f>
        <v>689770.9</v>
      </c>
      <c r="AW31" s="21" t="n">
        <f aca="false">(1+$B$16)^(-$A31/4)</f>
        <v>0.963366101718176</v>
      </c>
      <c r="AX31" s="14" t="n">
        <f aca="false">AV31*AW31</f>
        <v>664501.903011638</v>
      </c>
      <c r="AY31" s="14" t="n">
        <f aca="false">AV31</f>
        <v>689770.9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1944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1944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1944</v>
      </c>
      <c r="AT32" s="14" t="n">
        <f aca="false">AP32*(1-$B$12)-AS32*$B$13/4</f>
        <v>689770.9</v>
      </c>
      <c r="AU32" s="14" t="n">
        <f aca="false">0</f>
        <v>0</v>
      </c>
      <c r="AV32" s="14" t="n">
        <f aca="false">AT32-AR32-AU32</f>
        <v>689770.9</v>
      </c>
      <c r="AW32" s="21" t="n">
        <f aca="false">(1+$B$16)^(-$A32/4)</f>
        <v>0.945555534284444</v>
      </c>
      <c r="AX32" s="14" t="n">
        <f aca="false">AV32*AW32</f>
        <v>652216.691883362</v>
      </c>
      <c r="AY32" s="14" t="n">
        <f aca="false">AV32</f>
        <v>689770.9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1944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589748.774369246</v>
      </c>
      <c r="AN33" s="14" t="n">
        <f aca="false">IF($A33&lt;=$G$8,0,IF(AI33=0,AK33*$B$6*(1+$B$7)^(($G$8+AJ33*($B$8+$B$10))/4),0)+IF(AI33=$B$8,$B$11*$B$4*(1+$B$5)^(($G$8+$B$8+AJ33*($B$8+$B$10))/4)*AK33,0))</f>
        <v>70769.8529243095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3638688.77436925</v>
      </c>
      <c r="AR33" s="14" t="n">
        <f aca="false">H33+P33+X33+AF33+AN33+IF($A33=$B$15,$B$14,0)</f>
        <v>70769.8529243095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645731.047075691</v>
      </c>
      <c r="AW33" s="21" t="n">
        <f aca="false">(1+$B$16)^(-$A33/4)</f>
        <v>0.928074245939675</v>
      </c>
      <c r="AX33" s="14" t="n">
        <f aca="false">AV33*AW33</f>
        <v>599286.354594608</v>
      </c>
      <c r="AY33" s="14" t="n">
        <f aca="false">AV33</f>
        <v>645731.047075691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1944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589748.774369246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3638688.77436925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1944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589748.774369246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3638688.77436925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900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392263.228027431</v>
      </c>
      <c r="AG36" s="21" t="n">
        <f aca="false">IF($A36&lt;=$G$7,0,IF(AA36&lt;$B$8,AC36,0))</f>
        <v>900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1944</v>
      </c>
      <c r="AL36" s="14" t="n">
        <f aca="false">IF($A36&lt;=$G$8,$E$8*$F$8/4,IF(AI36&gt;=$B$8+$B$9,AK36*$B$4*(1+$B$5)^(($G$8+$B$8+AJ36*($B$8+$B$10))/4)/4,0))</f>
        <v>147437.193592311</v>
      </c>
      <c r="AM36" s="14" t="n">
        <f aca="false">IF($A36&lt;=$G$8,$E$8*$F$8,IF(AI36&gt;=$B$8,AK36*$B$4*(1+$B$5)^(($G$8+$B$8+AJ36*($B$8+$B$10))/4),0))</f>
        <v>589748.774369246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831672.193592312</v>
      </c>
      <c r="AQ36" s="14" t="n">
        <f aca="false">G36+O36+W36+AE36+AM36</f>
        <v>3326688.77436925</v>
      </c>
      <c r="AR36" s="14" t="n">
        <f aca="false">H36+P36+X36+AF36+AN36+IF($A36=$B$15,$B$14,0)</f>
        <v>392263.228027431</v>
      </c>
      <c r="AS36" s="21" t="n">
        <f aca="false">I36+Q36+Y36+AG36+AO36</f>
        <v>900</v>
      </c>
      <c r="AT36" s="14" t="n">
        <f aca="false">AP36*(1-$B$12)-AS36*$B$13/4</f>
        <v>769396.861976773</v>
      </c>
      <c r="AU36" s="14" t="n">
        <f aca="false">0</f>
        <v>0</v>
      </c>
      <c r="AV36" s="14" t="n">
        <f aca="false">AT36-AR36-AU36</f>
        <v>377133.633949342</v>
      </c>
      <c r="AW36" s="21" t="n">
        <f aca="false">(1+$B$16)^(-$A36/4)</f>
        <v>0.877545739475122</v>
      </c>
      <c r="AX36" s="14" t="n">
        <f aca="false">AV36*AW36</f>
        <v>330952.013685016</v>
      </c>
      <c r="AY36" s="14" t="n">
        <f aca="false">AV36</f>
        <v>377133.633949342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900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900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1944</v>
      </c>
      <c r="AL37" s="14" t="n">
        <f aca="false">IF($A37&lt;=$G$8,$E$8*$F$8/4,IF(AI37&gt;=$B$8+$B$9,AK37*$B$4*(1+$B$5)^(($G$8+$B$8+AJ37*($B$8+$B$10))/4)/4,0))</f>
        <v>147437.193592311</v>
      </c>
      <c r="AM37" s="14" t="n">
        <f aca="false">IF($A37&lt;=$G$8,$E$8*$F$8,IF(AI37&gt;=$B$8,AK37*$B$4*(1+$B$5)^(($G$8+$B$8+AJ37*($B$8+$B$10))/4),0))</f>
        <v>589748.774369246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831672.193592312</v>
      </c>
      <c r="AQ37" s="14" t="n">
        <f aca="false">G37+O37+W37+AE37+AM37</f>
        <v>3326688.77436925</v>
      </c>
      <c r="AR37" s="14" t="n">
        <f aca="false">H37+P37+X37+AF37+AN37+IF($A37=$B$15,$B$14,0)</f>
        <v>0</v>
      </c>
      <c r="AS37" s="21" t="n">
        <f aca="false">I37+Q37+Y37+AG37+AO37</f>
        <v>900</v>
      </c>
      <c r="AT37" s="14" t="n">
        <f aca="false">AP37*(1-$B$12)-AS37*$B$13/4</f>
        <v>769396.861976773</v>
      </c>
      <c r="AU37" s="14" t="n">
        <f aca="false">0</f>
        <v>0</v>
      </c>
      <c r="AV37" s="14" t="n">
        <f aca="false">AT37-AR37-AU37</f>
        <v>769396.861976773</v>
      </c>
      <c r="AW37" s="21" t="n">
        <f aca="false">(1+$B$16)^(-$A37/4)</f>
        <v>0.861321805976497</v>
      </c>
      <c r="AX37" s="14" t="n">
        <f aca="false">AV37*AW37</f>
        <v>662698.294670483</v>
      </c>
      <c r="AY37" s="14" t="n">
        <f aca="false">AV37</f>
        <v>769396.861976773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900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900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1944</v>
      </c>
      <c r="AL38" s="14" t="n">
        <f aca="false">IF($A38&lt;=$G$8,$E$8*$F$8/4,IF(AI38&gt;=$B$8+$B$9,AK38*$B$4*(1+$B$5)^(($G$8+$B$8+AJ38*($B$8+$B$10))/4)/4,0))</f>
        <v>147437.193592311</v>
      </c>
      <c r="AM38" s="14" t="n">
        <f aca="false">IF($A38&lt;=$G$8,$E$8*$F$8,IF(AI38&gt;=$B$8,AK38*$B$4*(1+$B$5)^(($G$8+$B$8+AJ38*($B$8+$B$10))/4),0))</f>
        <v>589748.774369246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831672.193592312</v>
      </c>
      <c r="AQ38" s="14" t="n">
        <f aca="false">G38+O38+W38+AE38+AM38</f>
        <v>3326688.77436925</v>
      </c>
      <c r="AR38" s="14" t="n">
        <f aca="false">H38+P38+X38+AF38+AN38+IF($A38=$B$15,$B$14,0)</f>
        <v>0</v>
      </c>
      <c r="AS38" s="21" t="n">
        <f aca="false">I38+Q38+Y38+AG38+AO38</f>
        <v>900</v>
      </c>
      <c r="AT38" s="14" t="n">
        <f aca="false">AP38*(1-$B$12)-AS38*$B$13/4</f>
        <v>769396.861976773</v>
      </c>
      <c r="AU38" s="14" t="n">
        <f aca="false">0</f>
        <v>0</v>
      </c>
      <c r="AV38" s="14" t="n">
        <f aca="false">AT38-AR38-AU38</f>
        <v>769396.861976773</v>
      </c>
      <c r="AW38" s="21" t="n">
        <f aca="false">(1+$B$16)^(-$A38/4)</f>
        <v>0.845397818117543</v>
      </c>
      <c r="AX38" s="14" t="n">
        <f aca="false">AV38*AW38</f>
        <v>650446.428381648</v>
      </c>
      <c r="AY38" s="14" t="n">
        <f aca="false">AV38</f>
        <v>769396.861976773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900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279198.036175837</v>
      </c>
      <c r="AF39" s="14" t="n">
        <f aca="false">IF($A39&lt;=$G$7,0,IF(AA39=0,AC39*$B$6*(1+$B$7)^(($G$7+AB39*($B$8+$B$10))/4),0)+IF(AA39=$B$8,$B$11*$B$4*(1+$B$5)^(($G$7+$B$8+AB39*($B$8+$B$10))/4)*AC39,0))</f>
        <v>33503.7643411004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1944</v>
      </c>
      <c r="AL39" s="14" t="n">
        <f aca="false">IF($A39&lt;=$G$8,$E$8*$F$8/4,IF(AI39&gt;=$B$8+$B$9,AK39*$B$4*(1+$B$5)^(($G$8+$B$8+AJ39*($B$8+$B$10))/4)/4,0))</f>
        <v>147437.193592311</v>
      </c>
      <c r="AM39" s="14" t="n">
        <f aca="false">IF($A39&lt;=$G$8,$E$8*$F$8,IF(AI39&gt;=$B$8,AK39*$B$4*(1+$B$5)^(($G$8+$B$8+AJ39*($B$8+$B$10))/4),0))</f>
        <v>589748.774369246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831672.193592312</v>
      </c>
      <c r="AQ39" s="14" t="n">
        <f aca="false">G39+O39+W39+AE39+AM39</f>
        <v>3605886.81054508</v>
      </c>
      <c r="AR39" s="14" t="n">
        <f aca="false">H39+P39+X39+AF39+AN39+IF($A39=$B$15,$B$14,0)</f>
        <v>33503.7643411004</v>
      </c>
      <c r="AS39" s="21" t="n">
        <f aca="false">I39+Q39+Y39+AG39+AO39</f>
        <v>0</v>
      </c>
      <c r="AT39" s="14" t="n">
        <f aca="false">AP39*(1-$B$12)-AS39*$B$13/4</f>
        <v>781771.861976773</v>
      </c>
      <c r="AU39" s="14" t="n">
        <f aca="false">0</f>
        <v>0</v>
      </c>
      <c r="AV39" s="14" t="n">
        <f aca="false">AT39-AR39-AU39</f>
        <v>748268.097635672</v>
      </c>
      <c r="AW39" s="21" t="n">
        <f aca="false">(1+$B$16)^(-$A39/4)</f>
        <v>0.829768230548437</v>
      </c>
      <c r="AX39" s="14" t="n">
        <f aca="false">AV39*AW39</f>
        <v>620889.095350997</v>
      </c>
      <c r="AY39" s="14" t="n">
        <f aca="false">AV39</f>
        <v>748268.097635672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3780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1688693.19665809</v>
      </c>
      <c r="I40" s="21" t="n">
        <f aca="false">IF($A40&lt;=$G$4,0,IF(C40&lt;$B$8,E40,0))</f>
        <v>3780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900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279198.036175837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1944</v>
      </c>
      <c r="AL40" s="14" t="n">
        <f aca="false">IF($A40&lt;=$G$8,$E$8*$F$8/4,IF(AI40&gt;=$B$8+$B$9,AK40*$B$4*(1+$B$5)^(($G$8+$B$8+AJ40*($B$8+$B$10))/4)/4,0))</f>
        <v>147437.193592311</v>
      </c>
      <c r="AM40" s="14" t="n">
        <f aca="false">IF($A40&lt;=$G$8,$E$8*$F$8,IF(AI40&gt;=$B$8,AK40*$B$4*(1+$B$5)^(($G$8+$B$8+AJ40*($B$8+$B$10))/4),0))</f>
        <v>589748.774369246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497772.193592311</v>
      </c>
      <c r="AQ40" s="14" t="n">
        <f aca="false">G40+O40+W40+AE40+AM40</f>
        <v>2270286.81054508</v>
      </c>
      <c r="AR40" s="14" t="n">
        <f aca="false">H40+P40+X40+AF40+AN40+IF($A40=$B$15,$B$14,0)</f>
        <v>1688693.19665809</v>
      </c>
      <c r="AS40" s="21" t="n">
        <f aca="false">I40+Q40+Y40+AG40+AO40</f>
        <v>3780</v>
      </c>
      <c r="AT40" s="14" t="n">
        <f aca="false">AP40*(1-$B$12)-AS40*$B$13/4</f>
        <v>415930.861976773</v>
      </c>
      <c r="AU40" s="14" t="n">
        <f aca="false">0</f>
        <v>0</v>
      </c>
      <c r="AV40" s="14" t="n">
        <f aca="false">AT40-AR40-AU40</f>
        <v>-1272762.33468132</v>
      </c>
      <c r="AW40" s="21" t="n">
        <f aca="false">(1+$B$16)^(-$A40/4)</f>
        <v>0.814427600440949</v>
      </c>
      <c r="AX40" s="14" t="n">
        <f aca="false">AV40*AW40</f>
        <v>-1036572.77416612</v>
      </c>
      <c r="AY40" s="14" t="n">
        <f aca="false">AV40</f>
        <v>-1272762.33468132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3780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3780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900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279198.036175837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1944</v>
      </c>
      <c r="AL41" s="14" t="n">
        <f aca="false">IF($A41&lt;=$G$8,$E$8*$F$8/4,IF(AI41&gt;=$B$8+$B$9,AK41*$B$4*(1+$B$5)^(($G$8+$B$8+AJ41*($B$8+$B$10))/4)/4,0))</f>
        <v>147437.193592311</v>
      </c>
      <c r="AM41" s="14" t="n">
        <f aca="false">IF($A41&lt;=$G$8,$E$8*$F$8,IF(AI41&gt;=$B$8,AK41*$B$4*(1+$B$5)^(($G$8+$B$8+AJ41*($B$8+$B$10))/4),0))</f>
        <v>589748.774369246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497772.193592311</v>
      </c>
      <c r="AQ41" s="14" t="n">
        <f aca="false">G41+O41+W41+AE41+AM41</f>
        <v>2270286.81054508</v>
      </c>
      <c r="AR41" s="14" t="n">
        <f aca="false">H41+P41+X41+AF41+AN41+IF($A41=$B$15,$B$14,0)</f>
        <v>1900000</v>
      </c>
      <c r="AS41" s="21" t="n">
        <f aca="false">I41+Q41+Y41+AG41+AO41</f>
        <v>3780</v>
      </c>
      <c r="AT41" s="14" t="n">
        <f aca="false">AP41*(1-$B$12)-AS41*$B$13/4</f>
        <v>415930.861976773</v>
      </c>
      <c r="AU41" s="14" t="n">
        <f aca="false">0</f>
        <v>0</v>
      </c>
      <c r="AV41" s="14" t="n">
        <f aca="false">AT41-AR41-AU41</f>
        <v>-1484069.13802323</v>
      </c>
      <c r="AW41" s="21" t="n">
        <f aca="false">(1+$B$16)^(-$A41/4)</f>
        <v>0.799370585593037</v>
      </c>
      <c r="AX41" s="14" t="n">
        <f aca="false">AV41*AW41</f>
        <v>-1186321.21592218</v>
      </c>
      <c r="AY41" s="14" t="n">
        <f aca="false">AV41</f>
        <v>-1484069.13802323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3780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3780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900</v>
      </c>
      <c r="AD42" s="14" t="n">
        <f aca="false">IF($A42&lt;=$G$7,$E$7*$F$7/4,IF(AA42&gt;=$B$8+$B$9,AC42*$B$4*(1+$B$5)^(($G$7+$B$8+AB42*($B$8+$B$10))/4)/4,0))</f>
        <v>69799.5090439591</v>
      </c>
      <c r="AE42" s="14" t="n">
        <f aca="false">IF($A42&lt;=$G$7,$E$7*$F$7,IF(AA42&gt;=$B$8,AC42*$B$4*(1+$B$5)^(($G$7+$B$8+AB42*($B$8+$B$10))/4),0))</f>
        <v>279198.036175837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1944</v>
      </c>
      <c r="AL42" s="14" t="n">
        <f aca="false">IF($A42&lt;=$G$8,$E$8*$F$8/4,IF(AI42&gt;=$B$8+$B$9,AK42*$B$4*(1+$B$5)^(($G$8+$B$8+AJ42*($B$8+$B$10))/4)/4,0))</f>
        <v>147437.193592311</v>
      </c>
      <c r="AM42" s="14" t="n">
        <f aca="false">IF($A42&lt;=$G$8,$E$8*$F$8,IF(AI42&gt;=$B$8,AK42*$B$4*(1+$B$5)^(($G$8+$B$8+AJ42*($B$8+$B$10))/4),0))</f>
        <v>589748.774369246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567571.702636271</v>
      </c>
      <c r="AQ42" s="14" t="n">
        <f aca="false">G42+O42+W42+AE42+AM42</f>
        <v>2270286.81054508</v>
      </c>
      <c r="AR42" s="14" t="n">
        <f aca="false">H42+P42+X42+AF42+AN42+IF($A42=$B$15,$B$14,0)</f>
        <v>0</v>
      </c>
      <c r="AS42" s="21" t="n">
        <f aca="false">I42+Q42+Y42+AG42+AO42</f>
        <v>3780</v>
      </c>
      <c r="AT42" s="14" t="n">
        <f aca="false">AP42*(1-$B$12)-AS42*$B$13/4</f>
        <v>481542.400478094</v>
      </c>
      <c r="AU42" s="14" t="n">
        <f aca="false">0</f>
        <v>0</v>
      </c>
      <c r="AV42" s="14" t="n">
        <f aca="false">AT42-AR42-AU42</f>
        <v>481542.400478094</v>
      </c>
      <c r="AW42" s="21" t="n">
        <f aca="false">(1+$B$16)^(-$A42/4)</f>
        <v>0.784591942568485</v>
      </c>
      <c r="AX42" s="14" t="n">
        <f aca="false">AV42*AW42</f>
        <v>377814.2874202</v>
      </c>
      <c r="AY42" s="14" t="n">
        <f aca="false">AV42</f>
        <v>481542.400478094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3780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1190221.22821759</v>
      </c>
      <c r="H43" s="14" t="n">
        <f aca="false">IF($A43&lt;=$G$4,0,IF(C43=0,E43*$B$6*(1+$B$7)^(($G$4+D43*($B$8+$B$10))/4),0)+IF(C43=$B$8,$B$11*$B$4*(1+$B$5)^(($G$4+$B$8+D43*($B$8+$B$10))/4)*E43,0))</f>
        <v>142826.547386111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900</v>
      </c>
      <c r="AD43" s="14" t="n">
        <f aca="false">IF($A43&lt;=$G$7,$E$7*$F$7/4,IF(AA43&gt;=$B$8+$B$9,AC43*$B$4*(1+$B$5)^(($G$7+$B$8+AB43*($B$8+$B$10))/4)/4,0))</f>
        <v>69799.5090439591</v>
      </c>
      <c r="AE43" s="14" t="n">
        <f aca="false">IF($A43&lt;=$G$7,$E$7*$F$7,IF(AA43&gt;=$B$8,AC43*$B$4*(1+$B$5)^(($G$7+$B$8+AB43*($B$8+$B$10))/4),0))</f>
        <v>279198.036175837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1944</v>
      </c>
      <c r="AL43" s="14" t="n">
        <f aca="false">IF($A43&lt;=$G$8,$E$8*$F$8/4,IF(AI43&gt;=$B$8+$B$9,AK43*$B$4*(1+$B$5)^(($G$8+$B$8+AJ43*($B$8+$B$10))/4)/4,0))</f>
        <v>147437.193592311</v>
      </c>
      <c r="AM43" s="14" t="n">
        <f aca="false">IF($A43&lt;=$G$8,$E$8*$F$8,IF(AI43&gt;=$B$8,AK43*$B$4*(1+$B$5)^(($G$8+$B$8+AJ43*($B$8+$B$10))/4),0))</f>
        <v>589748.774369246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567571.702636271</v>
      </c>
      <c r="AQ43" s="14" t="n">
        <f aca="false">G43+O43+W43+AE43+AM43</f>
        <v>3460508.03876267</v>
      </c>
      <c r="AR43" s="14" t="n">
        <f aca="false">H43+P43+X43+AF43+AN43+IF($A43=$B$15,$B$14,0)</f>
        <v>142826.547386111</v>
      </c>
      <c r="AS43" s="21" t="n">
        <f aca="false">I43+Q43+Y43+AG43+AO43</f>
        <v>0</v>
      </c>
      <c r="AT43" s="14" t="n">
        <f aca="false">AP43*(1-$B$12)-AS43*$B$13/4</f>
        <v>533517.400478094</v>
      </c>
      <c r="AU43" s="14" t="n">
        <f aca="false">0</f>
        <v>0</v>
      </c>
      <c r="AV43" s="14" t="n">
        <f aca="false">AT43-AR43-AU43</f>
        <v>390690.853091983</v>
      </c>
      <c r="AW43" s="21" t="n">
        <f aca="false">(1+$B$16)^(-$A43/4)</f>
        <v>0.770086524870939</v>
      </c>
      <c r="AX43" s="14" t="n">
        <f aca="false">AV43*AW43</f>
        <v>300865.761356468</v>
      </c>
      <c r="AY43" s="14" t="n">
        <f aca="false">AV43</f>
        <v>390690.853091983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3780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1190221.22821759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900</v>
      </c>
      <c r="AD44" s="14" t="n">
        <f aca="false">IF($A44&lt;=$G$7,$E$7*$F$7/4,IF(AA44&gt;=$B$8+$B$9,AC44*$B$4*(1+$B$5)^(($G$7+$B$8+AB44*($B$8+$B$10))/4)/4,0))</f>
        <v>69799.5090439591</v>
      </c>
      <c r="AE44" s="14" t="n">
        <f aca="false">IF($A44&lt;=$G$7,$E$7*$F$7,IF(AA44&gt;=$B$8,AC44*$B$4*(1+$B$5)^(($G$7+$B$8+AB44*($B$8+$B$10))/4),0))</f>
        <v>279198.036175837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1944</v>
      </c>
      <c r="AL44" s="14" t="n">
        <f aca="false">IF($A44&lt;=$G$8,$E$8*$F$8/4,IF(AI44&gt;=$B$8+$B$9,AK44*$B$4*(1+$B$5)^(($G$8+$B$8+AJ44*($B$8+$B$10))/4)/4,0))</f>
        <v>147437.193592311</v>
      </c>
      <c r="AM44" s="14" t="n">
        <f aca="false">IF($A44&lt;=$G$8,$E$8*$F$8,IF(AI44&gt;=$B$8,AK44*$B$4*(1+$B$5)^(($G$8+$B$8+AJ44*($B$8+$B$10))/4),0))</f>
        <v>589748.774369246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567571.702636271</v>
      </c>
      <c r="AQ44" s="14" t="n">
        <f aca="false">G44+O44+W44+AE44+AM44</f>
        <v>3460508.03876267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533517.400478094</v>
      </c>
      <c r="AU44" s="14" t="n">
        <f aca="false">0</f>
        <v>0</v>
      </c>
      <c r="AV44" s="14" t="n">
        <f aca="false">AT44-AR44-AU44</f>
        <v>533517.400478094</v>
      </c>
      <c r="AW44" s="21" t="n">
        <f aca="false">(1+$B$16)^(-$A44/4)</f>
        <v>0.755849281151693</v>
      </c>
      <c r="AX44" s="14" t="n">
        <f aca="false">AV44*AW44</f>
        <v>403258.743633287</v>
      </c>
      <c r="AY44" s="14" t="n">
        <f aca="false">AV44</f>
        <v>533517.400478094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3780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1190221.22821759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900</v>
      </c>
      <c r="AD45" s="14" t="n">
        <f aca="false">IF($A45&lt;=$G$7,$E$7*$F$7/4,IF(AA45&gt;=$B$8+$B$9,AC45*$B$4*(1+$B$5)^(($G$7+$B$8+AB45*($B$8+$B$10))/4)/4,0))</f>
        <v>69799.5090439591</v>
      </c>
      <c r="AE45" s="14" t="n">
        <f aca="false">IF($A45&lt;=$G$7,$E$7*$F$7,IF(AA45&gt;=$B$8,AC45*$B$4*(1+$B$5)^(($G$7+$B$8+AB45*($B$8+$B$10))/4),0))</f>
        <v>279198.036175837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1944</v>
      </c>
      <c r="AL45" s="14" t="n">
        <f aca="false">IF($A45&lt;=$G$8,$E$8*$F$8/4,IF(AI45&gt;=$B$8+$B$9,AK45*$B$4*(1+$B$5)^(($G$8+$B$8+AJ45*($B$8+$B$10))/4)/4,0))</f>
        <v>147437.193592311</v>
      </c>
      <c r="AM45" s="14" t="n">
        <f aca="false">IF($A45&lt;=$G$8,$E$8*$F$8,IF(AI45&gt;=$B$8,AK45*$B$4*(1+$B$5)^(($G$8+$B$8+AJ45*($B$8+$B$10))/4),0))</f>
        <v>589748.774369246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567571.702636271</v>
      </c>
      <c r="AQ45" s="14" t="n">
        <f aca="false">G45+O45+W45+AE45+AM45</f>
        <v>3460508.03876267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533517.400478094</v>
      </c>
      <c r="AU45" s="14" t="n">
        <f aca="false">0</f>
        <v>0</v>
      </c>
      <c r="AV45" s="14" t="n">
        <f aca="false">AT45-AR45-AU45</f>
        <v>533517.400478094</v>
      </c>
      <c r="AW45" s="21" t="n">
        <f aca="false">(1+$B$16)^(-$A45/4)</f>
        <v>0.741875253450614</v>
      </c>
      <c r="AX45" s="14" t="n">
        <f aca="false">AV45*AW45</f>
        <v>395803.356699999</v>
      </c>
      <c r="AY45" s="14" t="n">
        <f aca="false">AV45</f>
        <v>533517.400478094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3780</v>
      </c>
      <c r="F46" s="14" t="n">
        <f aca="false">IF($A46&lt;=$G$4,$E$4*$F$4/4,IF(C46&gt;=$B$8+$B$9,E46*$B$4*(1+$B$5)^(($G$4+$B$8+D46*($B$8+$B$10))/4)/4,0))</f>
        <v>297555.307054398</v>
      </c>
      <c r="G46" s="14" t="n">
        <f aca="false">IF($A46&lt;=$G$4,$E$4*$F$4,IF(C46&gt;=$B$8,E46*$B$4*(1+$B$5)^(($G$4+$B$8+D46*($B$8+$B$10))/4),0))</f>
        <v>1190221.22821759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2790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1293447.94523437</v>
      </c>
      <c r="Q46" s="21" t="n">
        <f aca="false">IF($A46&lt;=$G$5,0,IF(K46&lt;$B$8,M46,0))</f>
        <v>2790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900</v>
      </c>
      <c r="AD46" s="14" t="n">
        <f aca="false">IF($A46&lt;=$G$7,$E$7*$F$7/4,IF(AA46&gt;=$B$8+$B$9,AC46*$B$4*(1+$B$5)^(($G$7+$B$8+AB46*($B$8+$B$10))/4)/4,0))</f>
        <v>69799.5090439591</v>
      </c>
      <c r="AE46" s="14" t="n">
        <f aca="false">IF($A46&lt;=$G$7,$E$7*$F$7,IF(AA46&gt;=$B$8,AC46*$B$4*(1+$B$5)^(($G$7+$B$8+AB46*($B$8+$B$10))/4),0))</f>
        <v>279198.036175837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1944</v>
      </c>
      <c r="AL46" s="14" t="n">
        <f aca="false">IF($A46&lt;=$G$8,$E$8*$F$8/4,IF(AI46&gt;=$B$8+$B$9,AK46*$B$4*(1+$B$5)^(($G$8+$B$8+AJ46*($B$8+$B$10))/4)/4,0))</f>
        <v>147437.193592311</v>
      </c>
      <c r="AM46" s="14" t="n">
        <f aca="false">IF($A46&lt;=$G$8,$E$8*$F$8,IF(AI46&gt;=$B$8,AK46*$B$4*(1+$B$5)^(($G$8+$B$8+AJ46*($B$8+$B$10))/4),0))</f>
        <v>589748.774369246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628752.009690668</v>
      </c>
      <c r="AQ46" s="14" t="n">
        <f aca="false">G46+O46+W46+AE46+AM46</f>
        <v>2515008.03876267</v>
      </c>
      <c r="AR46" s="14" t="n">
        <f aca="false">H46+P46+X46+AF46+AN46+IF($A46=$B$15,$B$14,0)</f>
        <v>1293447.94523437</v>
      </c>
      <c r="AS46" s="21" t="n">
        <f aca="false">I46+Q46+Y46+AG46+AO46</f>
        <v>2790</v>
      </c>
      <c r="AT46" s="14" t="n">
        <f aca="false">AP46*(1-$B$12)-AS46*$B$13/4</f>
        <v>552664.389109228</v>
      </c>
      <c r="AU46" s="14" t="n">
        <f aca="false">0</f>
        <v>0</v>
      </c>
      <c r="AV46" s="14" t="n">
        <f aca="false">AT46-AR46-AU46</f>
        <v>-740783.556125146</v>
      </c>
      <c r="AW46" s="21" t="n">
        <f aca="false">(1+$B$16)^(-$A46/4)</f>
        <v>0.728159575469592</v>
      </c>
      <c r="AX46" s="14" t="n">
        <f aca="false">AV46*AW46</f>
        <v>-539408.639742941</v>
      </c>
      <c r="AY46" s="14" t="n">
        <f aca="false">AV46</f>
        <v>-740783.556125146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3780</v>
      </c>
      <c r="F47" s="14" t="n">
        <f aca="false">IF($A47&lt;=$G$4,$E$4*$F$4/4,IF(C47&gt;=$B$8+$B$9,E47*$B$4*(1+$B$5)^(($G$4+$B$8+D47*($B$8+$B$10))/4)/4,0))</f>
        <v>297555.307054398</v>
      </c>
      <c r="G47" s="14" t="n">
        <f aca="false">IF($A47&lt;=$G$4,$E$4*$F$4,IF(C47&gt;=$B$8,E47*$B$4*(1+$B$5)^(($G$4+$B$8+D47*($B$8+$B$10))/4),0))</f>
        <v>1190221.22821759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2790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2790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900</v>
      </c>
      <c r="AD47" s="14" t="n">
        <f aca="false">IF($A47&lt;=$G$7,$E$7*$F$7/4,IF(AA47&gt;=$B$8+$B$9,AC47*$B$4*(1+$B$5)^(($G$7+$B$8+AB47*($B$8+$B$10))/4)/4,0))</f>
        <v>69799.5090439591</v>
      </c>
      <c r="AE47" s="14" t="n">
        <f aca="false">IF($A47&lt;=$G$7,$E$7*$F$7,IF(AA47&gt;=$B$8,AC47*$B$4*(1+$B$5)^(($G$7+$B$8+AB47*($B$8+$B$10))/4),0))</f>
        <v>279198.036175837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1944</v>
      </c>
      <c r="AL47" s="14" t="n">
        <f aca="false">IF($A47&lt;=$G$8,$E$8*$F$8/4,IF(AI47&gt;=$B$8+$B$9,AK47*$B$4*(1+$B$5)^(($G$8+$B$8+AJ47*($B$8+$B$10))/4)/4,0))</f>
        <v>147437.193592311</v>
      </c>
      <c r="AM47" s="14" t="n">
        <f aca="false">IF($A47&lt;=$G$8,$E$8*$F$8,IF(AI47&gt;=$B$8,AK47*$B$4*(1+$B$5)^(($G$8+$B$8+AJ47*($B$8+$B$10))/4),0))</f>
        <v>589748.774369246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628752.009690668</v>
      </c>
      <c r="AQ47" s="14" t="n">
        <f aca="false">G47+O47+W47+AE47+AM47</f>
        <v>2515008.03876267</v>
      </c>
      <c r="AR47" s="14" t="n">
        <f aca="false">H47+P47+X47+AF47+AN47+IF($A47=$B$15,$B$14,0)</f>
        <v>0</v>
      </c>
      <c r="AS47" s="21" t="n">
        <f aca="false">I47+Q47+Y47+AG47+AO47</f>
        <v>2790</v>
      </c>
      <c r="AT47" s="14" t="n">
        <f aca="false">AP47*(1-$B$12)-AS47*$B$13/4</f>
        <v>552664.389109228</v>
      </c>
      <c r="AU47" s="14" t="n">
        <f aca="false">0</f>
        <v>0</v>
      </c>
      <c r="AV47" s="14" t="n">
        <f aca="false">AT47-AR47-AU47</f>
        <v>552664.389109228</v>
      </c>
      <c r="AW47" s="21" t="n">
        <f aca="false">(1+$B$16)^(-$A47/4)</f>
        <v>0.714697470877902</v>
      </c>
      <c r="AX47" s="14" t="n">
        <f aca="false">AV47*AW47</f>
        <v>394987.841140646</v>
      </c>
      <c r="AY47" s="14" t="n">
        <f aca="false">AV47</f>
        <v>552664.389109228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3780</v>
      </c>
      <c r="F48" s="14" t="n">
        <f aca="false">IF($A48&lt;=$G$4,$E$4*$F$4/4,IF(C48&gt;=$B$8+$B$9,E48*$B$4*(1+$B$5)^(($G$4+$B$8+D48*($B$8+$B$10))/4)/4,0))</f>
        <v>297555.307054398</v>
      </c>
      <c r="G48" s="14" t="n">
        <f aca="false">IF($A48&lt;=$G$4,$E$4*$F$4,IF(C48&gt;=$B$8,E48*$B$4*(1+$B$5)^(($G$4+$B$8+D48*($B$8+$B$10))/4),0))</f>
        <v>1190221.22821759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2790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2790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900</v>
      </c>
      <c r="AD48" s="14" t="n">
        <f aca="false">IF($A48&lt;=$G$7,$E$7*$F$7/4,IF(AA48&gt;=$B$8+$B$9,AC48*$B$4*(1+$B$5)^(($G$7+$B$8+AB48*($B$8+$B$10))/4)/4,0))</f>
        <v>69799.5090439591</v>
      </c>
      <c r="AE48" s="14" t="n">
        <f aca="false">IF($A48&lt;=$G$7,$E$7*$F$7,IF(AA48&gt;=$B$8,AC48*$B$4*(1+$B$5)^(($G$7+$B$8+AB48*($B$8+$B$10))/4),0))</f>
        <v>279198.036175837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1944</v>
      </c>
      <c r="AL48" s="14" t="n">
        <f aca="false">IF($A48&lt;=$G$8,$E$8*$F$8/4,IF(AI48&gt;=$B$8+$B$9,AK48*$B$4*(1+$B$5)^(($G$8+$B$8+AJ48*($B$8+$B$10))/4)/4,0))</f>
        <v>147437.193592311</v>
      </c>
      <c r="AM48" s="14" t="n">
        <f aca="false">IF($A48&lt;=$G$8,$E$8*$F$8,IF(AI48&gt;=$B$8,AK48*$B$4*(1+$B$5)^(($G$8+$B$8+AJ48*($B$8+$B$10))/4),0))</f>
        <v>589748.774369246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628752.009690668</v>
      </c>
      <c r="AQ48" s="14" t="n">
        <f aca="false">G48+O48+W48+AE48+AM48</f>
        <v>2515008.03876267</v>
      </c>
      <c r="AR48" s="14" t="n">
        <f aca="false">H48+P48+X48+AF48+AN48+IF($A48=$B$15,$B$14,0)</f>
        <v>0</v>
      </c>
      <c r="AS48" s="21" t="n">
        <f aca="false">I48+Q48+Y48+AG48+AO48</f>
        <v>2790</v>
      </c>
      <c r="AT48" s="14" t="n">
        <f aca="false">AP48*(1-$B$12)-AS48*$B$13/4</f>
        <v>552664.389109228</v>
      </c>
      <c r="AU48" s="14" t="n">
        <f aca="false">0</f>
        <v>0</v>
      </c>
      <c r="AV48" s="14" t="n">
        <f aca="false">AT48-AR48-AU48</f>
        <v>552664.389109228</v>
      </c>
      <c r="AW48" s="21" t="n">
        <f aca="false">(1+$B$16)^(-$A48/4)</f>
        <v>0.701484251648903</v>
      </c>
      <c r="AX48" s="14" t="n">
        <f aca="false">AV48*AW48</f>
        <v>387685.365407285</v>
      </c>
      <c r="AY48" s="14" t="n">
        <f aca="false">AV48</f>
        <v>552664.389109228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3780</v>
      </c>
      <c r="F49" s="14" t="n">
        <f aca="false">IF($A49&lt;=$G$4,$E$4*$F$4/4,IF(C49&gt;=$B$8+$B$9,E49*$B$4*(1+$B$5)^(($G$4+$B$8+D49*($B$8+$B$10))/4)/4,0))</f>
        <v>297555.307054398</v>
      </c>
      <c r="G49" s="14" t="n">
        <f aca="false">IF($A49&lt;=$G$4,$E$4*$F$4,IF(C49&gt;=$B$8,E49*$B$4*(1+$B$5)^(($G$4+$B$8+D49*($B$8+$B$10))/4),0))</f>
        <v>1190221.22821759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2790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898336.733674991</v>
      </c>
      <c r="P49" s="14" t="n">
        <f aca="false">IF($A49&lt;=$G$5,0,IF(K49=0,M49*$B$6*(1+$B$7)^(($G$5+L49*($B$8+$B$10))/4),0)+IF(K49=$B$8,$B$11*$B$4*(1+$B$5)^(($G$5+$B$8+L49*($B$8+$B$10))/4)*M49,0))</f>
        <v>107800.408040999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900</v>
      </c>
      <c r="AD49" s="14" t="n">
        <f aca="false">IF($A49&lt;=$G$7,$E$7*$F$7/4,IF(AA49&gt;=$B$8+$B$9,AC49*$B$4*(1+$B$5)^(($G$7+$B$8+AB49*($B$8+$B$10))/4)/4,0))</f>
        <v>69799.5090439591</v>
      </c>
      <c r="AE49" s="14" t="n">
        <f aca="false">IF($A49&lt;=$G$7,$E$7*$F$7,IF(AA49&gt;=$B$8,AC49*$B$4*(1+$B$5)^(($G$7+$B$8+AB49*($B$8+$B$10))/4),0))</f>
        <v>279198.036175837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1944</v>
      </c>
      <c r="AL49" s="14" t="n">
        <f aca="false">IF($A49&lt;=$G$8,$E$8*$F$8/4,IF(AI49&gt;=$B$8+$B$9,AK49*$B$4*(1+$B$5)^(($G$8+$B$8+AJ49*($B$8+$B$10))/4)/4,0))</f>
        <v>147437.193592311</v>
      </c>
      <c r="AM49" s="14" t="n">
        <f aca="false">IF($A49&lt;=$G$8,$E$8*$F$8,IF(AI49&gt;=$B$8,AK49*$B$4*(1+$B$5)^(($G$8+$B$8+AJ49*($B$8+$B$10))/4),0))</f>
        <v>589748.774369246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628752.009690668</v>
      </c>
      <c r="AQ49" s="14" t="n">
        <f aca="false">G49+O49+W49+AE49+AM49</f>
        <v>3413344.77243767</v>
      </c>
      <c r="AR49" s="14" t="n">
        <f aca="false">H49+P49+X49+AF49+AN49+IF($A49=$B$15,$B$14,0)</f>
        <v>107800.408040999</v>
      </c>
      <c r="AS49" s="21" t="n">
        <f aca="false">I49+Q49+Y49+AG49+AO49</f>
        <v>0</v>
      </c>
      <c r="AT49" s="14" t="n">
        <f aca="false">AP49*(1-$B$12)-AS49*$B$13/4</f>
        <v>591026.889109228</v>
      </c>
      <c r="AU49" s="14" t="n">
        <f aca="false">0</f>
        <v>0</v>
      </c>
      <c r="AV49" s="14" t="n">
        <f aca="false">AT49-AR49-AU49</f>
        <v>483226.481068229</v>
      </c>
      <c r="AW49" s="21" t="n">
        <f aca="false">(1+$B$16)^(-$A49/4)</f>
        <v>0.688515316427484</v>
      </c>
      <c r="AX49" s="14" t="n">
        <f aca="false">AV49*AW49</f>
        <v>332708.833518832</v>
      </c>
      <c r="AY49" s="14" t="n">
        <f aca="false">AV49</f>
        <v>483226.481068229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3780</v>
      </c>
      <c r="F50" s="14" t="n">
        <f aca="false">IF($A50&lt;=$G$4,$E$4*$F$4/4,IF(C50&gt;=$B$8+$B$9,E50*$B$4*(1+$B$5)^(($G$4+$B$8+D50*($B$8+$B$10))/4)/4,0))</f>
        <v>297555.307054398</v>
      </c>
      <c r="G50" s="14" t="n">
        <f aca="false">IF($A50&lt;=$G$4,$E$4*$F$4,IF(C50&gt;=$B$8,E50*$B$4*(1+$B$5)^(($G$4+$B$8+D50*($B$8+$B$10))/4),0))</f>
        <v>1190221.22821759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2790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898336.733674991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900</v>
      </c>
      <c r="AD50" s="14" t="n">
        <f aca="false">IF($A50&lt;=$G$7,$E$7*$F$7/4,IF(AA50&gt;=$B$8+$B$9,AC50*$B$4*(1+$B$5)^(($G$7+$B$8+AB50*($B$8+$B$10))/4)/4,0))</f>
        <v>69799.5090439591</v>
      </c>
      <c r="AE50" s="14" t="n">
        <f aca="false">IF($A50&lt;=$G$7,$E$7*$F$7,IF(AA50&gt;=$B$8,AC50*$B$4*(1+$B$5)^(($G$7+$B$8+AB50*($B$8+$B$10))/4),0))</f>
        <v>279198.036175837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1944</v>
      </c>
      <c r="AL50" s="14" t="n">
        <f aca="false">IF($A50&lt;=$G$8,$E$8*$F$8/4,IF(AI50&gt;=$B$8+$B$9,AK50*$B$4*(1+$B$5)^(($G$8+$B$8+AJ50*($B$8+$B$10))/4)/4,0))</f>
        <v>147437.193592311</v>
      </c>
      <c r="AM50" s="14" t="n">
        <f aca="false">IF($A50&lt;=$G$8,$E$8*$F$8,IF(AI50&gt;=$B$8,AK50*$B$4*(1+$B$5)^(($G$8+$B$8+AJ50*($B$8+$B$10))/4),0))</f>
        <v>589748.774369246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628752.009690668</v>
      </c>
      <c r="AQ50" s="14" t="n">
        <f aca="false">G50+O50+W50+AE50+AM50</f>
        <v>3413344.77243767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591026.889109228</v>
      </c>
      <c r="AU50" s="14" t="n">
        <f aca="false">0</f>
        <v>0</v>
      </c>
      <c r="AV50" s="14" t="n">
        <f aca="false">AT50-AR50-AU50</f>
        <v>591026.889109228</v>
      </c>
      <c r="AW50" s="21" t="n">
        <f aca="false">(1+$B$16)^(-$A50/4)</f>
        <v>0.675786148927696</v>
      </c>
      <c r="AX50" s="14" t="n">
        <f aca="false">AV50*AW50</f>
        <v>399407.785303842</v>
      </c>
      <c r="AY50" s="14" t="n">
        <f aca="false">AV50</f>
        <v>591026.889109228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3780</v>
      </c>
      <c r="F51" s="14" t="n">
        <f aca="false">IF($A51&lt;=$G$4,$E$4*$F$4/4,IF(C51&gt;=$B$8+$B$9,E51*$B$4*(1+$B$5)^(($G$4+$B$8+D51*($B$8+$B$10))/4)/4,0))</f>
        <v>297555.307054398</v>
      </c>
      <c r="G51" s="14" t="n">
        <f aca="false">IF($A51&lt;=$G$4,$E$4*$F$4,IF(C51&gt;=$B$8,E51*$B$4*(1+$B$5)^(($G$4+$B$8+D51*($B$8+$B$10))/4),0))</f>
        <v>1190221.22821759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2790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898336.733674991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900</v>
      </c>
      <c r="AD51" s="14" t="n">
        <f aca="false">IF($A51&lt;=$G$7,$E$7*$F$7/4,IF(AA51&gt;=$B$8+$B$9,AC51*$B$4*(1+$B$5)^(($G$7+$B$8+AB51*($B$8+$B$10))/4)/4,0))</f>
        <v>69799.5090439591</v>
      </c>
      <c r="AE51" s="14" t="n">
        <f aca="false">IF($A51&lt;=$G$7,$E$7*$F$7,IF(AA51&gt;=$B$8,AC51*$B$4*(1+$B$5)^(($G$7+$B$8+AB51*($B$8+$B$10))/4),0))</f>
        <v>279198.036175837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1944</v>
      </c>
      <c r="AL51" s="14" t="n">
        <f aca="false">IF($A51&lt;=$G$8,$E$8*$F$8/4,IF(AI51&gt;=$B$8+$B$9,AK51*$B$4*(1+$B$5)^(($G$8+$B$8+AJ51*($B$8+$B$10))/4)/4,0))</f>
        <v>147437.193592311</v>
      </c>
      <c r="AM51" s="14" t="n">
        <f aca="false">IF($A51&lt;=$G$8,$E$8*$F$8,IF(AI51&gt;=$B$8,AK51*$B$4*(1+$B$5)^(($G$8+$B$8+AJ51*($B$8+$B$10))/4),0))</f>
        <v>589748.774369246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628752.009690668</v>
      </c>
      <c r="AQ51" s="14" t="n">
        <f aca="false">G51+O51+W51+AE51+AM51</f>
        <v>3413344.77243767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591026.889109228</v>
      </c>
      <c r="AU51" s="14" t="n">
        <f aca="false">0</f>
        <v>0</v>
      </c>
      <c r="AV51" s="14" t="n">
        <f aca="false">AT51-AR51-AU51</f>
        <v>591026.889109228</v>
      </c>
      <c r="AW51" s="21" t="n">
        <f aca="false">(1+$B$16)^(-$A51/4)</f>
        <v>0.663292316360002</v>
      </c>
      <c r="AX51" s="14" t="n">
        <f aca="false">AV51*AW51</f>
        <v>392023.594308306</v>
      </c>
      <c r="AY51" s="14" t="n">
        <f aca="false">AV51</f>
        <v>591026.889109228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3780</v>
      </c>
      <c r="F52" s="14" t="n">
        <f aca="false">IF($A52&lt;=$G$4,$E$4*$F$4/4,IF(C52&gt;=$B$8+$B$9,E52*$B$4*(1+$B$5)^(($G$4+$B$8+D52*($B$8+$B$10))/4)/4,0))</f>
        <v>297555.307054398</v>
      </c>
      <c r="G52" s="14" t="n">
        <f aca="false">IF($A52&lt;=$G$4,$E$4*$F$4,IF(C52&gt;=$B$8,E52*$B$4*(1+$B$5)^(($G$4+$B$8+D52*($B$8+$B$10))/4),0))</f>
        <v>1190221.22821759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2790</v>
      </c>
      <c r="N52" s="14" t="n">
        <f aca="false">IF($A52&lt;=$G$5,$E$5*$F$5/4,IF(K52&gt;=$B$8+$B$9,M52*$B$4*(1+$B$5)^(($G$5+$B$8+L52*($B$8+$B$10))/4)/4,0))</f>
        <v>224584.183418748</v>
      </c>
      <c r="O52" s="14" t="n">
        <f aca="false">IF($A52&lt;=$G$5,$E$5*$F$5,IF(K52&gt;=$B$8,M52*$B$4*(1+$B$5)^(($G$5+$B$8+L52*($B$8+$B$10))/4),0))</f>
        <v>898336.733674991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900</v>
      </c>
      <c r="AD52" s="14" t="n">
        <f aca="false">IF($A52&lt;=$G$7,$E$7*$F$7/4,IF(AA52&gt;=$B$8+$B$9,AC52*$B$4*(1+$B$5)^(($G$7+$B$8+AB52*($B$8+$B$10))/4)/4,0))</f>
        <v>69799.5090439591</v>
      </c>
      <c r="AE52" s="14" t="n">
        <f aca="false">IF($A52&lt;=$G$7,$E$7*$F$7,IF(AA52&gt;=$B$8,AC52*$B$4*(1+$B$5)^(($G$7+$B$8+AB52*($B$8+$B$10))/4),0))</f>
        <v>279198.036175837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1944</v>
      </c>
      <c r="AL52" s="14" t="n">
        <f aca="false">IF($A52&lt;=$G$8,$E$8*$F$8/4,IF(AI52&gt;=$B$8+$B$9,AK52*$B$4*(1+$B$5)^(($G$8+$B$8+AJ52*($B$8+$B$10))/4)/4,0))</f>
        <v>147437.193592311</v>
      </c>
      <c r="AM52" s="14" t="n">
        <f aca="false">IF($A52&lt;=$G$8,$E$8*$F$8,IF(AI52&gt;=$B$8,AK52*$B$4*(1+$B$5)^(($G$8+$B$8+AJ52*($B$8+$B$10))/4),0))</f>
        <v>589748.774369246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853336.193109416</v>
      </c>
      <c r="AQ52" s="14" t="n">
        <f aca="false">G52+O52+W52+AE52+AM52</f>
        <v>3413344.77243767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802136.021522851</v>
      </c>
      <c r="AU52" s="14" t="n">
        <f aca="false">0</f>
        <v>0</v>
      </c>
      <c r="AV52" s="14" t="n">
        <f aca="false">AT52-AR52-AU52</f>
        <v>802136.021522851</v>
      </c>
      <c r="AW52" s="21" t="n">
        <f aca="false">(1+$B$16)^(-$A52/4)</f>
        <v>0.651029467887613</v>
      </c>
      <c r="AX52" s="14" t="n">
        <f aca="false">AV52*AW52</f>
        <v>522214.187265509</v>
      </c>
      <c r="AY52" s="14" t="n">
        <f aca="false">AV52</f>
        <v>802136.021522851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3780</v>
      </c>
      <c r="F53" s="14" t="n">
        <f aca="false">IF($A53&lt;=$G$4,$E$4*$F$4/4,IF(C53&gt;=$B$8+$B$9,E53*$B$4*(1+$B$5)^(($G$4+$B$8+D53*($B$8+$B$10))/4)/4,0))</f>
        <v>297555.307054398</v>
      </c>
      <c r="G53" s="14" t="n">
        <f aca="false">IF($A53&lt;=$G$4,$E$4*$F$4,IF(C53&gt;=$B$8,E53*$B$4*(1+$B$5)^(($G$4+$B$8+D53*($B$8+$B$10))/4),0))</f>
        <v>1190221.22821759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2790</v>
      </c>
      <c r="N53" s="14" t="n">
        <f aca="false">IF($A53&lt;=$G$5,$E$5*$F$5/4,IF(K53&gt;=$B$8+$B$9,M53*$B$4*(1+$B$5)^(($G$5+$B$8+L53*($B$8+$B$10))/4)/4,0))</f>
        <v>224584.183418748</v>
      </c>
      <c r="O53" s="14" t="n">
        <f aca="false">IF($A53&lt;=$G$5,$E$5*$F$5,IF(K53&gt;=$B$8,M53*$B$4*(1+$B$5)^(($G$5+$B$8+L53*($B$8+$B$10))/4),0))</f>
        <v>898336.733674991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900</v>
      </c>
      <c r="AD53" s="14" t="n">
        <f aca="false">IF($A53&lt;=$G$7,$E$7*$F$7/4,IF(AA53&gt;=$B$8+$B$9,AC53*$B$4*(1+$B$5)^(($G$7+$B$8+AB53*($B$8+$B$10))/4)/4,0))</f>
        <v>69799.5090439591</v>
      </c>
      <c r="AE53" s="14" t="n">
        <f aca="false">IF($A53&lt;=$G$7,$E$7*$F$7,IF(AA53&gt;=$B$8,AC53*$B$4*(1+$B$5)^(($G$7+$B$8+AB53*($B$8+$B$10))/4),0))</f>
        <v>279198.036175837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1749.6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846935.401265676</v>
      </c>
      <c r="AO53" s="21" t="n">
        <f aca="false">IF($A53&lt;=$G$8,0,IF(AI53&lt;$B$8,AK53,0))</f>
        <v>1749.6</v>
      </c>
      <c r="AP53" s="14" t="n">
        <f aca="false">F53+N53+V53+AD53+AL53</f>
        <v>705898.999517105</v>
      </c>
      <c r="AQ53" s="14" t="n">
        <f aca="false">G53+O53+W53+AE53+AM53</f>
        <v>2823595.99806842</v>
      </c>
      <c r="AR53" s="14" t="n">
        <f aca="false">H53+P53+X53+AF53+AN53+IF($A53=$B$15,$B$14,0)</f>
        <v>846935.401265676</v>
      </c>
      <c r="AS53" s="21" t="n">
        <f aca="false">I53+Q53+Y53+AG53+AO53</f>
        <v>1749.6</v>
      </c>
      <c r="AT53" s="14" t="n">
        <f aca="false">AP53*(1-$B$12)-AS53*$B$13/4</f>
        <v>639488.059546078</v>
      </c>
      <c r="AU53" s="14" t="n">
        <f aca="false">0</f>
        <v>0</v>
      </c>
      <c r="AV53" s="14" t="n">
        <f aca="false">AT53-AR53-AU53</f>
        <v>-207447.341719598</v>
      </c>
      <c r="AW53" s="21" t="n">
        <f aca="false">(1+$B$16)^(-$A53/4)</f>
        <v>0.638993333111354</v>
      </c>
      <c r="AX53" s="14" t="n">
        <f aca="false">AV53*AW53</f>
        <v>-132557.468330496</v>
      </c>
      <c r="AY53" s="14" t="n">
        <f aca="false">AV53</f>
        <v>-207447.341719598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3780</v>
      </c>
      <c r="F54" s="14" t="n">
        <f aca="false">IF($A54&lt;=$G$4,$E$4*$F$4/4,IF(C54&gt;=$B$8+$B$9,E54*$B$4*(1+$B$5)^(($G$4+$B$8+D54*($B$8+$B$10))/4)/4,0))</f>
        <v>297555.307054398</v>
      </c>
      <c r="G54" s="14" t="n">
        <f aca="false">IF($A54&lt;=$G$4,$E$4*$F$4,IF(C54&gt;=$B$8,E54*$B$4*(1+$B$5)^(($G$4+$B$8+D54*($B$8+$B$10))/4),0))</f>
        <v>1190221.22821759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2790</v>
      </c>
      <c r="N54" s="14" t="n">
        <f aca="false">IF($A54&lt;=$G$5,$E$5*$F$5/4,IF(K54&gt;=$B$8+$B$9,M54*$B$4*(1+$B$5)^(($G$5+$B$8+L54*($B$8+$B$10))/4)/4,0))</f>
        <v>224584.183418748</v>
      </c>
      <c r="O54" s="14" t="n">
        <f aca="false">IF($A54&lt;=$G$5,$E$5*$F$5,IF(K54&gt;=$B$8,M54*$B$4*(1+$B$5)^(($G$5+$B$8+L54*($B$8+$B$10))/4),0))</f>
        <v>898336.733674991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900</v>
      </c>
      <c r="AD54" s="14" t="n">
        <f aca="false">IF($A54&lt;=$G$7,$E$7*$F$7/4,IF(AA54&gt;=$B$8+$B$9,AC54*$B$4*(1+$B$5)^(($G$7+$B$8+AB54*($B$8+$B$10))/4)/4,0))</f>
        <v>69799.5090439591</v>
      </c>
      <c r="AE54" s="14" t="n">
        <f aca="false">IF($A54&lt;=$G$7,$E$7*$F$7,IF(AA54&gt;=$B$8,AC54*$B$4*(1+$B$5)^(($G$7+$B$8+AB54*($B$8+$B$10))/4),0))</f>
        <v>279198.036175837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1749.6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1749.6</v>
      </c>
      <c r="AP54" s="14" t="n">
        <f aca="false">F54+N54+V54+AD54+AL54</f>
        <v>705898.999517105</v>
      </c>
      <c r="AQ54" s="14" t="n">
        <f aca="false">G54+O54+W54+AE54+AM54</f>
        <v>2823595.99806842</v>
      </c>
      <c r="AR54" s="14" t="n">
        <f aca="false">H54+P54+X54+AF54+AN54+IF($A54=$B$15,$B$14,0)</f>
        <v>0</v>
      </c>
      <c r="AS54" s="21" t="n">
        <f aca="false">I54+Q54+Y54+AG54+AO54</f>
        <v>1749.6</v>
      </c>
      <c r="AT54" s="14" t="n">
        <f aca="false">AP54*(1-$B$12)-AS54*$B$13/4</f>
        <v>639488.059546078</v>
      </c>
      <c r="AU54" s="14" t="n">
        <f aca="false">0</f>
        <v>0</v>
      </c>
      <c r="AV54" s="14" t="n">
        <f aca="false">AT54-AR54-AU54</f>
        <v>639488.059546078</v>
      </c>
      <c r="AW54" s="21" t="n">
        <f aca="false">(1+$B$16)^(-$A54/4)</f>
        <v>0.627179720582548</v>
      </c>
      <c r="AX54" s="14" t="n">
        <f aca="false">AV54*AW54</f>
        <v>401073.942501985</v>
      </c>
      <c r="AY54" s="14" t="n">
        <f aca="false">AV54</f>
        <v>639488.059546078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3780</v>
      </c>
      <c r="F55" s="14" t="n">
        <f aca="false">IF($A55&lt;=$G$4,$E$4*$F$4/4,IF(C55&gt;=$B$8+$B$9,E55*$B$4*(1+$B$5)^(($G$4+$B$8+D55*($B$8+$B$10))/4)/4,0))</f>
        <v>297555.307054398</v>
      </c>
      <c r="G55" s="14" t="n">
        <f aca="false">IF($A55&lt;=$G$4,$E$4*$F$4,IF(C55&gt;=$B$8,E55*$B$4*(1+$B$5)^(($G$4+$B$8+D55*($B$8+$B$10))/4),0))</f>
        <v>1190221.22821759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2790</v>
      </c>
      <c r="N55" s="14" t="n">
        <f aca="false">IF($A55&lt;=$G$5,$E$5*$F$5/4,IF(K55&gt;=$B$8+$B$9,M55*$B$4*(1+$B$5)^(($G$5+$B$8+L55*($B$8+$B$10))/4)/4,0))</f>
        <v>224584.183418748</v>
      </c>
      <c r="O55" s="14" t="n">
        <f aca="false">IF($A55&lt;=$G$5,$E$5*$F$5,IF(K55&gt;=$B$8,M55*$B$4*(1+$B$5)^(($G$5+$B$8+L55*($B$8+$B$10))/4),0))</f>
        <v>898336.733674991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900</v>
      </c>
      <c r="AD55" s="14" t="n">
        <f aca="false">IF($A55&lt;=$G$7,$E$7*$F$7/4,IF(AA55&gt;=$B$8+$B$9,AC55*$B$4*(1+$B$5)^(($G$7+$B$8+AB55*($B$8+$B$10))/4)/4,0))</f>
        <v>69799.5090439591</v>
      </c>
      <c r="AE55" s="14" t="n">
        <f aca="false">IF($A55&lt;=$G$7,$E$7*$F$7,IF(AA55&gt;=$B$8,AC55*$B$4*(1+$B$5)^(($G$7+$B$8+AB55*($B$8+$B$10))/4),0))</f>
        <v>279198.036175837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1749.6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1749.6</v>
      </c>
      <c r="AP55" s="14" t="n">
        <f aca="false">F55+N55+V55+AD55+AL55</f>
        <v>705898.999517105</v>
      </c>
      <c r="AQ55" s="14" t="n">
        <f aca="false">G55+O55+W55+AE55+AM55</f>
        <v>2823595.99806842</v>
      </c>
      <c r="AR55" s="14" t="n">
        <f aca="false">H55+P55+X55+AF55+AN55+IF($A55=$B$15,$B$14,0)</f>
        <v>0</v>
      </c>
      <c r="AS55" s="21" t="n">
        <f aca="false">I55+Q55+Y55+AG55+AO55</f>
        <v>1749.6</v>
      </c>
      <c r="AT55" s="14" t="n">
        <f aca="false">AP55*(1-$B$12)-AS55*$B$13/4</f>
        <v>639488.059546078</v>
      </c>
      <c r="AU55" s="14" t="n">
        <f aca="false">0</f>
        <v>0</v>
      </c>
      <c r="AV55" s="14" t="n">
        <f aca="false">AT55-AR55-AU55</f>
        <v>639488.059546078</v>
      </c>
      <c r="AW55" s="21" t="n">
        <f aca="false">(1+$B$16)^(-$A55/4)</f>
        <v>0.615584516343389</v>
      </c>
      <c r="AX55" s="14" t="n">
        <f aca="false">AV55*AW55</f>
        <v>393658.947843045</v>
      </c>
      <c r="AY55" s="14" t="n">
        <f aca="false">AV55</f>
        <v>639488.059546078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3780</v>
      </c>
      <c r="F56" s="14" t="n">
        <f aca="false">IF($A56&lt;=$G$4,$E$4*$F$4/4,IF(C56&gt;=$B$8+$B$9,E56*$B$4*(1+$B$5)^(($G$4+$B$8+D56*($B$8+$B$10))/4)/4,0))</f>
        <v>297555.307054398</v>
      </c>
      <c r="G56" s="14" t="n">
        <f aca="false">IF($A56&lt;=$G$4,$E$4*$F$4,IF(C56&gt;=$B$8,E56*$B$4*(1+$B$5)^(($G$4+$B$8+D56*($B$8+$B$10))/4),0))</f>
        <v>1190221.22821759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2790</v>
      </c>
      <c r="N56" s="14" t="n">
        <f aca="false">IF($A56&lt;=$G$5,$E$5*$F$5/4,IF(K56&gt;=$B$8+$B$9,M56*$B$4*(1+$B$5)^(($G$5+$B$8+L56*($B$8+$B$10))/4)/4,0))</f>
        <v>224584.183418748</v>
      </c>
      <c r="O56" s="14" t="n">
        <f aca="false">IF($A56&lt;=$G$5,$E$5*$F$5,IF(K56&gt;=$B$8,M56*$B$4*(1+$B$5)^(($G$5+$B$8+L56*($B$8+$B$10))/4),0))</f>
        <v>898336.733674991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1386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683467.150220043</v>
      </c>
      <c r="Y56" s="21" t="n">
        <f aca="false">IF($A56&lt;=$G$6,0,IF(S56&lt;$B$8,U56,0))</f>
        <v>1386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900</v>
      </c>
      <c r="AD56" s="14" t="n">
        <f aca="false">IF($A56&lt;=$G$7,$E$7*$F$7/4,IF(AA56&gt;=$B$8+$B$9,AC56*$B$4*(1+$B$5)^(($G$7+$B$8+AB56*($B$8+$B$10))/4)/4,0))</f>
        <v>69799.5090439591</v>
      </c>
      <c r="AE56" s="14" t="n">
        <f aca="false">IF($A56&lt;=$G$7,$E$7*$F$7,IF(AA56&gt;=$B$8,AC56*$B$4*(1+$B$5)^(($G$7+$B$8+AB56*($B$8+$B$10))/4),0))</f>
        <v>279198.036175837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1749.6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578214.92738767</v>
      </c>
      <c r="AN56" s="14" t="n">
        <f aca="false">IF($A56&lt;=$G$8,0,IF(AI56=0,AK56*$B$6*(1+$B$7)^(($G$8+AJ56*($B$8+$B$10))/4),0)+IF(AI56=$B$8,$B$11*$B$4*(1+$B$5)^(($G$8+$B$8+AJ56*($B$8+$B$10))/4)*AK56,0))</f>
        <v>69385.7912865204</v>
      </c>
      <c r="AO56" s="21" t="n">
        <f aca="false">IF($A56&lt;=$G$8,0,IF(AI56&lt;$B$8,AK56,0))</f>
        <v>0</v>
      </c>
      <c r="AP56" s="14" t="n">
        <f aca="false">F56+N56+V56+AD56+AL56</f>
        <v>591938.999517105</v>
      </c>
      <c r="AQ56" s="14" t="n">
        <f aca="false">G56+O56+W56+AE56+AM56</f>
        <v>2945970.92545609</v>
      </c>
      <c r="AR56" s="14" t="n">
        <f aca="false">H56+P56+X56+AF56+AN56+IF($A56=$B$15,$B$14,0)</f>
        <v>752852.941506564</v>
      </c>
      <c r="AS56" s="21" t="n">
        <f aca="false">I56+Q56+Y56+AG56+AO56</f>
        <v>1386</v>
      </c>
      <c r="AT56" s="14" t="n">
        <f aca="false">AP56*(1-$B$12)-AS56*$B$13/4</f>
        <v>537365.159546079</v>
      </c>
      <c r="AU56" s="14" t="n">
        <f aca="false">0</f>
        <v>0</v>
      </c>
      <c r="AV56" s="14" t="n">
        <f aca="false">AT56-AR56-AU56</f>
        <v>-215487.781960485</v>
      </c>
      <c r="AW56" s="21" t="n">
        <f aca="false">(1+$B$16)^(-$A56/4)</f>
        <v>0.604203682494304</v>
      </c>
      <c r="AX56" s="14" t="n">
        <f aca="false">AV56*AW56</f>
        <v>-130198.511393055</v>
      </c>
      <c r="AY56" s="14" t="n">
        <f aca="false">AV56</f>
        <v>-215487.781960485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3780</v>
      </c>
      <c r="F57" s="14" t="n">
        <f aca="false">IF($A57&lt;=$G$4,$E$4*$F$4/4,IF(C57&gt;=$B$8+$B$9,E57*$B$4*(1+$B$5)^(($G$4+$B$8+D57*($B$8+$B$10))/4)/4,0))</f>
        <v>297555.307054398</v>
      </c>
      <c r="G57" s="14" t="n">
        <f aca="false">IF($A57&lt;=$G$4,$E$4*$F$4,IF(C57&gt;=$B$8,E57*$B$4*(1+$B$5)^(($G$4+$B$8+D57*($B$8+$B$10))/4),0))</f>
        <v>1190221.22821759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2790</v>
      </c>
      <c r="N57" s="14" t="n">
        <f aca="false">IF($A57&lt;=$G$5,$E$5*$F$5/4,IF(K57&gt;=$B$8+$B$9,M57*$B$4*(1+$B$5)^(($G$5+$B$8+L57*($B$8+$B$10))/4)/4,0))</f>
        <v>224584.183418748</v>
      </c>
      <c r="O57" s="14" t="n">
        <f aca="false">IF($A57&lt;=$G$5,$E$5*$F$5,IF(K57&gt;=$B$8,M57*$B$4*(1+$B$5)^(($G$5+$B$8+L57*($B$8+$B$10))/4),0))</f>
        <v>898336.733674991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1386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1386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900</v>
      </c>
      <c r="AD57" s="14" t="n">
        <f aca="false">IF($A57&lt;=$G$7,$E$7*$F$7/4,IF(AA57&gt;=$B$8+$B$9,AC57*$B$4*(1+$B$5)^(($G$7+$B$8+AB57*($B$8+$B$10))/4)/4,0))</f>
        <v>69799.5090439591</v>
      </c>
      <c r="AE57" s="14" t="n">
        <f aca="false">IF($A57&lt;=$G$7,$E$7*$F$7,IF(AA57&gt;=$B$8,AC57*$B$4*(1+$B$5)^(($G$7+$B$8+AB57*($B$8+$B$10))/4),0))</f>
        <v>279198.036175837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1749.6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578214.92738767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591938.999517105</v>
      </c>
      <c r="AQ57" s="14" t="n">
        <f aca="false">G57+O57+W57+AE57+AM57</f>
        <v>2945970.92545609</v>
      </c>
      <c r="AR57" s="14" t="n">
        <f aca="false">H57+P57+X57+AF57+AN57+IF($A57=$B$15,$B$14,0)</f>
        <v>0</v>
      </c>
      <c r="AS57" s="21" t="n">
        <f aca="false">I57+Q57+Y57+AG57+AO57</f>
        <v>1386</v>
      </c>
      <c r="AT57" s="14" t="n">
        <f aca="false">AP57*(1-$B$12)-AS57*$B$13/4</f>
        <v>537365.159546079</v>
      </c>
      <c r="AU57" s="14" t="n">
        <f aca="false">0</f>
        <v>0</v>
      </c>
      <c r="AV57" s="14" t="n">
        <f aca="false">AT57-AR57-AU57</f>
        <v>537365.159546079</v>
      </c>
      <c r="AW57" s="21" t="n">
        <f aca="false">(1+$B$16)^(-$A57/4)</f>
        <v>0.5930332557878</v>
      </c>
      <c r="AX57" s="14" t="n">
        <f aca="false">AV57*AW57</f>
        <v>318675.410112541</v>
      </c>
      <c r="AY57" s="14" t="n">
        <f aca="false">AV57</f>
        <v>537365.159546079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3780</v>
      </c>
      <c r="F58" s="14" t="n">
        <f aca="false">IF($A58&lt;=$G$4,$E$4*$F$4/4,IF(C58&gt;=$B$8+$B$9,E58*$B$4*(1+$B$5)^(($G$4+$B$8+D58*($B$8+$B$10))/4)/4,0))</f>
        <v>297555.307054398</v>
      </c>
      <c r="G58" s="14" t="n">
        <f aca="false">IF($A58&lt;=$G$4,$E$4*$F$4,IF(C58&gt;=$B$8,E58*$B$4*(1+$B$5)^(($G$4+$B$8+D58*($B$8+$B$10))/4),0))</f>
        <v>1190221.22821759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2790</v>
      </c>
      <c r="N58" s="14" t="n">
        <f aca="false">IF($A58&lt;=$G$5,$E$5*$F$5/4,IF(K58&gt;=$B$8+$B$9,M58*$B$4*(1+$B$5)^(($G$5+$B$8+L58*($B$8+$B$10))/4)/4,0))</f>
        <v>224584.183418748</v>
      </c>
      <c r="O58" s="14" t="n">
        <f aca="false">IF($A58&lt;=$G$5,$E$5*$F$5,IF(K58&gt;=$B$8,M58*$B$4*(1+$B$5)^(($G$5+$B$8+L58*($B$8+$B$10))/4),0))</f>
        <v>898336.733674991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1386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1386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900</v>
      </c>
      <c r="AD58" s="14" t="n">
        <f aca="false">IF($A58&lt;=$G$7,$E$7*$F$7/4,IF(AA58&gt;=$B$8+$B$9,AC58*$B$4*(1+$B$5)^(($G$7+$B$8+AB58*($B$8+$B$10))/4)/4,0))</f>
        <v>69799.5090439591</v>
      </c>
      <c r="AE58" s="14" t="n">
        <f aca="false">IF($A58&lt;=$G$7,$E$7*$F$7,IF(AA58&gt;=$B$8,AC58*$B$4*(1+$B$5)^(($G$7+$B$8+AB58*($B$8+$B$10))/4),0))</f>
        <v>279198.036175837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1749.6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578214.92738767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591938.999517105</v>
      </c>
      <c r="AQ58" s="14" t="n">
        <f aca="false">G58+O58+W58+AE58+AM58</f>
        <v>2945970.92545609</v>
      </c>
      <c r="AR58" s="14" t="n">
        <f aca="false">H58+P58+X58+AF58+AN58+IF($A58=$B$15,$B$14,0)</f>
        <v>0</v>
      </c>
      <c r="AS58" s="21" t="n">
        <f aca="false">I58+Q58+Y58+AG58+AO58</f>
        <v>1386</v>
      </c>
      <c r="AT58" s="14" t="n">
        <f aca="false">AP58*(1-$B$12)-AS58*$B$13/4</f>
        <v>537365.159546079</v>
      </c>
      <c r="AU58" s="14" t="n">
        <f aca="false">0</f>
        <v>0</v>
      </c>
      <c r="AV58" s="14" t="n">
        <f aca="false">AT58-AR58-AU58</f>
        <v>537365.159546079</v>
      </c>
      <c r="AW58" s="21" t="n">
        <f aca="false">(1+$B$16)^(-$A58/4)</f>
        <v>0.582069346248305</v>
      </c>
      <c r="AX58" s="14" t="n">
        <f aca="false">AV58*AW58</f>
        <v>312783.787113602</v>
      </c>
      <c r="AY58" s="14" t="n">
        <f aca="false">AV58</f>
        <v>537365.159546079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3780</v>
      </c>
      <c r="F59" s="14" t="n">
        <f aca="false">IF($A59&lt;=$G$4,$E$4*$F$4/4,IF(C59&gt;=$B$8+$B$9,E59*$B$4*(1+$B$5)^(($G$4+$B$8+D59*($B$8+$B$10))/4)/4,0))</f>
        <v>297555.307054398</v>
      </c>
      <c r="G59" s="14" t="n">
        <f aca="false">IF($A59&lt;=$G$4,$E$4*$F$4,IF(C59&gt;=$B$8,E59*$B$4*(1+$B$5)^(($G$4+$B$8+D59*($B$8+$B$10))/4),0))</f>
        <v>1190221.22821759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2790</v>
      </c>
      <c r="N59" s="14" t="n">
        <f aca="false">IF($A59&lt;=$G$5,$E$5*$F$5/4,IF(K59&gt;=$B$8+$B$9,M59*$B$4*(1+$B$5)^(($G$5+$B$8+L59*($B$8+$B$10))/4)/4,0))</f>
        <v>224584.183418748</v>
      </c>
      <c r="O59" s="14" t="n">
        <f aca="false">IF($A59&lt;=$G$5,$E$5*$F$5,IF(K59&gt;=$B$8,M59*$B$4*(1+$B$5)^(($G$5+$B$8+L59*($B$8+$B$10))/4),0))</f>
        <v>898336.733674991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1386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463194.390563766</v>
      </c>
      <c r="X59" s="14" t="n">
        <f aca="false">IF($A59&lt;=$G$6,0,IF(S59=0,U59*$B$6*(1+$B$7)^(($G$6+T59*($B$8+$B$10))/4),0)+IF(S59=$B$8,$B$11*$B$4*(1+$B$5)^(($G$6+$B$8+T59*($B$8+$B$10))/4)*U59,0))</f>
        <v>55583.3268676519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810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406894.98142169</v>
      </c>
      <c r="AG59" s="21" t="n">
        <f aca="false">IF($A59&lt;=$G$7,0,IF(AA59&lt;$B$8,AC59,0))</f>
        <v>810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1749.6</v>
      </c>
      <c r="AL59" s="14" t="n">
        <f aca="false">IF($A59&lt;=$G$8,$E$8*$F$8/4,IF(AI59&gt;=$B$8+$B$9,AK59*$B$4*(1+$B$5)^(($G$8+$B$8+AJ59*($B$8+$B$10))/4)/4,0))</f>
        <v>144553.731846918</v>
      </c>
      <c r="AM59" s="14" t="n">
        <f aca="false">IF($A59&lt;=$G$8,$E$8*$F$8,IF(AI59&gt;=$B$8,AK59*$B$4*(1+$B$5)^(($G$8+$B$8+AJ59*($B$8+$B$10))/4),0))</f>
        <v>578214.92738767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666693.222320063</v>
      </c>
      <c r="AQ59" s="14" t="n">
        <f aca="false">G59+O59+W59+AE59+AM59</f>
        <v>3129967.27984402</v>
      </c>
      <c r="AR59" s="14" t="n">
        <f aca="false">H59+P59+X59+AF59+AN59+IF($A59=$B$15,$B$14,0)</f>
        <v>462478.308289342</v>
      </c>
      <c r="AS59" s="21" t="n">
        <f aca="false">I59+Q59+Y59+AG59+AO59</f>
        <v>810</v>
      </c>
      <c r="AT59" s="14" t="n">
        <f aca="false">AP59*(1-$B$12)-AS59*$B$13/4</f>
        <v>615554.128980859</v>
      </c>
      <c r="AU59" s="14" t="n">
        <f aca="false">0</f>
        <v>0</v>
      </c>
      <c r="AV59" s="14" t="n">
        <f aca="false">AT59-AR59-AU59</f>
        <v>153075.820691518</v>
      </c>
      <c r="AW59" s="21" t="n">
        <f aca="false">(1+$B$16)^(-$A59/4)</f>
        <v>0.571308135817531</v>
      </c>
      <c r="AX59" s="14" t="n">
        <f aca="false">AV59*AW59</f>
        <v>87453.4617580096</v>
      </c>
      <c r="AY59" s="14" t="n">
        <f aca="false">AV59</f>
        <v>153075.820691518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3780</v>
      </c>
      <c r="F60" s="14" t="n">
        <f aca="false">IF($A60&lt;=$G$4,$E$4*$F$4/4,IF(C60&gt;=$B$8+$B$9,E60*$B$4*(1+$B$5)^(($G$4+$B$8+D60*($B$8+$B$10))/4)/4,0))</f>
        <v>297555.307054398</v>
      </c>
      <c r="G60" s="14" t="n">
        <f aca="false">IF($A60&lt;=$G$4,$E$4*$F$4,IF(C60&gt;=$B$8,E60*$B$4*(1+$B$5)^(($G$4+$B$8+D60*($B$8+$B$10))/4),0))</f>
        <v>1190221.22821759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2790</v>
      </c>
      <c r="N60" s="14" t="n">
        <f aca="false">IF($A60&lt;=$G$5,$E$5*$F$5/4,IF(K60&gt;=$B$8+$B$9,M60*$B$4*(1+$B$5)^(($G$5+$B$8+L60*($B$8+$B$10))/4)/4,0))</f>
        <v>224584.183418748</v>
      </c>
      <c r="O60" s="14" t="n">
        <f aca="false">IF($A60&lt;=$G$5,$E$5*$F$5,IF(K60&gt;=$B$8,M60*$B$4*(1+$B$5)^(($G$5+$B$8+L60*($B$8+$B$10))/4),0))</f>
        <v>898336.733674991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1386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463194.390563766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810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810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1749.6</v>
      </c>
      <c r="AL60" s="14" t="n">
        <f aca="false">IF($A60&lt;=$G$8,$E$8*$F$8/4,IF(AI60&gt;=$B$8+$B$9,AK60*$B$4*(1+$B$5)^(($G$8+$B$8+AJ60*($B$8+$B$10))/4)/4,0))</f>
        <v>144553.731846918</v>
      </c>
      <c r="AM60" s="14" t="n">
        <f aca="false">IF($A60&lt;=$G$8,$E$8*$F$8,IF(AI60&gt;=$B$8,AK60*$B$4*(1+$B$5)^(($G$8+$B$8+AJ60*($B$8+$B$10))/4),0))</f>
        <v>578214.92738767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666693.222320063</v>
      </c>
      <c r="AQ60" s="14" t="n">
        <f aca="false">G60+O60+W60+AE60+AM60</f>
        <v>3129967.27984402</v>
      </c>
      <c r="AR60" s="14" t="n">
        <f aca="false">H60+P60+X60+AF60+AN60+IF($A60=$B$15,$B$14,0)</f>
        <v>0</v>
      </c>
      <c r="AS60" s="21" t="n">
        <f aca="false">I60+Q60+Y60+AG60+AO60</f>
        <v>810</v>
      </c>
      <c r="AT60" s="14" t="n">
        <f aca="false">AP60*(1-$B$12)-AS60*$B$13/4</f>
        <v>615554.128980859</v>
      </c>
      <c r="AU60" s="14" t="n">
        <f aca="false">0</f>
        <v>0</v>
      </c>
      <c r="AV60" s="14" t="n">
        <f aca="false">AT60-AR60-AU60</f>
        <v>615554.128980859</v>
      </c>
      <c r="AW60" s="21" t="n">
        <f aca="false">(1+$B$16)^(-$A60/4)</f>
        <v>0.560745877024877</v>
      </c>
      <c r="AX60" s="14" t="n">
        <f aca="false">AV60*AW60</f>
        <v>345169.439911656</v>
      </c>
      <c r="AY60" s="14" t="n">
        <f aca="false">AV60</f>
        <v>615554.128980859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3780</v>
      </c>
      <c r="F61" s="14" t="n">
        <f aca="false">IF($A61&lt;=$G$4,$E$4*$F$4/4,IF(C61&gt;=$B$8+$B$9,E61*$B$4*(1+$B$5)^(($G$4+$B$8+D61*($B$8+$B$10))/4)/4,0))</f>
        <v>297555.307054398</v>
      </c>
      <c r="G61" s="14" t="n">
        <f aca="false">IF($A61&lt;=$G$4,$E$4*$F$4,IF(C61&gt;=$B$8,E61*$B$4*(1+$B$5)^(($G$4+$B$8+D61*($B$8+$B$10))/4),0))</f>
        <v>1190221.22821759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2790</v>
      </c>
      <c r="N61" s="14" t="n">
        <f aca="false">IF($A61&lt;=$G$5,$E$5*$F$5/4,IF(K61&gt;=$B$8+$B$9,M61*$B$4*(1+$B$5)^(($G$5+$B$8+L61*($B$8+$B$10))/4)/4,0))</f>
        <v>224584.183418748</v>
      </c>
      <c r="O61" s="14" t="n">
        <f aca="false">IF($A61&lt;=$G$5,$E$5*$F$5,IF(K61&gt;=$B$8,M61*$B$4*(1+$B$5)^(($G$5+$B$8+L61*($B$8+$B$10))/4),0))</f>
        <v>898336.733674991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1386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463194.390563766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810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810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1749.6</v>
      </c>
      <c r="AL61" s="14" t="n">
        <f aca="false">IF($A61&lt;=$G$8,$E$8*$F$8/4,IF(AI61&gt;=$B$8+$B$9,AK61*$B$4*(1+$B$5)^(($G$8+$B$8+AJ61*($B$8+$B$10))/4)/4,0))</f>
        <v>144553.731846918</v>
      </c>
      <c r="AM61" s="14" t="n">
        <f aca="false">IF($A61&lt;=$G$8,$E$8*$F$8,IF(AI61&gt;=$B$8,AK61*$B$4*(1+$B$5)^(($G$8+$B$8+AJ61*($B$8+$B$10))/4),0))</f>
        <v>578214.92738767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666693.222320063</v>
      </c>
      <c r="AQ61" s="14" t="n">
        <f aca="false">G61+O61+W61+AE61+AM61</f>
        <v>3129967.27984402</v>
      </c>
      <c r="AR61" s="14" t="n">
        <f aca="false">H61+P61+X61+AF61+AN61+IF($A61=$B$15,$B$14,0)</f>
        <v>0</v>
      </c>
      <c r="AS61" s="21" t="n">
        <f aca="false">I61+Q61+Y61+AG61+AO61</f>
        <v>810</v>
      </c>
      <c r="AT61" s="14" t="n">
        <f aca="false">AP61*(1-$B$12)-AS61*$B$13/4</f>
        <v>615554.128980859</v>
      </c>
      <c r="AU61" s="14" t="n">
        <f aca="false">0</f>
        <v>0</v>
      </c>
      <c r="AV61" s="14" t="n">
        <f aca="false">AT61-AR61-AU61</f>
        <v>615554.128980859</v>
      </c>
      <c r="AW61" s="21" t="n">
        <f aca="false">(1+$B$16)^(-$A61/4)</f>
        <v>0.550378891682413</v>
      </c>
      <c r="AX61" s="14" t="n">
        <f aca="false">AV61*AW61</f>
        <v>338787.999279018</v>
      </c>
      <c r="AY61" s="14" t="n">
        <f aca="false">AV61</f>
        <v>615554.128980859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3780</v>
      </c>
      <c r="F62" s="14" t="n">
        <f aca="false">IF($A62&lt;=$G$4,$E$4*$F$4/4,IF(C62&gt;=$B$8+$B$9,E62*$B$4*(1+$B$5)^(($G$4+$B$8+D62*($B$8+$B$10))/4)/4,0))</f>
        <v>297555.307054398</v>
      </c>
      <c r="G62" s="14" t="n">
        <f aca="false">IF($A62&lt;=$G$4,$E$4*$F$4,IF(C62&gt;=$B$8,E62*$B$4*(1+$B$5)^(($G$4+$B$8+D62*($B$8+$B$10))/4),0))</f>
        <v>1190221.22821759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2790</v>
      </c>
      <c r="N62" s="14" t="n">
        <f aca="false">IF($A62&lt;=$G$5,$E$5*$F$5/4,IF(K62&gt;=$B$8+$B$9,M62*$B$4*(1+$B$5)^(($G$5+$B$8+L62*($B$8+$B$10))/4)/4,0))</f>
        <v>224584.183418748</v>
      </c>
      <c r="O62" s="14" t="n">
        <f aca="false">IF($A62&lt;=$G$5,$E$5*$F$5,IF(K62&gt;=$B$8,M62*$B$4*(1+$B$5)^(($G$5+$B$8+L62*($B$8+$B$10))/4),0))</f>
        <v>898336.733674991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1386</v>
      </c>
      <c r="V62" s="14" t="n">
        <f aca="false">IF($A62&lt;=$G$6,$E$6*$F$6/4,IF(S62&gt;=$B$8+$B$9,U62*$B$4*(1+$B$5)^(($G$6+$B$8+T62*($B$8+$B$10))/4)/4,0))</f>
        <v>115798.597640941</v>
      </c>
      <c r="W62" s="14" t="n">
        <f aca="false">IF($A62&lt;=$G$6,$E$6*$F$6,IF(S62&gt;=$B$8,U62*$B$4*(1+$B$5)^(($G$6+$B$8+T62*($B$8+$B$10))/4),0))</f>
        <v>463194.390563766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810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273737.698542659</v>
      </c>
      <c r="AF62" s="14" t="n">
        <f aca="false">IF($A62&lt;=$G$7,0,IF(AA62=0,AC62*$B$6*(1+$B$7)^(($G$7+AB62*($B$8+$B$10))/4),0)+IF(AA62=$B$8,$B$11*$B$4*(1+$B$5)^(($G$7+$B$8+AB62*($B$8+$B$10))/4)*AC62,0))</f>
        <v>32848.5238251191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1749.6</v>
      </c>
      <c r="AL62" s="14" t="n">
        <f aca="false">IF($A62&lt;=$G$8,$E$8*$F$8/4,IF(AI62&gt;=$B$8+$B$9,AK62*$B$4*(1+$B$5)^(($G$8+$B$8+AJ62*($B$8+$B$10))/4)/4,0))</f>
        <v>144553.731846918</v>
      </c>
      <c r="AM62" s="14" t="n">
        <f aca="false">IF($A62&lt;=$G$8,$E$8*$F$8,IF(AI62&gt;=$B$8,AK62*$B$4*(1+$B$5)^(($G$8+$B$8+AJ62*($B$8+$B$10))/4),0))</f>
        <v>578214.92738767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782491.819961005</v>
      </c>
      <c r="AQ62" s="14" t="n">
        <f aca="false">G62+O62+W62+AE62+AM62</f>
        <v>3403704.97838668</v>
      </c>
      <c r="AR62" s="14" t="n">
        <f aca="false">H62+P62+X62+AF62+AN62+IF($A62=$B$15,$B$14,0)</f>
        <v>32848.5238251191</v>
      </c>
      <c r="AS62" s="21" t="n">
        <f aca="false">I62+Q62+Y62+AG62+AO62</f>
        <v>0</v>
      </c>
      <c r="AT62" s="14" t="n">
        <f aca="false">AP62*(1-$B$12)-AS62*$B$13/4</f>
        <v>735542.310763344</v>
      </c>
      <c r="AU62" s="14" t="n">
        <f aca="false">0</f>
        <v>0</v>
      </c>
      <c r="AV62" s="14" t="n">
        <f aca="false">AT62-AR62-AU62</f>
        <v>702693.786938225</v>
      </c>
      <c r="AW62" s="21" t="n">
        <f aca="false">(1+$B$16)^(-$A62/4)</f>
        <v>0.540203569603995</v>
      </c>
      <c r="AX62" s="14" t="n">
        <f aca="false">AV62*AW62</f>
        <v>379597.692042578</v>
      </c>
      <c r="AY62" s="14" t="n">
        <f aca="false">AV62</f>
        <v>702693.786938225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3402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1751682.89502037</v>
      </c>
      <c r="I63" s="21" t="n">
        <f aca="false">IF($A63&lt;=$G$4,0,IF(C63&lt;$B$8,E63,0))</f>
        <v>3402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2790</v>
      </c>
      <c r="N63" s="14" t="n">
        <f aca="false">IF($A63&lt;=$G$5,$E$5*$F$5/4,IF(K63&gt;=$B$8+$B$9,M63*$B$4*(1+$B$5)^(($G$5+$B$8+L63*($B$8+$B$10))/4)/4,0))</f>
        <v>224584.183418748</v>
      </c>
      <c r="O63" s="14" t="n">
        <f aca="false">IF($A63&lt;=$G$5,$E$5*$F$5,IF(K63&gt;=$B$8,M63*$B$4*(1+$B$5)^(($G$5+$B$8+L63*($B$8+$B$10))/4),0))</f>
        <v>898336.733674991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1386</v>
      </c>
      <c r="V63" s="14" t="n">
        <f aca="false">IF($A63&lt;=$G$6,$E$6*$F$6/4,IF(S63&gt;=$B$8+$B$9,U63*$B$4*(1+$B$5)^(($G$6+$B$8+T63*($B$8+$B$10))/4)/4,0))</f>
        <v>115798.597640941</v>
      </c>
      <c r="W63" s="14" t="n">
        <f aca="false">IF($A63&lt;=$G$6,$E$6*$F$6,IF(S63&gt;=$B$8,U63*$B$4*(1+$B$5)^(($G$6+$B$8+T63*($B$8+$B$10))/4),0))</f>
        <v>463194.390563766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810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273737.698542659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1749.6</v>
      </c>
      <c r="AL63" s="14" t="n">
        <f aca="false">IF($A63&lt;=$G$8,$E$8*$F$8/4,IF(AI63&gt;=$B$8+$B$9,AK63*$B$4*(1+$B$5)^(($G$8+$B$8+AJ63*($B$8+$B$10))/4)/4,0))</f>
        <v>144553.731846918</v>
      </c>
      <c r="AM63" s="14" t="n">
        <f aca="false">IF($A63&lt;=$G$8,$E$8*$F$8,IF(AI63&gt;=$B$8,AK63*$B$4*(1+$B$5)^(($G$8+$B$8+AJ63*($B$8+$B$10))/4),0))</f>
        <v>578214.92738767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484936.512906607</v>
      </c>
      <c r="AQ63" s="14" t="n">
        <f aca="false">G63+O63+W63+AE63+AM63</f>
        <v>2213483.75016909</v>
      </c>
      <c r="AR63" s="14" t="n">
        <f aca="false">H63+P63+X63+AF63+AN63+IF($A63=$B$15,$B$14,0)</f>
        <v>1751682.89502037</v>
      </c>
      <c r="AS63" s="21" t="n">
        <f aca="false">I63+Q63+Y63+AG63+AO63</f>
        <v>3402</v>
      </c>
      <c r="AT63" s="14" t="n">
        <f aca="false">AP63*(1-$B$12)-AS63*$B$13/4</f>
        <v>409062.822132211</v>
      </c>
      <c r="AU63" s="14" t="n">
        <f aca="false">0</f>
        <v>0</v>
      </c>
      <c r="AV63" s="14" t="n">
        <f aca="false">AT63-AR63-AU63</f>
        <v>-1342620.07288816</v>
      </c>
      <c r="AW63" s="21" t="n">
        <f aca="false">(1+$B$16)^(-$A63/4)</f>
        <v>0.530216367348056</v>
      </c>
      <c r="AX63" s="14" t="n">
        <f aca="false">AV63*AW63</f>
        <v>-711879.137775345</v>
      </c>
      <c r="AY63" s="14" t="n">
        <f aca="false">AV63</f>
        <v>-1342620.07288816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3402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3402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2790</v>
      </c>
      <c r="N64" s="14" t="n">
        <f aca="false">IF($A64&lt;=$G$5,$E$5*$F$5/4,IF(K64&gt;=$B$8+$B$9,M64*$B$4*(1+$B$5)^(($G$5+$B$8+L64*($B$8+$B$10))/4)/4,0))</f>
        <v>224584.183418748</v>
      </c>
      <c r="O64" s="14" t="n">
        <f aca="false">IF($A64&lt;=$G$5,$E$5*$F$5,IF(K64&gt;=$B$8,M64*$B$4*(1+$B$5)^(($G$5+$B$8+L64*($B$8+$B$10))/4),0))</f>
        <v>898336.733674991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1386</v>
      </c>
      <c r="V64" s="14" t="n">
        <f aca="false">IF($A64&lt;=$G$6,$E$6*$F$6/4,IF(S64&gt;=$B$8+$B$9,U64*$B$4*(1+$B$5)^(($G$6+$B$8+T64*($B$8+$B$10))/4)/4,0))</f>
        <v>115798.597640941</v>
      </c>
      <c r="W64" s="14" t="n">
        <f aca="false">IF($A64&lt;=$G$6,$E$6*$F$6,IF(S64&gt;=$B$8,U64*$B$4*(1+$B$5)^(($G$6+$B$8+T64*($B$8+$B$10))/4),0))</f>
        <v>463194.390563766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810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273737.698542659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1749.6</v>
      </c>
      <c r="AL64" s="14" t="n">
        <f aca="false">IF($A64&lt;=$G$8,$E$8*$F$8/4,IF(AI64&gt;=$B$8+$B$9,AK64*$B$4*(1+$B$5)^(($G$8+$B$8+AJ64*($B$8+$B$10))/4)/4,0))</f>
        <v>144553.731846918</v>
      </c>
      <c r="AM64" s="14" t="n">
        <f aca="false">IF($A64&lt;=$G$8,$E$8*$F$8,IF(AI64&gt;=$B$8,AK64*$B$4*(1+$B$5)^(($G$8+$B$8+AJ64*($B$8+$B$10))/4),0))</f>
        <v>578214.92738767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484936.512906607</v>
      </c>
      <c r="AQ64" s="14" t="n">
        <f aca="false">G64+O64+W64+AE64+AM64</f>
        <v>2213483.75016909</v>
      </c>
      <c r="AR64" s="14" t="n">
        <f aca="false">H64+P64+X64+AF64+AN64+IF($A64=$B$15,$B$14,0)</f>
        <v>0</v>
      </c>
      <c r="AS64" s="21" t="n">
        <f aca="false">I64+Q64+Y64+AG64+AO64</f>
        <v>3402</v>
      </c>
      <c r="AT64" s="14" t="n">
        <f aca="false">AP64*(1-$B$12)-AS64*$B$13/4</f>
        <v>409062.822132211</v>
      </c>
      <c r="AU64" s="14" t="n">
        <f aca="false">0</f>
        <v>0</v>
      </c>
      <c r="AV64" s="14" t="n">
        <f aca="false">AT64-AR64-AU64</f>
        <v>409062.822132211</v>
      </c>
      <c r="AW64" s="21" t="n">
        <f aca="false">(1+$B$16)^(-$A64/4)</f>
        <v>0.520413806983644</v>
      </c>
      <c r="AX64" s="14" t="n">
        <f aca="false">AV64*AW64</f>
        <v>212881.940561297</v>
      </c>
      <c r="AY64" s="14" t="n">
        <f aca="false">AV64</f>
        <v>409062.822132211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3402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3402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2790</v>
      </c>
      <c r="N65" s="14" t="n">
        <f aca="false">IF($A65&lt;=$G$5,$E$5*$F$5/4,IF(K65&gt;=$B$8+$B$9,M65*$B$4*(1+$B$5)^(($G$5+$B$8+L65*($B$8+$B$10))/4)/4,0))</f>
        <v>224584.183418748</v>
      </c>
      <c r="O65" s="14" t="n">
        <f aca="false">IF($A65&lt;=$G$5,$E$5*$F$5,IF(K65&gt;=$B$8,M65*$B$4*(1+$B$5)^(($G$5+$B$8+L65*($B$8+$B$10))/4),0))</f>
        <v>898336.733674991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1386</v>
      </c>
      <c r="V65" s="14" t="n">
        <f aca="false">IF($A65&lt;=$G$6,$E$6*$F$6/4,IF(S65&gt;=$B$8+$B$9,U65*$B$4*(1+$B$5)^(($G$6+$B$8+T65*($B$8+$B$10))/4)/4,0))</f>
        <v>115798.597640941</v>
      </c>
      <c r="W65" s="14" t="n">
        <f aca="false">IF($A65&lt;=$G$6,$E$6*$F$6,IF(S65&gt;=$B$8,U65*$B$4*(1+$B$5)^(($G$6+$B$8+T65*($B$8+$B$10))/4),0))</f>
        <v>463194.390563766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810</v>
      </c>
      <c r="AD65" s="14" t="n">
        <f aca="false">IF($A65&lt;=$G$7,$E$7*$F$7/4,IF(AA65&gt;=$B$8+$B$9,AC65*$B$4*(1+$B$5)^(($G$7+$B$8+AB65*($B$8+$B$10))/4)/4,0))</f>
        <v>68434.4246356649</v>
      </c>
      <c r="AE65" s="14" t="n">
        <f aca="false">IF($A65&lt;=$G$7,$E$7*$F$7,IF(AA65&gt;=$B$8,AC65*$B$4*(1+$B$5)^(($G$7+$B$8+AB65*($B$8+$B$10))/4),0))</f>
        <v>273737.698542659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1749.6</v>
      </c>
      <c r="AL65" s="14" t="n">
        <f aca="false">IF($A65&lt;=$G$8,$E$8*$F$8/4,IF(AI65&gt;=$B$8+$B$9,AK65*$B$4*(1+$B$5)^(($G$8+$B$8+AJ65*($B$8+$B$10))/4)/4,0))</f>
        <v>144553.731846918</v>
      </c>
      <c r="AM65" s="14" t="n">
        <f aca="false">IF($A65&lt;=$G$8,$E$8*$F$8,IF(AI65&gt;=$B$8,AK65*$B$4*(1+$B$5)^(($G$8+$B$8+AJ65*($B$8+$B$10))/4),0))</f>
        <v>578214.92738767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553370.937542272</v>
      </c>
      <c r="AQ65" s="14" t="n">
        <f aca="false">G65+O65+W65+AE65+AM65</f>
        <v>2213483.75016909</v>
      </c>
      <c r="AR65" s="14" t="n">
        <f aca="false">H65+P65+X65+AF65+AN65+IF($A65=$B$15,$B$14,0)</f>
        <v>0</v>
      </c>
      <c r="AS65" s="21" t="n">
        <f aca="false">I65+Q65+Y65+AG65+AO65</f>
        <v>3402</v>
      </c>
      <c r="AT65" s="14" t="n">
        <f aca="false">AP65*(1-$B$12)-AS65*$B$13/4</f>
        <v>473391.181289735</v>
      </c>
      <c r="AU65" s="14" t="n">
        <f aca="false">0</f>
        <v>0</v>
      </c>
      <c r="AV65" s="14" t="n">
        <f aca="false">AT65-AR65-AU65</f>
        <v>473391.181289735</v>
      </c>
      <c r="AW65" s="21" t="n">
        <f aca="false">(1+$B$16)^(-$A65/4)</f>
        <v>0.51079247487927</v>
      </c>
      <c r="AX65" s="14" t="n">
        <f aca="false">AV65*AW65</f>
        <v>241804.653077005</v>
      </c>
      <c r="AY65" s="14" t="n">
        <f aca="false">AV65</f>
        <v>473391.181289735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3402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1166943.80888736</v>
      </c>
      <c r="H66" s="14" t="n">
        <f aca="false">IF($A66&lt;=$G$4,0,IF(C66=0,E66*$B$6*(1+$B$7)^(($G$4+D66*($B$8+$B$10))/4),0)+IF(C66=$B$8,$B$11*$B$4*(1+$B$5)^(($G$4+$B$8+D66*($B$8+$B$10))/4)*E66,0))</f>
        <v>140033.257066483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2790</v>
      </c>
      <c r="N66" s="14" t="n">
        <f aca="false">IF($A66&lt;=$G$5,$E$5*$F$5/4,IF(K66&gt;=$B$8+$B$9,M66*$B$4*(1+$B$5)^(($G$5+$B$8+L66*($B$8+$B$10))/4)/4,0))</f>
        <v>224584.183418748</v>
      </c>
      <c r="O66" s="14" t="n">
        <f aca="false">IF($A66&lt;=$G$5,$E$5*$F$5,IF(K66&gt;=$B$8,M66*$B$4*(1+$B$5)^(($G$5+$B$8+L66*($B$8+$B$10))/4),0))</f>
        <v>898336.733674991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1386</v>
      </c>
      <c r="V66" s="14" t="n">
        <f aca="false">IF($A66&lt;=$G$6,$E$6*$F$6/4,IF(S66&gt;=$B$8+$B$9,U66*$B$4*(1+$B$5)^(($G$6+$B$8+T66*($B$8+$B$10))/4)/4,0))</f>
        <v>115798.597640941</v>
      </c>
      <c r="W66" s="14" t="n">
        <f aca="false">IF($A66&lt;=$G$6,$E$6*$F$6,IF(S66&gt;=$B$8,U66*$B$4*(1+$B$5)^(($G$6+$B$8+T66*($B$8+$B$10))/4),0))</f>
        <v>463194.390563766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810</v>
      </c>
      <c r="AD66" s="14" t="n">
        <f aca="false">IF($A66&lt;=$G$7,$E$7*$F$7/4,IF(AA66&gt;=$B$8+$B$9,AC66*$B$4*(1+$B$5)^(($G$7+$B$8+AB66*($B$8+$B$10))/4)/4,0))</f>
        <v>68434.4246356649</v>
      </c>
      <c r="AE66" s="14" t="n">
        <f aca="false">IF($A66&lt;=$G$7,$E$7*$F$7,IF(AA66&gt;=$B$8,AC66*$B$4*(1+$B$5)^(($G$7+$B$8+AB66*($B$8+$B$10))/4),0))</f>
        <v>273737.698542659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1749.6</v>
      </c>
      <c r="AL66" s="14" t="n">
        <f aca="false">IF($A66&lt;=$G$8,$E$8*$F$8/4,IF(AI66&gt;=$B$8+$B$9,AK66*$B$4*(1+$B$5)^(($G$8+$B$8+AJ66*($B$8+$B$10))/4)/4,0))</f>
        <v>144553.731846918</v>
      </c>
      <c r="AM66" s="14" t="n">
        <f aca="false">IF($A66&lt;=$G$8,$E$8*$F$8,IF(AI66&gt;=$B$8,AK66*$B$4*(1+$B$5)^(($G$8+$B$8+AJ66*($B$8+$B$10))/4),0))</f>
        <v>578214.92738767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553370.937542272</v>
      </c>
      <c r="AQ66" s="14" t="n">
        <f aca="false">G66+O66+W66+AE66+AM66</f>
        <v>3380427.55905644</v>
      </c>
      <c r="AR66" s="14" t="n">
        <f aca="false">H66+P66+X66+AF66+AN66+IF($A66=$B$15,$B$14,0)</f>
        <v>140033.257066483</v>
      </c>
      <c r="AS66" s="21" t="n">
        <f aca="false">I66+Q66+Y66+AG66+AO66</f>
        <v>0</v>
      </c>
      <c r="AT66" s="14" t="n">
        <f aca="false">AP66*(1-$B$12)-AS66*$B$13/4</f>
        <v>520168.681289735</v>
      </c>
      <c r="AU66" s="14" t="n">
        <f aca="false">0</f>
        <v>0</v>
      </c>
      <c r="AV66" s="14" t="n">
        <f aca="false">AT66-AR66-AU66</f>
        <v>380135.424223253</v>
      </c>
      <c r="AW66" s="21" t="n">
        <f aca="false">(1+$B$16)^(-$A66/4)</f>
        <v>0.501349020514149</v>
      </c>
      <c r="AX66" s="14" t="n">
        <f aca="false">AV66*AW66</f>
        <v>190580.522597058</v>
      </c>
      <c r="AY66" s="14" t="n">
        <f aca="false">AV66</f>
        <v>380135.424223253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3402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1166943.80888736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2790</v>
      </c>
      <c r="N67" s="14" t="n">
        <f aca="false">IF($A67&lt;=$G$5,$E$5*$F$5/4,IF(K67&gt;=$B$8+$B$9,M67*$B$4*(1+$B$5)^(($G$5+$B$8+L67*($B$8+$B$10))/4)/4,0))</f>
        <v>224584.183418748</v>
      </c>
      <c r="O67" s="14" t="n">
        <f aca="false">IF($A67&lt;=$G$5,$E$5*$F$5,IF(K67&gt;=$B$8,M67*$B$4*(1+$B$5)^(($G$5+$B$8+L67*($B$8+$B$10))/4),0))</f>
        <v>898336.733674991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1386</v>
      </c>
      <c r="V67" s="14" t="n">
        <f aca="false">IF($A67&lt;=$G$6,$E$6*$F$6/4,IF(S67&gt;=$B$8+$B$9,U67*$B$4*(1+$B$5)^(($G$6+$B$8+T67*($B$8+$B$10))/4)/4,0))</f>
        <v>115798.597640941</v>
      </c>
      <c r="W67" s="14" t="n">
        <f aca="false">IF($A67&lt;=$G$6,$E$6*$F$6,IF(S67&gt;=$B$8,U67*$B$4*(1+$B$5)^(($G$6+$B$8+T67*($B$8+$B$10))/4),0))</f>
        <v>463194.390563766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810</v>
      </c>
      <c r="AD67" s="14" t="n">
        <f aca="false">IF($A67&lt;=$G$7,$E$7*$F$7/4,IF(AA67&gt;=$B$8+$B$9,AC67*$B$4*(1+$B$5)^(($G$7+$B$8+AB67*($B$8+$B$10))/4)/4,0))</f>
        <v>68434.4246356649</v>
      </c>
      <c r="AE67" s="14" t="n">
        <f aca="false">IF($A67&lt;=$G$7,$E$7*$F$7,IF(AA67&gt;=$B$8,AC67*$B$4*(1+$B$5)^(($G$7+$B$8+AB67*($B$8+$B$10))/4),0))</f>
        <v>273737.698542659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1749.6</v>
      </c>
      <c r="AL67" s="14" t="n">
        <f aca="false">IF($A67&lt;=$G$8,$E$8*$F$8/4,IF(AI67&gt;=$B$8+$B$9,AK67*$B$4*(1+$B$5)^(($G$8+$B$8+AJ67*($B$8+$B$10))/4)/4,0))</f>
        <v>144553.731846918</v>
      </c>
      <c r="AM67" s="14" t="n">
        <f aca="false">IF($A67&lt;=$G$8,$E$8*$F$8,IF(AI67&gt;=$B$8,AK67*$B$4*(1+$B$5)^(($G$8+$B$8+AJ67*($B$8+$B$10))/4),0))</f>
        <v>578214.92738767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553370.937542272</v>
      </c>
      <c r="AQ67" s="14" t="n">
        <f aca="false">G67+O67+W67+AE67+AM67</f>
        <v>3380427.55905644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520168.681289735</v>
      </c>
      <c r="AU67" s="14" t="n">
        <f aca="false">0</f>
        <v>0</v>
      </c>
      <c r="AV67" s="14" t="n">
        <f aca="false">AT67-AR67-AU67</f>
        <v>520168.681289735</v>
      </c>
      <c r="AW67" s="21" t="n">
        <f aca="false">(1+$B$16)^(-$A67/4)</f>
        <v>0.492080155311421</v>
      </c>
      <c r="AX67" s="14" t="n">
        <f aca="false">AV67*AW67</f>
        <v>255964.68547719</v>
      </c>
      <c r="AY67" s="14" t="n">
        <f aca="false">AV67</f>
        <v>520168.681289735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3402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1166943.80888736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2790</v>
      </c>
      <c r="N68" s="14" t="n">
        <f aca="false">IF($A68&lt;=$G$5,$E$5*$F$5/4,IF(K68&gt;=$B$8+$B$9,M68*$B$4*(1+$B$5)^(($G$5+$B$8+L68*($B$8+$B$10))/4)/4,0))</f>
        <v>224584.183418748</v>
      </c>
      <c r="O68" s="14" t="n">
        <f aca="false">IF($A68&lt;=$G$5,$E$5*$F$5,IF(K68&gt;=$B$8,M68*$B$4*(1+$B$5)^(($G$5+$B$8+L68*($B$8+$B$10))/4),0))</f>
        <v>898336.733674991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1386</v>
      </c>
      <c r="V68" s="14" t="n">
        <f aca="false">IF($A68&lt;=$G$6,$E$6*$F$6/4,IF(S68&gt;=$B$8+$B$9,U68*$B$4*(1+$B$5)^(($G$6+$B$8+T68*($B$8+$B$10))/4)/4,0))</f>
        <v>115798.597640941</v>
      </c>
      <c r="W68" s="14" t="n">
        <f aca="false">IF($A68&lt;=$G$6,$E$6*$F$6,IF(S68&gt;=$B$8,U68*$B$4*(1+$B$5)^(($G$6+$B$8+T68*($B$8+$B$10))/4),0))</f>
        <v>463194.390563766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810</v>
      </c>
      <c r="AD68" s="14" t="n">
        <f aca="false">IF($A68&lt;=$G$7,$E$7*$F$7/4,IF(AA68&gt;=$B$8+$B$9,AC68*$B$4*(1+$B$5)^(($G$7+$B$8+AB68*($B$8+$B$10))/4)/4,0))</f>
        <v>68434.4246356649</v>
      </c>
      <c r="AE68" s="14" t="n">
        <f aca="false">IF($A68&lt;=$G$7,$E$7*$F$7,IF(AA68&gt;=$B$8,AC68*$B$4*(1+$B$5)^(($G$7+$B$8+AB68*($B$8+$B$10))/4),0))</f>
        <v>273737.698542659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1749.6</v>
      </c>
      <c r="AL68" s="14" t="n">
        <f aca="false">IF($A68&lt;=$G$8,$E$8*$F$8/4,IF(AI68&gt;=$B$8+$B$9,AK68*$B$4*(1+$B$5)^(($G$8+$B$8+AJ68*($B$8+$B$10))/4)/4,0))</f>
        <v>144553.731846918</v>
      </c>
      <c r="AM68" s="14" t="n">
        <f aca="false">IF($A68&lt;=$G$8,$E$8*$F$8,IF(AI68&gt;=$B$8,AK68*$B$4*(1+$B$5)^(($G$8+$B$8+AJ68*($B$8+$B$10))/4),0))</f>
        <v>578214.92738767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553370.937542272</v>
      </c>
      <c r="AQ68" s="14" t="n">
        <f aca="false">G68+O68+W68+AE68+AM68</f>
        <v>3380427.55905644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520168.681289735</v>
      </c>
      <c r="AU68" s="14" t="n">
        <f aca="false">0</f>
        <v>0</v>
      </c>
      <c r="AV68" s="14" t="n">
        <f aca="false">AT68-AR68-AU68</f>
        <v>520168.681289735</v>
      </c>
      <c r="AW68" s="21" t="n">
        <f aca="false">(1+$B$16)^(-$A68/4)</f>
        <v>0.482982651492941</v>
      </c>
      <c r="AX68" s="14" t="n">
        <f aca="false">AV68*AW68</f>
        <v>251232.448912903</v>
      </c>
      <c r="AY68" s="14" t="n">
        <f aca="false">AV68</f>
        <v>520168.681289735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3402</v>
      </c>
      <c r="F69" s="14" t="n">
        <f aca="false">IF($A69&lt;=$G$4,$E$4*$F$4/4,IF(C69&gt;=$B$8+$B$9,E69*$B$4*(1+$B$5)^(($G$4+$B$8+D69*($B$8+$B$10))/4)/4,0))</f>
        <v>291735.952221839</v>
      </c>
      <c r="G69" s="14" t="n">
        <f aca="false">IF($A69&lt;=$G$4,$E$4*$F$4,IF(C69&gt;=$B$8,E69*$B$4*(1+$B$5)^(($G$4+$B$8+D69*($B$8+$B$10))/4),0))</f>
        <v>1166943.80888736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2511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1341694.6581831</v>
      </c>
      <c r="Q69" s="21" t="n">
        <f aca="false">IF($A69&lt;=$G$5,0,IF(K69&lt;$B$8,M69,0))</f>
        <v>2511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1386</v>
      </c>
      <c r="V69" s="14" t="n">
        <f aca="false">IF($A69&lt;=$G$6,$E$6*$F$6/4,IF(S69&gt;=$B$8+$B$9,U69*$B$4*(1+$B$5)^(($G$6+$B$8+T69*($B$8+$B$10))/4)/4,0))</f>
        <v>115798.597640941</v>
      </c>
      <c r="W69" s="14" t="n">
        <f aca="false">IF($A69&lt;=$G$6,$E$6*$F$6,IF(S69&gt;=$B$8,U69*$B$4*(1+$B$5)^(($G$6+$B$8+T69*($B$8+$B$10))/4),0))</f>
        <v>463194.390563766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810</v>
      </c>
      <c r="AD69" s="14" t="n">
        <f aca="false">IF($A69&lt;=$G$7,$E$7*$F$7/4,IF(AA69&gt;=$B$8+$B$9,AC69*$B$4*(1+$B$5)^(($G$7+$B$8+AB69*($B$8+$B$10))/4)/4,0))</f>
        <v>68434.4246356649</v>
      </c>
      <c r="AE69" s="14" t="n">
        <f aca="false">IF($A69&lt;=$G$7,$E$7*$F$7,IF(AA69&gt;=$B$8,AC69*$B$4*(1+$B$5)^(($G$7+$B$8+AB69*($B$8+$B$10))/4),0))</f>
        <v>273737.698542659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1749.6</v>
      </c>
      <c r="AL69" s="14" t="n">
        <f aca="false">IF($A69&lt;=$G$8,$E$8*$F$8/4,IF(AI69&gt;=$B$8+$B$9,AK69*$B$4*(1+$B$5)^(($G$8+$B$8+AJ69*($B$8+$B$10))/4)/4,0))</f>
        <v>144553.731846918</v>
      </c>
      <c r="AM69" s="14" t="n">
        <f aca="false">IF($A69&lt;=$G$8,$E$8*$F$8,IF(AI69&gt;=$B$8,AK69*$B$4*(1+$B$5)^(($G$8+$B$8+AJ69*($B$8+$B$10))/4),0))</f>
        <v>578214.92738767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620522.706345363</v>
      </c>
      <c r="AQ69" s="14" t="n">
        <f aca="false">G69+O69+W69+AE69+AM69</f>
        <v>2482090.82538145</v>
      </c>
      <c r="AR69" s="14" t="n">
        <f aca="false">H69+P69+X69+AF69+AN69+IF($A69=$B$15,$B$14,0)</f>
        <v>1341694.6581831</v>
      </c>
      <c r="AS69" s="21" t="n">
        <f aca="false">I69+Q69+Y69+AG69+AO69</f>
        <v>2511</v>
      </c>
      <c r="AT69" s="14" t="n">
        <f aca="false">AP69*(1-$B$12)-AS69*$B$13/4</f>
        <v>548765.093964641</v>
      </c>
      <c r="AU69" s="14" t="n">
        <f aca="false">0</f>
        <v>0</v>
      </c>
      <c r="AV69" s="14" t="n">
        <f aca="false">AT69-AR69-AU69</f>
        <v>-792929.564218461</v>
      </c>
      <c r="AW69" s="21" t="n">
        <f aca="false">(1+$B$16)^(-$A69/4)</f>
        <v>0.474053340955239</v>
      </c>
      <c r="AX69" s="14" t="n">
        <f aca="false">AV69*AW69</f>
        <v>-375890.909059943</v>
      </c>
      <c r="AY69" s="14" t="n">
        <f aca="false">AV69+$J$9</f>
        <v>43879799.5946121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317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0.15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0.15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0.15</v>
      </c>
      <c r="I6" s="21" t="s">
        <v>263</v>
      </c>
      <c r="J6" s="14" t="n">
        <f aca="false">AQ69</f>
        <v>2238267.13942847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0.15</v>
      </c>
      <c r="I7" s="21" t="s">
        <v>98</v>
      </c>
      <c r="J7" s="14" t="n">
        <f aca="false">AS69</f>
        <v>2239.75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0.15</v>
      </c>
      <c r="I8" s="21" t="s">
        <v>101</v>
      </c>
      <c r="J8" s="14" t="n">
        <f aca="false">(J6+J7*J4)*(1-$B$12)</f>
        <v>2834256.42241028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40180342.1459387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8848814.1001759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19047625.4350068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27896439.5351827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26193839.9391387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0.682797724454554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0.0154162378436478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23093929.1913811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10984932.2847536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-6357359.95588421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-0.195303398227611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25" t="n">
        <v>0.15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1836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771120</v>
      </c>
      <c r="AO30" s="21" t="n">
        <f aca="false">IF($A30&lt;=$G$8,0,IF(AI30&lt;$B$8,AK30,0))</f>
        <v>1836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771120</v>
      </c>
      <c r="AS30" s="21" t="n">
        <f aca="false">I30+Q30+Y30+AG30+AO30</f>
        <v>1836</v>
      </c>
      <c r="AT30" s="14" t="n">
        <f aca="false">AP30*(1-$B$12)-AS30*$B$13/4</f>
        <v>691255.9</v>
      </c>
      <c r="AU30" s="14" t="n">
        <f aca="false">0</f>
        <v>0</v>
      </c>
      <c r="AV30" s="14" t="n">
        <f aca="false">AT30-AR30-AU30</f>
        <v>-79864.1000000001</v>
      </c>
      <c r="AW30" s="21" t="n">
        <f aca="false">(1+$B$16)^(-$A30/4)</f>
        <v>0.98151215057083</v>
      </c>
      <c r="AX30" s="14" t="n">
        <f aca="false">AV30*AW30</f>
        <v>-78387.5845444039</v>
      </c>
      <c r="AY30" s="14" t="n">
        <f aca="false">AV30</f>
        <v>-79864.1000000001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1836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1836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1836</v>
      </c>
      <c r="AT31" s="14" t="n">
        <f aca="false">AP31*(1-$B$12)-AS31*$B$13/4</f>
        <v>691255.9</v>
      </c>
      <c r="AU31" s="14" t="n">
        <f aca="false">0</f>
        <v>0</v>
      </c>
      <c r="AV31" s="14" t="n">
        <f aca="false">AT31-AR31-AU31</f>
        <v>691255.9</v>
      </c>
      <c r="AW31" s="21" t="n">
        <f aca="false">(1+$B$16)^(-$A31/4)</f>
        <v>0.963366101718176</v>
      </c>
      <c r="AX31" s="14" t="n">
        <f aca="false">AV31*AW31</f>
        <v>665932.501672689</v>
      </c>
      <c r="AY31" s="14" t="n">
        <f aca="false">AV31</f>
        <v>691255.9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1836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1836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1836</v>
      </c>
      <c r="AT32" s="14" t="n">
        <f aca="false">AP32*(1-$B$12)-AS32*$B$13/4</f>
        <v>691255.9</v>
      </c>
      <c r="AU32" s="14" t="n">
        <f aca="false">0</f>
        <v>0</v>
      </c>
      <c r="AV32" s="14" t="n">
        <f aca="false">AT32-AR32-AU32</f>
        <v>691255.9</v>
      </c>
      <c r="AW32" s="21" t="n">
        <f aca="false">(1+$B$16)^(-$A32/4)</f>
        <v>0.945555534284444</v>
      </c>
      <c r="AX32" s="14" t="n">
        <f aca="false">AV32*AW32</f>
        <v>653620.841851774</v>
      </c>
      <c r="AY32" s="14" t="n">
        <f aca="false">AV32</f>
        <v>691255.9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1836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556984.953570954</v>
      </c>
      <c r="AN33" s="14" t="n">
        <f aca="false">IF($A33&lt;=$G$8,0,IF(AI33=0,AK33*$B$6*(1+$B$7)^(($G$8+AJ33*($B$8+$B$10))/4),0)+IF(AI33=$B$8,$B$11*$B$4*(1+$B$5)^(($G$8+$B$8+AJ33*($B$8+$B$10))/4)*AK33,0))</f>
        <v>66838.1944285145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3605924.95357095</v>
      </c>
      <c r="AR33" s="14" t="n">
        <f aca="false">H33+P33+X33+AF33+AN33+IF($A33=$B$15,$B$14,0)</f>
        <v>66838.1944285145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649662.705571486</v>
      </c>
      <c r="AW33" s="21" t="n">
        <f aca="false">(1+$B$16)^(-$A33/4)</f>
        <v>0.928074245939675</v>
      </c>
      <c r="AX33" s="14" t="n">
        <f aca="false">AV33*AW33</f>
        <v>602935.225588386</v>
      </c>
      <c r="AY33" s="14" t="n">
        <f aca="false">AV33</f>
        <v>649662.705571486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1836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556984.953570954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3605924.95357095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1836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556984.953570954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3605924.95357095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850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370470.826470351</v>
      </c>
      <c r="AG36" s="21" t="n">
        <f aca="false">IF($A36&lt;=$G$7,0,IF(AA36&lt;$B$8,AC36,0))</f>
        <v>850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1836</v>
      </c>
      <c r="AL36" s="14" t="n">
        <f aca="false">IF($A36&lt;=$G$8,$E$8*$F$8/4,IF(AI36&gt;=$B$8+$B$9,AK36*$B$4*(1+$B$5)^(($G$8+$B$8+AJ36*($B$8+$B$10))/4)/4,0))</f>
        <v>139246.238392739</v>
      </c>
      <c r="AM36" s="14" t="n">
        <f aca="false">IF($A36&lt;=$G$8,$E$8*$F$8,IF(AI36&gt;=$B$8,AK36*$B$4*(1+$B$5)^(($G$8+$B$8+AJ36*($B$8+$B$10))/4),0))</f>
        <v>556984.953570954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823481.238392739</v>
      </c>
      <c r="AQ36" s="14" t="n">
        <f aca="false">G36+O36+W36+AE36+AM36</f>
        <v>3293924.95357095</v>
      </c>
      <c r="AR36" s="14" t="n">
        <f aca="false">H36+P36+X36+AF36+AN36+IF($A36=$B$15,$B$14,0)</f>
        <v>370470.826470351</v>
      </c>
      <c r="AS36" s="21" t="n">
        <f aca="false">I36+Q36+Y36+AG36+AO36</f>
        <v>850</v>
      </c>
      <c r="AT36" s="14" t="n">
        <f aca="false">AP36*(1-$B$12)-AS36*$B$13/4</f>
        <v>762384.864089174</v>
      </c>
      <c r="AU36" s="14" t="n">
        <f aca="false">0</f>
        <v>0</v>
      </c>
      <c r="AV36" s="14" t="n">
        <f aca="false">AT36-AR36-AU36</f>
        <v>391914.037618823</v>
      </c>
      <c r="AW36" s="21" t="n">
        <f aca="false">(1+$B$16)^(-$A36/4)</f>
        <v>0.877545739475122</v>
      </c>
      <c r="AX36" s="14" t="n">
        <f aca="false">AV36*AW36</f>
        <v>343922.493952891</v>
      </c>
      <c r="AY36" s="14" t="n">
        <f aca="false">AV36</f>
        <v>391914.037618823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850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850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1836</v>
      </c>
      <c r="AL37" s="14" t="n">
        <f aca="false">IF($A37&lt;=$G$8,$E$8*$F$8/4,IF(AI37&gt;=$B$8+$B$9,AK37*$B$4*(1+$B$5)^(($G$8+$B$8+AJ37*($B$8+$B$10))/4)/4,0))</f>
        <v>139246.238392739</v>
      </c>
      <c r="AM37" s="14" t="n">
        <f aca="false">IF($A37&lt;=$G$8,$E$8*$F$8,IF(AI37&gt;=$B$8,AK37*$B$4*(1+$B$5)^(($G$8+$B$8+AJ37*($B$8+$B$10))/4),0))</f>
        <v>556984.953570954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823481.238392739</v>
      </c>
      <c r="AQ37" s="14" t="n">
        <f aca="false">G37+O37+W37+AE37+AM37</f>
        <v>3293924.95357095</v>
      </c>
      <c r="AR37" s="14" t="n">
        <f aca="false">H37+P37+X37+AF37+AN37+IF($A37=$B$15,$B$14,0)</f>
        <v>0</v>
      </c>
      <c r="AS37" s="21" t="n">
        <f aca="false">I37+Q37+Y37+AG37+AO37</f>
        <v>850</v>
      </c>
      <c r="AT37" s="14" t="n">
        <f aca="false">AP37*(1-$B$12)-AS37*$B$13/4</f>
        <v>762384.864089174</v>
      </c>
      <c r="AU37" s="14" t="n">
        <f aca="false">0</f>
        <v>0</v>
      </c>
      <c r="AV37" s="14" t="n">
        <f aca="false">AT37-AR37-AU37</f>
        <v>762384.864089174</v>
      </c>
      <c r="AW37" s="21" t="n">
        <f aca="false">(1+$B$16)^(-$A37/4)</f>
        <v>0.861321805976497</v>
      </c>
      <c r="AX37" s="14" t="n">
        <f aca="false">AV37*AW37</f>
        <v>656658.707986434</v>
      </c>
      <c r="AY37" s="14" t="n">
        <f aca="false">AV37</f>
        <v>762384.864089174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850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850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1836</v>
      </c>
      <c r="AL38" s="14" t="n">
        <f aca="false">IF($A38&lt;=$G$8,$E$8*$F$8/4,IF(AI38&gt;=$B$8+$B$9,AK38*$B$4*(1+$B$5)^(($G$8+$B$8+AJ38*($B$8+$B$10))/4)/4,0))</f>
        <v>139246.238392739</v>
      </c>
      <c r="AM38" s="14" t="n">
        <f aca="false">IF($A38&lt;=$G$8,$E$8*$F$8,IF(AI38&gt;=$B$8,AK38*$B$4*(1+$B$5)^(($G$8+$B$8+AJ38*($B$8+$B$10))/4),0))</f>
        <v>556984.953570954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823481.238392739</v>
      </c>
      <c r="AQ38" s="14" t="n">
        <f aca="false">G38+O38+W38+AE38+AM38</f>
        <v>3293924.95357095</v>
      </c>
      <c r="AR38" s="14" t="n">
        <f aca="false">H38+P38+X38+AF38+AN38+IF($A38=$B$15,$B$14,0)</f>
        <v>0</v>
      </c>
      <c r="AS38" s="21" t="n">
        <f aca="false">I38+Q38+Y38+AG38+AO38</f>
        <v>850</v>
      </c>
      <c r="AT38" s="14" t="n">
        <f aca="false">AP38*(1-$B$12)-AS38*$B$13/4</f>
        <v>762384.864089174</v>
      </c>
      <c r="AU38" s="14" t="n">
        <f aca="false">0</f>
        <v>0</v>
      </c>
      <c r="AV38" s="14" t="n">
        <f aca="false">AT38-AR38-AU38</f>
        <v>762384.864089174</v>
      </c>
      <c r="AW38" s="21" t="n">
        <f aca="false">(1+$B$16)^(-$A38/4)</f>
        <v>0.845397818117543</v>
      </c>
      <c r="AX38" s="14" t="n">
        <f aca="false">AV38*AW38</f>
        <v>644518.500666827</v>
      </c>
      <c r="AY38" s="14" t="n">
        <f aca="false">AV38</f>
        <v>762384.864089174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850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263687.034166068</v>
      </c>
      <c r="AF39" s="14" t="n">
        <f aca="false">IF($A39&lt;=$G$7,0,IF(AA39=0,AC39*$B$6*(1+$B$7)^(($G$7+AB39*($B$8+$B$10))/4),0)+IF(AA39=$B$8,$B$11*$B$4*(1+$B$5)^(($G$7+$B$8+AB39*($B$8+$B$10))/4)*AC39,0))</f>
        <v>31642.4440999281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1836</v>
      </c>
      <c r="AL39" s="14" t="n">
        <f aca="false">IF($A39&lt;=$G$8,$E$8*$F$8/4,IF(AI39&gt;=$B$8+$B$9,AK39*$B$4*(1+$B$5)^(($G$8+$B$8+AJ39*($B$8+$B$10))/4)/4,0))</f>
        <v>139246.238392739</v>
      </c>
      <c r="AM39" s="14" t="n">
        <f aca="false">IF($A39&lt;=$G$8,$E$8*$F$8,IF(AI39&gt;=$B$8,AK39*$B$4*(1+$B$5)^(($G$8+$B$8+AJ39*($B$8+$B$10))/4),0))</f>
        <v>556984.953570954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823481.238392739</v>
      </c>
      <c r="AQ39" s="14" t="n">
        <f aca="false">G39+O39+W39+AE39+AM39</f>
        <v>3557611.98773702</v>
      </c>
      <c r="AR39" s="14" t="n">
        <f aca="false">H39+P39+X39+AF39+AN39+IF($A39=$B$15,$B$14,0)</f>
        <v>31642.4440999281</v>
      </c>
      <c r="AS39" s="21" t="n">
        <f aca="false">I39+Q39+Y39+AG39+AO39</f>
        <v>0</v>
      </c>
      <c r="AT39" s="14" t="n">
        <f aca="false">AP39*(1-$B$12)-AS39*$B$13/4</f>
        <v>774072.364089174</v>
      </c>
      <c r="AU39" s="14" t="n">
        <f aca="false">0</f>
        <v>0</v>
      </c>
      <c r="AV39" s="14" t="n">
        <f aca="false">AT39-AR39-AU39</f>
        <v>742429.919989246</v>
      </c>
      <c r="AW39" s="21" t="n">
        <f aca="false">(1+$B$16)^(-$A39/4)</f>
        <v>0.829768230548437</v>
      </c>
      <c r="AX39" s="14" t="n">
        <f aca="false">AV39*AW39</f>
        <v>616044.761015695</v>
      </c>
      <c r="AY39" s="14" t="n">
        <f aca="false">AV39</f>
        <v>742429.919989246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3570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1594876.90795486</v>
      </c>
      <c r="I40" s="21" t="n">
        <f aca="false">IF($A40&lt;=$G$4,0,IF(C40&lt;$B$8,E40,0))</f>
        <v>3570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850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263687.034166068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1836</v>
      </c>
      <c r="AL40" s="14" t="n">
        <f aca="false">IF($A40&lt;=$G$8,$E$8*$F$8/4,IF(AI40&gt;=$B$8+$B$9,AK40*$B$4*(1+$B$5)^(($G$8+$B$8+AJ40*($B$8+$B$10))/4)/4,0))</f>
        <v>139246.238392739</v>
      </c>
      <c r="AM40" s="14" t="n">
        <f aca="false">IF($A40&lt;=$G$8,$E$8*$F$8,IF(AI40&gt;=$B$8,AK40*$B$4*(1+$B$5)^(($G$8+$B$8+AJ40*($B$8+$B$10))/4),0))</f>
        <v>556984.953570954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489581.238392739</v>
      </c>
      <c r="AQ40" s="14" t="n">
        <f aca="false">G40+O40+W40+AE40+AM40</f>
        <v>2222011.98773702</v>
      </c>
      <c r="AR40" s="14" t="n">
        <f aca="false">H40+P40+X40+AF40+AN40+IF($A40=$B$15,$B$14,0)</f>
        <v>1594876.90795486</v>
      </c>
      <c r="AS40" s="21" t="n">
        <f aca="false">I40+Q40+Y40+AG40+AO40</f>
        <v>3570</v>
      </c>
      <c r="AT40" s="14" t="n">
        <f aca="false">AP40*(1-$B$12)-AS40*$B$13/4</f>
        <v>411118.864089174</v>
      </c>
      <c r="AU40" s="14" t="n">
        <f aca="false">0</f>
        <v>0</v>
      </c>
      <c r="AV40" s="14" t="n">
        <f aca="false">AT40-AR40-AU40</f>
        <v>-1183758.04386569</v>
      </c>
      <c r="AW40" s="21" t="n">
        <f aca="false">(1+$B$16)^(-$A40/4)</f>
        <v>0.814427600440949</v>
      </c>
      <c r="AX40" s="14" t="n">
        <f aca="false">AV40*AW40</f>
        <v>-964085.223168203</v>
      </c>
      <c r="AY40" s="14" t="n">
        <f aca="false">AV40</f>
        <v>-1183758.04386569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3570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3570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850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263687.034166068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1836</v>
      </c>
      <c r="AL41" s="14" t="n">
        <f aca="false">IF($A41&lt;=$G$8,$E$8*$F$8/4,IF(AI41&gt;=$B$8+$B$9,AK41*$B$4*(1+$B$5)^(($G$8+$B$8+AJ41*($B$8+$B$10))/4)/4,0))</f>
        <v>139246.238392739</v>
      </c>
      <c r="AM41" s="14" t="n">
        <f aca="false">IF($A41&lt;=$G$8,$E$8*$F$8,IF(AI41&gt;=$B$8,AK41*$B$4*(1+$B$5)^(($G$8+$B$8+AJ41*($B$8+$B$10))/4),0))</f>
        <v>556984.953570954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489581.238392739</v>
      </c>
      <c r="AQ41" s="14" t="n">
        <f aca="false">G41+O41+W41+AE41+AM41</f>
        <v>2222011.98773702</v>
      </c>
      <c r="AR41" s="14" t="n">
        <f aca="false">H41+P41+X41+AF41+AN41+IF($A41=$B$15,$B$14,0)</f>
        <v>1900000</v>
      </c>
      <c r="AS41" s="21" t="n">
        <f aca="false">I41+Q41+Y41+AG41+AO41</f>
        <v>3570</v>
      </c>
      <c r="AT41" s="14" t="n">
        <f aca="false">AP41*(1-$B$12)-AS41*$B$13/4</f>
        <v>411118.864089174</v>
      </c>
      <c r="AU41" s="14" t="n">
        <f aca="false">0</f>
        <v>0</v>
      </c>
      <c r="AV41" s="14" t="n">
        <f aca="false">AT41-AR41-AU41</f>
        <v>-1488881.13591083</v>
      </c>
      <c r="AW41" s="21" t="n">
        <f aca="false">(1+$B$16)^(-$A41/4)</f>
        <v>0.799370585593037</v>
      </c>
      <c r="AX41" s="14" t="n">
        <f aca="false">AV41*AW41</f>
        <v>-1190167.78549146</v>
      </c>
      <c r="AY41" s="14" t="n">
        <f aca="false">AV41</f>
        <v>-1488881.13591083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3570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3570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850</v>
      </c>
      <c r="AD42" s="14" t="n">
        <f aca="false">IF($A42&lt;=$G$7,$E$7*$F$7/4,IF(AA42&gt;=$B$8+$B$9,AC42*$B$4*(1+$B$5)^(($G$7+$B$8+AB42*($B$8+$B$10))/4)/4,0))</f>
        <v>65921.758541517</v>
      </c>
      <c r="AE42" s="14" t="n">
        <f aca="false">IF($A42&lt;=$G$7,$E$7*$F$7,IF(AA42&gt;=$B$8,AC42*$B$4*(1+$B$5)^(($G$7+$B$8+AB42*($B$8+$B$10))/4),0))</f>
        <v>263687.034166068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1836</v>
      </c>
      <c r="AL42" s="14" t="n">
        <f aca="false">IF($A42&lt;=$G$8,$E$8*$F$8/4,IF(AI42&gt;=$B$8+$B$9,AK42*$B$4*(1+$B$5)^(($G$8+$B$8+AJ42*($B$8+$B$10))/4)/4,0))</f>
        <v>139246.238392739</v>
      </c>
      <c r="AM42" s="14" t="n">
        <f aca="false">IF($A42&lt;=$G$8,$E$8*$F$8,IF(AI42&gt;=$B$8,AK42*$B$4*(1+$B$5)^(($G$8+$B$8+AJ42*($B$8+$B$10))/4),0))</f>
        <v>556984.953570954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555502.996934256</v>
      </c>
      <c r="AQ42" s="14" t="n">
        <f aca="false">G42+O42+W42+AE42+AM42</f>
        <v>2222011.98773702</v>
      </c>
      <c r="AR42" s="14" t="n">
        <f aca="false">H42+P42+X42+AF42+AN42+IF($A42=$B$15,$B$14,0)</f>
        <v>0</v>
      </c>
      <c r="AS42" s="21" t="n">
        <f aca="false">I42+Q42+Y42+AG42+AO42</f>
        <v>3570</v>
      </c>
      <c r="AT42" s="14" t="n">
        <f aca="false">AP42*(1-$B$12)-AS42*$B$13/4</f>
        <v>473085.3171182</v>
      </c>
      <c r="AU42" s="14" t="n">
        <f aca="false">0</f>
        <v>0</v>
      </c>
      <c r="AV42" s="14" t="n">
        <f aca="false">AT42-AR42-AU42</f>
        <v>473085.3171182</v>
      </c>
      <c r="AW42" s="21" t="n">
        <f aca="false">(1+$B$16)^(-$A42/4)</f>
        <v>0.784591942568485</v>
      </c>
      <c r="AX42" s="14" t="n">
        <f aca="false">AV42*AW42</f>
        <v>371178.927958397</v>
      </c>
      <c r="AY42" s="14" t="n">
        <f aca="false">AV42</f>
        <v>473085.3171182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3570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1124097.82664995</v>
      </c>
      <c r="H43" s="14" t="n">
        <f aca="false">IF($A43&lt;=$G$4,0,IF(C43=0,E43*$B$6*(1+$B$7)^(($G$4+D43*($B$8+$B$10))/4),0)+IF(C43=$B$8,$B$11*$B$4*(1+$B$5)^(($G$4+$B$8+D43*($B$8+$B$10))/4)*E43,0))</f>
        <v>134891.739197994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850</v>
      </c>
      <c r="AD43" s="14" t="n">
        <f aca="false">IF($A43&lt;=$G$7,$E$7*$F$7/4,IF(AA43&gt;=$B$8+$B$9,AC43*$B$4*(1+$B$5)^(($G$7+$B$8+AB43*($B$8+$B$10))/4)/4,0))</f>
        <v>65921.758541517</v>
      </c>
      <c r="AE43" s="14" t="n">
        <f aca="false">IF($A43&lt;=$G$7,$E$7*$F$7,IF(AA43&gt;=$B$8,AC43*$B$4*(1+$B$5)^(($G$7+$B$8+AB43*($B$8+$B$10))/4),0))</f>
        <v>263687.034166068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1836</v>
      </c>
      <c r="AL43" s="14" t="n">
        <f aca="false">IF($A43&lt;=$G$8,$E$8*$F$8/4,IF(AI43&gt;=$B$8+$B$9,AK43*$B$4*(1+$B$5)^(($G$8+$B$8+AJ43*($B$8+$B$10))/4)/4,0))</f>
        <v>139246.238392739</v>
      </c>
      <c r="AM43" s="14" t="n">
        <f aca="false">IF($A43&lt;=$G$8,$E$8*$F$8,IF(AI43&gt;=$B$8,AK43*$B$4*(1+$B$5)^(($G$8+$B$8+AJ43*($B$8+$B$10))/4),0))</f>
        <v>556984.953570954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555502.996934256</v>
      </c>
      <c r="AQ43" s="14" t="n">
        <f aca="false">G43+O43+W43+AE43+AM43</f>
        <v>3346109.81438697</v>
      </c>
      <c r="AR43" s="14" t="n">
        <f aca="false">H43+P43+X43+AF43+AN43+IF($A43=$B$15,$B$14,0)</f>
        <v>134891.739197994</v>
      </c>
      <c r="AS43" s="21" t="n">
        <f aca="false">I43+Q43+Y43+AG43+AO43</f>
        <v>0</v>
      </c>
      <c r="AT43" s="14" t="n">
        <f aca="false">AP43*(1-$B$12)-AS43*$B$13/4</f>
        <v>522172.8171182</v>
      </c>
      <c r="AU43" s="14" t="n">
        <f aca="false">0</f>
        <v>0</v>
      </c>
      <c r="AV43" s="14" t="n">
        <f aca="false">AT43-AR43-AU43</f>
        <v>387281.077920207</v>
      </c>
      <c r="AW43" s="21" t="n">
        <f aca="false">(1+$B$16)^(-$A43/4)</f>
        <v>0.770086524870939</v>
      </c>
      <c r="AX43" s="14" t="n">
        <f aca="false">AV43*AW43</f>
        <v>298239.939443843</v>
      </c>
      <c r="AY43" s="14" t="n">
        <f aca="false">AV43</f>
        <v>387281.077920207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3570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1124097.82664995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850</v>
      </c>
      <c r="AD44" s="14" t="n">
        <f aca="false">IF($A44&lt;=$G$7,$E$7*$F$7/4,IF(AA44&gt;=$B$8+$B$9,AC44*$B$4*(1+$B$5)^(($G$7+$B$8+AB44*($B$8+$B$10))/4)/4,0))</f>
        <v>65921.758541517</v>
      </c>
      <c r="AE44" s="14" t="n">
        <f aca="false">IF($A44&lt;=$G$7,$E$7*$F$7,IF(AA44&gt;=$B$8,AC44*$B$4*(1+$B$5)^(($G$7+$B$8+AB44*($B$8+$B$10))/4),0))</f>
        <v>263687.034166068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1836</v>
      </c>
      <c r="AL44" s="14" t="n">
        <f aca="false">IF($A44&lt;=$G$8,$E$8*$F$8/4,IF(AI44&gt;=$B$8+$B$9,AK44*$B$4*(1+$B$5)^(($G$8+$B$8+AJ44*($B$8+$B$10))/4)/4,0))</f>
        <v>139246.238392739</v>
      </c>
      <c r="AM44" s="14" t="n">
        <f aca="false">IF($A44&lt;=$G$8,$E$8*$F$8,IF(AI44&gt;=$B$8,AK44*$B$4*(1+$B$5)^(($G$8+$B$8+AJ44*($B$8+$B$10))/4),0))</f>
        <v>556984.953570954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555502.996934256</v>
      </c>
      <c r="AQ44" s="14" t="n">
        <f aca="false">G44+O44+W44+AE44+AM44</f>
        <v>3346109.81438697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522172.8171182</v>
      </c>
      <c r="AU44" s="14" t="n">
        <f aca="false">0</f>
        <v>0</v>
      </c>
      <c r="AV44" s="14" t="n">
        <f aca="false">AT44-AR44-AU44</f>
        <v>522172.8171182</v>
      </c>
      <c r="AW44" s="21" t="n">
        <f aca="false">(1+$B$16)^(-$A44/4)</f>
        <v>0.755849281151693</v>
      </c>
      <c r="AX44" s="14" t="n">
        <f aca="false">AV44*AW44</f>
        <v>394683.948455746</v>
      </c>
      <c r="AY44" s="14" t="n">
        <f aca="false">AV44</f>
        <v>522172.8171182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3570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1124097.82664995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850</v>
      </c>
      <c r="AD45" s="14" t="n">
        <f aca="false">IF($A45&lt;=$G$7,$E$7*$F$7/4,IF(AA45&gt;=$B$8+$B$9,AC45*$B$4*(1+$B$5)^(($G$7+$B$8+AB45*($B$8+$B$10))/4)/4,0))</f>
        <v>65921.758541517</v>
      </c>
      <c r="AE45" s="14" t="n">
        <f aca="false">IF($A45&lt;=$G$7,$E$7*$F$7,IF(AA45&gt;=$B$8,AC45*$B$4*(1+$B$5)^(($G$7+$B$8+AB45*($B$8+$B$10))/4),0))</f>
        <v>263687.034166068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1836</v>
      </c>
      <c r="AL45" s="14" t="n">
        <f aca="false">IF($A45&lt;=$G$8,$E$8*$F$8/4,IF(AI45&gt;=$B$8+$B$9,AK45*$B$4*(1+$B$5)^(($G$8+$B$8+AJ45*($B$8+$B$10))/4)/4,0))</f>
        <v>139246.238392739</v>
      </c>
      <c r="AM45" s="14" t="n">
        <f aca="false">IF($A45&lt;=$G$8,$E$8*$F$8,IF(AI45&gt;=$B$8,AK45*$B$4*(1+$B$5)^(($G$8+$B$8+AJ45*($B$8+$B$10))/4),0))</f>
        <v>556984.953570954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555502.996934256</v>
      </c>
      <c r="AQ45" s="14" t="n">
        <f aca="false">G45+O45+W45+AE45+AM45</f>
        <v>3346109.81438697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522172.8171182</v>
      </c>
      <c r="AU45" s="14" t="n">
        <f aca="false">0</f>
        <v>0</v>
      </c>
      <c r="AV45" s="14" t="n">
        <f aca="false">AT45-AR45-AU45</f>
        <v>522172.8171182</v>
      </c>
      <c r="AW45" s="21" t="n">
        <f aca="false">(1+$B$16)^(-$A45/4)</f>
        <v>0.741875253450614</v>
      </c>
      <c r="AX45" s="14" t="n">
        <f aca="false">AV45*AW45</f>
        <v>387387.091044586</v>
      </c>
      <c r="AY45" s="14" t="n">
        <f aca="false">AV45</f>
        <v>522172.8171182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3570</v>
      </c>
      <c r="F46" s="14" t="n">
        <f aca="false">IF($A46&lt;=$G$4,$E$4*$F$4/4,IF(C46&gt;=$B$8+$B$9,E46*$B$4*(1+$B$5)^(($G$4+$B$8+D46*($B$8+$B$10))/4)/4,0))</f>
        <v>281024.456662487</v>
      </c>
      <c r="G46" s="14" t="n">
        <f aca="false">IF($A46&lt;=$G$4,$E$4*$F$4,IF(C46&gt;=$B$8,E46*$B$4*(1+$B$5)^(($G$4+$B$8+D46*($B$8+$B$10))/4),0))</f>
        <v>1124097.82664995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2635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1221589.72605469</v>
      </c>
      <c r="Q46" s="21" t="n">
        <f aca="false">IF($A46&lt;=$G$5,0,IF(K46&lt;$B$8,M46,0))</f>
        <v>2635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850</v>
      </c>
      <c r="AD46" s="14" t="n">
        <f aca="false">IF($A46&lt;=$G$7,$E$7*$F$7/4,IF(AA46&gt;=$B$8+$B$9,AC46*$B$4*(1+$B$5)^(($G$7+$B$8+AB46*($B$8+$B$10))/4)/4,0))</f>
        <v>65921.758541517</v>
      </c>
      <c r="AE46" s="14" t="n">
        <f aca="false">IF($A46&lt;=$G$7,$E$7*$F$7,IF(AA46&gt;=$B$8,AC46*$B$4*(1+$B$5)^(($G$7+$B$8+AB46*($B$8+$B$10))/4),0))</f>
        <v>263687.034166068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1836</v>
      </c>
      <c r="AL46" s="14" t="n">
        <f aca="false">IF($A46&lt;=$G$8,$E$8*$F$8/4,IF(AI46&gt;=$B$8+$B$9,AK46*$B$4*(1+$B$5)^(($G$8+$B$8+AJ46*($B$8+$B$10))/4)/4,0))</f>
        <v>139246.238392739</v>
      </c>
      <c r="AM46" s="14" t="n">
        <f aca="false">IF($A46&lt;=$G$8,$E$8*$F$8,IF(AI46&gt;=$B$8,AK46*$B$4*(1+$B$5)^(($G$8+$B$8+AJ46*($B$8+$B$10))/4),0))</f>
        <v>556984.953570954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600152.453596742</v>
      </c>
      <c r="AQ46" s="14" t="n">
        <f aca="false">G46+O46+W46+AE46+AM46</f>
        <v>2400609.81438697</v>
      </c>
      <c r="AR46" s="14" t="n">
        <f aca="false">H46+P46+X46+AF46+AN46+IF($A46=$B$15,$B$14,0)</f>
        <v>1221589.72605469</v>
      </c>
      <c r="AS46" s="21" t="n">
        <f aca="false">I46+Q46+Y46+AG46+AO46</f>
        <v>2635</v>
      </c>
      <c r="AT46" s="14" t="n">
        <f aca="false">AP46*(1-$B$12)-AS46*$B$13/4</f>
        <v>527912.056380938</v>
      </c>
      <c r="AU46" s="14" t="n">
        <f aca="false">0</f>
        <v>0</v>
      </c>
      <c r="AV46" s="14" t="n">
        <f aca="false">AT46-AR46-AU46</f>
        <v>-693677.669673749</v>
      </c>
      <c r="AW46" s="21" t="n">
        <f aca="false">(1+$B$16)^(-$A46/4)</f>
        <v>0.728159575469592</v>
      </c>
      <c r="AX46" s="14" t="n">
        <f aca="false">AV46*AW46</f>
        <v>-505108.037462373</v>
      </c>
      <c r="AY46" s="14" t="n">
        <f aca="false">AV46</f>
        <v>-693677.669673749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3570</v>
      </c>
      <c r="F47" s="14" t="n">
        <f aca="false">IF($A47&lt;=$G$4,$E$4*$F$4/4,IF(C47&gt;=$B$8+$B$9,E47*$B$4*(1+$B$5)^(($G$4+$B$8+D47*($B$8+$B$10))/4)/4,0))</f>
        <v>281024.456662487</v>
      </c>
      <c r="G47" s="14" t="n">
        <f aca="false">IF($A47&lt;=$G$4,$E$4*$F$4,IF(C47&gt;=$B$8,E47*$B$4*(1+$B$5)^(($G$4+$B$8+D47*($B$8+$B$10))/4),0))</f>
        <v>1124097.82664995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2635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2635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850</v>
      </c>
      <c r="AD47" s="14" t="n">
        <f aca="false">IF($A47&lt;=$G$7,$E$7*$F$7/4,IF(AA47&gt;=$B$8+$B$9,AC47*$B$4*(1+$B$5)^(($G$7+$B$8+AB47*($B$8+$B$10))/4)/4,0))</f>
        <v>65921.758541517</v>
      </c>
      <c r="AE47" s="14" t="n">
        <f aca="false">IF($A47&lt;=$G$7,$E$7*$F$7,IF(AA47&gt;=$B$8,AC47*$B$4*(1+$B$5)^(($G$7+$B$8+AB47*($B$8+$B$10))/4),0))</f>
        <v>263687.034166068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1836</v>
      </c>
      <c r="AL47" s="14" t="n">
        <f aca="false">IF($A47&lt;=$G$8,$E$8*$F$8/4,IF(AI47&gt;=$B$8+$B$9,AK47*$B$4*(1+$B$5)^(($G$8+$B$8+AJ47*($B$8+$B$10))/4)/4,0))</f>
        <v>139246.238392739</v>
      </c>
      <c r="AM47" s="14" t="n">
        <f aca="false">IF($A47&lt;=$G$8,$E$8*$F$8,IF(AI47&gt;=$B$8,AK47*$B$4*(1+$B$5)^(($G$8+$B$8+AJ47*($B$8+$B$10))/4),0))</f>
        <v>556984.953570954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600152.453596742</v>
      </c>
      <c r="AQ47" s="14" t="n">
        <f aca="false">G47+O47+W47+AE47+AM47</f>
        <v>2400609.81438697</v>
      </c>
      <c r="AR47" s="14" t="n">
        <f aca="false">H47+P47+X47+AF47+AN47+IF($A47=$B$15,$B$14,0)</f>
        <v>0</v>
      </c>
      <c r="AS47" s="21" t="n">
        <f aca="false">I47+Q47+Y47+AG47+AO47</f>
        <v>2635</v>
      </c>
      <c r="AT47" s="14" t="n">
        <f aca="false">AP47*(1-$B$12)-AS47*$B$13/4</f>
        <v>527912.056380938</v>
      </c>
      <c r="AU47" s="14" t="n">
        <f aca="false">0</f>
        <v>0</v>
      </c>
      <c r="AV47" s="14" t="n">
        <f aca="false">AT47-AR47-AU47</f>
        <v>527912.056380938</v>
      </c>
      <c r="AW47" s="21" t="n">
        <f aca="false">(1+$B$16)^(-$A47/4)</f>
        <v>0.714697470877902</v>
      </c>
      <c r="AX47" s="14" t="n">
        <f aca="false">AV47*AW47</f>
        <v>377297.411541409</v>
      </c>
      <c r="AY47" s="14" t="n">
        <f aca="false">AV47</f>
        <v>527912.056380938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3570</v>
      </c>
      <c r="F48" s="14" t="n">
        <f aca="false">IF($A48&lt;=$G$4,$E$4*$F$4/4,IF(C48&gt;=$B$8+$B$9,E48*$B$4*(1+$B$5)^(($G$4+$B$8+D48*($B$8+$B$10))/4)/4,0))</f>
        <v>281024.456662487</v>
      </c>
      <c r="G48" s="14" t="n">
        <f aca="false">IF($A48&lt;=$G$4,$E$4*$F$4,IF(C48&gt;=$B$8,E48*$B$4*(1+$B$5)^(($G$4+$B$8+D48*($B$8+$B$10))/4),0))</f>
        <v>1124097.82664995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2635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2635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850</v>
      </c>
      <c r="AD48" s="14" t="n">
        <f aca="false">IF($A48&lt;=$G$7,$E$7*$F$7/4,IF(AA48&gt;=$B$8+$B$9,AC48*$B$4*(1+$B$5)^(($G$7+$B$8+AB48*($B$8+$B$10))/4)/4,0))</f>
        <v>65921.758541517</v>
      </c>
      <c r="AE48" s="14" t="n">
        <f aca="false">IF($A48&lt;=$G$7,$E$7*$F$7,IF(AA48&gt;=$B$8,AC48*$B$4*(1+$B$5)^(($G$7+$B$8+AB48*($B$8+$B$10))/4),0))</f>
        <v>263687.034166068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1836</v>
      </c>
      <c r="AL48" s="14" t="n">
        <f aca="false">IF($A48&lt;=$G$8,$E$8*$F$8/4,IF(AI48&gt;=$B$8+$B$9,AK48*$B$4*(1+$B$5)^(($G$8+$B$8+AJ48*($B$8+$B$10))/4)/4,0))</f>
        <v>139246.238392739</v>
      </c>
      <c r="AM48" s="14" t="n">
        <f aca="false">IF($A48&lt;=$G$8,$E$8*$F$8,IF(AI48&gt;=$B$8,AK48*$B$4*(1+$B$5)^(($G$8+$B$8+AJ48*($B$8+$B$10))/4),0))</f>
        <v>556984.953570954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600152.453596742</v>
      </c>
      <c r="AQ48" s="14" t="n">
        <f aca="false">G48+O48+W48+AE48+AM48</f>
        <v>2400609.81438697</v>
      </c>
      <c r="AR48" s="14" t="n">
        <f aca="false">H48+P48+X48+AF48+AN48+IF($A48=$B$15,$B$14,0)</f>
        <v>0</v>
      </c>
      <c r="AS48" s="21" t="n">
        <f aca="false">I48+Q48+Y48+AG48+AO48</f>
        <v>2635</v>
      </c>
      <c r="AT48" s="14" t="n">
        <f aca="false">AP48*(1-$B$12)-AS48*$B$13/4</f>
        <v>527912.056380938</v>
      </c>
      <c r="AU48" s="14" t="n">
        <f aca="false">0</f>
        <v>0</v>
      </c>
      <c r="AV48" s="14" t="n">
        <f aca="false">AT48-AR48-AU48</f>
        <v>527912.056380938</v>
      </c>
      <c r="AW48" s="21" t="n">
        <f aca="false">(1+$B$16)^(-$A48/4)</f>
        <v>0.701484251648903</v>
      </c>
      <c r="AX48" s="14" t="n">
        <f aca="false">AV48*AW48</f>
        <v>370321.993806816</v>
      </c>
      <c r="AY48" s="14" t="n">
        <f aca="false">AV48</f>
        <v>527912.056380938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3570</v>
      </c>
      <c r="F49" s="14" t="n">
        <f aca="false">IF($A49&lt;=$G$4,$E$4*$F$4/4,IF(C49&gt;=$B$8+$B$9,E49*$B$4*(1+$B$5)^(($G$4+$B$8+D49*($B$8+$B$10))/4)/4,0))</f>
        <v>281024.456662487</v>
      </c>
      <c r="G49" s="14" t="n">
        <f aca="false">IF($A49&lt;=$G$4,$E$4*$F$4,IF(C49&gt;=$B$8,E49*$B$4*(1+$B$5)^(($G$4+$B$8+D49*($B$8+$B$10))/4),0))</f>
        <v>1124097.82664995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2635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848429.137359714</v>
      </c>
      <c r="P49" s="14" t="n">
        <f aca="false">IF($A49&lt;=$G$5,0,IF(K49=0,M49*$B$6*(1+$B$7)^(($G$5+L49*($B$8+$B$10))/4),0)+IF(K49=$B$8,$B$11*$B$4*(1+$B$5)^(($G$5+$B$8+L49*($B$8+$B$10))/4)*M49,0))</f>
        <v>101811.496483166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850</v>
      </c>
      <c r="AD49" s="14" t="n">
        <f aca="false">IF($A49&lt;=$G$7,$E$7*$F$7/4,IF(AA49&gt;=$B$8+$B$9,AC49*$B$4*(1+$B$5)^(($G$7+$B$8+AB49*($B$8+$B$10))/4)/4,0))</f>
        <v>65921.758541517</v>
      </c>
      <c r="AE49" s="14" t="n">
        <f aca="false">IF($A49&lt;=$G$7,$E$7*$F$7,IF(AA49&gt;=$B$8,AC49*$B$4*(1+$B$5)^(($G$7+$B$8+AB49*($B$8+$B$10))/4),0))</f>
        <v>263687.034166068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1836</v>
      </c>
      <c r="AL49" s="14" t="n">
        <f aca="false">IF($A49&lt;=$G$8,$E$8*$F$8/4,IF(AI49&gt;=$B$8+$B$9,AK49*$B$4*(1+$B$5)^(($G$8+$B$8+AJ49*($B$8+$B$10))/4)/4,0))</f>
        <v>139246.238392739</v>
      </c>
      <c r="AM49" s="14" t="n">
        <f aca="false">IF($A49&lt;=$G$8,$E$8*$F$8,IF(AI49&gt;=$B$8,AK49*$B$4*(1+$B$5)^(($G$8+$B$8+AJ49*($B$8+$B$10))/4),0))</f>
        <v>556984.953570954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600152.453596742</v>
      </c>
      <c r="AQ49" s="14" t="n">
        <f aca="false">G49+O49+W49+AE49+AM49</f>
        <v>3249038.95174668</v>
      </c>
      <c r="AR49" s="14" t="n">
        <f aca="false">H49+P49+X49+AF49+AN49+IF($A49=$B$15,$B$14,0)</f>
        <v>101811.496483166</v>
      </c>
      <c r="AS49" s="21" t="n">
        <f aca="false">I49+Q49+Y49+AG49+AO49</f>
        <v>0</v>
      </c>
      <c r="AT49" s="14" t="n">
        <f aca="false">AP49*(1-$B$12)-AS49*$B$13/4</f>
        <v>564143.306380938</v>
      </c>
      <c r="AU49" s="14" t="n">
        <f aca="false">0</f>
        <v>0</v>
      </c>
      <c r="AV49" s="14" t="n">
        <f aca="false">AT49-AR49-AU49</f>
        <v>462331.809897772</v>
      </c>
      <c r="AW49" s="21" t="n">
        <f aca="false">(1+$B$16)^(-$A49/4)</f>
        <v>0.688515316427484</v>
      </c>
      <c r="AX49" s="14" t="n">
        <f aca="false">AV49*AW49</f>
        <v>318322.532386256</v>
      </c>
      <c r="AY49" s="14" t="n">
        <f aca="false">AV49</f>
        <v>462331.809897772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3570</v>
      </c>
      <c r="F50" s="14" t="n">
        <f aca="false">IF($A50&lt;=$G$4,$E$4*$F$4/4,IF(C50&gt;=$B$8+$B$9,E50*$B$4*(1+$B$5)^(($G$4+$B$8+D50*($B$8+$B$10))/4)/4,0))</f>
        <v>281024.456662487</v>
      </c>
      <c r="G50" s="14" t="n">
        <f aca="false">IF($A50&lt;=$G$4,$E$4*$F$4,IF(C50&gt;=$B$8,E50*$B$4*(1+$B$5)^(($G$4+$B$8+D50*($B$8+$B$10))/4),0))</f>
        <v>1124097.82664995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2635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848429.137359714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850</v>
      </c>
      <c r="AD50" s="14" t="n">
        <f aca="false">IF($A50&lt;=$G$7,$E$7*$F$7/4,IF(AA50&gt;=$B$8+$B$9,AC50*$B$4*(1+$B$5)^(($G$7+$B$8+AB50*($B$8+$B$10))/4)/4,0))</f>
        <v>65921.758541517</v>
      </c>
      <c r="AE50" s="14" t="n">
        <f aca="false">IF($A50&lt;=$G$7,$E$7*$F$7,IF(AA50&gt;=$B$8,AC50*$B$4*(1+$B$5)^(($G$7+$B$8+AB50*($B$8+$B$10))/4),0))</f>
        <v>263687.034166068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1836</v>
      </c>
      <c r="AL50" s="14" t="n">
        <f aca="false">IF($A50&lt;=$G$8,$E$8*$F$8/4,IF(AI50&gt;=$B$8+$B$9,AK50*$B$4*(1+$B$5)^(($G$8+$B$8+AJ50*($B$8+$B$10))/4)/4,0))</f>
        <v>139246.238392739</v>
      </c>
      <c r="AM50" s="14" t="n">
        <f aca="false">IF($A50&lt;=$G$8,$E$8*$F$8,IF(AI50&gt;=$B$8,AK50*$B$4*(1+$B$5)^(($G$8+$B$8+AJ50*($B$8+$B$10))/4),0))</f>
        <v>556984.953570954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600152.453596742</v>
      </c>
      <c r="AQ50" s="14" t="n">
        <f aca="false">G50+O50+W50+AE50+AM50</f>
        <v>3249038.95174668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564143.306380938</v>
      </c>
      <c r="AU50" s="14" t="n">
        <f aca="false">0</f>
        <v>0</v>
      </c>
      <c r="AV50" s="14" t="n">
        <f aca="false">AT50-AR50-AU50</f>
        <v>564143.306380938</v>
      </c>
      <c r="AW50" s="21" t="n">
        <f aca="false">(1+$B$16)^(-$A50/4)</f>
        <v>0.675786148927696</v>
      </c>
      <c r="AX50" s="14" t="n">
        <f aca="false">AV50*AW50</f>
        <v>381240.232462511</v>
      </c>
      <c r="AY50" s="14" t="n">
        <f aca="false">AV50</f>
        <v>564143.306380938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3570</v>
      </c>
      <c r="F51" s="14" t="n">
        <f aca="false">IF($A51&lt;=$G$4,$E$4*$F$4/4,IF(C51&gt;=$B$8+$B$9,E51*$B$4*(1+$B$5)^(($G$4+$B$8+D51*($B$8+$B$10))/4)/4,0))</f>
        <v>281024.456662487</v>
      </c>
      <c r="G51" s="14" t="n">
        <f aca="false">IF($A51&lt;=$G$4,$E$4*$F$4,IF(C51&gt;=$B$8,E51*$B$4*(1+$B$5)^(($G$4+$B$8+D51*($B$8+$B$10))/4),0))</f>
        <v>1124097.82664995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2635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848429.137359714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850</v>
      </c>
      <c r="AD51" s="14" t="n">
        <f aca="false">IF($A51&lt;=$G$7,$E$7*$F$7/4,IF(AA51&gt;=$B$8+$B$9,AC51*$B$4*(1+$B$5)^(($G$7+$B$8+AB51*($B$8+$B$10))/4)/4,0))</f>
        <v>65921.758541517</v>
      </c>
      <c r="AE51" s="14" t="n">
        <f aca="false">IF($A51&lt;=$G$7,$E$7*$F$7,IF(AA51&gt;=$B$8,AC51*$B$4*(1+$B$5)^(($G$7+$B$8+AB51*($B$8+$B$10))/4),0))</f>
        <v>263687.034166068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1836</v>
      </c>
      <c r="AL51" s="14" t="n">
        <f aca="false">IF($A51&lt;=$G$8,$E$8*$F$8/4,IF(AI51&gt;=$B$8+$B$9,AK51*$B$4*(1+$B$5)^(($G$8+$B$8+AJ51*($B$8+$B$10))/4)/4,0))</f>
        <v>139246.238392739</v>
      </c>
      <c r="AM51" s="14" t="n">
        <f aca="false">IF($A51&lt;=$G$8,$E$8*$F$8,IF(AI51&gt;=$B$8,AK51*$B$4*(1+$B$5)^(($G$8+$B$8+AJ51*($B$8+$B$10))/4),0))</f>
        <v>556984.953570954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600152.453596742</v>
      </c>
      <c r="AQ51" s="14" t="n">
        <f aca="false">G51+O51+W51+AE51+AM51</f>
        <v>3249038.95174668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564143.306380938</v>
      </c>
      <c r="AU51" s="14" t="n">
        <f aca="false">0</f>
        <v>0</v>
      </c>
      <c r="AV51" s="14" t="n">
        <f aca="false">AT51-AR51-AU51</f>
        <v>564143.306380938</v>
      </c>
      <c r="AW51" s="21" t="n">
        <f aca="false">(1+$B$16)^(-$A51/4)</f>
        <v>0.663292316360002</v>
      </c>
      <c r="AX51" s="14" t="n">
        <f aca="false">AV51*AW51</f>
        <v>374191.920448402</v>
      </c>
      <c r="AY51" s="14" t="n">
        <f aca="false">AV51</f>
        <v>564143.306380938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3570</v>
      </c>
      <c r="F52" s="14" t="n">
        <f aca="false">IF($A52&lt;=$G$4,$E$4*$F$4/4,IF(C52&gt;=$B$8+$B$9,E52*$B$4*(1+$B$5)^(($G$4+$B$8+D52*($B$8+$B$10))/4)/4,0))</f>
        <v>281024.456662487</v>
      </c>
      <c r="G52" s="14" t="n">
        <f aca="false">IF($A52&lt;=$G$4,$E$4*$F$4,IF(C52&gt;=$B$8,E52*$B$4*(1+$B$5)^(($G$4+$B$8+D52*($B$8+$B$10))/4),0))</f>
        <v>1124097.82664995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2635</v>
      </c>
      <c r="N52" s="14" t="n">
        <f aca="false">IF($A52&lt;=$G$5,$E$5*$F$5/4,IF(K52&gt;=$B$8+$B$9,M52*$B$4*(1+$B$5)^(($G$5+$B$8+L52*($B$8+$B$10))/4)/4,0))</f>
        <v>212107.284339929</v>
      </c>
      <c r="O52" s="14" t="n">
        <f aca="false">IF($A52&lt;=$G$5,$E$5*$F$5,IF(K52&gt;=$B$8,M52*$B$4*(1+$B$5)^(($G$5+$B$8+L52*($B$8+$B$10))/4),0))</f>
        <v>848429.137359714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850</v>
      </c>
      <c r="AD52" s="14" t="n">
        <f aca="false">IF($A52&lt;=$G$7,$E$7*$F$7/4,IF(AA52&gt;=$B$8+$B$9,AC52*$B$4*(1+$B$5)^(($G$7+$B$8+AB52*($B$8+$B$10))/4)/4,0))</f>
        <v>65921.758541517</v>
      </c>
      <c r="AE52" s="14" t="n">
        <f aca="false">IF($A52&lt;=$G$7,$E$7*$F$7,IF(AA52&gt;=$B$8,AC52*$B$4*(1+$B$5)^(($G$7+$B$8+AB52*($B$8+$B$10))/4),0))</f>
        <v>263687.034166068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1836</v>
      </c>
      <c r="AL52" s="14" t="n">
        <f aca="false">IF($A52&lt;=$G$8,$E$8*$F$8/4,IF(AI52&gt;=$B$8+$B$9,AK52*$B$4*(1+$B$5)^(($G$8+$B$8+AJ52*($B$8+$B$10))/4)/4,0))</f>
        <v>139246.238392739</v>
      </c>
      <c r="AM52" s="14" t="n">
        <f aca="false">IF($A52&lt;=$G$8,$E$8*$F$8,IF(AI52&gt;=$B$8,AK52*$B$4*(1+$B$5)^(($G$8+$B$8+AJ52*($B$8+$B$10))/4),0))</f>
        <v>556984.953570954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812259.737936671</v>
      </c>
      <c r="AQ52" s="14" t="n">
        <f aca="false">G52+O52+W52+AE52+AM52</f>
        <v>3249038.95174668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763524.153660471</v>
      </c>
      <c r="AU52" s="14" t="n">
        <f aca="false">0</f>
        <v>0</v>
      </c>
      <c r="AV52" s="14" t="n">
        <f aca="false">AT52-AR52-AU52</f>
        <v>763524.153660471</v>
      </c>
      <c r="AW52" s="21" t="n">
        <f aca="false">(1+$B$16)^(-$A52/4)</f>
        <v>0.651029467887613</v>
      </c>
      <c r="AX52" s="14" t="n">
        <f aca="false">AV52*AW52</f>
        <v>497076.723476916</v>
      </c>
      <c r="AY52" s="14" t="n">
        <f aca="false">AV52</f>
        <v>763524.153660471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3570</v>
      </c>
      <c r="F53" s="14" t="n">
        <f aca="false">IF($A53&lt;=$G$4,$E$4*$F$4/4,IF(C53&gt;=$B$8+$B$9,E53*$B$4*(1+$B$5)^(($G$4+$B$8+D53*($B$8+$B$10))/4)/4,0))</f>
        <v>281024.456662487</v>
      </c>
      <c r="G53" s="14" t="n">
        <f aca="false">IF($A53&lt;=$G$4,$E$4*$F$4,IF(C53&gt;=$B$8,E53*$B$4*(1+$B$5)^(($G$4+$B$8+D53*($B$8+$B$10))/4),0))</f>
        <v>1124097.82664995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2635</v>
      </c>
      <c r="N53" s="14" t="n">
        <f aca="false">IF($A53&lt;=$G$5,$E$5*$F$5/4,IF(K53&gt;=$B$8+$B$9,M53*$B$4*(1+$B$5)^(($G$5+$B$8+L53*($B$8+$B$10))/4)/4,0))</f>
        <v>212107.284339929</v>
      </c>
      <c r="O53" s="14" t="n">
        <f aca="false">IF($A53&lt;=$G$5,$E$5*$F$5,IF(K53&gt;=$B$8,M53*$B$4*(1+$B$5)^(($G$5+$B$8+L53*($B$8+$B$10))/4),0))</f>
        <v>848429.137359714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850</v>
      </c>
      <c r="AD53" s="14" t="n">
        <f aca="false">IF($A53&lt;=$G$7,$E$7*$F$7/4,IF(AA53&gt;=$B$8+$B$9,AC53*$B$4*(1+$B$5)^(($G$7+$B$8+AB53*($B$8+$B$10))/4)/4,0))</f>
        <v>65921.758541517</v>
      </c>
      <c r="AE53" s="14" t="n">
        <f aca="false">IF($A53&lt;=$G$7,$E$7*$F$7,IF(AA53&gt;=$B$8,AC53*$B$4*(1+$B$5)^(($G$7+$B$8+AB53*($B$8+$B$10))/4),0))</f>
        <v>263687.034166068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1560.6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755445.465943767</v>
      </c>
      <c r="AO53" s="21" t="n">
        <f aca="false">IF($A53&lt;=$G$8,0,IF(AI53&lt;$B$8,AK53,0))</f>
        <v>1560.6</v>
      </c>
      <c r="AP53" s="14" t="n">
        <f aca="false">F53+N53+V53+AD53+AL53</f>
        <v>673013.499543932</v>
      </c>
      <c r="AQ53" s="14" t="n">
        <f aca="false">G53+O53+W53+AE53+AM53</f>
        <v>2692053.99817573</v>
      </c>
      <c r="AR53" s="14" t="n">
        <f aca="false">H53+P53+X53+AF53+AN53+IF($A53=$B$15,$B$14,0)</f>
        <v>755445.465943767</v>
      </c>
      <c r="AS53" s="21" t="n">
        <f aca="false">I53+Q53+Y53+AG53+AO53</f>
        <v>1560.6</v>
      </c>
      <c r="AT53" s="14" t="n">
        <f aca="false">AP53*(1-$B$12)-AS53*$B$13/4</f>
        <v>611174.439571296</v>
      </c>
      <c r="AU53" s="14" t="n">
        <f aca="false">0</f>
        <v>0</v>
      </c>
      <c r="AV53" s="14" t="n">
        <f aca="false">AT53-AR53-AU53</f>
        <v>-144271.02637247</v>
      </c>
      <c r="AW53" s="21" t="n">
        <f aca="false">(1+$B$16)^(-$A53/4)</f>
        <v>0.638993333111354</v>
      </c>
      <c r="AX53" s="14" t="n">
        <f aca="false">AV53*AW53</f>
        <v>-92188.2240131408</v>
      </c>
      <c r="AY53" s="14" t="n">
        <f aca="false">AV53</f>
        <v>-144271.02637247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3570</v>
      </c>
      <c r="F54" s="14" t="n">
        <f aca="false">IF($A54&lt;=$G$4,$E$4*$F$4/4,IF(C54&gt;=$B$8+$B$9,E54*$B$4*(1+$B$5)^(($G$4+$B$8+D54*($B$8+$B$10))/4)/4,0))</f>
        <v>281024.456662487</v>
      </c>
      <c r="G54" s="14" t="n">
        <f aca="false">IF($A54&lt;=$G$4,$E$4*$F$4,IF(C54&gt;=$B$8,E54*$B$4*(1+$B$5)^(($G$4+$B$8+D54*($B$8+$B$10))/4),0))</f>
        <v>1124097.82664995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2635</v>
      </c>
      <c r="N54" s="14" t="n">
        <f aca="false">IF($A54&lt;=$G$5,$E$5*$F$5/4,IF(K54&gt;=$B$8+$B$9,M54*$B$4*(1+$B$5)^(($G$5+$B$8+L54*($B$8+$B$10))/4)/4,0))</f>
        <v>212107.284339929</v>
      </c>
      <c r="O54" s="14" t="n">
        <f aca="false">IF($A54&lt;=$G$5,$E$5*$F$5,IF(K54&gt;=$B$8,M54*$B$4*(1+$B$5)^(($G$5+$B$8+L54*($B$8+$B$10))/4),0))</f>
        <v>848429.137359714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850</v>
      </c>
      <c r="AD54" s="14" t="n">
        <f aca="false">IF($A54&lt;=$G$7,$E$7*$F$7/4,IF(AA54&gt;=$B$8+$B$9,AC54*$B$4*(1+$B$5)^(($G$7+$B$8+AB54*($B$8+$B$10))/4)/4,0))</f>
        <v>65921.758541517</v>
      </c>
      <c r="AE54" s="14" t="n">
        <f aca="false">IF($A54&lt;=$G$7,$E$7*$F$7,IF(AA54&gt;=$B$8,AC54*$B$4*(1+$B$5)^(($G$7+$B$8+AB54*($B$8+$B$10))/4),0))</f>
        <v>263687.034166068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1560.6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1560.6</v>
      </c>
      <c r="AP54" s="14" t="n">
        <f aca="false">F54+N54+V54+AD54+AL54</f>
        <v>673013.499543932</v>
      </c>
      <c r="AQ54" s="14" t="n">
        <f aca="false">G54+O54+W54+AE54+AM54</f>
        <v>2692053.99817573</v>
      </c>
      <c r="AR54" s="14" t="n">
        <f aca="false">H54+P54+X54+AF54+AN54+IF($A54=$B$15,$B$14,0)</f>
        <v>0</v>
      </c>
      <c r="AS54" s="21" t="n">
        <f aca="false">I54+Q54+Y54+AG54+AO54</f>
        <v>1560.6</v>
      </c>
      <c r="AT54" s="14" t="n">
        <f aca="false">AP54*(1-$B$12)-AS54*$B$13/4</f>
        <v>611174.439571296</v>
      </c>
      <c r="AU54" s="14" t="n">
        <f aca="false">0</f>
        <v>0</v>
      </c>
      <c r="AV54" s="14" t="n">
        <f aca="false">AT54-AR54-AU54</f>
        <v>611174.439571296</v>
      </c>
      <c r="AW54" s="21" t="n">
        <f aca="false">(1+$B$16)^(-$A54/4)</f>
        <v>0.627179720582548</v>
      </c>
      <c r="AX54" s="14" t="n">
        <f aca="false">AV54*AW54</f>
        <v>383316.214237521</v>
      </c>
      <c r="AY54" s="14" t="n">
        <f aca="false">AV54</f>
        <v>611174.439571296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3570</v>
      </c>
      <c r="F55" s="14" t="n">
        <f aca="false">IF($A55&lt;=$G$4,$E$4*$F$4/4,IF(C55&gt;=$B$8+$B$9,E55*$B$4*(1+$B$5)^(($G$4+$B$8+D55*($B$8+$B$10))/4)/4,0))</f>
        <v>281024.456662487</v>
      </c>
      <c r="G55" s="14" t="n">
        <f aca="false">IF($A55&lt;=$G$4,$E$4*$F$4,IF(C55&gt;=$B$8,E55*$B$4*(1+$B$5)^(($G$4+$B$8+D55*($B$8+$B$10))/4),0))</f>
        <v>1124097.82664995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2635</v>
      </c>
      <c r="N55" s="14" t="n">
        <f aca="false">IF($A55&lt;=$G$5,$E$5*$F$5/4,IF(K55&gt;=$B$8+$B$9,M55*$B$4*(1+$B$5)^(($G$5+$B$8+L55*($B$8+$B$10))/4)/4,0))</f>
        <v>212107.284339929</v>
      </c>
      <c r="O55" s="14" t="n">
        <f aca="false">IF($A55&lt;=$G$5,$E$5*$F$5,IF(K55&gt;=$B$8,M55*$B$4*(1+$B$5)^(($G$5+$B$8+L55*($B$8+$B$10))/4),0))</f>
        <v>848429.137359714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850</v>
      </c>
      <c r="AD55" s="14" t="n">
        <f aca="false">IF($A55&lt;=$G$7,$E$7*$F$7/4,IF(AA55&gt;=$B$8+$B$9,AC55*$B$4*(1+$B$5)^(($G$7+$B$8+AB55*($B$8+$B$10))/4)/4,0))</f>
        <v>65921.758541517</v>
      </c>
      <c r="AE55" s="14" t="n">
        <f aca="false">IF($A55&lt;=$G$7,$E$7*$F$7,IF(AA55&gt;=$B$8,AC55*$B$4*(1+$B$5)^(($G$7+$B$8+AB55*($B$8+$B$10))/4),0))</f>
        <v>263687.034166068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1560.6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1560.6</v>
      </c>
      <c r="AP55" s="14" t="n">
        <f aca="false">F55+N55+V55+AD55+AL55</f>
        <v>673013.499543932</v>
      </c>
      <c r="AQ55" s="14" t="n">
        <f aca="false">G55+O55+W55+AE55+AM55</f>
        <v>2692053.99817573</v>
      </c>
      <c r="AR55" s="14" t="n">
        <f aca="false">H55+P55+X55+AF55+AN55+IF($A55=$B$15,$B$14,0)</f>
        <v>0</v>
      </c>
      <c r="AS55" s="21" t="n">
        <f aca="false">I55+Q55+Y55+AG55+AO55</f>
        <v>1560.6</v>
      </c>
      <c r="AT55" s="14" t="n">
        <f aca="false">AP55*(1-$B$12)-AS55*$B$13/4</f>
        <v>611174.439571296</v>
      </c>
      <c r="AU55" s="14" t="n">
        <f aca="false">0</f>
        <v>0</v>
      </c>
      <c r="AV55" s="14" t="n">
        <f aca="false">AT55-AR55-AU55</f>
        <v>611174.439571296</v>
      </c>
      <c r="AW55" s="21" t="n">
        <f aca="false">(1+$B$16)^(-$A55/4)</f>
        <v>0.615584516343389</v>
      </c>
      <c r="AX55" s="14" t="n">
        <f aca="false">AV55*AW55</f>
        <v>376229.521784938</v>
      </c>
      <c r="AY55" s="14" t="n">
        <f aca="false">AV55</f>
        <v>611174.439571296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3570</v>
      </c>
      <c r="F56" s="14" t="n">
        <f aca="false">IF($A56&lt;=$G$4,$E$4*$F$4/4,IF(C56&gt;=$B$8+$B$9,E56*$B$4*(1+$B$5)^(($G$4+$B$8+D56*($B$8+$B$10))/4)/4,0))</f>
        <v>281024.456662487</v>
      </c>
      <c r="G56" s="14" t="n">
        <f aca="false">IF($A56&lt;=$G$4,$E$4*$F$4,IF(C56&gt;=$B$8,E56*$B$4*(1+$B$5)^(($G$4+$B$8+D56*($B$8+$B$10))/4),0))</f>
        <v>1124097.82664995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2635</v>
      </c>
      <c r="N56" s="14" t="n">
        <f aca="false">IF($A56&lt;=$G$5,$E$5*$F$5/4,IF(K56&gt;=$B$8+$B$9,M56*$B$4*(1+$B$5)^(($G$5+$B$8+L56*($B$8+$B$10))/4)/4,0))</f>
        <v>212107.284339929</v>
      </c>
      <c r="O56" s="14" t="n">
        <f aca="false">IF($A56&lt;=$G$5,$E$5*$F$5,IF(K56&gt;=$B$8,M56*$B$4*(1+$B$5)^(($G$5+$B$8+L56*($B$8+$B$10))/4),0))</f>
        <v>848429.137359714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1309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645496.752985596</v>
      </c>
      <c r="Y56" s="21" t="n">
        <f aca="false">IF($A56&lt;=$G$6,0,IF(S56&lt;$B$8,U56,0))</f>
        <v>1309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850</v>
      </c>
      <c r="AD56" s="14" t="n">
        <f aca="false">IF($A56&lt;=$G$7,$E$7*$F$7/4,IF(AA56&gt;=$B$8+$B$9,AC56*$B$4*(1+$B$5)^(($G$7+$B$8+AB56*($B$8+$B$10))/4)/4,0))</f>
        <v>65921.758541517</v>
      </c>
      <c r="AE56" s="14" t="n">
        <f aca="false">IF($A56&lt;=$G$7,$E$7*$F$7,IF(AA56&gt;=$B$8,AC56*$B$4*(1+$B$5)^(($G$7+$B$8+AB56*($B$8+$B$10))/4),0))</f>
        <v>263687.034166068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1560.6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515753.438318014</v>
      </c>
      <c r="AN56" s="14" t="n">
        <f aca="false">IF($A56&lt;=$G$8,0,IF(AI56=0,AK56*$B$6*(1+$B$7)^(($G$8+AJ56*($B$8+$B$10))/4),0)+IF(AI56=$B$8,$B$11*$B$4*(1+$B$5)^(($G$8+$B$8+AJ56*($B$8+$B$10))/4)*AK56,0))</f>
        <v>61890.4125981617</v>
      </c>
      <c r="AO56" s="21" t="n">
        <f aca="false">IF($A56&lt;=$G$8,0,IF(AI56&lt;$B$8,AK56,0))</f>
        <v>0</v>
      </c>
      <c r="AP56" s="14" t="n">
        <f aca="false">F56+N56+V56+AD56+AL56</f>
        <v>559053.499543932</v>
      </c>
      <c r="AQ56" s="14" t="n">
        <f aca="false">G56+O56+W56+AE56+AM56</f>
        <v>2751967.43649374</v>
      </c>
      <c r="AR56" s="14" t="n">
        <f aca="false">H56+P56+X56+AF56+AN56+IF($A56=$B$15,$B$14,0)</f>
        <v>707387.165583758</v>
      </c>
      <c r="AS56" s="21" t="n">
        <f aca="false">I56+Q56+Y56+AG56+AO56</f>
        <v>1309</v>
      </c>
      <c r="AT56" s="14" t="n">
        <f aca="false">AP56*(1-$B$12)-AS56*$B$13/4</f>
        <v>507511.539571296</v>
      </c>
      <c r="AU56" s="14" t="n">
        <f aca="false">0</f>
        <v>0</v>
      </c>
      <c r="AV56" s="14" t="n">
        <f aca="false">AT56-AR56-AU56</f>
        <v>-199875.626012462</v>
      </c>
      <c r="AW56" s="21" t="n">
        <f aca="false">(1+$B$16)^(-$A56/4)</f>
        <v>0.604203682494304</v>
      </c>
      <c r="AX56" s="14" t="n">
        <f aca="false">AV56*AW56</f>
        <v>-120765.589277584</v>
      </c>
      <c r="AY56" s="14" t="n">
        <f aca="false">AV56</f>
        <v>-199875.626012462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3570</v>
      </c>
      <c r="F57" s="14" t="n">
        <f aca="false">IF($A57&lt;=$G$4,$E$4*$F$4/4,IF(C57&gt;=$B$8+$B$9,E57*$B$4*(1+$B$5)^(($G$4+$B$8+D57*($B$8+$B$10))/4)/4,0))</f>
        <v>281024.456662487</v>
      </c>
      <c r="G57" s="14" t="n">
        <f aca="false">IF($A57&lt;=$G$4,$E$4*$F$4,IF(C57&gt;=$B$8,E57*$B$4*(1+$B$5)^(($G$4+$B$8+D57*($B$8+$B$10))/4),0))</f>
        <v>1124097.82664995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2635</v>
      </c>
      <c r="N57" s="14" t="n">
        <f aca="false">IF($A57&lt;=$G$5,$E$5*$F$5/4,IF(K57&gt;=$B$8+$B$9,M57*$B$4*(1+$B$5)^(($G$5+$B$8+L57*($B$8+$B$10))/4)/4,0))</f>
        <v>212107.284339929</v>
      </c>
      <c r="O57" s="14" t="n">
        <f aca="false">IF($A57&lt;=$G$5,$E$5*$F$5,IF(K57&gt;=$B$8,M57*$B$4*(1+$B$5)^(($G$5+$B$8+L57*($B$8+$B$10))/4),0))</f>
        <v>848429.137359714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1309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1309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850</v>
      </c>
      <c r="AD57" s="14" t="n">
        <f aca="false">IF($A57&lt;=$G$7,$E$7*$F$7/4,IF(AA57&gt;=$B$8+$B$9,AC57*$B$4*(1+$B$5)^(($G$7+$B$8+AB57*($B$8+$B$10))/4)/4,0))</f>
        <v>65921.758541517</v>
      </c>
      <c r="AE57" s="14" t="n">
        <f aca="false">IF($A57&lt;=$G$7,$E$7*$F$7,IF(AA57&gt;=$B$8,AC57*$B$4*(1+$B$5)^(($G$7+$B$8+AB57*($B$8+$B$10))/4),0))</f>
        <v>263687.034166068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1560.6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515753.438318014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559053.499543932</v>
      </c>
      <c r="AQ57" s="14" t="n">
        <f aca="false">G57+O57+W57+AE57+AM57</f>
        <v>2751967.43649374</v>
      </c>
      <c r="AR57" s="14" t="n">
        <f aca="false">H57+P57+X57+AF57+AN57+IF($A57=$B$15,$B$14,0)</f>
        <v>0</v>
      </c>
      <c r="AS57" s="21" t="n">
        <f aca="false">I57+Q57+Y57+AG57+AO57</f>
        <v>1309</v>
      </c>
      <c r="AT57" s="14" t="n">
        <f aca="false">AP57*(1-$B$12)-AS57*$B$13/4</f>
        <v>507511.539571296</v>
      </c>
      <c r="AU57" s="14" t="n">
        <f aca="false">0</f>
        <v>0</v>
      </c>
      <c r="AV57" s="14" t="n">
        <f aca="false">AT57-AR57-AU57</f>
        <v>507511.539571296</v>
      </c>
      <c r="AW57" s="21" t="n">
        <f aca="false">(1+$B$16)^(-$A57/4)</f>
        <v>0.5930332557878</v>
      </c>
      <c r="AX57" s="14" t="n">
        <f aca="false">AV57*AW57</f>
        <v>300971.220661845</v>
      </c>
      <c r="AY57" s="14" t="n">
        <f aca="false">AV57</f>
        <v>507511.539571296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3570</v>
      </c>
      <c r="F58" s="14" t="n">
        <f aca="false">IF($A58&lt;=$G$4,$E$4*$F$4/4,IF(C58&gt;=$B$8+$B$9,E58*$B$4*(1+$B$5)^(($G$4+$B$8+D58*($B$8+$B$10))/4)/4,0))</f>
        <v>281024.456662487</v>
      </c>
      <c r="G58" s="14" t="n">
        <f aca="false">IF($A58&lt;=$G$4,$E$4*$F$4,IF(C58&gt;=$B$8,E58*$B$4*(1+$B$5)^(($G$4+$B$8+D58*($B$8+$B$10))/4),0))</f>
        <v>1124097.82664995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2635</v>
      </c>
      <c r="N58" s="14" t="n">
        <f aca="false">IF($A58&lt;=$G$5,$E$5*$F$5/4,IF(K58&gt;=$B$8+$B$9,M58*$B$4*(1+$B$5)^(($G$5+$B$8+L58*($B$8+$B$10))/4)/4,0))</f>
        <v>212107.284339929</v>
      </c>
      <c r="O58" s="14" t="n">
        <f aca="false">IF($A58&lt;=$G$5,$E$5*$F$5,IF(K58&gt;=$B$8,M58*$B$4*(1+$B$5)^(($G$5+$B$8+L58*($B$8+$B$10))/4),0))</f>
        <v>848429.137359714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1309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1309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850</v>
      </c>
      <c r="AD58" s="14" t="n">
        <f aca="false">IF($A58&lt;=$G$7,$E$7*$F$7/4,IF(AA58&gt;=$B$8+$B$9,AC58*$B$4*(1+$B$5)^(($G$7+$B$8+AB58*($B$8+$B$10))/4)/4,0))</f>
        <v>65921.758541517</v>
      </c>
      <c r="AE58" s="14" t="n">
        <f aca="false">IF($A58&lt;=$G$7,$E$7*$F$7,IF(AA58&gt;=$B$8,AC58*$B$4*(1+$B$5)^(($G$7+$B$8+AB58*($B$8+$B$10))/4),0))</f>
        <v>263687.034166068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1560.6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515753.438318014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559053.499543932</v>
      </c>
      <c r="AQ58" s="14" t="n">
        <f aca="false">G58+O58+W58+AE58+AM58</f>
        <v>2751967.43649374</v>
      </c>
      <c r="AR58" s="14" t="n">
        <f aca="false">H58+P58+X58+AF58+AN58+IF($A58=$B$15,$B$14,0)</f>
        <v>0</v>
      </c>
      <c r="AS58" s="21" t="n">
        <f aca="false">I58+Q58+Y58+AG58+AO58</f>
        <v>1309</v>
      </c>
      <c r="AT58" s="14" t="n">
        <f aca="false">AP58*(1-$B$12)-AS58*$B$13/4</f>
        <v>507511.539571296</v>
      </c>
      <c r="AU58" s="14" t="n">
        <f aca="false">0</f>
        <v>0</v>
      </c>
      <c r="AV58" s="14" t="n">
        <f aca="false">AT58-AR58-AU58</f>
        <v>507511.539571296</v>
      </c>
      <c r="AW58" s="21" t="n">
        <f aca="false">(1+$B$16)^(-$A58/4)</f>
        <v>0.582069346248305</v>
      </c>
      <c r="AX58" s="14" t="n">
        <f aca="false">AV58*AW58</f>
        <v>295406.910051735</v>
      </c>
      <c r="AY58" s="14" t="n">
        <f aca="false">AV58</f>
        <v>507511.539571296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3570</v>
      </c>
      <c r="F59" s="14" t="n">
        <f aca="false">IF($A59&lt;=$G$4,$E$4*$F$4/4,IF(C59&gt;=$B$8+$B$9,E59*$B$4*(1+$B$5)^(($G$4+$B$8+D59*($B$8+$B$10))/4)/4,0))</f>
        <v>281024.456662487</v>
      </c>
      <c r="G59" s="14" t="n">
        <f aca="false">IF($A59&lt;=$G$4,$E$4*$F$4,IF(C59&gt;=$B$8,E59*$B$4*(1+$B$5)^(($G$4+$B$8+D59*($B$8+$B$10))/4),0))</f>
        <v>1124097.82664995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2635</v>
      </c>
      <c r="N59" s="14" t="n">
        <f aca="false">IF($A59&lt;=$G$5,$E$5*$F$5/4,IF(K59&gt;=$B$8+$B$9,M59*$B$4*(1+$B$5)^(($G$5+$B$8+L59*($B$8+$B$10))/4)/4,0))</f>
        <v>212107.284339929</v>
      </c>
      <c r="O59" s="14" t="n">
        <f aca="false">IF($A59&lt;=$G$5,$E$5*$F$5,IF(K59&gt;=$B$8,M59*$B$4*(1+$B$5)^(($G$5+$B$8+L59*($B$8+$B$10))/4),0))</f>
        <v>848429.137359714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1309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437461.368865779</v>
      </c>
      <c r="X59" s="14" t="n">
        <f aca="false">IF($A59&lt;=$G$6,0,IF(S59=0,U59*$B$6*(1+$B$7)^(($G$6+T59*($B$8+$B$10))/4),0)+IF(S59=$B$8,$B$11*$B$4*(1+$B$5)^(($G$6+$B$8+T59*($B$8+$B$10))/4)*U59,0))</f>
        <v>52495.3642638935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722.5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362940.276638482</v>
      </c>
      <c r="AG59" s="21" t="n">
        <f aca="false">IF($A59&lt;=$G$7,0,IF(AA59&lt;$B$8,AC59,0))</f>
        <v>722.5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1560.6</v>
      </c>
      <c r="AL59" s="14" t="n">
        <f aca="false">IF($A59&lt;=$G$8,$E$8*$F$8/4,IF(AI59&gt;=$B$8+$B$9,AK59*$B$4*(1+$B$5)^(($G$8+$B$8+AJ59*($B$8+$B$10))/4)/4,0))</f>
        <v>128938.359579504</v>
      </c>
      <c r="AM59" s="14" t="n">
        <f aca="false">IF($A59&lt;=$G$8,$E$8*$F$8,IF(AI59&gt;=$B$8,AK59*$B$4*(1+$B$5)^(($G$8+$B$8+AJ59*($B$8+$B$10))/4),0))</f>
        <v>515753.438318014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622070.100581919</v>
      </c>
      <c r="AQ59" s="14" t="n">
        <f aca="false">G59+O59+W59+AE59+AM59</f>
        <v>2925741.77119345</v>
      </c>
      <c r="AR59" s="14" t="n">
        <f aca="false">H59+P59+X59+AF59+AN59+IF($A59=$B$15,$B$14,0)</f>
        <v>415435.640902376</v>
      </c>
      <c r="AS59" s="21" t="n">
        <f aca="false">I59+Q59+Y59+AG59+AO59</f>
        <v>722.5</v>
      </c>
      <c r="AT59" s="14" t="n">
        <f aca="false">AP59*(1-$B$12)-AS59*$B$13/4</f>
        <v>574811.519547004</v>
      </c>
      <c r="AU59" s="14" t="n">
        <f aca="false">0</f>
        <v>0</v>
      </c>
      <c r="AV59" s="14" t="n">
        <f aca="false">AT59-AR59-AU59</f>
        <v>159375.878644628</v>
      </c>
      <c r="AW59" s="21" t="n">
        <f aca="false">(1+$B$16)^(-$A59/4)</f>
        <v>0.571308135817531</v>
      </c>
      <c r="AX59" s="14" t="n">
        <f aca="false">AV59*AW59</f>
        <v>91052.7361227433</v>
      </c>
      <c r="AY59" s="14" t="n">
        <f aca="false">AV59</f>
        <v>159375.878644628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3570</v>
      </c>
      <c r="F60" s="14" t="n">
        <f aca="false">IF($A60&lt;=$G$4,$E$4*$F$4/4,IF(C60&gt;=$B$8+$B$9,E60*$B$4*(1+$B$5)^(($G$4+$B$8+D60*($B$8+$B$10))/4)/4,0))</f>
        <v>281024.456662487</v>
      </c>
      <c r="G60" s="14" t="n">
        <f aca="false">IF($A60&lt;=$G$4,$E$4*$F$4,IF(C60&gt;=$B$8,E60*$B$4*(1+$B$5)^(($G$4+$B$8+D60*($B$8+$B$10))/4),0))</f>
        <v>1124097.82664995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2635</v>
      </c>
      <c r="N60" s="14" t="n">
        <f aca="false">IF($A60&lt;=$G$5,$E$5*$F$5/4,IF(K60&gt;=$B$8+$B$9,M60*$B$4*(1+$B$5)^(($G$5+$B$8+L60*($B$8+$B$10))/4)/4,0))</f>
        <v>212107.284339929</v>
      </c>
      <c r="O60" s="14" t="n">
        <f aca="false">IF($A60&lt;=$G$5,$E$5*$F$5,IF(K60&gt;=$B$8,M60*$B$4*(1+$B$5)^(($G$5+$B$8+L60*($B$8+$B$10))/4),0))</f>
        <v>848429.137359714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1309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437461.368865779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722.5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722.5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1560.6</v>
      </c>
      <c r="AL60" s="14" t="n">
        <f aca="false">IF($A60&lt;=$G$8,$E$8*$F$8/4,IF(AI60&gt;=$B$8+$B$9,AK60*$B$4*(1+$B$5)^(($G$8+$B$8+AJ60*($B$8+$B$10))/4)/4,0))</f>
        <v>128938.359579504</v>
      </c>
      <c r="AM60" s="14" t="n">
        <f aca="false">IF($A60&lt;=$G$8,$E$8*$F$8,IF(AI60&gt;=$B$8,AK60*$B$4*(1+$B$5)^(($G$8+$B$8+AJ60*($B$8+$B$10))/4),0))</f>
        <v>515753.438318014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622070.100581919</v>
      </c>
      <c r="AQ60" s="14" t="n">
        <f aca="false">G60+O60+W60+AE60+AM60</f>
        <v>2925741.77119345</v>
      </c>
      <c r="AR60" s="14" t="n">
        <f aca="false">H60+P60+X60+AF60+AN60+IF($A60=$B$15,$B$14,0)</f>
        <v>0</v>
      </c>
      <c r="AS60" s="21" t="n">
        <f aca="false">I60+Q60+Y60+AG60+AO60</f>
        <v>722.5</v>
      </c>
      <c r="AT60" s="14" t="n">
        <f aca="false">AP60*(1-$B$12)-AS60*$B$13/4</f>
        <v>574811.519547004</v>
      </c>
      <c r="AU60" s="14" t="n">
        <f aca="false">0</f>
        <v>0</v>
      </c>
      <c r="AV60" s="14" t="n">
        <f aca="false">AT60-AR60-AU60</f>
        <v>574811.519547004</v>
      </c>
      <c r="AW60" s="21" t="n">
        <f aca="false">(1+$B$16)^(-$A60/4)</f>
        <v>0.560745877024877</v>
      </c>
      <c r="AX60" s="14" t="n">
        <f aca="false">AV60*AW60</f>
        <v>322323.189652387</v>
      </c>
      <c r="AY60" s="14" t="n">
        <f aca="false">AV60</f>
        <v>574811.519547004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3570</v>
      </c>
      <c r="F61" s="14" t="n">
        <f aca="false">IF($A61&lt;=$G$4,$E$4*$F$4/4,IF(C61&gt;=$B$8+$B$9,E61*$B$4*(1+$B$5)^(($G$4+$B$8+D61*($B$8+$B$10))/4)/4,0))</f>
        <v>281024.456662487</v>
      </c>
      <c r="G61" s="14" t="n">
        <f aca="false">IF($A61&lt;=$G$4,$E$4*$F$4,IF(C61&gt;=$B$8,E61*$B$4*(1+$B$5)^(($G$4+$B$8+D61*($B$8+$B$10))/4),0))</f>
        <v>1124097.82664995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2635</v>
      </c>
      <c r="N61" s="14" t="n">
        <f aca="false">IF($A61&lt;=$G$5,$E$5*$F$5/4,IF(K61&gt;=$B$8+$B$9,M61*$B$4*(1+$B$5)^(($G$5+$B$8+L61*($B$8+$B$10))/4)/4,0))</f>
        <v>212107.284339929</v>
      </c>
      <c r="O61" s="14" t="n">
        <f aca="false">IF($A61&lt;=$G$5,$E$5*$F$5,IF(K61&gt;=$B$8,M61*$B$4*(1+$B$5)^(($G$5+$B$8+L61*($B$8+$B$10))/4),0))</f>
        <v>848429.137359714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1309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437461.368865779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722.5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722.5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1560.6</v>
      </c>
      <c r="AL61" s="14" t="n">
        <f aca="false">IF($A61&lt;=$G$8,$E$8*$F$8/4,IF(AI61&gt;=$B$8+$B$9,AK61*$B$4*(1+$B$5)^(($G$8+$B$8+AJ61*($B$8+$B$10))/4)/4,0))</f>
        <v>128938.359579504</v>
      </c>
      <c r="AM61" s="14" t="n">
        <f aca="false">IF($A61&lt;=$G$8,$E$8*$F$8,IF(AI61&gt;=$B$8,AK61*$B$4*(1+$B$5)^(($G$8+$B$8+AJ61*($B$8+$B$10))/4),0))</f>
        <v>515753.438318014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622070.100581919</v>
      </c>
      <c r="AQ61" s="14" t="n">
        <f aca="false">G61+O61+W61+AE61+AM61</f>
        <v>2925741.77119345</v>
      </c>
      <c r="AR61" s="14" t="n">
        <f aca="false">H61+P61+X61+AF61+AN61+IF($A61=$B$15,$B$14,0)</f>
        <v>0</v>
      </c>
      <c r="AS61" s="21" t="n">
        <f aca="false">I61+Q61+Y61+AG61+AO61</f>
        <v>722.5</v>
      </c>
      <c r="AT61" s="14" t="n">
        <f aca="false">AP61*(1-$B$12)-AS61*$B$13/4</f>
        <v>574811.519547004</v>
      </c>
      <c r="AU61" s="14" t="n">
        <f aca="false">0</f>
        <v>0</v>
      </c>
      <c r="AV61" s="14" t="n">
        <f aca="false">AT61-AR61-AU61</f>
        <v>574811.519547004</v>
      </c>
      <c r="AW61" s="21" t="n">
        <f aca="false">(1+$B$16)^(-$A61/4)</f>
        <v>0.550378891682413</v>
      </c>
      <c r="AX61" s="14" t="n">
        <f aca="false">AV61*AW61</f>
        <v>316364.127054564</v>
      </c>
      <c r="AY61" s="14" t="n">
        <f aca="false">AV61</f>
        <v>574811.519547004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3570</v>
      </c>
      <c r="F62" s="14" t="n">
        <f aca="false">IF($A62&lt;=$G$4,$E$4*$F$4/4,IF(C62&gt;=$B$8+$B$9,E62*$B$4*(1+$B$5)^(($G$4+$B$8+D62*($B$8+$B$10))/4)/4,0))</f>
        <v>281024.456662487</v>
      </c>
      <c r="G62" s="14" t="n">
        <f aca="false">IF($A62&lt;=$G$4,$E$4*$F$4,IF(C62&gt;=$B$8,E62*$B$4*(1+$B$5)^(($G$4+$B$8+D62*($B$8+$B$10))/4),0))</f>
        <v>1124097.82664995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2635</v>
      </c>
      <c r="N62" s="14" t="n">
        <f aca="false">IF($A62&lt;=$G$5,$E$5*$F$5/4,IF(K62&gt;=$B$8+$B$9,M62*$B$4*(1+$B$5)^(($G$5+$B$8+L62*($B$8+$B$10))/4)/4,0))</f>
        <v>212107.284339929</v>
      </c>
      <c r="O62" s="14" t="n">
        <f aca="false">IF($A62&lt;=$G$5,$E$5*$F$5,IF(K62&gt;=$B$8,M62*$B$4*(1+$B$5)^(($G$5+$B$8+L62*($B$8+$B$10))/4),0))</f>
        <v>848429.137359714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1309</v>
      </c>
      <c r="V62" s="14" t="n">
        <f aca="false">IF($A62&lt;=$G$6,$E$6*$F$6/4,IF(S62&gt;=$B$8+$B$9,U62*$B$4*(1+$B$5)^(($G$6+$B$8+T62*($B$8+$B$10))/4)/4,0))</f>
        <v>109365.342216445</v>
      </c>
      <c r="W62" s="14" t="n">
        <f aca="false">IF($A62&lt;=$G$6,$E$6*$F$6,IF(S62&gt;=$B$8,U62*$B$4*(1+$B$5)^(($G$6+$B$8+T62*($B$8+$B$10))/4),0))</f>
        <v>437461.368865779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722.5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244167.268144533</v>
      </c>
      <c r="AF62" s="14" t="n">
        <f aca="false">IF($A62&lt;=$G$7,0,IF(AA62=0,AC62*$B$6*(1+$B$7)^(($G$7+AB62*($B$8+$B$10))/4),0)+IF(AA62=$B$8,$B$11*$B$4*(1+$B$5)^(($G$7+$B$8+AB62*($B$8+$B$10))/4)*AC62,0))</f>
        <v>29300.0721773439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1560.6</v>
      </c>
      <c r="AL62" s="14" t="n">
        <f aca="false">IF($A62&lt;=$G$8,$E$8*$F$8/4,IF(AI62&gt;=$B$8+$B$9,AK62*$B$4*(1+$B$5)^(($G$8+$B$8+AJ62*($B$8+$B$10))/4)/4,0))</f>
        <v>128938.359579504</v>
      </c>
      <c r="AM62" s="14" t="n">
        <f aca="false">IF($A62&lt;=$G$8,$E$8*$F$8,IF(AI62&gt;=$B$8,AK62*$B$4*(1+$B$5)^(($G$8+$B$8+AJ62*($B$8+$B$10))/4),0))</f>
        <v>515753.438318014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731435.442798364</v>
      </c>
      <c r="AQ62" s="14" t="n">
        <f aca="false">G62+O62+W62+AE62+AM62</f>
        <v>3169909.03933799</v>
      </c>
      <c r="AR62" s="14" t="n">
        <f aca="false">H62+P62+X62+AF62+AN62+IF($A62=$B$15,$B$14,0)</f>
        <v>29300.0721773439</v>
      </c>
      <c r="AS62" s="21" t="n">
        <f aca="false">I62+Q62+Y62+AG62+AO62</f>
        <v>0</v>
      </c>
      <c r="AT62" s="14" t="n">
        <f aca="false">AP62*(1-$B$12)-AS62*$B$13/4</f>
        <v>687549.316230462</v>
      </c>
      <c r="AU62" s="14" t="n">
        <f aca="false">0</f>
        <v>0</v>
      </c>
      <c r="AV62" s="14" t="n">
        <f aca="false">AT62-AR62-AU62</f>
        <v>658249.244053118</v>
      </c>
      <c r="AW62" s="21" t="n">
        <f aca="false">(1+$B$16)^(-$A62/4)</f>
        <v>0.540203569603995</v>
      </c>
      <c r="AX62" s="14" t="n">
        <f aca="false">AV62*AW62</f>
        <v>355588.591326626</v>
      </c>
      <c r="AY62" s="14" t="n">
        <f aca="false">AV62</f>
        <v>658249.244053118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3034.5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1562457.89092867</v>
      </c>
      <c r="I63" s="21" t="n">
        <f aca="false">IF($A63&lt;=$G$4,0,IF(C63&lt;$B$8,E63,0))</f>
        <v>3034.5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2635</v>
      </c>
      <c r="N63" s="14" t="n">
        <f aca="false">IF($A63&lt;=$G$5,$E$5*$F$5/4,IF(K63&gt;=$B$8+$B$9,M63*$B$4*(1+$B$5)^(($G$5+$B$8+L63*($B$8+$B$10))/4)/4,0))</f>
        <v>212107.284339929</v>
      </c>
      <c r="O63" s="14" t="n">
        <f aca="false">IF($A63&lt;=$G$5,$E$5*$F$5,IF(K63&gt;=$B$8,M63*$B$4*(1+$B$5)^(($G$5+$B$8+L63*($B$8+$B$10))/4),0))</f>
        <v>848429.137359714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1309</v>
      </c>
      <c r="V63" s="14" t="n">
        <f aca="false">IF($A63&lt;=$G$6,$E$6*$F$6/4,IF(S63&gt;=$B$8+$B$9,U63*$B$4*(1+$B$5)^(($G$6+$B$8+T63*($B$8+$B$10))/4)/4,0))</f>
        <v>109365.342216445</v>
      </c>
      <c r="W63" s="14" t="n">
        <f aca="false">IF($A63&lt;=$G$6,$E$6*$F$6,IF(S63&gt;=$B$8,U63*$B$4*(1+$B$5)^(($G$6+$B$8+T63*($B$8+$B$10))/4),0))</f>
        <v>437461.368865779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722.5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244167.268144533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1560.6</v>
      </c>
      <c r="AL63" s="14" t="n">
        <f aca="false">IF($A63&lt;=$G$8,$E$8*$F$8/4,IF(AI63&gt;=$B$8+$B$9,AK63*$B$4*(1+$B$5)^(($G$8+$B$8+AJ63*($B$8+$B$10))/4)/4,0))</f>
        <v>128938.359579504</v>
      </c>
      <c r="AM63" s="14" t="n">
        <f aca="false">IF($A63&lt;=$G$8,$E$8*$F$8,IF(AI63&gt;=$B$8,AK63*$B$4*(1+$B$5)^(($G$8+$B$8+AJ63*($B$8+$B$10))/4),0))</f>
        <v>515753.438318014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450410.986135877</v>
      </c>
      <c r="AQ63" s="14" t="n">
        <f aca="false">G63+O63+W63+AE63+AM63</f>
        <v>2045811.21268804</v>
      </c>
      <c r="AR63" s="14" t="n">
        <f aca="false">H63+P63+X63+AF63+AN63+IF($A63=$B$15,$B$14,0)</f>
        <v>1562457.89092867</v>
      </c>
      <c r="AS63" s="21" t="n">
        <f aca="false">I63+Q63+Y63+AG63+AO63</f>
        <v>3034.5</v>
      </c>
      <c r="AT63" s="14" t="n">
        <f aca="false">AP63*(1-$B$12)-AS63*$B$13/4</f>
        <v>381661.951967724</v>
      </c>
      <c r="AU63" s="14" t="n">
        <f aca="false">0</f>
        <v>0</v>
      </c>
      <c r="AV63" s="14" t="n">
        <f aca="false">AT63-AR63-AU63</f>
        <v>-1180795.93896094</v>
      </c>
      <c r="AW63" s="21" t="n">
        <f aca="false">(1+$B$16)^(-$A63/4)</f>
        <v>0.530216367348056</v>
      </c>
      <c r="AX63" s="14" t="n">
        <f aca="false">AV63*AW63</f>
        <v>-626077.333335208</v>
      </c>
      <c r="AY63" s="14" t="n">
        <f aca="false">AV63</f>
        <v>-1180795.93896094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3034.5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3034.5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2635</v>
      </c>
      <c r="N64" s="14" t="n">
        <f aca="false">IF($A64&lt;=$G$5,$E$5*$F$5/4,IF(K64&gt;=$B$8+$B$9,M64*$B$4*(1+$B$5)^(($G$5+$B$8+L64*($B$8+$B$10))/4)/4,0))</f>
        <v>212107.284339929</v>
      </c>
      <c r="O64" s="14" t="n">
        <f aca="false">IF($A64&lt;=$G$5,$E$5*$F$5,IF(K64&gt;=$B$8,M64*$B$4*(1+$B$5)^(($G$5+$B$8+L64*($B$8+$B$10))/4),0))</f>
        <v>848429.137359714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1309</v>
      </c>
      <c r="V64" s="14" t="n">
        <f aca="false">IF($A64&lt;=$G$6,$E$6*$F$6/4,IF(S64&gt;=$B$8+$B$9,U64*$B$4*(1+$B$5)^(($G$6+$B$8+T64*($B$8+$B$10))/4)/4,0))</f>
        <v>109365.342216445</v>
      </c>
      <c r="W64" s="14" t="n">
        <f aca="false">IF($A64&lt;=$G$6,$E$6*$F$6,IF(S64&gt;=$B$8,U64*$B$4*(1+$B$5)^(($G$6+$B$8+T64*($B$8+$B$10))/4),0))</f>
        <v>437461.368865779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722.5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244167.268144533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1560.6</v>
      </c>
      <c r="AL64" s="14" t="n">
        <f aca="false">IF($A64&lt;=$G$8,$E$8*$F$8/4,IF(AI64&gt;=$B$8+$B$9,AK64*$B$4*(1+$B$5)^(($G$8+$B$8+AJ64*($B$8+$B$10))/4)/4,0))</f>
        <v>128938.359579504</v>
      </c>
      <c r="AM64" s="14" t="n">
        <f aca="false">IF($A64&lt;=$G$8,$E$8*$F$8,IF(AI64&gt;=$B$8,AK64*$B$4*(1+$B$5)^(($G$8+$B$8+AJ64*($B$8+$B$10))/4),0))</f>
        <v>515753.438318014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450410.986135877</v>
      </c>
      <c r="AQ64" s="14" t="n">
        <f aca="false">G64+O64+W64+AE64+AM64</f>
        <v>2045811.21268804</v>
      </c>
      <c r="AR64" s="14" t="n">
        <f aca="false">H64+P64+X64+AF64+AN64+IF($A64=$B$15,$B$14,0)</f>
        <v>0</v>
      </c>
      <c r="AS64" s="21" t="n">
        <f aca="false">I64+Q64+Y64+AG64+AO64</f>
        <v>3034.5</v>
      </c>
      <c r="AT64" s="14" t="n">
        <f aca="false">AP64*(1-$B$12)-AS64*$B$13/4</f>
        <v>381661.951967724</v>
      </c>
      <c r="AU64" s="14" t="n">
        <f aca="false">0</f>
        <v>0</v>
      </c>
      <c r="AV64" s="14" t="n">
        <f aca="false">AT64-AR64-AU64</f>
        <v>381661.951967724</v>
      </c>
      <c r="AW64" s="21" t="n">
        <f aca="false">(1+$B$16)^(-$A64/4)</f>
        <v>0.520413806983644</v>
      </c>
      <c r="AX64" s="14" t="n">
        <f aca="false">AV64*AW64</f>
        <v>198622.149404332</v>
      </c>
      <c r="AY64" s="14" t="n">
        <f aca="false">AV64</f>
        <v>381661.951967724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3034.5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3034.5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2635</v>
      </c>
      <c r="N65" s="14" t="n">
        <f aca="false">IF($A65&lt;=$G$5,$E$5*$F$5/4,IF(K65&gt;=$B$8+$B$9,M65*$B$4*(1+$B$5)^(($G$5+$B$8+L65*($B$8+$B$10))/4)/4,0))</f>
        <v>212107.284339929</v>
      </c>
      <c r="O65" s="14" t="n">
        <f aca="false">IF($A65&lt;=$G$5,$E$5*$F$5,IF(K65&gt;=$B$8,M65*$B$4*(1+$B$5)^(($G$5+$B$8+L65*($B$8+$B$10))/4),0))</f>
        <v>848429.137359714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1309</v>
      </c>
      <c r="V65" s="14" t="n">
        <f aca="false">IF($A65&lt;=$G$6,$E$6*$F$6/4,IF(S65&gt;=$B$8+$B$9,U65*$B$4*(1+$B$5)^(($G$6+$B$8+T65*($B$8+$B$10))/4)/4,0))</f>
        <v>109365.342216445</v>
      </c>
      <c r="W65" s="14" t="n">
        <f aca="false">IF($A65&lt;=$G$6,$E$6*$F$6,IF(S65&gt;=$B$8,U65*$B$4*(1+$B$5)^(($G$6+$B$8+T65*($B$8+$B$10))/4),0))</f>
        <v>437461.368865779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722.5</v>
      </c>
      <c r="AD65" s="14" t="n">
        <f aca="false">IF($A65&lt;=$G$7,$E$7*$F$7/4,IF(AA65&gt;=$B$8+$B$9,AC65*$B$4*(1+$B$5)^(($G$7+$B$8+AB65*($B$8+$B$10))/4)/4,0))</f>
        <v>61041.8170361331</v>
      </c>
      <c r="AE65" s="14" t="n">
        <f aca="false">IF($A65&lt;=$G$7,$E$7*$F$7,IF(AA65&gt;=$B$8,AC65*$B$4*(1+$B$5)^(($G$7+$B$8+AB65*($B$8+$B$10))/4),0))</f>
        <v>244167.268144533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1560.6</v>
      </c>
      <c r="AL65" s="14" t="n">
        <f aca="false">IF($A65&lt;=$G$8,$E$8*$F$8/4,IF(AI65&gt;=$B$8+$B$9,AK65*$B$4*(1+$B$5)^(($G$8+$B$8+AJ65*($B$8+$B$10))/4)/4,0))</f>
        <v>128938.359579504</v>
      </c>
      <c r="AM65" s="14" t="n">
        <f aca="false">IF($A65&lt;=$G$8,$E$8*$F$8,IF(AI65&gt;=$B$8,AK65*$B$4*(1+$B$5)^(($G$8+$B$8+AJ65*($B$8+$B$10))/4),0))</f>
        <v>515753.438318014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511452.80317201</v>
      </c>
      <c r="AQ65" s="14" t="n">
        <f aca="false">G65+O65+W65+AE65+AM65</f>
        <v>2045811.21268804</v>
      </c>
      <c r="AR65" s="14" t="n">
        <f aca="false">H65+P65+X65+AF65+AN65+IF($A65=$B$15,$B$14,0)</f>
        <v>0</v>
      </c>
      <c r="AS65" s="21" t="n">
        <f aca="false">I65+Q65+Y65+AG65+AO65</f>
        <v>3034.5</v>
      </c>
      <c r="AT65" s="14" t="n">
        <f aca="false">AP65*(1-$B$12)-AS65*$B$13/4</f>
        <v>439041.259981689</v>
      </c>
      <c r="AU65" s="14" t="n">
        <f aca="false">0</f>
        <v>0</v>
      </c>
      <c r="AV65" s="14" t="n">
        <f aca="false">AT65-AR65-AU65</f>
        <v>439041.259981689</v>
      </c>
      <c r="AW65" s="21" t="n">
        <f aca="false">(1+$B$16)^(-$A65/4)</f>
        <v>0.51079247487927</v>
      </c>
      <c r="AX65" s="14" t="n">
        <f aca="false">AV65*AW65</f>
        <v>224258.97176016</v>
      </c>
      <c r="AY65" s="14" t="n">
        <f aca="false">AV65</f>
        <v>439041.259981689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3034.5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1040885.06410014</v>
      </c>
      <c r="H66" s="14" t="n">
        <f aca="false">IF($A66&lt;=$G$4,0,IF(C66=0,E66*$B$6*(1+$B$7)^(($G$4+D66*($B$8+$B$10))/4),0)+IF(C66=$B$8,$B$11*$B$4*(1+$B$5)^(($G$4+$B$8+D66*($B$8+$B$10))/4)*E66,0))</f>
        <v>124906.207692017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2635</v>
      </c>
      <c r="N66" s="14" t="n">
        <f aca="false">IF($A66&lt;=$G$5,$E$5*$F$5/4,IF(K66&gt;=$B$8+$B$9,M66*$B$4*(1+$B$5)^(($G$5+$B$8+L66*($B$8+$B$10))/4)/4,0))</f>
        <v>212107.284339929</v>
      </c>
      <c r="O66" s="14" t="n">
        <f aca="false">IF($A66&lt;=$G$5,$E$5*$F$5,IF(K66&gt;=$B$8,M66*$B$4*(1+$B$5)^(($G$5+$B$8+L66*($B$8+$B$10))/4),0))</f>
        <v>848429.137359714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1309</v>
      </c>
      <c r="V66" s="14" t="n">
        <f aca="false">IF($A66&lt;=$G$6,$E$6*$F$6/4,IF(S66&gt;=$B$8+$B$9,U66*$B$4*(1+$B$5)^(($G$6+$B$8+T66*($B$8+$B$10))/4)/4,0))</f>
        <v>109365.342216445</v>
      </c>
      <c r="W66" s="14" t="n">
        <f aca="false">IF($A66&lt;=$G$6,$E$6*$F$6,IF(S66&gt;=$B$8,U66*$B$4*(1+$B$5)^(($G$6+$B$8+T66*($B$8+$B$10))/4),0))</f>
        <v>437461.368865779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722.5</v>
      </c>
      <c r="AD66" s="14" t="n">
        <f aca="false">IF($A66&lt;=$G$7,$E$7*$F$7/4,IF(AA66&gt;=$B$8+$B$9,AC66*$B$4*(1+$B$5)^(($G$7+$B$8+AB66*($B$8+$B$10))/4)/4,0))</f>
        <v>61041.8170361331</v>
      </c>
      <c r="AE66" s="14" t="n">
        <f aca="false">IF($A66&lt;=$G$7,$E$7*$F$7,IF(AA66&gt;=$B$8,AC66*$B$4*(1+$B$5)^(($G$7+$B$8+AB66*($B$8+$B$10))/4),0))</f>
        <v>244167.268144533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1560.6</v>
      </c>
      <c r="AL66" s="14" t="n">
        <f aca="false">IF($A66&lt;=$G$8,$E$8*$F$8/4,IF(AI66&gt;=$B$8+$B$9,AK66*$B$4*(1+$B$5)^(($G$8+$B$8+AJ66*($B$8+$B$10))/4)/4,0))</f>
        <v>128938.359579504</v>
      </c>
      <c r="AM66" s="14" t="n">
        <f aca="false">IF($A66&lt;=$G$8,$E$8*$F$8,IF(AI66&gt;=$B$8,AK66*$B$4*(1+$B$5)^(($G$8+$B$8+AJ66*($B$8+$B$10))/4),0))</f>
        <v>515753.438318014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511452.80317201</v>
      </c>
      <c r="AQ66" s="14" t="n">
        <f aca="false">G66+O66+W66+AE66+AM66</f>
        <v>3086696.27678818</v>
      </c>
      <c r="AR66" s="14" t="n">
        <f aca="false">H66+P66+X66+AF66+AN66+IF($A66=$B$15,$B$14,0)</f>
        <v>124906.207692017</v>
      </c>
      <c r="AS66" s="21" t="n">
        <f aca="false">I66+Q66+Y66+AG66+AO66</f>
        <v>0</v>
      </c>
      <c r="AT66" s="14" t="n">
        <f aca="false">AP66*(1-$B$12)-AS66*$B$13/4</f>
        <v>480765.634981689</v>
      </c>
      <c r="AU66" s="14" t="n">
        <f aca="false">0</f>
        <v>0</v>
      </c>
      <c r="AV66" s="14" t="n">
        <f aca="false">AT66-AR66-AU66</f>
        <v>355859.427289672</v>
      </c>
      <c r="AW66" s="21" t="n">
        <f aca="false">(1+$B$16)^(-$A66/4)</f>
        <v>0.501349020514149</v>
      </c>
      <c r="AX66" s="14" t="n">
        <f aca="false">AV66*AW66</f>
        <v>178409.775312403</v>
      </c>
      <c r="AY66" s="14" t="n">
        <f aca="false">AV66</f>
        <v>355859.427289672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3034.5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1040885.06410014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2635</v>
      </c>
      <c r="N67" s="14" t="n">
        <f aca="false">IF($A67&lt;=$G$5,$E$5*$F$5/4,IF(K67&gt;=$B$8+$B$9,M67*$B$4*(1+$B$5)^(($G$5+$B$8+L67*($B$8+$B$10))/4)/4,0))</f>
        <v>212107.284339929</v>
      </c>
      <c r="O67" s="14" t="n">
        <f aca="false">IF($A67&lt;=$G$5,$E$5*$F$5,IF(K67&gt;=$B$8,M67*$B$4*(1+$B$5)^(($G$5+$B$8+L67*($B$8+$B$10))/4),0))</f>
        <v>848429.137359714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1309</v>
      </c>
      <c r="V67" s="14" t="n">
        <f aca="false">IF($A67&lt;=$G$6,$E$6*$F$6/4,IF(S67&gt;=$B$8+$B$9,U67*$B$4*(1+$B$5)^(($G$6+$B$8+T67*($B$8+$B$10))/4)/4,0))</f>
        <v>109365.342216445</v>
      </c>
      <c r="W67" s="14" t="n">
        <f aca="false">IF($A67&lt;=$G$6,$E$6*$F$6,IF(S67&gt;=$B$8,U67*$B$4*(1+$B$5)^(($G$6+$B$8+T67*($B$8+$B$10))/4),0))</f>
        <v>437461.368865779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722.5</v>
      </c>
      <c r="AD67" s="14" t="n">
        <f aca="false">IF($A67&lt;=$G$7,$E$7*$F$7/4,IF(AA67&gt;=$B$8+$B$9,AC67*$B$4*(1+$B$5)^(($G$7+$B$8+AB67*($B$8+$B$10))/4)/4,0))</f>
        <v>61041.8170361331</v>
      </c>
      <c r="AE67" s="14" t="n">
        <f aca="false">IF($A67&lt;=$G$7,$E$7*$F$7,IF(AA67&gt;=$B$8,AC67*$B$4*(1+$B$5)^(($G$7+$B$8+AB67*($B$8+$B$10))/4),0))</f>
        <v>244167.268144533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1560.6</v>
      </c>
      <c r="AL67" s="14" t="n">
        <f aca="false">IF($A67&lt;=$G$8,$E$8*$F$8/4,IF(AI67&gt;=$B$8+$B$9,AK67*$B$4*(1+$B$5)^(($G$8+$B$8+AJ67*($B$8+$B$10))/4)/4,0))</f>
        <v>128938.359579504</v>
      </c>
      <c r="AM67" s="14" t="n">
        <f aca="false">IF($A67&lt;=$G$8,$E$8*$F$8,IF(AI67&gt;=$B$8,AK67*$B$4*(1+$B$5)^(($G$8+$B$8+AJ67*($B$8+$B$10))/4),0))</f>
        <v>515753.438318014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511452.80317201</v>
      </c>
      <c r="AQ67" s="14" t="n">
        <f aca="false">G67+O67+W67+AE67+AM67</f>
        <v>3086696.27678818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480765.634981689</v>
      </c>
      <c r="AU67" s="14" t="n">
        <f aca="false">0</f>
        <v>0</v>
      </c>
      <c r="AV67" s="14" t="n">
        <f aca="false">AT67-AR67-AU67</f>
        <v>480765.634981689</v>
      </c>
      <c r="AW67" s="21" t="n">
        <f aca="false">(1+$B$16)^(-$A67/4)</f>
        <v>0.492080155311421</v>
      </c>
      <c r="AX67" s="14" t="n">
        <f aca="false">AV67*AW67</f>
        <v>236575.228330184</v>
      </c>
      <c r="AY67" s="14" t="n">
        <f aca="false">AV67</f>
        <v>480765.634981689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3034.5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1040885.06410014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2635</v>
      </c>
      <c r="N68" s="14" t="n">
        <f aca="false">IF($A68&lt;=$G$5,$E$5*$F$5/4,IF(K68&gt;=$B$8+$B$9,M68*$B$4*(1+$B$5)^(($G$5+$B$8+L68*($B$8+$B$10))/4)/4,0))</f>
        <v>212107.284339929</v>
      </c>
      <c r="O68" s="14" t="n">
        <f aca="false">IF($A68&lt;=$G$5,$E$5*$F$5,IF(K68&gt;=$B$8,M68*$B$4*(1+$B$5)^(($G$5+$B$8+L68*($B$8+$B$10))/4),0))</f>
        <v>848429.137359714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1309</v>
      </c>
      <c r="V68" s="14" t="n">
        <f aca="false">IF($A68&lt;=$G$6,$E$6*$F$6/4,IF(S68&gt;=$B$8+$B$9,U68*$B$4*(1+$B$5)^(($G$6+$B$8+T68*($B$8+$B$10))/4)/4,0))</f>
        <v>109365.342216445</v>
      </c>
      <c r="W68" s="14" t="n">
        <f aca="false">IF($A68&lt;=$G$6,$E$6*$F$6,IF(S68&gt;=$B$8,U68*$B$4*(1+$B$5)^(($G$6+$B$8+T68*($B$8+$B$10))/4),0))</f>
        <v>437461.368865779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722.5</v>
      </c>
      <c r="AD68" s="14" t="n">
        <f aca="false">IF($A68&lt;=$G$7,$E$7*$F$7/4,IF(AA68&gt;=$B$8+$B$9,AC68*$B$4*(1+$B$5)^(($G$7+$B$8+AB68*($B$8+$B$10))/4)/4,0))</f>
        <v>61041.8170361331</v>
      </c>
      <c r="AE68" s="14" t="n">
        <f aca="false">IF($A68&lt;=$G$7,$E$7*$F$7,IF(AA68&gt;=$B$8,AC68*$B$4*(1+$B$5)^(($G$7+$B$8+AB68*($B$8+$B$10))/4),0))</f>
        <v>244167.268144533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1560.6</v>
      </c>
      <c r="AL68" s="14" t="n">
        <f aca="false">IF($A68&lt;=$G$8,$E$8*$F$8/4,IF(AI68&gt;=$B$8+$B$9,AK68*$B$4*(1+$B$5)^(($G$8+$B$8+AJ68*($B$8+$B$10))/4)/4,0))</f>
        <v>128938.359579504</v>
      </c>
      <c r="AM68" s="14" t="n">
        <f aca="false">IF($A68&lt;=$G$8,$E$8*$F$8,IF(AI68&gt;=$B$8,AK68*$B$4*(1+$B$5)^(($G$8+$B$8+AJ68*($B$8+$B$10))/4),0))</f>
        <v>515753.438318014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511452.80317201</v>
      </c>
      <c r="AQ68" s="14" t="n">
        <f aca="false">G68+O68+W68+AE68+AM68</f>
        <v>3086696.27678818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480765.634981689</v>
      </c>
      <c r="AU68" s="14" t="n">
        <f aca="false">0</f>
        <v>0</v>
      </c>
      <c r="AV68" s="14" t="n">
        <f aca="false">AT68-AR68-AU68</f>
        <v>480765.634981689</v>
      </c>
      <c r="AW68" s="21" t="n">
        <f aca="false">(1+$B$16)^(-$A68/4)</f>
        <v>0.482982651492941</v>
      </c>
      <c r="AX68" s="14" t="n">
        <f aca="false">AV68*AW68</f>
        <v>232201.461130144</v>
      </c>
      <c r="AY68" s="14" t="n">
        <f aca="false">AV68</f>
        <v>480765.634981689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3034.5</v>
      </c>
      <c r="F69" s="14" t="n">
        <f aca="false">IF($A69&lt;=$G$4,$E$4*$F$4/4,IF(C69&gt;=$B$8+$B$9,E69*$B$4*(1+$B$5)^(($G$4+$B$8+D69*($B$8+$B$10))/4)/4,0))</f>
        <v>260221.266025036</v>
      </c>
      <c r="G69" s="14" t="n">
        <f aca="false">IF($A69&lt;=$G$4,$E$4*$F$4,IF(C69&gt;=$B$8,E69*$B$4*(1+$B$5)^(($G$4+$B$8+D69*($B$8+$B$10))/4),0))</f>
        <v>1040885.06410014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2239.75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1196758.50683616</v>
      </c>
      <c r="Q69" s="21" t="n">
        <f aca="false">IF($A69&lt;=$G$5,0,IF(K69&lt;$B$8,M69,0))</f>
        <v>2239.75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1309</v>
      </c>
      <c r="V69" s="14" t="n">
        <f aca="false">IF($A69&lt;=$G$6,$E$6*$F$6/4,IF(S69&gt;=$B$8+$B$9,U69*$B$4*(1+$B$5)^(($G$6+$B$8+T69*($B$8+$B$10))/4)/4,0))</f>
        <v>109365.342216445</v>
      </c>
      <c r="W69" s="14" t="n">
        <f aca="false">IF($A69&lt;=$G$6,$E$6*$F$6,IF(S69&gt;=$B$8,U69*$B$4*(1+$B$5)^(($G$6+$B$8+T69*($B$8+$B$10))/4),0))</f>
        <v>437461.368865779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722.5</v>
      </c>
      <c r="AD69" s="14" t="n">
        <f aca="false">IF($A69&lt;=$G$7,$E$7*$F$7/4,IF(AA69&gt;=$B$8+$B$9,AC69*$B$4*(1+$B$5)^(($G$7+$B$8+AB69*($B$8+$B$10))/4)/4,0))</f>
        <v>61041.8170361331</v>
      </c>
      <c r="AE69" s="14" t="n">
        <f aca="false">IF($A69&lt;=$G$7,$E$7*$F$7,IF(AA69&gt;=$B$8,AC69*$B$4*(1+$B$5)^(($G$7+$B$8+AB69*($B$8+$B$10))/4),0))</f>
        <v>244167.268144533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1560.6</v>
      </c>
      <c r="AL69" s="14" t="n">
        <f aca="false">IF($A69&lt;=$G$8,$E$8*$F$8/4,IF(AI69&gt;=$B$8+$B$9,AK69*$B$4*(1+$B$5)^(($G$8+$B$8+AJ69*($B$8+$B$10))/4)/4,0))</f>
        <v>128938.359579504</v>
      </c>
      <c r="AM69" s="14" t="n">
        <f aca="false">IF($A69&lt;=$G$8,$E$8*$F$8,IF(AI69&gt;=$B$8,AK69*$B$4*(1+$B$5)^(($G$8+$B$8+AJ69*($B$8+$B$10))/4),0))</f>
        <v>515753.438318014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559566.784857117</v>
      </c>
      <c r="AQ69" s="14" t="n">
        <f aca="false">G69+O69+W69+AE69+AM69</f>
        <v>2238267.13942847</v>
      </c>
      <c r="AR69" s="14" t="n">
        <f aca="false">H69+P69+X69+AF69+AN69+IF($A69=$B$15,$B$14,0)</f>
        <v>1196758.50683616</v>
      </c>
      <c r="AS69" s="21" t="n">
        <f aca="false">I69+Q69+Y69+AG69+AO69</f>
        <v>2239.75</v>
      </c>
      <c r="AT69" s="14" t="n">
        <f aca="false">AP69*(1-$B$12)-AS69*$B$13/4</f>
        <v>495196.21526569</v>
      </c>
      <c r="AU69" s="14" t="n">
        <f aca="false">0</f>
        <v>0</v>
      </c>
      <c r="AV69" s="14" t="n">
        <f aca="false">AT69-AR69-AU69</f>
        <v>-701562.291570472</v>
      </c>
      <c r="AW69" s="21" t="n">
        <f aca="false">(1+$B$16)^(-$A69/4)</f>
        <v>0.474053340955239</v>
      </c>
      <c r="AX69" s="14" t="n">
        <f aca="false">AV69*AW69</f>
        <v>-332577.948207195</v>
      </c>
      <c r="AY69" s="14" t="n">
        <f aca="false">AV69+$J$9</f>
        <v>39478779.8543682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318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0.2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0.2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0.2</v>
      </c>
      <c r="I6" s="21" t="s">
        <v>263</v>
      </c>
      <c r="J6" s="14" t="n">
        <f aca="false">AQ69</f>
        <v>2006905.7771472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0.2</v>
      </c>
      <c r="I7" s="21" t="s">
        <v>98</v>
      </c>
      <c r="J7" s="14" t="n">
        <f aca="false">AS69</f>
        <v>1984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0.2</v>
      </c>
      <c r="I8" s="21" t="s">
        <v>101</v>
      </c>
      <c r="J8" s="14" t="n">
        <f aca="false">(J6+J7*J4)*(1-$B$12)</f>
        <v>2533387.76167742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35924492.6302574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8814526.08917069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17030125.7534954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25844651.842666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24267278.725508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0.658941968232704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0.00532194338516279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22229535.5957256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10223883.7374669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-8283921.16951488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-0.254488964960751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25" t="n">
        <v>0.2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1728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725760</v>
      </c>
      <c r="AO30" s="21" t="n">
        <f aca="false">IF($A30&lt;=$G$8,0,IF(AI30&lt;$B$8,AK30,0))</f>
        <v>1728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725760</v>
      </c>
      <c r="AS30" s="21" t="n">
        <f aca="false">I30+Q30+Y30+AG30+AO30</f>
        <v>1728</v>
      </c>
      <c r="AT30" s="14" t="n">
        <f aca="false">AP30*(1-$B$12)-AS30*$B$13/4</f>
        <v>692740.9</v>
      </c>
      <c r="AU30" s="14" t="n">
        <f aca="false">0</f>
        <v>0</v>
      </c>
      <c r="AV30" s="14" t="n">
        <f aca="false">AT30-AR30-AU30</f>
        <v>-33019.1000000001</v>
      </c>
      <c r="AW30" s="21" t="n">
        <f aca="false">(1+$B$16)^(-$A30/4)</f>
        <v>0.98151215057083</v>
      </c>
      <c r="AX30" s="14" t="n">
        <f aca="false">AV30*AW30</f>
        <v>-32408.6478509134</v>
      </c>
      <c r="AY30" s="14" t="n">
        <f aca="false">AV30</f>
        <v>-33019.1000000001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1728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1728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1728</v>
      </c>
      <c r="AT31" s="14" t="n">
        <f aca="false">AP31*(1-$B$12)-AS31*$B$13/4</f>
        <v>692740.9</v>
      </c>
      <c r="AU31" s="14" t="n">
        <f aca="false">0</f>
        <v>0</v>
      </c>
      <c r="AV31" s="14" t="n">
        <f aca="false">AT31-AR31-AU31</f>
        <v>692740.9</v>
      </c>
      <c r="AW31" s="21" t="n">
        <f aca="false">(1+$B$16)^(-$A31/4)</f>
        <v>0.963366101718176</v>
      </c>
      <c r="AX31" s="14" t="n">
        <f aca="false">AV31*AW31</f>
        <v>667363.100333741</v>
      </c>
      <c r="AY31" s="14" t="n">
        <f aca="false">AV31</f>
        <v>692740.9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1728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1728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1728</v>
      </c>
      <c r="AT32" s="14" t="n">
        <f aca="false">AP32*(1-$B$12)-AS32*$B$13/4</f>
        <v>692740.9</v>
      </c>
      <c r="AU32" s="14" t="n">
        <f aca="false">0</f>
        <v>0</v>
      </c>
      <c r="AV32" s="14" t="n">
        <f aca="false">AT32-AR32-AU32</f>
        <v>692740.9</v>
      </c>
      <c r="AW32" s="21" t="n">
        <f aca="false">(1+$B$16)^(-$A32/4)</f>
        <v>0.945555534284444</v>
      </c>
      <c r="AX32" s="14" t="n">
        <f aca="false">AV32*AW32</f>
        <v>655024.991820187</v>
      </c>
      <c r="AY32" s="14" t="n">
        <f aca="false">AV32</f>
        <v>692740.9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1728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524221.132772663</v>
      </c>
      <c r="AN33" s="14" t="n">
        <f aca="false">IF($A33&lt;=$G$8,0,IF(AI33=0,AK33*$B$6*(1+$B$7)^(($G$8+AJ33*($B$8+$B$10))/4),0)+IF(AI33=$B$8,$B$11*$B$4*(1+$B$5)^(($G$8+$B$8+AJ33*($B$8+$B$10))/4)*AK33,0))</f>
        <v>62906.5359327196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3573161.13277266</v>
      </c>
      <c r="AR33" s="14" t="n">
        <f aca="false">H33+P33+X33+AF33+AN33+IF($A33=$B$15,$B$14,0)</f>
        <v>62906.5359327196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653594.36406728</v>
      </c>
      <c r="AW33" s="21" t="n">
        <f aca="false">(1+$B$16)^(-$A33/4)</f>
        <v>0.928074245939675</v>
      </c>
      <c r="AX33" s="14" t="n">
        <f aca="false">AV33*AW33</f>
        <v>606584.096582163</v>
      </c>
      <c r="AY33" s="14" t="n">
        <f aca="false">AV33</f>
        <v>653594.36406728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1728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524221.132772663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3573161.13277266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1728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524221.132772663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3573161.13277266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800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348678.424913272</v>
      </c>
      <c r="AG36" s="21" t="n">
        <f aca="false">IF($A36&lt;=$G$7,0,IF(AA36&lt;$B$8,AC36,0))</f>
        <v>800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1728</v>
      </c>
      <c r="AL36" s="14" t="n">
        <f aca="false">IF($A36&lt;=$G$8,$E$8*$F$8/4,IF(AI36&gt;=$B$8+$B$9,AK36*$B$4*(1+$B$5)^(($G$8+$B$8+AJ36*($B$8+$B$10))/4)/4,0))</f>
        <v>131055.283193166</v>
      </c>
      <c r="AM36" s="14" t="n">
        <f aca="false">IF($A36&lt;=$G$8,$E$8*$F$8,IF(AI36&gt;=$B$8,AK36*$B$4*(1+$B$5)^(($G$8+$B$8+AJ36*($B$8+$B$10))/4),0))</f>
        <v>524221.132772663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815290.283193166</v>
      </c>
      <c r="AQ36" s="14" t="n">
        <f aca="false">G36+O36+W36+AE36+AM36</f>
        <v>3261161.13277266</v>
      </c>
      <c r="AR36" s="14" t="n">
        <f aca="false">H36+P36+X36+AF36+AN36+IF($A36=$B$15,$B$14,0)</f>
        <v>348678.424913272</v>
      </c>
      <c r="AS36" s="21" t="n">
        <f aca="false">I36+Q36+Y36+AG36+AO36</f>
        <v>800</v>
      </c>
      <c r="AT36" s="14" t="n">
        <f aca="false">AP36*(1-$B$12)-AS36*$B$13/4</f>
        <v>755372.866201576</v>
      </c>
      <c r="AU36" s="14" t="n">
        <f aca="false">0</f>
        <v>0</v>
      </c>
      <c r="AV36" s="14" t="n">
        <f aca="false">AT36-AR36-AU36</f>
        <v>406694.441288304</v>
      </c>
      <c r="AW36" s="21" t="n">
        <f aca="false">(1+$B$16)^(-$A36/4)</f>
        <v>0.877545739475122</v>
      </c>
      <c r="AX36" s="14" t="n">
        <f aca="false">AV36*AW36</f>
        <v>356892.974220767</v>
      </c>
      <c r="AY36" s="14" t="n">
        <f aca="false">AV36</f>
        <v>406694.441288304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800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800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1728</v>
      </c>
      <c r="AL37" s="14" t="n">
        <f aca="false">IF($A37&lt;=$G$8,$E$8*$F$8/4,IF(AI37&gt;=$B$8+$B$9,AK37*$B$4*(1+$B$5)^(($G$8+$B$8+AJ37*($B$8+$B$10))/4)/4,0))</f>
        <v>131055.283193166</v>
      </c>
      <c r="AM37" s="14" t="n">
        <f aca="false">IF($A37&lt;=$G$8,$E$8*$F$8,IF(AI37&gt;=$B$8,AK37*$B$4*(1+$B$5)^(($G$8+$B$8+AJ37*($B$8+$B$10))/4),0))</f>
        <v>524221.132772663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815290.283193166</v>
      </c>
      <c r="AQ37" s="14" t="n">
        <f aca="false">G37+O37+W37+AE37+AM37</f>
        <v>3261161.13277266</v>
      </c>
      <c r="AR37" s="14" t="n">
        <f aca="false">H37+P37+X37+AF37+AN37+IF($A37=$B$15,$B$14,0)</f>
        <v>0</v>
      </c>
      <c r="AS37" s="21" t="n">
        <f aca="false">I37+Q37+Y37+AG37+AO37</f>
        <v>800</v>
      </c>
      <c r="AT37" s="14" t="n">
        <f aca="false">AP37*(1-$B$12)-AS37*$B$13/4</f>
        <v>755372.866201576</v>
      </c>
      <c r="AU37" s="14" t="n">
        <f aca="false">0</f>
        <v>0</v>
      </c>
      <c r="AV37" s="14" t="n">
        <f aca="false">AT37-AR37-AU37</f>
        <v>755372.866201576</v>
      </c>
      <c r="AW37" s="21" t="n">
        <f aca="false">(1+$B$16)^(-$A37/4)</f>
        <v>0.861321805976497</v>
      </c>
      <c r="AX37" s="14" t="n">
        <f aca="false">AV37*AW37</f>
        <v>650619.121302384</v>
      </c>
      <c r="AY37" s="14" t="n">
        <f aca="false">AV37</f>
        <v>755372.866201576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800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800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1728</v>
      </c>
      <c r="AL38" s="14" t="n">
        <f aca="false">IF($A38&lt;=$G$8,$E$8*$F$8/4,IF(AI38&gt;=$B$8+$B$9,AK38*$B$4*(1+$B$5)^(($G$8+$B$8+AJ38*($B$8+$B$10))/4)/4,0))</f>
        <v>131055.283193166</v>
      </c>
      <c r="AM38" s="14" t="n">
        <f aca="false">IF($A38&lt;=$G$8,$E$8*$F$8,IF(AI38&gt;=$B$8,AK38*$B$4*(1+$B$5)^(($G$8+$B$8+AJ38*($B$8+$B$10))/4),0))</f>
        <v>524221.132772663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815290.283193166</v>
      </c>
      <c r="AQ38" s="14" t="n">
        <f aca="false">G38+O38+W38+AE38+AM38</f>
        <v>3261161.13277266</v>
      </c>
      <c r="AR38" s="14" t="n">
        <f aca="false">H38+P38+X38+AF38+AN38+IF($A38=$B$15,$B$14,0)</f>
        <v>0</v>
      </c>
      <c r="AS38" s="21" t="n">
        <f aca="false">I38+Q38+Y38+AG38+AO38</f>
        <v>800</v>
      </c>
      <c r="AT38" s="14" t="n">
        <f aca="false">AP38*(1-$B$12)-AS38*$B$13/4</f>
        <v>755372.866201576</v>
      </c>
      <c r="AU38" s="14" t="n">
        <f aca="false">0</f>
        <v>0</v>
      </c>
      <c r="AV38" s="14" t="n">
        <f aca="false">AT38-AR38-AU38</f>
        <v>755372.866201576</v>
      </c>
      <c r="AW38" s="21" t="n">
        <f aca="false">(1+$B$16)^(-$A38/4)</f>
        <v>0.845397818117543</v>
      </c>
      <c r="AX38" s="14" t="n">
        <f aca="false">AV38*AW38</f>
        <v>638590.572952007</v>
      </c>
      <c r="AY38" s="14" t="n">
        <f aca="false">AV38</f>
        <v>755372.866201576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800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248176.032156299</v>
      </c>
      <c r="AF39" s="14" t="n">
        <f aca="false">IF($A39&lt;=$G$7,0,IF(AA39=0,AC39*$B$6*(1+$B$7)^(($G$7+AB39*($B$8+$B$10))/4),0)+IF(AA39=$B$8,$B$11*$B$4*(1+$B$5)^(($G$7+$B$8+AB39*($B$8+$B$10))/4)*AC39,0))</f>
        <v>29781.1238587559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1728</v>
      </c>
      <c r="AL39" s="14" t="n">
        <f aca="false">IF($A39&lt;=$G$8,$E$8*$F$8/4,IF(AI39&gt;=$B$8+$B$9,AK39*$B$4*(1+$B$5)^(($G$8+$B$8+AJ39*($B$8+$B$10))/4)/4,0))</f>
        <v>131055.283193166</v>
      </c>
      <c r="AM39" s="14" t="n">
        <f aca="false">IF($A39&lt;=$G$8,$E$8*$F$8,IF(AI39&gt;=$B$8,AK39*$B$4*(1+$B$5)^(($G$8+$B$8+AJ39*($B$8+$B$10))/4),0))</f>
        <v>524221.132772663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815290.283193166</v>
      </c>
      <c r="AQ39" s="14" t="n">
        <f aca="false">G39+O39+W39+AE39+AM39</f>
        <v>3509337.16492896</v>
      </c>
      <c r="AR39" s="14" t="n">
        <f aca="false">H39+P39+X39+AF39+AN39+IF($A39=$B$15,$B$14,0)</f>
        <v>29781.1238587559</v>
      </c>
      <c r="AS39" s="21" t="n">
        <f aca="false">I39+Q39+Y39+AG39+AO39</f>
        <v>0</v>
      </c>
      <c r="AT39" s="14" t="n">
        <f aca="false">AP39*(1-$B$12)-AS39*$B$13/4</f>
        <v>766372.866201576</v>
      </c>
      <c r="AU39" s="14" t="n">
        <f aca="false">0</f>
        <v>0</v>
      </c>
      <c r="AV39" s="14" t="n">
        <f aca="false">AT39-AR39-AU39</f>
        <v>736591.74234282</v>
      </c>
      <c r="AW39" s="21" t="n">
        <f aca="false">(1+$B$16)^(-$A39/4)</f>
        <v>0.829768230548437</v>
      </c>
      <c r="AX39" s="14" t="n">
        <f aca="false">AV39*AW39</f>
        <v>611200.426680392</v>
      </c>
      <c r="AY39" s="14" t="n">
        <f aca="false">AV39</f>
        <v>736591.74234282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3360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1501060.61925163</v>
      </c>
      <c r="I40" s="21" t="n">
        <f aca="false">IF($A40&lt;=$G$4,0,IF(C40&lt;$B$8,E40,0))</f>
        <v>3360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800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248176.032156299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1728</v>
      </c>
      <c r="AL40" s="14" t="n">
        <f aca="false">IF($A40&lt;=$G$8,$E$8*$F$8/4,IF(AI40&gt;=$B$8+$B$9,AK40*$B$4*(1+$B$5)^(($G$8+$B$8+AJ40*($B$8+$B$10))/4)/4,0))</f>
        <v>131055.283193166</v>
      </c>
      <c r="AM40" s="14" t="n">
        <f aca="false">IF($A40&lt;=$G$8,$E$8*$F$8,IF(AI40&gt;=$B$8,AK40*$B$4*(1+$B$5)^(($G$8+$B$8+AJ40*($B$8+$B$10))/4),0))</f>
        <v>524221.132772663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481390.283193166</v>
      </c>
      <c r="AQ40" s="14" t="n">
        <f aca="false">G40+O40+W40+AE40+AM40</f>
        <v>2173737.16492896</v>
      </c>
      <c r="AR40" s="14" t="n">
        <f aca="false">H40+P40+X40+AF40+AN40+IF($A40=$B$15,$B$14,0)</f>
        <v>1501060.61925163</v>
      </c>
      <c r="AS40" s="21" t="n">
        <f aca="false">I40+Q40+Y40+AG40+AO40</f>
        <v>3360</v>
      </c>
      <c r="AT40" s="14" t="n">
        <f aca="false">AP40*(1-$B$12)-AS40*$B$13/4</f>
        <v>406306.866201576</v>
      </c>
      <c r="AU40" s="14" t="n">
        <f aca="false">0</f>
        <v>0</v>
      </c>
      <c r="AV40" s="14" t="n">
        <f aca="false">AT40-AR40-AU40</f>
        <v>-1094753.75305006</v>
      </c>
      <c r="AW40" s="21" t="n">
        <f aca="false">(1+$B$16)^(-$A40/4)</f>
        <v>0.814427600440949</v>
      </c>
      <c r="AX40" s="14" t="n">
        <f aca="false">AV40*AW40</f>
        <v>-891597.672170282</v>
      </c>
      <c r="AY40" s="14" t="n">
        <f aca="false">AV40</f>
        <v>-1094753.75305006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3360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3360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800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248176.032156299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1728</v>
      </c>
      <c r="AL41" s="14" t="n">
        <f aca="false">IF($A41&lt;=$G$8,$E$8*$F$8/4,IF(AI41&gt;=$B$8+$B$9,AK41*$B$4*(1+$B$5)^(($G$8+$B$8+AJ41*($B$8+$B$10))/4)/4,0))</f>
        <v>131055.283193166</v>
      </c>
      <c r="AM41" s="14" t="n">
        <f aca="false">IF($A41&lt;=$G$8,$E$8*$F$8,IF(AI41&gt;=$B$8,AK41*$B$4*(1+$B$5)^(($G$8+$B$8+AJ41*($B$8+$B$10))/4),0))</f>
        <v>524221.132772663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481390.283193166</v>
      </c>
      <c r="AQ41" s="14" t="n">
        <f aca="false">G41+O41+W41+AE41+AM41</f>
        <v>2173737.16492896</v>
      </c>
      <c r="AR41" s="14" t="n">
        <f aca="false">H41+P41+X41+AF41+AN41+IF($A41=$B$15,$B$14,0)</f>
        <v>1900000</v>
      </c>
      <c r="AS41" s="21" t="n">
        <f aca="false">I41+Q41+Y41+AG41+AO41</f>
        <v>3360</v>
      </c>
      <c r="AT41" s="14" t="n">
        <f aca="false">AP41*(1-$B$12)-AS41*$B$13/4</f>
        <v>406306.866201576</v>
      </c>
      <c r="AU41" s="14" t="n">
        <f aca="false">0</f>
        <v>0</v>
      </c>
      <c r="AV41" s="14" t="n">
        <f aca="false">AT41-AR41-AU41</f>
        <v>-1493693.13379842</v>
      </c>
      <c r="AW41" s="21" t="n">
        <f aca="false">(1+$B$16)^(-$A41/4)</f>
        <v>0.799370585593037</v>
      </c>
      <c r="AX41" s="14" t="n">
        <f aca="false">AV41*AW41</f>
        <v>-1194014.35506074</v>
      </c>
      <c r="AY41" s="14" t="n">
        <f aca="false">AV41</f>
        <v>-1493693.13379842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3360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3360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800</v>
      </c>
      <c r="AD42" s="14" t="n">
        <f aca="false">IF($A42&lt;=$G$7,$E$7*$F$7/4,IF(AA42&gt;=$B$8+$B$9,AC42*$B$4*(1+$B$5)^(($G$7+$B$8+AB42*($B$8+$B$10))/4)/4,0))</f>
        <v>62044.0080390748</v>
      </c>
      <c r="AE42" s="14" t="n">
        <f aca="false">IF($A42&lt;=$G$7,$E$7*$F$7,IF(AA42&gt;=$B$8,AC42*$B$4*(1+$B$5)^(($G$7+$B$8+AB42*($B$8+$B$10))/4),0))</f>
        <v>248176.032156299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1728</v>
      </c>
      <c r="AL42" s="14" t="n">
        <f aca="false">IF($A42&lt;=$G$8,$E$8*$F$8/4,IF(AI42&gt;=$B$8+$B$9,AK42*$B$4*(1+$B$5)^(($G$8+$B$8+AJ42*($B$8+$B$10))/4)/4,0))</f>
        <v>131055.283193166</v>
      </c>
      <c r="AM42" s="14" t="n">
        <f aca="false">IF($A42&lt;=$G$8,$E$8*$F$8,IF(AI42&gt;=$B$8,AK42*$B$4*(1+$B$5)^(($G$8+$B$8+AJ42*($B$8+$B$10))/4),0))</f>
        <v>524221.132772663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543434.291232241</v>
      </c>
      <c r="AQ42" s="14" t="n">
        <f aca="false">G42+O42+W42+AE42+AM42</f>
        <v>2173737.16492896</v>
      </c>
      <c r="AR42" s="14" t="n">
        <f aca="false">H42+P42+X42+AF42+AN42+IF($A42=$B$15,$B$14,0)</f>
        <v>0</v>
      </c>
      <c r="AS42" s="21" t="n">
        <f aca="false">I42+Q42+Y42+AG42+AO42</f>
        <v>3360</v>
      </c>
      <c r="AT42" s="14" t="n">
        <f aca="false">AP42*(1-$B$12)-AS42*$B$13/4</f>
        <v>464628.233758306</v>
      </c>
      <c r="AU42" s="14" t="n">
        <f aca="false">0</f>
        <v>0</v>
      </c>
      <c r="AV42" s="14" t="n">
        <f aca="false">AT42-AR42-AU42</f>
        <v>464628.233758306</v>
      </c>
      <c r="AW42" s="21" t="n">
        <f aca="false">(1+$B$16)^(-$A42/4)</f>
        <v>0.784591942568485</v>
      </c>
      <c r="AX42" s="14" t="n">
        <f aca="false">AV42*AW42</f>
        <v>364543.568496594</v>
      </c>
      <c r="AY42" s="14" t="n">
        <f aca="false">AV42</f>
        <v>464628.233758306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3360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1057974.4250823</v>
      </c>
      <c r="H43" s="14" t="n">
        <f aca="false">IF($A43&lt;=$G$4,0,IF(C43=0,E43*$B$6*(1+$B$7)^(($G$4+D43*($B$8+$B$10))/4),0)+IF(C43=$B$8,$B$11*$B$4*(1+$B$5)^(($G$4+$B$8+D43*($B$8+$B$10))/4)*E43,0))</f>
        <v>126956.931009876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800</v>
      </c>
      <c r="AD43" s="14" t="n">
        <f aca="false">IF($A43&lt;=$G$7,$E$7*$F$7/4,IF(AA43&gt;=$B$8+$B$9,AC43*$B$4*(1+$B$5)^(($G$7+$B$8+AB43*($B$8+$B$10))/4)/4,0))</f>
        <v>62044.0080390748</v>
      </c>
      <c r="AE43" s="14" t="n">
        <f aca="false">IF($A43&lt;=$G$7,$E$7*$F$7,IF(AA43&gt;=$B$8,AC43*$B$4*(1+$B$5)^(($G$7+$B$8+AB43*($B$8+$B$10))/4),0))</f>
        <v>248176.032156299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1728</v>
      </c>
      <c r="AL43" s="14" t="n">
        <f aca="false">IF($A43&lt;=$G$8,$E$8*$F$8/4,IF(AI43&gt;=$B$8+$B$9,AK43*$B$4*(1+$B$5)^(($G$8+$B$8+AJ43*($B$8+$B$10))/4)/4,0))</f>
        <v>131055.283193166</v>
      </c>
      <c r="AM43" s="14" t="n">
        <f aca="false">IF($A43&lt;=$G$8,$E$8*$F$8,IF(AI43&gt;=$B$8,AK43*$B$4*(1+$B$5)^(($G$8+$B$8+AJ43*($B$8+$B$10))/4),0))</f>
        <v>524221.132772663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543434.291232241</v>
      </c>
      <c r="AQ43" s="14" t="n">
        <f aca="false">G43+O43+W43+AE43+AM43</f>
        <v>3231711.59001127</v>
      </c>
      <c r="AR43" s="14" t="n">
        <f aca="false">H43+P43+X43+AF43+AN43+IF($A43=$B$15,$B$14,0)</f>
        <v>126956.931009876</v>
      </c>
      <c r="AS43" s="21" t="n">
        <f aca="false">I43+Q43+Y43+AG43+AO43</f>
        <v>0</v>
      </c>
      <c r="AT43" s="14" t="n">
        <f aca="false">AP43*(1-$B$12)-AS43*$B$13/4</f>
        <v>510828.233758306</v>
      </c>
      <c r="AU43" s="14" t="n">
        <f aca="false">0</f>
        <v>0</v>
      </c>
      <c r="AV43" s="14" t="n">
        <f aca="false">AT43-AR43-AU43</f>
        <v>383871.30274843</v>
      </c>
      <c r="AW43" s="21" t="n">
        <f aca="false">(1+$B$16)^(-$A43/4)</f>
        <v>0.770086524870939</v>
      </c>
      <c r="AX43" s="14" t="n">
        <f aca="false">AV43*AW43</f>
        <v>295614.117531218</v>
      </c>
      <c r="AY43" s="14" t="n">
        <f aca="false">AV43</f>
        <v>383871.30274843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3360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1057974.4250823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800</v>
      </c>
      <c r="AD44" s="14" t="n">
        <f aca="false">IF($A44&lt;=$G$7,$E$7*$F$7/4,IF(AA44&gt;=$B$8+$B$9,AC44*$B$4*(1+$B$5)^(($G$7+$B$8+AB44*($B$8+$B$10))/4)/4,0))</f>
        <v>62044.0080390748</v>
      </c>
      <c r="AE44" s="14" t="n">
        <f aca="false">IF($A44&lt;=$G$7,$E$7*$F$7,IF(AA44&gt;=$B$8,AC44*$B$4*(1+$B$5)^(($G$7+$B$8+AB44*($B$8+$B$10))/4),0))</f>
        <v>248176.032156299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1728</v>
      </c>
      <c r="AL44" s="14" t="n">
        <f aca="false">IF($A44&lt;=$G$8,$E$8*$F$8/4,IF(AI44&gt;=$B$8+$B$9,AK44*$B$4*(1+$B$5)^(($G$8+$B$8+AJ44*($B$8+$B$10))/4)/4,0))</f>
        <v>131055.283193166</v>
      </c>
      <c r="AM44" s="14" t="n">
        <f aca="false">IF($A44&lt;=$G$8,$E$8*$F$8,IF(AI44&gt;=$B$8,AK44*$B$4*(1+$B$5)^(($G$8+$B$8+AJ44*($B$8+$B$10))/4),0))</f>
        <v>524221.132772663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543434.291232241</v>
      </c>
      <c r="AQ44" s="14" t="n">
        <f aca="false">G44+O44+W44+AE44+AM44</f>
        <v>3231711.59001127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510828.233758306</v>
      </c>
      <c r="AU44" s="14" t="n">
        <f aca="false">0</f>
        <v>0</v>
      </c>
      <c r="AV44" s="14" t="n">
        <f aca="false">AT44-AR44-AU44</f>
        <v>510828.233758306</v>
      </c>
      <c r="AW44" s="21" t="n">
        <f aca="false">(1+$B$16)^(-$A44/4)</f>
        <v>0.755849281151693</v>
      </c>
      <c r="AX44" s="14" t="n">
        <f aca="false">AV44*AW44</f>
        <v>386109.153278205</v>
      </c>
      <c r="AY44" s="14" t="n">
        <f aca="false">AV44</f>
        <v>510828.233758306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3360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1057974.4250823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800</v>
      </c>
      <c r="AD45" s="14" t="n">
        <f aca="false">IF($A45&lt;=$G$7,$E$7*$F$7/4,IF(AA45&gt;=$B$8+$B$9,AC45*$B$4*(1+$B$5)^(($G$7+$B$8+AB45*($B$8+$B$10))/4)/4,0))</f>
        <v>62044.0080390748</v>
      </c>
      <c r="AE45" s="14" t="n">
        <f aca="false">IF($A45&lt;=$G$7,$E$7*$F$7,IF(AA45&gt;=$B$8,AC45*$B$4*(1+$B$5)^(($G$7+$B$8+AB45*($B$8+$B$10))/4),0))</f>
        <v>248176.032156299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1728</v>
      </c>
      <c r="AL45" s="14" t="n">
        <f aca="false">IF($A45&lt;=$G$8,$E$8*$F$8/4,IF(AI45&gt;=$B$8+$B$9,AK45*$B$4*(1+$B$5)^(($G$8+$B$8+AJ45*($B$8+$B$10))/4)/4,0))</f>
        <v>131055.283193166</v>
      </c>
      <c r="AM45" s="14" t="n">
        <f aca="false">IF($A45&lt;=$G$8,$E$8*$F$8,IF(AI45&gt;=$B$8,AK45*$B$4*(1+$B$5)^(($G$8+$B$8+AJ45*($B$8+$B$10))/4),0))</f>
        <v>524221.132772663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543434.291232241</v>
      </c>
      <c r="AQ45" s="14" t="n">
        <f aca="false">G45+O45+W45+AE45+AM45</f>
        <v>3231711.59001127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510828.233758306</v>
      </c>
      <c r="AU45" s="14" t="n">
        <f aca="false">0</f>
        <v>0</v>
      </c>
      <c r="AV45" s="14" t="n">
        <f aca="false">AT45-AR45-AU45</f>
        <v>510828.233758306</v>
      </c>
      <c r="AW45" s="21" t="n">
        <f aca="false">(1+$B$16)^(-$A45/4)</f>
        <v>0.741875253450614</v>
      </c>
      <c r="AX45" s="14" t="n">
        <f aca="false">AV45*AW45</f>
        <v>378970.825389173</v>
      </c>
      <c r="AY45" s="14" t="n">
        <f aca="false">AV45</f>
        <v>510828.233758306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3360</v>
      </c>
      <c r="F46" s="14" t="n">
        <f aca="false">IF($A46&lt;=$G$4,$E$4*$F$4/4,IF(C46&gt;=$B$8+$B$9,E46*$B$4*(1+$B$5)^(($G$4+$B$8+D46*($B$8+$B$10))/4)/4,0))</f>
        <v>264493.606270576</v>
      </c>
      <c r="G46" s="14" t="n">
        <f aca="false">IF($A46&lt;=$G$4,$E$4*$F$4,IF(C46&gt;=$B$8,E46*$B$4*(1+$B$5)^(($G$4+$B$8+D46*($B$8+$B$10))/4),0))</f>
        <v>1057974.4250823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2480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1149731.506875</v>
      </c>
      <c r="Q46" s="21" t="n">
        <f aca="false">IF($A46&lt;=$G$5,0,IF(K46&lt;$B$8,M46,0))</f>
        <v>2480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800</v>
      </c>
      <c r="AD46" s="14" t="n">
        <f aca="false">IF($A46&lt;=$G$7,$E$7*$F$7/4,IF(AA46&gt;=$B$8+$B$9,AC46*$B$4*(1+$B$5)^(($G$7+$B$8+AB46*($B$8+$B$10))/4)/4,0))</f>
        <v>62044.0080390748</v>
      </c>
      <c r="AE46" s="14" t="n">
        <f aca="false">IF($A46&lt;=$G$7,$E$7*$F$7,IF(AA46&gt;=$B$8,AC46*$B$4*(1+$B$5)^(($G$7+$B$8+AB46*($B$8+$B$10))/4),0))</f>
        <v>248176.032156299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1728</v>
      </c>
      <c r="AL46" s="14" t="n">
        <f aca="false">IF($A46&lt;=$G$8,$E$8*$F$8/4,IF(AI46&gt;=$B$8+$B$9,AK46*$B$4*(1+$B$5)^(($G$8+$B$8+AJ46*($B$8+$B$10))/4)/4,0))</f>
        <v>131055.283193166</v>
      </c>
      <c r="AM46" s="14" t="n">
        <f aca="false">IF($A46&lt;=$G$8,$E$8*$F$8,IF(AI46&gt;=$B$8,AK46*$B$4*(1+$B$5)^(($G$8+$B$8+AJ46*($B$8+$B$10))/4),0))</f>
        <v>524221.132772663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571552.897502816</v>
      </c>
      <c r="AQ46" s="14" t="n">
        <f aca="false">G46+O46+W46+AE46+AM46</f>
        <v>2286211.59001127</v>
      </c>
      <c r="AR46" s="14" t="n">
        <f aca="false">H46+P46+X46+AF46+AN46+IF($A46=$B$15,$B$14,0)</f>
        <v>1149731.506875</v>
      </c>
      <c r="AS46" s="21" t="n">
        <f aca="false">I46+Q46+Y46+AG46+AO46</f>
        <v>2480</v>
      </c>
      <c r="AT46" s="14" t="n">
        <f aca="false">AP46*(1-$B$12)-AS46*$B$13/4</f>
        <v>503159.723652647</v>
      </c>
      <c r="AU46" s="14" t="n">
        <f aca="false">0</f>
        <v>0</v>
      </c>
      <c r="AV46" s="14" t="n">
        <f aca="false">AT46-AR46-AU46</f>
        <v>-646571.783222352</v>
      </c>
      <c r="AW46" s="21" t="n">
        <f aca="false">(1+$B$16)^(-$A46/4)</f>
        <v>0.728159575469592</v>
      </c>
      <c r="AX46" s="14" t="n">
        <f aca="false">AV46*AW46</f>
        <v>-470807.435181805</v>
      </c>
      <c r="AY46" s="14" t="n">
        <f aca="false">AV46</f>
        <v>-646571.783222352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3360</v>
      </c>
      <c r="F47" s="14" t="n">
        <f aca="false">IF($A47&lt;=$G$4,$E$4*$F$4/4,IF(C47&gt;=$B$8+$B$9,E47*$B$4*(1+$B$5)^(($G$4+$B$8+D47*($B$8+$B$10))/4)/4,0))</f>
        <v>264493.606270576</v>
      </c>
      <c r="G47" s="14" t="n">
        <f aca="false">IF($A47&lt;=$G$4,$E$4*$F$4,IF(C47&gt;=$B$8,E47*$B$4*(1+$B$5)^(($G$4+$B$8+D47*($B$8+$B$10))/4),0))</f>
        <v>1057974.4250823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2480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2480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800</v>
      </c>
      <c r="AD47" s="14" t="n">
        <f aca="false">IF($A47&lt;=$G$7,$E$7*$F$7/4,IF(AA47&gt;=$B$8+$B$9,AC47*$B$4*(1+$B$5)^(($G$7+$B$8+AB47*($B$8+$B$10))/4)/4,0))</f>
        <v>62044.0080390748</v>
      </c>
      <c r="AE47" s="14" t="n">
        <f aca="false">IF($A47&lt;=$G$7,$E$7*$F$7,IF(AA47&gt;=$B$8,AC47*$B$4*(1+$B$5)^(($G$7+$B$8+AB47*($B$8+$B$10))/4),0))</f>
        <v>248176.032156299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1728</v>
      </c>
      <c r="AL47" s="14" t="n">
        <f aca="false">IF($A47&lt;=$G$8,$E$8*$F$8/4,IF(AI47&gt;=$B$8+$B$9,AK47*$B$4*(1+$B$5)^(($G$8+$B$8+AJ47*($B$8+$B$10))/4)/4,0))</f>
        <v>131055.283193166</v>
      </c>
      <c r="AM47" s="14" t="n">
        <f aca="false">IF($A47&lt;=$G$8,$E$8*$F$8,IF(AI47&gt;=$B$8,AK47*$B$4*(1+$B$5)^(($G$8+$B$8+AJ47*($B$8+$B$10))/4),0))</f>
        <v>524221.132772663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571552.897502816</v>
      </c>
      <c r="AQ47" s="14" t="n">
        <f aca="false">G47+O47+W47+AE47+AM47</f>
        <v>2286211.59001127</v>
      </c>
      <c r="AR47" s="14" t="n">
        <f aca="false">H47+P47+X47+AF47+AN47+IF($A47=$B$15,$B$14,0)</f>
        <v>0</v>
      </c>
      <c r="AS47" s="21" t="n">
        <f aca="false">I47+Q47+Y47+AG47+AO47</f>
        <v>2480</v>
      </c>
      <c r="AT47" s="14" t="n">
        <f aca="false">AP47*(1-$B$12)-AS47*$B$13/4</f>
        <v>503159.723652647</v>
      </c>
      <c r="AU47" s="14" t="n">
        <f aca="false">0</f>
        <v>0</v>
      </c>
      <c r="AV47" s="14" t="n">
        <f aca="false">AT47-AR47-AU47</f>
        <v>503159.723652647</v>
      </c>
      <c r="AW47" s="21" t="n">
        <f aca="false">(1+$B$16)^(-$A47/4)</f>
        <v>0.714697470877902</v>
      </c>
      <c r="AX47" s="14" t="n">
        <f aca="false">AV47*AW47</f>
        <v>359606.981942171</v>
      </c>
      <c r="AY47" s="14" t="n">
        <f aca="false">AV47</f>
        <v>503159.723652647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3360</v>
      </c>
      <c r="F48" s="14" t="n">
        <f aca="false">IF($A48&lt;=$G$4,$E$4*$F$4/4,IF(C48&gt;=$B$8+$B$9,E48*$B$4*(1+$B$5)^(($G$4+$B$8+D48*($B$8+$B$10))/4)/4,0))</f>
        <v>264493.606270576</v>
      </c>
      <c r="G48" s="14" t="n">
        <f aca="false">IF($A48&lt;=$G$4,$E$4*$F$4,IF(C48&gt;=$B$8,E48*$B$4*(1+$B$5)^(($G$4+$B$8+D48*($B$8+$B$10))/4),0))</f>
        <v>1057974.4250823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2480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2480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800</v>
      </c>
      <c r="AD48" s="14" t="n">
        <f aca="false">IF($A48&lt;=$G$7,$E$7*$F$7/4,IF(AA48&gt;=$B$8+$B$9,AC48*$B$4*(1+$B$5)^(($G$7+$B$8+AB48*($B$8+$B$10))/4)/4,0))</f>
        <v>62044.0080390748</v>
      </c>
      <c r="AE48" s="14" t="n">
        <f aca="false">IF($A48&lt;=$G$7,$E$7*$F$7,IF(AA48&gt;=$B$8,AC48*$B$4*(1+$B$5)^(($G$7+$B$8+AB48*($B$8+$B$10))/4),0))</f>
        <v>248176.032156299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1728</v>
      </c>
      <c r="AL48" s="14" t="n">
        <f aca="false">IF($A48&lt;=$G$8,$E$8*$F$8/4,IF(AI48&gt;=$B$8+$B$9,AK48*$B$4*(1+$B$5)^(($G$8+$B$8+AJ48*($B$8+$B$10))/4)/4,0))</f>
        <v>131055.283193166</v>
      </c>
      <c r="AM48" s="14" t="n">
        <f aca="false">IF($A48&lt;=$G$8,$E$8*$F$8,IF(AI48&gt;=$B$8,AK48*$B$4*(1+$B$5)^(($G$8+$B$8+AJ48*($B$8+$B$10))/4),0))</f>
        <v>524221.132772663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571552.897502816</v>
      </c>
      <c r="AQ48" s="14" t="n">
        <f aca="false">G48+O48+W48+AE48+AM48</f>
        <v>2286211.59001127</v>
      </c>
      <c r="AR48" s="14" t="n">
        <f aca="false">H48+P48+X48+AF48+AN48+IF($A48=$B$15,$B$14,0)</f>
        <v>0</v>
      </c>
      <c r="AS48" s="21" t="n">
        <f aca="false">I48+Q48+Y48+AG48+AO48</f>
        <v>2480</v>
      </c>
      <c r="AT48" s="14" t="n">
        <f aca="false">AP48*(1-$B$12)-AS48*$B$13/4</f>
        <v>503159.723652647</v>
      </c>
      <c r="AU48" s="14" t="n">
        <f aca="false">0</f>
        <v>0</v>
      </c>
      <c r="AV48" s="14" t="n">
        <f aca="false">AT48-AR48-AU48</f>
        <v>503159.723652647</v>
      </c>
      <c r="AW48" s="21" t="n">
        <f aca="false">(1+$B$16)^(-$A48/4)</f>
        <v>0.701484251648903</v>
      </c>
      <c r="AX48" s="14" t="n">
        <f aca="false">AV48*AW48</f>
        <v>352958.622206346</v>
      </c>
      <c r="AY48" s="14" t="n">
        <f aca="false">AV48</f>
        <v>503159.723652647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3360</v>
      </c>
      <c r="F49" s="14" t="n">
        <f aca="false">IF($A49&lt;=$G$4,$E$4*$F$4/4,IF(C49&gt;=$B$8+$B$9,E49*$B$4*(1+$B$5)^(($G$4+$B$8+D49*($B$8+$B$10))/4)/4,0))</f>
        <v>264493.606270576</v>
      </c>
      <c r="G49" s="14" t="n">
        <f aca="false">IF($A49&lt;=$G$4,$E$4*$F$4,IF(C49&gt;=$B$8,E49*$B$4*(1+$B$5)^(($G$4+$B$8+D49*($B$8+$B$10))/4),0))</f>
        <v>1057974.4250823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2480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798521.541044437</v>
      </c>
      <c r="P49" s="14" t="n">
        <f aca="false">IF($A49&lt;=$G$5,0,IF(K49=0,M49*$B$6*(1+$B$7)^(($G$5+L49*($B$8+$B$10))/4),0)+IF(K49=$B$8,$B$11*$B$4*(1+$B$5)^(($G$5+$B$8+L49*($B$8+$B$10))/4)*M49,0))</f>
        <v>95822.5849253324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800</v>
      </c>
      <c r="AD49" s="14" t="n">
        <f aca="false">IF($A49&lt;=$G$7,$E$7*$F$7/4,IF(AA49&gt;=$B$8+$B$9,AC49*$B$4*(1+$B$5)^(($G$7+$B$8+AB49*($B$8+$B$10))/4)/4,0))</f>
        <v>62044.0080390748</v>
      </c>
      <c r="AE49" s="14" t="n">
        <f aca="false">IF($A49&lt;=$G$7,$E$7*$F$7,IF(AA49&gt;=$B$8,AC49*$B$4*(1+$B$5)^(($G$7+$B$8+AB49*($B$8+$B$10))/4),0))</f>
        <v>248176.032156299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1728</v>
      </c>
      <c r="AL49" s="14" t="n">
        <f aca="false">IF($A49&lt;=$G$8,$E$8*$F$8/4,IF(AI49&gt;=$B$8+$B$9,AK49*$B$4*(1+$B$5)^(($G$8+$B$8+AJ49*($B$8+$B$10))/4)/4,0))</f>
        <v>131055.283193166</v>
      </c>
      <c r="AM49" s="14" t="n">
        <f aca="false">IF($A49&lt;=$G$8,$E$8*$F$8,IF(AI49&gt;=$B$8,AK49*$B$4*(1+$B$5)^(($G$8+$B$8+AJ49*($B$8+$B$10))/4),0))</f>
        <v>524221.132772663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571552.897502816</v>
      </c>
      <c r="AQ49" s="14" t="n">
        <f aca="false">G49+O49+W49+AE49+AM49</f>
        <v>3084733.1310557</v>
      </c>
      <c r="AR49" s="14" t="n">
        <f aca="false">H49+P49+X49+AF49+AN49+IF($A49=$B$15,$B$14,0)</f>
        <v>95822.5849253324</v>
      </c>
      <c r="AS49" s="21" t="n">
        <f aca="false">I49+Q49+Y49+AG49+AO49</f>
        <v>0</v>
      </c>
      <c r="AT49" s="14" t="n">
        <f aca="false">AP49*(1-$B$12)-AS49*$B$13/4</f>
        <v>537259.723652647</v>
      </c>
      <c r="AU49" s="14" t="n">
        <f aca="false">0</f>
        <v>0</v>
      </c>
      <c r="AV49" s="14" t="n">
        <f aca="false">AT49-AR49-AU49</f>
        <v>441437.138727315</v>
      </c>
      <c r="AW49" s="21" t="n">
        <f aca="false">(1+$B$16)^(-$A49/4)</f>
        <v>0.688515316427484</v>
      </c>
      <c r="AX49" s="14" t="n">
        <f aca="false">AV49*AW49</f>
        <v>303936.23125368</v>
      </c>
      <c r="AY49" s="14" t="n">
        <f aca="false">AV49</f>
        <v>441437.138727315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3360</v>
      </c>
      <c r="F50" s="14" t="n">
        <f aca="false">IF($A50&lt;=$G$4,$E$4*$F$4/4,IF(C50&gt;=$B$8+$B$9,E50*$B$4*(1+$B$5)^(($G$4+$B$8+D50*($B$8+$B$10))/4)/4,0))</f>
        <v>264493.606270576</v>
      </c>
      <c r="G50" s="14" t="n">
        <f aca="false">IF($A50&lt;=$G$4,$E$4*$F$4,IF(C50&gt;=$B$8,E50*$B$4*(1+$B$5)^(($G$4+$B$8+D50*($B$8+$B$10))/4),0))</f>
        <v>1057974.4250823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2480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798521.541044437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800</v>
      </c>
      <c r="AD50" s="14" t="n">
        <f aca="false">IF($A50&lt;=$G$7,$E$7*$F$7/4,IF(AA50&gt;=$B$8+$B$9,AC50*$B$4*(1+$B$5)^(($G$7+$B$8+AB50*($B$8+$B$10))/4)/4,0))</f>
        <v>62044.0080390748</v>
      </c>
      <c r="AE50" s="14" t="n">
        <f aca="false">IF($A50&lt;=$G$7,$E$7*$F$7,IF(AA50&gt;=$B$8,AC50*$B$4*(1+$B$5)^(($G$7+$B$8+AB50*($B$8+$B$10))/4),0))</f>
        <v>248176.032156299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1728</v>
      </c>
      <c r="AL50" s="14" t="n">
        <f aca="false">IF($A50&lt;=$G$8,$E$8*$F$8/4,IF(AI50&gt;=$B$8+$B$9,AK50*$B$4*(1+$B$5)^(($G$8+$B$8+AJ50*($B$8+$B$10))/4)/4,0))</f>
        <v>131055.283193166</v>
      </c>
      <c r="AM50" s="14" t="n">
        <f aca="false">IF($A50&lt;=$G$8,$E$8*$F$8,IF(AI50&gt;=$B$8,AK50*$B$4*(1+$B$5)^(($G$8+$B$8+AJ50*($B$8+$B$10))/4),0))</f>
        <v>524221.132772663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571552.897502816</v>
      </c>
      <c r="AQ50" s="14" t="n">
        <f aca="false">G50+O50+W50+AE50+AM50</f>
        <v>3084733.1310557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537259.723652647</v>
      </c>
      <c r="AU50" s="14" t="n">
        <f aca="false">0</f>
        <v>0</v>
      </c>
      <c r="AV50" s="14" t="n">
        <f aca="false">AT50-AR50-AU50</f>
        <v>537259.723652647</v>
      </c>
      <c r="AW50" s="21" t="n">
        <f aca="false">(1+$B$16)^(-$A50/4)</f>
        <v>0.675786148927696</v>
      </c>
      <c r="AX50" s="14" t="n">
        <f aca="false">AV50*AW50</f>
        <v>363072.67962118</v>
      </c>
      <c r="AY50" s="14" t="n">
        <f aca="false">AV50</f>
        <v>537259.723652647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3360</v>
      </c>
      <c r="F51" s="14" t="n">
        <f aca="false">IF($A51&lt;=$G$4,$E$4*$F$4/4,IF(C51&gt;=$B$8+$B$9,E51*$B$4*(1+$B$5)^(($G$4+$B$8+D51*($B$8+$B$10))/4)/4,0))</f>
        <v>264493.606270576</v>
      </c>
      <c r="G51" s="14" t="n">
        <f aca="false">IF($A51&lt;=$G$4,$E$4*$F$4,IF(C51&gt;=$B$8,E51*$B$4*(1+$B$5)^(($G$4+$B$8+D51*($B$8+$B$10))/4),0))</f>
        <v>1057974.4250823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2480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798521.541044437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800</v>
      </c>
      <c r="AD51" s="14" t="n">
        <f aca="false">IF($A51&lt;=$G$7,$E$7*$F$7/4,IF(AA51&gt;=$B$8+$B$9,AC51*$B$4*(1+$B$5)^(($G$7+$B$8+AB51*($B$8+$B$10))/4)/4,0))</f>
        <v>62044.0080390748</v>
      </c>
      <c r="AE51" s="14" t="n">
        <f aca="false">IF($A51&lt;=$G$7,$E$7*$F$7,IF(AA51&gt;=$B$8,AC51*$B$4*(1+$B$5)^(($G$7+$B$8+AB51*($B$8+$B$10))/4),0))</f>
        <v>248176.032156299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1728</v>
      </c>
      <c r="AL51" s="14" t="n">
        <f aca="false">IF($A51&lt;=$G$8,$E$8*$F$8/4,IF(AI51&gt;=$B$8+$B$9,AK51*$B$4*(1+$B$5)^(($G$8+$B$8+AJ51*($B$8+$B$10))/4)/4,0))</f>
        <v>131055.283193166</v>
      </c>
      <c r="AM51" s="14" t="n">
        <f aca="false">IF($A51&lt;=$G$8,$E$8*$F$8,IF(AI51&gt;=$B$8,AK51*$B$4*(1+$B$5)^(($G$8+$B$8+AJ51*($B$8+$B$10))/4),0))</f>
        <v>524221.132772663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571552.897502816</v>
      </c>
      <c r="AQ51" s="14" t="n">
        <f aca="false">G51+O51+W51+AE51+AM51</f>
        <v>3084733.1310557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537259.723652647</v>
      </c>
      <c r="AU51" s="14" t="n">
        <f aca="false">0</f>
        <v>0</v>
      </c>
      <c r="AV51" s="14" t="n">
        <f aca="false">AT51-AR51-AU51</f>
        <v>537259.723652647</v>
      </c>
      <c r="AW51" s="21" t="n">
        <f aca="false">(1+$B$16)^(-$A51/4)</f>
        <v>0.663292316360002</v>
      </c>
      <c r="AX51" s="14" t="n">
        <f aca="false">AV51*AW51</f>
        <v>356360.246588499</v>
      </c>
      <c r="AY51" s="14" t="n">
        <f aca="false">AV51</f>
        <v>537259.723652647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3360</v>
      </c>
      <c r="F52" s="14" t="n">
        <f aca="false">IF($A52&lt;=$G$4,$E$4*$F$4/4,IF(C52&gt;=$B$8+$B$9,E52*$B$4*(1+$B$5)^(($G$4+$B$8+D52*($B$8+$B$10))/4)/4,0))</f>
        <v>264493.606270576</v>
      </c>
      <c r="G52" s="14" t="n">
        <f aca="false">IF($A52&lt;=$G$4,$E$4*$F$4,IF(C52&gt;=$B$8,E52*$B$4*(1+$B$5)^(($G$4+$B$8+D52*($B$8+$B$10))/4),0))</f>
        <v>1057974.4250823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2480</v>
      </c>
      <c r="N52" s="14" t="n">
        <f aca="false">IF($A52&lt;=$G$5,$E$5*$F$5/4,IF(K52&gt;=$B$8+$B$9,M52*$B$4*(1+$B$5)^(($G$5+$B$8+L52*($B$8+$B$10))/4)/4,0))</f>
        <v>199630.385261109</v>
      </c>
      <c r="O52" s="14" t="n">
        <f aca="false">IF($A52&lt;=$G$5,$E$5*$F$5,IF(K52&gt;=$B$8,M52*$B$4*(1+$B$5)^(($G$5+$B$8+L52*($B$8+$B$10))/4),0))</f>
        <v>798521.541044437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800</v>
      </c>
      <c r="AD52" s="14" t="n">
        <f aca="false">IF($A52&lt;=$G$7,$E$7*$F$7/4,IF(AA52&gt;=$B$8+$B$9,AC52*$B$4*(1+$B$5)^(($G$7+$B$8+AB52*($B$8+$B$10))/4)/4,0))</f>
        <v>62044.0080390748</v>
      </c>
      <c r="AE52" s="14" t="n">
        <f aca="false">IF($A52&lt;=$G$7,$E$7*$F$7,IF(AA52&gt;=$B$8,AC52*$B$4*(1+$B$5)^(($G$7+$B$8+AB52*($B$8+$B$10))/4),0))</f>
        <v>248176.032156299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1728</v>
      </c>
      <c r="AL52" s="14" t="n">
        <f aca="false">IF($A52&lt;=$G$8,$E$8*$F$8/4,IF(AI52&gt;=$B$8+$B$9,AK52*$B$4*(1+$B$5)^(($G$8+$B$8+AJ52*($B$8+$B$10))/4)/4,0))</f>
        <v>131055.283193166</v>
      </c>
      <c r="AM52" s="14" t="n">
        <f aca="false">IF($A52&lt;=$G$8,$E$8*$F$8,IF(AI52&gt;=$B$8,AK52*$B$4*(1+$B$5)^(($G$8+$B$8+AJ52*($B$8+$B$10))/4),0))</f>
        <v>524221.132772663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771183.282763926</v>
      </c>
      <c r="AQ52" s="14" t="n">
        <f aca="false">G52+O52+W52+AE52+AM52</f>
        <v>3084733.1310557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724912.28579809</v>
      </c>
      <c r="AU52" s="14" t="n">
        <f aca="false">0</f>
        <v>0</v>
      </c>
      <c r="AV52" s="14" t="n">
        <f aca="false">AT52-AR52-AU52</f>
        <v>724912.28579809</v>
      </c>
      <c r="AW52" s="21" t="n">
        <f aca="false">(1+$B$16)^(-$A52/4)</f>
        <v>0.651029467887613</v>
      </c>
      <c r="AX52" s="14" t="n">
        <f aca="false">AV52*AW52</f>
        <v>471939.259688324</v>
      </c>
      <c r="AY52" s="14" t="n">
        <f aca="false">AV52</f>
        <v>724912.28579809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3360</v>
      </c>
      <c r="F53" s="14" t="n">
        <f aca="false">IF($A53&lt;=$G$4,$E$4*$F$4/4,IF(C53&gt;=$B$8+$B$9,E53*$B$4*(1+$B$5)^(($G$4+$B$8+D53*($B$8+$B$10))/4)/4,0))</f>
        <v>264493.606270576</v>
      </c>
      <c r="G53" s="14" t="n">
        <f aca="false">IF($A53&lt;=$G$4,$E$4*$F$4,IF(C53&gt;=$B$8,E53*$B$4*(1+$B$5)^(($G$4+$B$8+D53*($B$8+$B$10))/4),0))</f>
        <v>1057974.4250823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2480</v>
      </c>
      <c r="N53" s="14" t="n">
        <f aca="false">IF($A53&lt;=$G$5,$E$5*$F$5/4,IF(K53&gt;=$B$8+$B$9,M53*$B$4*(1+$B$5)^(($G$5+$B$8+L53*($B$8+$B$10))/4)/4,0))</f>
        <v>199630.385261109</v>
      </c>
      <c r="O53" s="14" t="n">
        <f aca="false">IF($A53&lt;=$G$5,$E$5*$F$5,IF(K53&gt;=$B$8,M53*$B$4*(1+$B$5)^(($G$5+$B$8+L53*($B$8+$B$10))/4),0))</f>
        <v>798521.541044437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800</v>
      </c>
      <c r="AD53" s="14" t="n">
        <f aca="false">IF($A53&lt;=$G$7,$E$7*$F$7/4,IF(AA53&gt;=$B$8+$B$9,AC53*$B$4*(1+$B$5)^(($G$7+$B$8+AB53*($B$8+$B$10))/4)/4,0))</f>
        <v>62044.0080390748</v>
      </c>
      <c r="AE53" s="14" t="n">
        <f aca="false">IF($A53&lt;=$G$7,$E$7*$F$7,IF(AA53&gt;=$B$8,AC53*$B$4*(1+$B$5)^(($G$7+$B$8+AB53*($B$8+$B$10))/4),0))</f>
        <v>248176.032156299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1382.4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669183.526925966</v>
      </c>
      <c r="AO53" s="21" t="n">
        <f aca="false">IF($A53&lt;=$G$8,0,IF(AI53&lt;$B$8,AK53,0))</f>
        <v>1382.4</v>
      </c>
      <c r="AP53" s="14" t="n">
        <f aca="false">F53+N53+V53+AD53+AL53</f>
        <v>640127.99957076</v>
      </c>
      <c r="AQ53" s="14" t="n">
        <f aca="false">G53+O53+W53+AE53+AM53</f>
        <v>2560511.99828304</v>
      </c>
      <c r="AR53" s="14" t="n">
        <f aca="false">H53+P53+X53+AF53+AN53+IF($A53=$B$15,$B$14,0)</f>
        <v>669183.526925966</v>
      </c>
      <c r="AS53" s="21" t="n">
        <f aca="false">I53+Q53+Y53+AG53+AO53</f>
        <v>1382.4</v>
      </c>
      <c r="AT53" s="14" t="n">
        <f aca="false">AP53*(1-$B$12)-AS53*$B$13/4</f>
        <v>582712.319596514</v>
      </c>
      <c r="AU53" s="14" t="n">
        <f aca="false">0</f>
        <v>0</v>
      </c>
      <c r="AV53" s="14" t="n">
        <f aca="false">AT53-AR53-AU53</f>
        <v>-86471.2073294522</v>
      </c>
      <c r="AW53" s="21" t="n">
        <f aca="false">(1+$B$16)^(-$A53/4)</f>
        <v>0.638993333111354</v>
      </c>
      <c r="AX53" s="14" t="n">
        <f aca="false">AV53*AW53</f>
        <v>-55254.5249896096</v>
      </c>
      <c r="AY53" s="14" t="n">
        <f aca="false">AV53</f>
        <v>-86471.2073294522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3360</v>
      </c>
      <c r="F54" s="14" t="n">
        <f aca="false">IF($A54&lt;=$G$4,$E$4*$F$4/4,IF(C54&gt;=$B$8+$B$9,E54*$B$4*(1+$B$5)^(($G$4+$B$8+D54*($B$8+$B$10))/4)/4,0))</f>
        <v>264493.606270576</v>
      </c>
      <c r="G54" s="14" t="n">
        <f aca="false">IF($A54&lt;=$G$4,$E$4*$F$4,IF(C54&gt;=$B$8,E54*$B$4*(1+$B$5)^(($G$4+$B$8+D54*($B$8+$B$10))/4),0))</f>
        <v>1057974.4250823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2480</v>
      </c>
      <c r="N54" s="14" t="n">
        <f aca="false">IF($A54&lt;=$G$5,$E$5*$F$5/4,IF(K54&gt;=$B$8+$B$9,M54*$B$4*(1+$B$5)^(($G$5+$B$8+L54*($B$8+$B$10))/4)/4,0))</f>
        <v>199630.385261109</v>
      </c>
      <c r="O54" s="14" t="n">
        <f aca="false">IF($A54&lt;=$G$5,$E$5*$F$5,IF(K54&gt;=$B$8,M54*$B$4*(1+$B$5)^(($G$5+$B$8+L54*($B$8+$B$10))/4),0))</f>
        <v>798521.541044437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800</v>
      </c>
      <c r="AD54" s="14" t="n">
        <f aca="false">IF($A54&lt;=$G$7,$E$7*$F$7/4,IF(AA54&gt;=$B$8+$B$9,AC54*$B$4*(1+$B$5)^(($G$7+$B$8+AB54*($B$8+$B$10))/4)/4,0))</f>
        <v>62044.0080390748</v>
      </c>
      <c r="AE54" s="14" t="n">
        <f aca="false">IF($A54&lt;=$G$7,$E$7*$F$7,IF(AA54&gt;=$B$8,AC54*$B$4*(1+$B$5)^(($G$7+$B$8+AB54*($B$8+$B$10))/4),0))</f>
        <v>248176.032156299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1382.4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1382.4</v>
      </c>
      <c r="AP54" s="14" t="n">
        <f aca="false">F54+N54+V54+AD54+AL54</f>
        <v>640127.99957076</v>
      </c>
      <c r="AQ54" s="14" t="n">
        <f aca="false">G54+O54+W54+AE54+AM54</f>
        <v>2560511.99828304</v>
      </c>
      <c r="AR54" s="14" t="n">
        <f aca="false">H54+P54+X54+AF54+AN54+IF($A54=$B$15,$B$14,0)</f>
        <v>0</v>
      </c>
      <c r="AS54" s="21" t="n">
        <f aca="false">I54+Q54+Y54+AG54+AO54</f>
        <v>1382.4</v>
      </c>
      <c r="AT54" s="14" t="n">
        <f aca="false">AP54*(1-$B$12)-AS54*$B$13/4</f>
        <v>582712.319596514</v>
      </c>
      <c r="AU54" s="14" t="n">
        <f aca="false">0</f>
        <v>0</v>
      </c>
      <c r="AV54" s="14" t="n">
        <f aca="false">AT54-AR54-AU54</f>
        <v>582712.319596514</v>
      </c>
      <c r="AW54" s="21" t="n">
        <f aca="false">(1+$B$16)^(-$A54/4)</f>
        <v>0.627179720582548</v>
      </c>
      <c r="AX54" s="14" t="n">
        <f aca="false">AV54*AW54</f>
        <v>365465.34978455</v>
      </c>
      <c r="AY54" s="14" t="n">
        <f aca="false">AV54</f>
        <v>582712.319596514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3360</v>
      </c>
      <c r="F55" s="14" t="n">
        <f aca="false">IF($A55&lt;=$G$4,$E$4*$F$4/4,IF(C55&gt;=$B$8+$B$9,E55*$B$4*(1+$B$5)^(($G$4+$B$8+D55*($B$8+$B$10))/4)/4,0))</f>
        <v>264493.606270576</v>
      </c>
      <c r="G55" s="14" t="n">
        <f aca="false">IF($A55&lt;=$G$4,$E$4*$F$4,IF(C55&gt;=$B$8,E55*$B$4*(1+$B$5)^(($G$4+$B$8+D55*($B$8+$B$10))/4),0))</f>
        <v>1057974.4250823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2480</v>
      </c>
      <c r="N55" s="14" t="n">
        <f aca="false">IF($A55&lt;=$G$5,$E$5*$F$5/4,IF(K55&gt;=$B$8+$B$9,M55*$B$4*(1+$B$5)^(($G$5+$B$8+L55*($B$8+$B$10))/4)/4,0))</f>
        <v>199630.385261109</v>
      </c>
      <c r="O55" s="14" t="n">
        <f aca="false">IF($A55&lt;=$G$5,$E$5*$F$5,IF(K55&gt;=$B$8,M55*$B$4*(1+$B$5)^(($G$5+$B$8+L55*($B$8+$B$10))/4),0))</f>
        <v>798521.541044437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800</v>
      </c>
      <c r="AD55" s="14" t="n">
        <f aca="false">IF($A55&lt;=$G$7,$E$7*$F$7/4,IF(AA55&gt;=$B$8+$B$9,AC55*$B$4*(1+$B$5)^(($G$7+$B$8+AB55*($B$8+$B$10))/4)/4,0))</f>
        <v>62044.0080390748</v>
      </c>
      <c r="AE55" s="14" t="n">
        <f aca="false">IF($A55&lt;=$G$7,$E$7*$F$7,IF(AA55&gt;=$B$8,AC55*$B$4*(1+$B$5)^(($G$7+$B$8+AB55*($B$8+$B$10))/4),0))</f>
        <v>248176.032156299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1382.4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1382.4</v>
      </c>
      <c r="AP55" s="14" t="n">
        <f aca="false">F55+N55+V55+AD55+AL55</f>
        <v>640127.99957076</v>
      </c>
      <c r="AQ55" s="14" t="n">
        <f aca="false">G55+O55+W55+AE55+AM55</f>
        <v>2560511.99828304</v>
      </c>
      <c r="AR55" s="14" t="n">
        <f aca="false">H55+P55+X55+AF55+AN55+IF($A55=$B$15,$B$14,0)</f>
        <v>0</v>
      </c>
      <c r="AS55" s="21" t="n">
        <f aca="false">I55+Q55+Y55+AG55+AO55</f>
        <v>1382.4</v>
      </c>
      <c r="AT55" s="14" t="n">
        <f aca="false">AP55*(1-$B$12)-AS55*$B$13/4</f>
        <v>582712.319596514</v>
      </c>
      <c r="AU55" s="14" t="n">
        <f aca="false">0</f>
        <v>0</v>
      </c>
      <c r="AV55" s="14" t="n">
        <f aca="false">AT55-AR55-AU55</f>
        <v>582712.319596514</v>
      </c>
      <c r="AW55" s="21" t="n">
        <f aca="false">(1+$B$16)^(-$A55/4)</f>
        <v>0.615584516343389</v>
      </c>
      <c r="AX55" s="14" t="n">
        <f aca="false">AV55*AW55</f>
        <v>358708.681426155</v>
      </c>
      <c r="AY55" s="14" t="n">
        <f aca="false">AV55</f>
        <v>582712.319596514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3360</v>
      </c>
      <c r="F56" s="14" t="n">
        <f aca="false">IF($A56&lt;=$G$4,$E$4*$F$4/4,IF(C56&gt;=$B$8+$B$9,E56*$B$4*(1+$B$5)^(($G$4+$B$8+D56*($B$8+$B$10))/4)/4,0))</f>
        <v>264493.606270576</v>
      </c>
      <c r="G56" s="14" t="n">
        <f aca="false">IF($A56&lt;=$G$4,$E$4*$F$4,IF(C56&gt;=$B$8,E56*$B$4*(1+$B$5)^(($G$4+$B$8+D56*($B$8+$B$10))/4),0))</f>
        <v>1057974.4250823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2480</v>
      </c>
      <c r="N56" s="14" t="n">
        <f aca="false">IF($A56&lt;=$G$5,$E$5*$F$5/4,IF(K56&gt;=$B$8+$B$9,M56*$B$4*(1+$B$5)^(($G$5+$B$8+L56*($B$8+$B$10))/4)/4,0))</f>
        <v>199630.385261109</v>
      </c>
      <c r="O56" s="14" t="n">
        <f aca="false">IF($A56&lt;=$G$5,$E$5*$F$5,IF(K56&gt;=$B$8,M56*$B$4*(1+$B$5)^(($G$5+$B$8+L56*($B$8+$B$10))/4),0))</f>
        <v>798521.541044437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1232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607526.355751149</v>
      </c>
      <c r="Y56" s="21" t="n">
        <f aca="false">IF($A56&lt;=$G$6,0,IF(S56&lt;$B$8,U56,0))</f>
        <v>1232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800</v>
      </c>
      <c r="AD56" s="14" t="n">
        <f aca="false">IF($A56&lt;=$G$7,$E$7*$F$7/4,IF(AA56&gt;=$B$8+$B$9,AC56*$B$4*(1+$B$5)^(($G$7+$B$8+AB56*($B$8+$B$10))/4)/4,0))</f>
        <v>62044.0080390748</v>
      </c>
      <c r="AE56" s="14" t="n">
        <f aca="false">IF($A56&lt;=$G$7,$E$7*$F$7,IF(AA56&gt;=$B$8,AC56*$B$4*(1+$B$5)^(($G$7+$B$8+AB56*($B$8+$B$10))/4),0))</f>
        <v>248176.032156299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1382.4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456861.177195196</v>
      </c>
      <c r="AN56" s="14" t="n">
        <f aca="false">IF($A56&lt;=$G$8,0,IF(AI56=0,AK56*$B$6*(1+$B$7)^(($G$8+AJ56*($B$8+$B$10))/4),0)+IF(AI56=$B$8,$B$11*$B$4*(1+$B$5)^(($G$8+$B$8+AJ56*($B$8+$B$10))/4)*AK56,0))</f>
        <v>54823.3412634235</v>
      </c>
      <c r="AO56" s="21" t="n">
        <f aca="false">IF($A56&lt;=$G$8,0,IF(AI56&lt;$B$8,AK56,0))</f>
        <v>0</v>
      </c>
      <c r="AP56" s="14" t="n">
        <f aca="false">F56+N56+V56+AD56+AL56</f>
        <v>526167.99957076</v>
      </c>
      <c r="AQ56" s="14" t="n">
        <f aca="false">G56+O56+W56+AE56+AM56</f>
        <v>2561533.17547824</v>
      </c>
      <c r="AR56" s="14" t="n">
        <f aca="false">H56+P56+X56+AF56+AN56+IF($A56=$B$15,$B$14,0)</f>
        <v>662349.697014573</v>
      </c>
      <c r="AS56" s="21" t="n">
        <f aca="false">I56+Q56+Y56+AG56+AO56</f>
        <v>1232</v>
      </c>
      <c r="AT56" s="14" t="n">
        <f aca="false">AP56*(1-$B$12)-AS56*$B$13/4</f>
        <v>477657.919596514</v>
      </c>
      <c r="AU56" s="14" t="n">
        <f aca="false">0</f>
        <v>0</v>
      </c>
      <c r="AV56" s="14" t="n">
        <f aca="false">AT56-AR56-AU56</f>
        <v>-184691.777418059</v>
      </c>
      <c r="AW56" s="21" t="n">
        <f aca="false">(1+$B$16)^(-$A56/4)</f>
        <v>0.604203682494304</v>
      </c>
      <c r="AX56" s="14" t="n">
        <f aca="false">AV56*AW56</f>
        <v>-111591.452042409</v>
      </c>
      <c r="AY56" s="14" t="n">
        <f aca="false">AV56</f>
        <v>-184691.777418059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3360</v>
      </c>
      <c r="F57" s="14" t="n">
        <f aca="false">IF($A57&lt;=$G$4,$E$4*$F$4/4,IF(C57&gt;=$B$8+$B$9,E57*$B$4*(1+$B$5)^(($G$4+$B$8+D57*($B$8+$B$10))/4)/4,0))</f>
        <v>264493.606270576</v>
      </c>
      <c r="G57" s="14" t="n">
        <f aca="false">IF($A57&lt;=$G$4,$E$4*$F$4,IF(C57&gt;=$B$8,E57*$B$4*(1+$B$5)^(($G$4+$B$8+D57*($B$8+$B$10))/4),0))</f>
        <v>1057974.4250823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2480</v>
      </c>
      <c r="N57" s="14" t="n">
        <f aca="false">IF($A57&lt;=$G$5,$E$5*$F$5/4,IF(K57&gt;=$B$8+$B$9,M57*$B$4*(1+$B$5)^(($G$5+$B$8+L57*($B$8+$B$10))/4)/4,0))</f>
        <v>199630.385261109</v>
      </c>
      <c r="O57" s="14" t="n">
        <f aca="false">IF($A57&lt;=$G$5,$E$5*$F$5,IF(K57&gt;=$B$8,M57*$B$4*(1+$B$5)^(($G$5+$B$8+L57*($B$8+$B$10))/4),0))</f>
        <v>798521.541044437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1232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1232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800</v>
      </c>
      <c r="AD57" s="14" t="n">
        <f aca="false">IF($A57&lt;=$G$7,$E$7*$F$7/4,IF(AA57&gt;=$B$8+$B$9,AC57*$B$4*(1+$B$5)^(($G$7+$B$8+AB57*($B$8+$B$10))/4)/4,0))</f>
        <v>62044.0080390748</v>
      </c>
      <c r="AE57" s="14" t="n">
        <f aca="false">IF($A57&lt;=$G$7,$E$7*$F$7,IF(AA57&gt;=$B$8,AC57*$B$4*(1+$B$5)^(($G$7+$B$8+AB57*($B$8+$B$10))/4),0))</f>
        <v>248176.032156299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1382.4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456861.177195196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526167.99957076</v>
      </c>
      <c r="AQ57" s="14" t="n">
        <f aca="false">G57+O57+W57+AE57+AM57</f>
        <v>2561533.17547824</v>
      </c>
      <c r="AR57" s="14" t="n">
        <f aca="false">H57+P57+X57+AF57+AN57+IF($A57=$B$15,$B$14,0)</f>
        <v>0</v>
      </c>
      <c r="AS57" s="21" t="n">
        <f aca="false">I57+Q57+Y57+AG57+AO57</f>
        <v>1232</v>
      </c>
      <c r="AT57" s="14" t="n">
        <f aca="false">AP57*(1-$B$12)-AS57*$B$13/4</f>
        <v>477657.919596514</v>
      </c>
      <c r="AU57" s="14" t="n">
        <f aca="false">0</f>
        <v>0</v>
      </c>
      <c r="AV57" s="14" t="n">
        <f aca="false">AT57-AR57-AU57</f>
        <v>477657.919596514</v>
      </c>
      <c r="AW57" s="21" t="n">
        <f aca="false">(1+$B$16)^(-$A57/4)</f>
        <v>0.5930332557878</v>
      </c>
      <c r="AX57" s="14" t="n">
        <f aca="false">AV57*AW57</f>
        <v>283267.031211148</v>
      </c>
      <c r="AY57" s="14" t="n">
        <f aca="false">AV57</f>
        <v>477657.919596514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3360</v>
      </c>
      <c r="F58" s="14" t="n">
        <f aca="false">IF($A58&lt;=$G$4,$E$4*$F$4/4,IF(C58&gt;=$B$8+$B$9,E58*$B$4*(1+$B$5)^(($G$4+$B$8+D58*($B$8+$B$10))/4)/4,0))</f>
        <v>264493.606270576</v>
      </c>
      <c r="G58" s="14" t="n">
        <f aca="false">IF($A58&lt;=$G$4,$E$4*$F$4,IF(C58&gt;=$B$8,E58*$B$4*(1+$B$5)^(($G$4+$B$8+D58*($B$8+$B$10))/4),0))</f>
        <v>1057974.4250823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2480</v>
      </c>
      <c r="N58" s="14" t="n">
        <f aca="false">IF($A58&lt;=$G$5,$E$5*$F$5/4,IF(K58&gt;=$B$8+$B$9,M58*$B$4*(1+$B$5)^(($G$5+$B$8+L58*($B$8+$B$10))/4)/4,0))</f>
        <v>199630.385261109</v>
      </c>
      <c r="O58" s="14" t="n">
        <f aca="false">IF($A58&lt;=$G$5,$E$5*$F$5,IF(K58&gt;=$B$8,M58*$B$4*(1+$B$5)^(($G$5+$B$8+L58*($B$8+$B$10))/4),0))</f>
        <v>798521.541044437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1232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1232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800</v>
      </c>
      <c r="AD58" s="14" t="n">
        <f aca="false">IF($A58&lt;=$G$7,$E$7*$F$7/4,IF(AA58&gt;=$B$8+$B$9,AC58*$B$4*(1+$B$5)^(($G$7+$B$8+AB58*($B$8+$B$10))/4)/4,0))</f>
        <v>62044.0080390748</v>
      </c>
      <c r="AE58" s="14" t="n">
        <f aca="false">IF($A58&lt;=$G$7,$E$7*$F$7,IF(AA58&gt;=$B$8,AC58*$B$4*(1+$B$5)^(($G$7+$B$8+AB58*($B$8+$B$10))/4),0))</f>
        <v>248176.032156299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1382.4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456861.177195196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526167.99957076</v>
      </c>
      <c r="AQ58" s="14" t="n">
        <f aca="false">G58+O58+W58+AE58+AM58</f>
        <v>2561533.17547824</v>
      </c>
      <c r="AR58" s="14" t="n">
        <f aca="false">H58+P58+X58+AF58+AN58+IF($A58=$B$15,$B$14,0)</f>
        <v>0</v>
      </c>
      <c r="AS58" s="21" t="n">
        <f aca="false">I58+Q58+Y58+AG58+AO58</f>
        <v>1232</v>
      </c>
      <c r="AT58" s="14" t="n">
        <f aca="false">AP58*(1-$B$12)-AS58*$B$13/4</f>
        <v>477657.919596514</v>
      </c>
      <c r="AU58" s="14" t="n">
        <f aca="false">0</f>
        <v>0</v>
      </c>
      <c r="AV58" s="14" t="n">
        <f aca="false">AT58-AR58-AU58</f>
        <v>477657.919596514</v>
      </c>
      <c r="AW58" s="21" t="n">
        <f aca="false">(1+$B$16)^(-$A58/4)</f>
        <v>0.582069346248305</v>
      </c>
      <c r="AX58" s="14" t="n">
        <f aca="false">AV58*AW58</f>
        <v>278030.032989868</v>
      </c>
      <c r="AY58" s="14" t="n">
        <f aca="false">AV58</f>
        <v>477657.919596514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3360</v>
      </c>
      <c r="F59" s="14" t="n">
        <f aca="false">IF($A59&lt;=$G$4,$E$4*$F$4/4,IF(C59&gt;=$B$8+$B$9,E59*$B$4*(1+$B$5)^(($G$4+$B$8+D59*($B$8+$B$10))/4)/4,0))</f>
        <v>264493.606270576</v>
      </c>
      <c r="G59" s="14" t="n">
        <f aca="false">IF($A59&lt;=$G$4,$E$4*$F$4,IF(C59&gt;=$B$8,E59*$B$4*(1+$B$5)^(($G$4+$B$8+D59*($B$8+$B$10))/4),0))</f>
        <v>1057974.4250823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2480</v>
      </c>
      <c r="N59" s="14" t="n">
        <f aca="false">IF($A59&lt;=$G$5,$E$5*$F$5/4,IF(K59&gt;=$B$8+$B$9,M59*$B$4*(1+$B$5)^(($G$5+$B$8+L59*($B$8+$B$10))/4)/4,0))</f>
        <v>199630.385261109</v>
      </c>
      <c r="O59" s="14" t="n">
        <f aca="false">IF($A59&lt;=$G$5,$E$5*$F$5,IF(K59&gt;=$B$8,M59*$B$4*(1+$B$5)^(($G$5+$B$8+L59*($B$8+$B$10))/4),0))</f>
        <v>798521.541044437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1232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411728.347167792</v>
      </c>
      <c r="X59" s="14" t="n">
        <f aca="false">IF($A59&lt;=$G$6,0,IF(S59=0,U59*$B$6*(1+$B$7)^(($G$6+T59*($B$8+$B$10))/4),0)+IF(S59=$B$8,$B$11*$B$4*(1+$B$5)^(($G$6+$B$8+T59*($B$8+$B$10))/4)*U59,0))</f>
        <v>49407.401660135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640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321497.269271459</v>
      </c>
      <c r="AG59" s="21" t="n">
        <f aca="false">IF($A59&lt;=$G$7,0,IF(AA59&lt;$B$8,AC59,0))</f>
        <v>640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1382.4</v>
      </c>
      <c r="AL59" s="14" t="n">
        <f aca="false">IF($A59&lt;=$G$8,$E$8*$F$8/4,IF(AI59&gt;=$B$8+$B$9,AK59*$B$4*(1+$B$5)^(($G$8+$B$8+AJ59*($B$8+$B$10))/4)/4,0))</f>
        <v>114215.294298799</v>
      </c>
      <c r="AM59" s="14" t="n">
        <f aca="false">IF($A59&lt;=$G$8,$E$8*$F$8,IF(AI59&gt;=$B$8,AK59*$B$4*(1+$B$5)^(($G$8+$B$8+AJ59*($B$8+$B$10))/4),0))</f>
        <v>456861.177195196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578339.285830484</v>
      </c>
      <c r="AQ59" s="14" t="n">
        <f aca="false">G59+O59+W59+AE59+AM59</f>
        <v>2725085.49048973</v>
      </c>
      <c r="AR59" s="14" t="n">
        <f aca="false">H59+P59+X59+AF59+AN59+IF($A59=$B$15,$B$14,0)</f>
        <v>370904.670931594</v>
      </c>
      <c r="AS59" s="21" t="n">
        <f aca="false">I59+Q59+Y59+AG59+AO59</f>
        <v>640</v>
      </c>
      <c r="AT59" s="14" t="n">
        <f aca="false">AP59*(1-$B$12)-AS59*$B$13/4</f>
        <v>534838.928680655</v>
      </c>
      <c r="AU59" s="14" t="n">
        <f aca="false">0</f>
        <v>0</v>
      </c>
      <c r="AV59" s="14" t="n">
        <f aca="false">AT59-AR59-AU59</f>
        <v>163934.257749061</v>
      </c>
      <c r="AW59" s="21" t="n">
        <f aca="false">(1+$B$16)^(-$A59/4)</f>
        <v>0.571308135817531</v>
      </c>
      <c r="AX59" s="14" t="n">
        <f aca="false">AV59*AW59</f>
        <v>93656.9751912468</v>
      </c>
      <c r="AY59" s="14" t="n">
        <f aca="false">AV59</f>
        <v>163934.257749061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3360</v>
      </c>
      <c r="F60" s="14" t="n">
        <f aca="false">IF($A60&lt;=$G$4,$E$4*$F$4/4,IF(C60&gt;=$B$8+$B$9,E60*$B$4*(1+$B$5)^(($G$4+$B$8+D60*($B$8+$B$10))/4)/4,0))</f>
        <v>264493.606270576</v>
      </c>
      <c r="G60" s="14" t="n">
        <f aca="false">IF($A60&lt;=$G$4,$E$4*$F$4,IF(C60&gt;=$B$8,E60*$B$4*(1+$B$5)^(($G$4+$B$8+D60*($B$8+$B$10))/4),0))</f>
        <v>1057974.4250823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2480</v>
      </c>
      <c r="N60" s="14" t="n">
        <f aca="false">IF($A60&lt;=$G$5,$E$5*$F$5/4,IF(K60&gt;=$B$8+$B$9,M60*$B$4*(1+$B$5)^(($G$5+$B$8+L60*($B$8+$B$10))/4)/4,0))</f>
        <v>199630.385261109</v>
      </c>
      <c r="O60" s="14" t="n">
        <f aca="false">IF($A60&lt;=$G$5,$E$5*$F$5,IF(K60&gt;=$B$8,M60*$B$4*(1+$B$5)^(($G$5+$B$8+L60*($B$8+$B$10))/4),0))</f>
        <v>798521.541044437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1232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411728.347167792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640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640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1382.4</v>
      </c>
      <c r="AL60" s="14" t="n">
        <f aca="false">IF($A60&lt;=$G$8,$E$8*$F$8/4,IF(AI60&gt;=$B$8+$B$9,AK60*$B$4*(1+$B$5)^(($G$8+$B$8+AJ60*($B$8+$B$10))/4)/4,0))</f>
        <v>114215.294298799</v>
      </c>
      <c r="AM60" s="14" t="n">
        <f aca="false">IF($A60&lt;=$G$8,$E$8*$F$8,IF(AI60&gt;=$B$8,AK60*$B$4*(1+$B$5)^(($G$8+$B$8+AJ60*($B$8+$B$10))/4),0))</f>
        <v>456861.177195196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578339.285830484</v>
      </c>
      <c r="AQ60" s="14" t="n">
        <f aca="false">G60+O60+W60+AE60+AM60</f>
        <v>2725085.49048973</v>
      </c>
      <c r="AR60" s="14" t="n">
        <f aca="false">H60+P60+X60+AF60+AN60+IF($A60=$B$15,$B$14,0)</f>
        <v>0</v>
      </c>
      <c r="AS60" s="21" t="n">
        <f aca="false">I60+Q60+Y60+AG60+AO60</f>
        <v>640</v>
      </c>
      <c r="AT60" s="14" t="n">
        <f aca="false">AP60*(1-$B$12)-AS60*$B$13/4</f>
        <v>534838.928680655</v>
      </c>
      <c r="AU60" s="14" t="n">
        <f aca="false">0</f>
        <v>0</v>
      </c>
      <c r="AV60" s="14" t="n">
        <f aca="false">AT60-AR60-AU60</f>
        <v>534838.928680655</v>
      </c>
      <c r="AW60" s="21" t="n">
        <f aca="false">(1+$B$16)^(-$A60/4)</f>
        <v>0.560745877024877</v>
      </c>
      <c r="AX60" s="14" t="n">
        <f aca="false">AV60*AW60</f>
        <v>299908.724130079</v>
      </c>
      <c r="AY60" s="14" t="n">
        <f aca="false">AV60</f>
        <v>534838.928680655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3360</v>
      </c>
      <c r="F61" s="14" t="n">
        <f aca="false">IF($A61&lt;=$G$4,$E$4*$F$4/4,IF(C61&gt;=$B$8+$B$9,E61*$B$4*(1+$B$5)^(($G$4+$B$8+D61*($B$8+$B$10))/4)/4,0))</f>
        <v>264493.606270576</v>
      </c>
      <c r="G61" s="14" t="n">
        <f aca="false">IF($A61&lt;=$G$4,$E$4*$F$4,IF(C61&gt;=$B$8,E61*$B$4*(1+$B$5)^(($G$4+$B$8+D61*($B$8+$B$10))/4),0))</f>
        <v>1057974.4250823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2480</v>
      </c>
      <c r="N61" s="14" t="n">
        <f aca="false">IF($A61&lt;=$G$5,$E$5*$F$5/4,IF(K61&gt;=$B$8+$B$9,M61*$B$4*(1+$B$5)^(($G$5+$B$8+L61*($B$8+$B$10))/4)/4,0))</f>
        <v>199630.385261109</v>
      </c>
      <c r="O61" s="14" t="n">
        <f aca="false">IF($A61&lt;=$G$5,$E$5*$F$5,IF(K61&gt;=$B$8,M61*$B$4*(1+$B$5)^(($G$5+$B$8+L61*($B$8+$B$10))/4),0))</f>
        <v>798521.541044437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1232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411728.347167792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640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640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1382.4</v>
      </c>
      <c r="AL61" s="14" t="n">
        <f aca="false">IF($A61&lt;=$G$8,$E$8*$F$8/4,IF(AI61&gt;=$B$8+$B$9,AK61*$B$4*(1+$B$5)^(($G$8+$B$8+AJ61*($B$8+$B$10))/4)/4,0))</f>
        <v>114215.294298799</v>
      </c>
      <c r="AM61" s="14" t="n">
        <f aca="false">IF($A61&lt;=$G$8,$E$8*$F$8,IF(AI61&gt;=$B$8,AK61*$B$4*(1+$B$5)^(($G$8+$B$8+AJ61*($B$8+$B$10))/4),0))</f>
        <v>456861.177195196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578339.285830484</v>
      </c>
      <c r="AQ61" s="14" t="n">
        <f aca="false">G61+O61+W61+AE61+AM61</f>
        <v>2725085.49048973</v>
      </c>
      <c r="AR61" s="14" t="n">
        <f aca="false">H61+P61+X61+AF61+AN61+IF($A61=$B$15,$B$14,0)</f>
        <v>0</v>
      </c>
      <c r="AS61" s="21" t="n">
        <f aca="false">I61+Q61+Y61+AG61+AO61</f>
        <v>640</v>
      </c>
      <c r="AT61" s="14" t="n">
        <f aca="false">AP61*(1-$B$12)-AS61*$B$13/4</f>
        <v>534838.928680655</v>
      </c>
      <c r="AU61" s="14" t="n">
        <f aca="false">0</f>
        <v>0</v>
      </c>
      <c r="AV61" s="14" t="n">
        <f aca="false">AT61-AR61-AU61</f>
        <v>534838.928680655</v>
      </c>
      <c r="AW61" s="21" t="n">
        <f aca="false">(1+$B$16)^(-$A61/4)</f>
        <v>0.550378891682413</v>
      </c>
      <c r="AX61" s="14" t="n">
        <f aca="false">AV61*AW61</f>
        <v>294364.056795868</v>
      </c>
      <c r="AY61" s="14" t="n">
        <f aca="false">AV61</f>
        <v>534838.928680655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3360</v>
      </c>
      <c r="F62" s="14" t="n">
        <f aca="false">IF($A62&lt;=$G$4,$E$4*$F$4/4,IF(C62&gt;=$B$8+$B$9,E62*$B$4*(1+$B$5)^(($G$4+$B$8+D62*($B$8+$B$10))/4)/4,0))</f>
        <v>264493.606270576</v>
      </c>
      <c r="G62" s="14" t="n">
        <f aca="false">IF($A62&lt;=$G$4,$E$4*$F$4,IF(C62&gt;=$B$8,E62*$B$4*(1+$B$5)^(($G$4+$B$8+D62*($B$8+$B$10))/4),0))</f>
        <v>1057974.4250823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2480</v>
      </c>
      <c r="N62" s="14" t="n">
        <f aca="false">IF($A62&lt;=$G$5,$E$5*$F$5/4,IF(K62&gt;=$B$8+$B$9,M62*$B$4*(1+$B$5)^(($G$5+$B$8+L62*($B$8+$B$10))/4)/4,0))</f>
        <v>199630.385261109</v>
      </c>
      <c r="O62" s="14" t="n">
        <f aca="false">IF($A62&lt;=$G$5,$E$5*$F$5,IF(K62&gt;=$B$8,M62*$B$4*(1+$B$5)^(($G$5+$B$8+L62*($B$8+$B$10))/4),0))</f>
        <v>798521.541044437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1232</v>
      </c>
      <c r="V62" s="14" t="n">
        <f aca="false">IF($A62&lt;=$G$6,$E$6*$F$6/4,IF(S62&gt;=$B$8+$B$9,U62*$B$4*(1+$B$5)^(($G$6+$B$8+T62*($B$8+$B$10))/4)/4,0))</f>
        <v>102932.086791948</v>
      </c>
      <c r="W62" s="14" t="n">
        <f aca="false">IF($A62&lt;=$G$6,$E$6*$F$6,IF(S62&gt;=$B$8,U62*$B$4*(1+$B$5)^(($G$6+$B$8+T62*($B$8+$B$10))/4),0))</f>
        <v>411728.347167792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640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216286.576626299</v>
      </c>
      <c r="AF62" s="14" t="n">
        <f aca="false">IF($A62&lt;=$G$7,0,IF(AA62=0,AC62*$B$6*(1+$B$7)^(($G$7+AB62*($B$8+$B$10))/4),0)+IF(AA62=$B$8,$B$11*$B$4*(1+$B$5)^(($G$7+$B$8+AB62*($B$8+$B$10))/4)*AC62,0))</f>
        <v>25954.3891951559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1382.4</v>
      </c>
      <c r="AL62" s="14" t="n">
        <f aca="false">IF($A62&lt;=$G$8,$E$8*$F$8/4,IF(AI62&gt;=$B$8+$B$9,AK62*$B$4*(1+$B$5)^(($G$8+$B$8+AJ62*($B$8+$B$10))/4)/4,0))</f>
        <v>114215.294298799</v>
      </c>
      <c r="AM62" s="14" t="n">
        <f aca="false">IF($A62&lt;=$G$8,$E$8*$F$8,IF(AI62&gt;=$B$8,AK62*$B$4*(1+$B$5)^(($G$8+$B$8+AJ62*($B$8+$B$10))/4),0))</f>
        <v>456861.177195196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681271.372622432</v>
      </c>
      <c r="AQ62" s="14" t="n">
        <f aca="false">G62+O62+W62+AE62+AM62</f>
        <v>2941372.06711603</v>
      </c>
      <c r="AR62" s="14" t="n">
        <f aca="false">H62+P62+X62+AF62+AN62+IF($A62=$B$15,$B$14,0)</f>
        <v>25954.3891951559</v>
      </c>
      <c r="AS62" s="21" t="n">
        <f aca="false">I62+Q62+Y62+AG62+AO62</f>
        <v>0</v>
      </c>
      <c r="AT62" s="14" t="n">
        <f aca="false">AP62*(1-$B$12)-AS62*$B$13/4</f>
        <v>640395.090265086</v>
      </c>
      <c r="AU62" s="14" t="n">
        <f aca="false">0</f>
        <v>0</v>
      </c>
      <c r="AV62" s="14" t="n">
        <f aca="false">AT62-AR62-AU62</f>
        <v>614440.70106993</v>
      </c>
      <c r="AW62" s="21" t="n">
        <f aca="false">(1+$B$16)^(-$A62/4)</f>
        <v>0.540203569603995</v>
      </c>
      <c r="AX62" s="14" t="n">
        <f aca="false">AV62*AW62</f>
        <v>331923.060027958</v>
      </c>
      <c r="AY62" s="14" t="n">
        <f aca="false">AV62</f>
        <v>614440.70106993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2688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1384045.74421363</v>
      </c>
      <c r="I63" s="21" t="n">
        <f aca="false">IF($A63&lt;=$G$4,0,IF(C63&lt;$B$8,E63,0))</f>
        <v>2688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2480</v>
      </c>
      <c r="N63" s="14" t="n">
        <f aca="false">IF($A63&lt;=$G$5,$E$5*$F$5/4,IF(K63&gt;=$B$8+$B$9,M63*$B$4*(1+$B$5)^(($G$5+$B$8+L63*($B$8+$B$10))/4)/4,0))</f>
        <v>199630.385261109</v>
      </c>
      <c r="O63" s="14" t="n">
        <f aca="false">IF($A63&lt;=$G$5,$E$5*$F$5,IF(K63&gt;=$B$8,M63*$B$4*(1+$B$5)^(($G$5+$B$8+L63*($B$8+$B$10))/4),0))</f>
        <v>798521.541044437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1232</v>
      </c>
      <c r="V63" s="14" t="n">
        <f aca="false">IF($A63&lt;=$G$6,$E$6*$F$6/4,IF(S63&gt;=$B$8+$B$9,U63*$B$4*(1+$B$5)^(($G$6+$B$8+T63*($B$8+$B$10))/4)/4,0))</f>
        <v>102932.086791948</v>
      </c>
      <c r="W63" s="14" t="n">
        <f aca="false">IF($A63&lt;=$G$6,$E$6*$F$6,IF(S63&gt;=$B$8,U63*$B$4*(1+$B$5)^(($G$6+$B$8+T63*($B$8+$B$10))/4),0))</f>
        <v>411728.347167792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640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216286.576626299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1382.4</v>
      </c>
      <c r="AL63" s="14" t="n">
        <f aca="false">IF($A63&lt;=$G$8,$E$8*$F$8/4,IF(AI63&gt;=$B$8+$B$9,AK63*$B$4*(1+$B$5)^(($G$8+$B$8+AJ63*($B$8+$B$10))/4)/4,0))</f>
        <v>114215.294298799</v>
      </c>
      <c r="AM63" s="14" t="n">
        <f aca="false">IF($A63&lt;=$G$8,$E$8*$F$8,IF(AI63&gt;=$B$8,AK63*$B$4*(1+$B$5)^(($G$8+$B$8+AJ63*($B$8+$B$10))/4),0))</f>
        <v>456861.177195196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416777.766351856</v>
      </c>
      <c r="AQ63" s="14" t="n">
        <f aca="false">G63+O63+W63+AE63+AM63</f>
        <v>1883397.64203372</v>
      </c>
      <c r="AR63" s="14" t="n">
        <f aca="false">H63+P63+X63+AF63+AN63+IF($A63=$B$15,$B$14,0)</f>
        <v>1384045.74421363</v>
      </c>
      <c r="AS63" s="21" t="n">
        <f aca="false">I63+Q63+Y63+AG63+AO63</f>
        <v>2688</v>
      </c>
      <c r="AT63" s="14" t="n">
        <f aca="false">AP63*(1-$B$12)-AS63*$B$13/4</f>
        <v>354811.100370745</v>
      </c>
      <c r="AU63" s="14" t="n">
        <f aca="false">0</f>
        <v>0</v>
      </c>
      <c r="AV63" s="14" t="n">
        <f aca="false">AT63-AR63-AU63</f>
        <v>-1029234.64384288</v>
      </c>
      <c r="AW63" s="21" t="n">
        <f aca="false">(1+$B$16)^(-$A63/4)</f>
        <v>0.530216367348056</v>
      </c>
      <c r="AX63" s="14" t="n">
        <f aca="false">AV63*AW63</f>
        <v>-545717.054007145</v>
      </c>
      <c r="AY63" s="14" t="n">
        <f aca="false">AV63</f>
        <v>-1029234.64384288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2688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2688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2480</v>
      </c>
      <c r="N64" s="14" t="n">
        <f aca="false">IF($A64&lt;=$G$5,$E$5*$F$5/4,IF(K64&gt;=$B$8+$B$9,M64*$B$4*(1+$B$5)^(($G$5+$B$8+L64*($B$8+$B$10))/4)/4,0))</f>
        <v>199630.385261109</v>
      </c>
      <c r="O64" s="14" t="n">
        <f aca="false">IF($A64&lt;=$G$5,$E$5*$F$5,IF(K64&gt;=$B$8,M64*$B$4*(1+$B$5)^(($G$5+$B$8+L64*($B$8+$B$10))/4),0))</f>
        <v>798521.541044437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1232</v>
      </c>
      <c r="V64" s="14" t="n">
        <f aca="false">IF($A64&lt;=$G$6,$E$6*$F$6/4,IF(S64&gt;=$B$8+$B$9,U64*$B$4*(1+$B$5)^(($G$6+$B$8+T64*($B$8+$B$10))/4)/4,0))</f>
        <v>102932.086791948</v>
      </c>
      <c r="W64" s="14" t="n">
        <f aca="false">IF($A64&lt;=$G$6,$E$6*$F$6,IF(S64&gt;=$B$8,U64*$B$4*(1+$B$5)^(($G$6+$B$8+T64*($B$8+$B$10))/4),0))</f>
        <v>411728.347167792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640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216286.576626299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1382.4</v>
      </c>
      <c r="AL64" s="14" t="n">
        <f aca="false">IF($A64&lt;=$G$8,$E$8*$F$8/4,IF(AI64&gt;=$B$8+$B$9,AK64*$B$4*(1+$B$5)^(($G$8+$B$8+AJ64*($B$8+$B$10))/4)/4,0))</f>
        <v>114215.294298799</v>
      </c>
      <c r="AM64" s="14" t="n">
        <f aca="false">IF($A64&lt;=$G$8,$E$8*$F$8,IF(AI64&gt;=$B$8,AK64*$B$4*(1+$B$5)^(($G$8+$B$8+AJ64*($B$8+$B$10))/4),0))</f>
        <v>456861.177195196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416777.766351856</v>
      </c>
      <c r="AQ64" s="14" t="n">
        <f aca="false">G64+O64+W64+AE64+AM64</f>
        <v>1883397.64203372</v>
      </c>
      <c r="AR64" s="14" t="n">
        <f aca="false">H64+P64+X64+AF64+AN64+IF($A64=$B$15,$B$14,0)</f>
        <v>0</v>
      </c>
      <c r="AS64" s="21" t="n">
        <f aca="false">I64+Q64+Y64+AG64+AO64</f>
        <v>2688</v>
      </c>
      <c r="AT64" s="14" t="n">
        <f aca="false">AP64*(1-$B$12)-AS64*$B$13/4</f>
        <v>354811.100370745</v>
      </c>
      <c r="AU64" s="14" t="n">
        <f aca="false">0</f>
        <v>0</v>
      </c>
      <c r="AV64" s="14" t="n">
        <f aca="false">AT64-AR64-AU64</f>
        <v>354811.100370745</v>
      </c>
      <c r="AW64" s="21" t="n">
        <f aca="false">(1+$B$16)^(-$A64/4)</f>
        <v>0.520413806983644</v>
      </c>
      <c r="AX64" s="14" t="n">
        <f aca="false">AV64*AW64</f>
        <v>184648.595503995</v>
      </c>
      <c r="AY64" s="14" t="n">
        <f aca="false">AV64</f>
        <v>354811.100370745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2688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2688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2480</v>
      </c>
      <c r="N65" s="14" t="n">
        <f aca="false">IF($A65&lt;=$G$5,$E$5*$F$5/4,IF(K65&gt;=$B$8+$B$9,M65*$B$4*(1+$B$5)^(($G$5+$B$8+L65*($B$8+$B$10))/4)/4,0))</f>
        <v>199630.385261109</v>
      </c>
      <c r="O65" s="14" t="n">
        <f aca="false">IF($A65&lt;=$G$5,$E$5*$F$5,IF(K65&gt;=$B$8,M65*$B$4*(1+$B$5)^(($G$5+$B$8+L65*($B$8+$B$10))/4),0))</f>
        <v>798521.541044437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1232</v>
      </c>
      <c r="V65" s="14" t="n">
        <f aca="false">IF($A65&lt;=$G$6,$E$6*$F$6/4,IF(S65&gt;=$B$8+$B$9,U65*$B$4*(1+$B$5)^(($G$6+$B$8+T65*($B$8+$B$10))/4)/4,0))</f>
        <v>102932.086791948</v>
      </c>
      <c r="W65" s="14" t="n">
        <f aca="false">IF($A65&lt;=$G$6,$E$6*$F$6,IF(S65&gt;=$B$8,U65*$B$4*(1+$B$5)^(($G$6+$B$8+T65*($B$8+$B$10))/4),0))</f>
        <v>411728.347167792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640</v>
      </c>
      <c r="AD65" s="14" t="n">
        <f aca="false">IF($A65&lt;=$G$7,$E$7*$F$7/4,IF(AA65&gt;=$B$8+$B$9,AC65*$B$4*(1+$B$5)^(($G$7+$B$8+AB65*($B$8+$B$10))/4)/4,0))</f>
        <v>54071.6441565747</v>
      </c>
      <c r="AE65" s="14" t="n">
        <f aca="false">IF($A65&lt;=$G$7,$E$7*$F$7,IF(AA65&gt;=$B$8,AC65*$B$4*(1+$B$5)^(($G$7+$B$8+AB65*($B$8+$B$10))/4),0))</f>
        <v>216286.576626299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1382.4</v>
      </c>
      <c r="AL65" s="14" t="n">
        <f aca="false">IF($A65&lt;=$G$8,$E$8*$F$8/4,IF(AI65&gt;=$B$8+$B$9,AK65*$B$4*(1+$B$5)^(($G$8+$B$8+AJ65*($B$8+$B$10))/4)/4,0))</f>
        <v>114215.294298799</v>
      </c>
      <c r="AM65" s="14" t="n">
        <f aca="false">IF($A65&lt;=$G$8,$E$8*$F$8,IF(AI65&gt;=$B$8,AK65*$B$4*(1+$B$5)^(($G$8+$B$8+AJ65*($B$8+$B$10))/4),0))</f>
        <v>456861.177195196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470849.410508431</v>
      </c>
      <c r="AQ65" s="14" t="n">
        <f aca="false">G65+O65+W65+AE65+AM65</f>
        <v>1883397.64203372</v>
      </c>
      <c r="AR65" s="14" t="n">
        <f aca="false">H65+P65+X65+AF65+AN65+IF($A65=$B$15,$B$14,0)</f>
        <v>0</v>
      </c>
      <c r="AS65" s="21" t="n">
        <f aca="false">I65+Q65+Y65+AG65+AO65</f>
        <v>2688</v>
      </c>
      <c r="AT65" s="14" t="n">
        <f aca="false">AP65*(1-$B$12)-AS65*$B$13/4</f>
        <v>405638.445877925</v>
      </c>
      <c r="AU65" s="14" t="n">
        <f aca="false">0</f>
        <v>0</v>
      </c>
      <c r="AV65" s="14" t="n">
        <f aca="false">AT65-AR65-AU65</f>
        <v>405638.445877925</v>
      </c>
      <c r="AW65" s="21" t="n">
        <f aca="false">(1+$B$16)^(-$A65/4)</f>
        <v>0.51079247487927</v>
      </c>
      <c r="AX65" s="14" t="n">
        <f aca="false">AV65*AW65</f>
        <v>207197.065676166</v>
      </c>
      <c r="AY65" s="14" t="n">
        <f aca="false">AV65</f>
        <v>405638.445877925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2688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922029.676157912</v>
      </c>
      <c r="H66" s="14" t="n">
        <f aca="false">IF($A66&lt;=$G$4,0,IF(C66=0,E66*$B$6*(1+$B$7)^(($G$4+D66*($B$8+$B$10))/4),0)+IF(C66=$B$8,$B$11*$B$4*(1+$B$5)^(($G$4+$B$8+D66*($B$8+$B$10))/4)*E66,0))</f>
        <v>110643.561138949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2480</v>
      </c>
      <c r="N66" s="14" t="n">
        <f aca="false">IF($A66&lt;=$G$5,$E$5*$F$5/4,IF(K66&gt;=$B$8+$B$9,M66*$B$4*(1+$B$5)^(($G$5+$B$8+L66*($B$8+$B$10))/4)/4,0))</f>
        <v>199630.385261109</v>
      </c>
      <c r="O66" s="14" t="n">
        <f aca="false">IF($A66&lt;=$G$5,$E$5*$F$5,IF(K66&gt;=$B$8,M66*$B$4*(1+$B$5)^(($G$5+$B$8+L66*($B$8+$B$10))/4),0))</f>
        <v>798521.541044437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1232</v>
      </c>
      <c r="V66" s="14" t="n">
        <f aca="false">IF($A66&lt;=$G$6,$E$6*$F$6/4,IF(S66&gt;=$B$8+$B$9,U66*$B$4*(1+$B$5)^(($G$6+$B$8+T66*($B$8+$B$10))/4)/4,0))</f>
        <v>102932.086791948</v>
      </c>
      <c r="W66" s="14" t="n">
        <f aca="false">IF($A66&lt;=$G$6,$E$6*$F$6,IF(S66&gt;=$B$8,U66*$B$4*(1+$B$5)^(($G$6+$B$8+T66*($B$8+$B$10))/4),0))</f>
        <v>411728.347167792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640</v>
      </c>
      <c r="AD66" s="14" t="n">
        <f aca="false">IF($A66&lt;=$G$7,$E$7*$F$7/4,IF(AA66&gt;=$B$8+$B$9,AC66*$B$4*(1+$B$5)^(($G$7+$B$8+AB66*($B$8+$B$10))/4)/4,0))</f>
        <v>54071.6441565747</v>
      </c>
      <c r="AE66" s="14" t="n">
        <f aca="false">IF($A66&lt;=$G$7,$E$7*$F$7,IF(AA66&gt;=$B$8,AC66*$B$4*(1+$B$5)^(($G$7+$B$8+AB66*($B$8+$B$10))/4),0))</f>
        <v>216286.576626299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1382.4</v>
      </c>
      <c r="AL66" s="14" t="n">
        <f aca="false">IF($A66&lt;=$G$8,$E$8*$F$8/4,IF(AI66&gt;=$B$8+$B$9,AK66*$B$4*(1+$B$5)^(($G$8+$B$8+AJ66*($B$8+$B$10))/4)/4,0))</f>
        <v>114215.294298799</v>
      </c>
      <c r="AM66" s="14" t="n">
        <f aca="false">IF($A66&lt;=$G$8,$E$8*$F$8,IF(AI66&gt;=$B$8,AK66*$B$4*(1+$B$5)^(($G$8+$B$8+AJ66*($B$8+$B$10))/4),0))</f>
        <v>456861.177195196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470849.410508431</v>
      </c>
      <c r="AQ66" s="14" t="n">
        <f aca="false">G66+O66+W66+AE66+AM66</f>
        <v>2805427.31819164</v>
      </c>
      <c r="AR66" s="14" t="n">
        <f aca="false">H66+P66+X66+AF66+AN66+IF($A66=$B$15,$B$14,0)</f>
        <v>110643.561138949</v>
      </c>
      <c r="AS66" s="21" t="n">
        <f aca="false">I66+Q66+Y66+AG66+AO66</f>
        <v>0</v>
      </c>
      <c r="AT66" s="14" t="n">
        <f aca="false">AP66*(1-$B$12)-AS66*$B$13/4</f>
        <v>442598.445877925</v>
      </c>
      <c r="AU66" s="14" t="n">
        <f aca="false">0</f>
        <v>0</v>
      </c>
      <c r="AV66" s="14" t="n">
        <f aca="false">AT66-AR66-AU66</f>
        <v>331954.884738976</v>
      </c>
      <c r="AW66" s="21" t="n">
        <f aca="false">(1+$B$16)^(-$A66/4)</f>
        <v>0.501349020514149</v>
      </c>
      <c r="AX66" s="14" t="n">
        <f aca="false">AV66*AW66</f>
        <v>166425.256318773</v>
      </c>
      <c r="AY66" s="14" t="n">
        <f aca="false">AV66</f>
        <v>331954.884738976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2688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922029.676157912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2480</v>
      </c>
      <c r="N67" s="14" t="n">
        <f aca="false">IF($A67&lt;=$G$5,$E$5*$F$5/4,IF(K67&gt;=$B$8+$B$9,M67*$B$4*(1+$B$5)^(($G$5+$B$8+L67*($B$8+$B$10))/4)/4,0))</f>
        <v>199630.385261109</v>
      </c>
      <c r="O67" s="14" t="n">
        <f aca="false">IF($A67&lt;=$G$5,$E$5*$F$5,IF(K67&gt;=$B$8,M67*$B$4*(1+$B$5)^(($G$5+$B$8+L67*($B$8+$B$10))/4),0))</f>
        <v>798521.541044437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1232</v>
      </c>
      <c r="V67" s="14" t="n">
        <f aca="false">IF($A67&lt;=$G$6,$E$6*$F$6/4,IF(S67&gt;=$B$8+$B$9,U67*$B$4*(1+$B$5)^(($G$6+$B$8+T67*($B$8+$B$10))/4)/4,0))</f>
        <v>102932.086791948</v>
      </c>
      <c r="W67" s="14" t="n">
        <f aca="false">IF($A67&lt;=$G$6,$E$6*$F$6,IF(S67&gt;=$B$8,U67*$B$4*(1+$B$5)^(($G$6+$B$8+T67*($B$8+$B$10))/4),0))</f>
        <v>411728.347167792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640</v>
      </c>
      <c r="AD67" s="14" t="n">
        <f aca="false">IF($A67&lt;=$G$7,$E$7*$F$7/4,IF(AA67&gt;=$B$8+$B$9,AC67*$B$4*(1+$B$5)^(($G$7+$B$8+AB67*($B$8+$B$10))/4)/4,0))</f>
        <v>54071.6441565747</v>
      </c>
      <c r="AE67" s="14" t="n">
        <f aca="false">IF($A67&lt;=$G$7,$E$7*$F$7,IF(AA67&gt;=$B$8,AC67*$B$4*(1+$B$5)^(($G$7+$B$8+AB67*($B$8+$B$10))/4),0))</f>
        <v>216286.576626299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1382.4</v>
      </c>
      <c r="AL67" s="14" t="n">
        <f aca="false">IF($A67&lt;=$G$8,$E$8*$F$8/4,IF(AI67&gt;=$B$8+$B$9,AK67*$B$4*(1+$B$5)^(($G$8+$B$8+AJ67*($B$8+$B$10))/4)/4,0))</f>
        <v>114215.294298799</v>
      </c>
      <c r="AM67" s="14" t="n">
        <f aca="false">IF($A67&lt;=$G$8,$E$8*$F$8,IF(AI67&gt;=$B$8,AK67*$B$4*(1+$B$5)^(($G$8+$B$8+AJ67*($B$8+$B$10))/4),0))</f>
        <v>456861.177195196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470849.410508431</v>
      </c>
      <c r="AQ67" s="14" t="n">
        <f aca="false">G67+O67+W67+AE67+AM67</f>
        <v>2805427.31819164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442598.445877925</v>
      </c>
      <c r="AU67" s="14" t="n">
        <f aca="false">0</f>
        <v>0</v>
      </c>
      <c r="AV67" s="14" t="n">
        <f aca="false">AT67-AR67-AU67</f>
        <v>442598.445877925</v>
      </c>
      <c r="AW67" s="21" t="n">
        <f aca="false">(1+$B$16)^(-$A67/4)</f>
        <v>0.492080155311421</v>
      </c>
      <c r="AX67" s="14" t="n">
        <f aca="false">AV67*AW67</f>
        <v>217793.911988203</v>
      </c>
      <c r="AY67" s="14" t="n">
        <f aca="false">AV67</f>
        <v>442598.445877925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2688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922029.676157912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2480</v>
      </c>
      <c r="N68" s="14" t="n">
        <f aca="false">IF($A68&lt;=$G$5,$E$5*$F$5/4,IF(K68&gt;=$B$8+$B$9,M68*$B$4*(1+$B$5)^(($G$5+$B$8+L68*($B$8+$B$10))/4)/4,0))</f>
        <v>199630.385261109</v>
      </c>
      <c r="O68" s="14" t="n">
        <f aca="false">IF($A68&lt;=$G$5,$E$5*$F$5,IF(K68&gt;=$B$8,M68*$B$4*(1+$B$5)^(($G$5+$B$8+L68*($B$8+$B$10))/4),0))</f>
        <v>798521.541044437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1232</v>
      </c>
      <c r="V68" s="14" t="n">
        <f aca="false">IF($A68&lt;=$G$6,$E$6*$F$6/4,IF(S68&gt;=$B$8+$B$9,U68*$B$4*(1+$B$5)^(($G$6+$B$8+T68*($B$8+$B$10))/4)/4,0))</f>
        <v>102932.086791948</v>
      </c>
      <c r="W68" s="14" t="n">
        <f aca="false">IF($A68&lt;=$G$6,$E$6*$F$6,IF(S68&gt;=$B$8,U68*$B$4*(1+$B$5)^(($G$6+$B$8+T68*($B$8+$B$10))/4),0))</f>
        <v>411728.347167792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640</v>
      </c>
      <c r="AD68" s="14" t="n">
        <f aca="false">IF($A68&lt;=$G$7,$E$7*$F$7/4,IF(AA68&gt;=$B$8+$B$9,AC68*$B$4*(1+$B$5)^(($G$7+$B$8+AB68*($B$8+$B$10))/4)/4,0))</f>
        <v>54071.6441565747</v>
      </c>
      <c r="AE68" s="14" t="n">
        <f aca="false">IF($A68&lt;=$G$7,$E$7*$F$7,IF(AA68&gt;=$B$8,AC68*$B$4*(1+$B$5)^(($G$7+$B$8+AB68*($B$8+$B$10))/4),0))</f>
        <v>216286.576626299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1382.4</v>
      </c>
      <c r="AL68" s="14" t="n">
        <f aca="false">IF($A68&lt;=$G$8,$E$8*$F$8/4,IF(AI68&gt;=$B$8+$B$9,AK68*$B$4*(1+$B$5)^(($G$8+$B$8+AJ68*($B$8+$B$10))/4)/4,0))</f>
        <v>114215.294298799</v>
      </c>
      <c r="AM68" s="14" t="n">
        <f aca="false">IF($A68&lt;=$G$8,$E$8*$F$8,IF(AI68&gt;=$B$8,AK68*$B$4*(1+$B$5)^(($G$8+$B$8+AJ68*($B$8+$B$10))/4),0))</f>
        <v>456861.177195196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470849.410508431</v>
      </c>
      <c r="AQ68" s="14" t="n">
        <f aca="false">G68+O68+W68+AE68+AM68</f>
        <v>2805427.31819164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442598.445877925</v>
      </c>
      <c r="AU68" s="14" t="n">
        <f aca="false">0</f>
        <v>0</v>
      </c>
      <c r="AV68" s="14" t="n">
        <f aca="false">AT68-AR68-AU68</f>
        <v>442598.445877925</v>
      </c>
      <c r="AW68" s="21" t="n">
        <f aca="false">(1+$B$16)^(-$A68/4)</f>
        <v>0.482982651492941</v>
      </c>
      <c r="AX68" s="14" t="n">
        <f aca="false">AV68*AW68</f>
        <v>213767.370936775</v>
      </c>
      <c r="AY68" s="14" t="n">
        <f aca="false">AV68</f>
        <v>442598.445877925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2688</v>
      </c>
      <c r="F69" s="14" t="n">
        <f aca="false">IF($A69&lt;=$G$4,$E$4*$F$4/4,IF(C69&gt;=$B$8+$B$9,E69*$B$4*(1+$B$5)^(($G$4+$B$8+D69*($B$8+$B$10))/4)/4,0))</f>
        <v>230507.419039478</v>
      </c>
      <c r="G69" s="14" t="n">
        <f aca="false">IF($A69&lt;=$G$4,$E$4*$F$4,IF(C69&gt;=$B$8,E69*$B$4*(1+$B$5)^(($G$4+$B$8+D69*($B$8+$B$10))/4),0))</f>
        <v>922029.676157912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1984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1060104.42128048</v>
      </c>
      <c r="Q69" s="21" t="n">
        <f aca="false">IF($A69&lt;=$G$5,0,IF(K69&lt;$B$8,M69,0))</f>
        <v>1984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1232</v>
      </c>
      <c r="V69" s="14" t="n">
        <f aca="false">IF($A69&lt;=$G$6,$E$6*$F$6/4,IF(S69&gt;=$B$8+$B$9,U69*$B$4*(1+$B$5)^(($G$6+$B$8+T69*($B$8+$B$10))/4)/4,0))</f>
        <v>102932.086791948</v>
      </c>
      <c r="W69" s="14" t="n">
        <f aca="false">IF($A69&lt;=$G$6,$E$6*$F$6,IF(S69&gt;=$B$8,U69*$B$4*(1+$B$5)^(($G$6+$B$8+T69*($B$8+$B$10))/4),0))</f>
        <v>411728.347167792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640</v>
      </c>
      <c r="AD69" s="14" t="n">
        <f aca="false">IF($A69&lt;=$G$7,$E$7*$F$7/4,IF(AA69&gt;=$B$8+$B$9,AC69*$B$4*(1+$B$5)^(($G$7+$B$8+AB69*($B$8+$B$10))/4)/4,0))</f>
        <v>54071.6441565747</v>
      </c>
      <c r="AE69" s="14" t="n">
        <f aca="false">IF($A69&lt;=$G$7,$E$7*$F$7,IF(AA69&gt;=$B$8,AC69*$B$4*(1+$B$5)^(($G$7+$B$8+AB69*($B$8+$B$10))/4),0))</f>
        <v>216286.576626299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1382.4</v>
      </c>
      <c r="AL69" s="14" t="n">
        <f aca="false">IF($A69&lt;=$G$8,$E$8*$F$8/4,IF(AI69&gt;=$B$8+$B$9,AK69*$B$4*(1+$B$5)^(($G$8+$B$8+AJ69*($B$8+$B$10))/4)/4,0))</f>
        <v>114215.294298799</v>
      </c>
      <c r="AM69" s="14" t="n">
        <f aca="false">IF($A69&lt;=$G$8,$E$8*$F$8,IF(AI69&gt;=$B$8,AK69*$B$4*(1+$B$5)^(($G$8+$B$8+AJ69*($B$8+$B$10))/4),0))</f>
        <v>456861.177195196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501726.4442868</v>
      </c>
      <c r="AQ69" s="14" t="n">
        <f aca="false">G69+O69+W69+AE69+AM69</f>
        <v>2006905.7771472</v>
      </c>
      <c r="AR69" s="14" t="n">
        <f aca="false">H69+P69+X69+AF69+AN69+IF($A69=$B$15,$B$14,0)</f>
        <v>1060104.42128048</v>
      </c>
      <c r="AS69" s="21" t="n">
        <f aca="false">I69+Q69+Y69+AG69+AO69</f>
        <v>1984</v>
      </c>
      <c r="AT69" s="14" t="n">
        <f aca="false">AP69*(1-$B$12)-AS69*$B$13/4</f>
        <v>444342.857629592</v>
      </c>
      <c r="AU69" s="14" t="n">
        <f aca="false">0</f>
        <v>0</v>
      </c>
      <c r="AV69" s="14" t="n">
        <f aca="false">AT69-AR69-AU69</f>
        <v>-615761.563650884</v>
      </c>
      <c r="AW69" s="21" t="n">
        <f aca="false">(1+$B$16)^(-$A69/4)</f>
        <v>0.474053340955239</v>
      </c>
      <c r="AX69" s="14" t="n">
        <f aca="false">AV69*AW69</f>
        <v>-291903.826480523</v>
      </c>
      <c r="AY69" s="14" t="n">
        <f aca="false">AV69+$J$9</f>
        <v>35308731.0666065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319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3800776.84777937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3572730.23691261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52135396.7905025</v>
      </c>
    </row>
    <row r="10" customFormat="false" ht="15" hidden="false" customHeight="false" outlineLevel="0" collapsed="false">
      <c r="A10" s="0" t="s">
        <v>28</v>
      </c>
      <c r="B10" s="24" t="n">
        <v>40</v>
      </c>
      <c r="I10" s="21" t="s">
        <v>103</v>
      </c>
      <c r="J10" s="14" t="n">
        <f aca="false">SUM(AX29:AX69)</f>
        <v>13880387.9963146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24714959.0305647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38595347.0268793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36239762.4665534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0.640361103978473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0.0559933506324584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29349212.7889995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7772039.35522234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3688562.57153047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0.113315717498158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347572.82661038</v>
      </c>
      <c r="AW36" s="21" t="n">
        <f aca="false">(1+$B$16)^(-$A36/4)</f>
        <v>0.877545739475122</v>
      </c>
      <c r="AX36" s="14" t="n">
        <f aca="false">AV36*AW36</f>
        <v>305011.053149265</v>
      </c>
      <c r="AY36" s="14" t="n">
        <f aca="false">AV36</f>
        <v>347572.82661038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-1450770.91631257</v>
      </c>
      <c r="AW40" s="21" t="n">
        <f aca="false">(1+$B$16)^(-$A40/4)</f>
        <v>0.814427600440949</v>
      </c>
      <c r="AX40" s="14" t="n">
        <f aca="false">AV40*AW40</f>
        <v>-1181547.87616197</v>
      </c>
      <c r="AY40" s="14" t="n">
        <f aca="false">AV40</f>
        <v>-1450770.91631257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-834995.32902794</v>
      </c>
      <c r="AW46" s="21" t="n">
        <f aca="false">(1+$B$16)^(-$A46/4)</f>
        <v>0.728159575469592</v>
      </c>
      <c r="AX46" s="14" t="n">
        <f aca="false">AV46*AW46</f>
        <v>-608009.844304077</v>
      </c>
      <c r="AY46" s="14" t="n">
        <f aca="false">AV46</f>
        <v>-834995.32902794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23</v>
      </c>
      <c r="AJ53" s="21" t="n">
        <f aca="false">IF(AH53&lt;0,0,INT(AH53/($B$8+$B$10)))</f>
        <v>0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163819.103991457</v>
      </c>
      <c r="AM53" s="14" t="n">
        <f aca="false">IF($A53&lt;=$G$8,$E$8*$F$8,IF(AI53&gt;=$B$8,AK53*$B$4*(1+$B$5)^(($G$8+$B$8+AJ53*($B$8+$B$10))/4),0))</f>
        <v>655276.415965829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0</v>
      </c>
      <c r="AP53" s="14" t="n">
        <f aca="false">F53+N53+V53+AD53+AL53</f>
        <v>935489.103454907</v>
      </c>
      <c r="AQ53" s="14" t="n">
        <f aca="false">G53+O53+W53+AE53+AM53</f>
        <v>3741956.41381963</v>
      </c>
      <c r="AR53" s="14" t="n">
        <f aca="false">H53+P53+X53+AF53+AN53+IF($A53=$B$15,$B$14,0)</f>
        <v>0</v>
      </c>
      <c r="AS53" s="21" t="n">
        <f aca="false">I53+Q53+Y53+AG53+AO53</f>
        <v>0</v>
      </c>
      <c r="AT53" s="14" t="n">
        <f aca="false">AP53*(1-$B$12)-AS53*$B$13/4</f>
        <v>879359.757247612</v>
      </c>
      <c r="AU53" s="14" t="n">
        <f aca="false">0</f>
        <v>0</v>
      </c>
      <c r="AV53" s="14" t="n">
        <f aca="false">AT53-AR53-AU53</f>
        <v>879359.757247612</v>
      </c>
      <c r="AW53" s="21" t="n">
        <f aca="false">(1+$B$16)^(-$A53/4)</f>
        <v>0.638993333111354</v>
      </c>
      <c r="AX53" s="14" t="n">
        <f aca="false">AV53*AW53</f>
        <v>561905.022287643</v>
      </c>
      <c r="AY53" s="14" t="n">
        <f aca="false">AV53</f>
        <v>879359.757247612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24</v>
      </c>
      <c r="AJ54" s="21" t="n">
        <f aca="false">IF(AH54&lt;0,0,INT(AH54/($B$8+$B$10)))</f>
        <v>0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163819.103991457</v>
      </c>
      <c r="AM54" s="14" t="n">
        <f aca="false">IF($A54&lt;=$G$8,$E$8*$F$8,IF(AI54&gt;=$B$8,AK54*$B$4*(1+$B$5)^(($G$8+$B$8+AJ54*($B$8+$B$10))/4),0))</f>
        <v>655276.415965829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0</v>
      </c>
      <c r="AP54" s="14" t="n">
        <f aca="false">F54+N54+V54+AD54+AL54</f>
        <v>935489.103454907</v>
      </c>
      <c r="AQ54" s="14" t="n">
        <f aca="false">G54+O54+W54+AE54+AM54</f>
        <v>3741956.41381963</v>
      </c>
      <c r="AR54" s="14" t="n">
        <f aca="false">H54+P54+X54+AF54+AN54+IF($A54=$B$15,$B$14,0)</f>
        <v>0</v>
      </c>
      <c r="AS54" s="21" t="n">
        <f aca="false">I54+Q54+Y54+AG54+AO54</f>
        <v>0</v>
      </c>
      <c r="AT54" s="14" t="n">
        <f aca="false">AP54*(1-$B$12)-AS54*$B$13/4</f>
        <v>879359.757247612</v>
      </c>
      <c r="AU54" s="14" t="n">
        <f aca="false">0</f>
        <v>0</v>
      </c>
      <c r="AV54" s="14" t="n">
        <f aca="false">AT54-AR54-AU54</f>
        <v>879359.757247612</v>
      </c>
      <c r="AW54" s="21" t="n">
        <f aca="false">(1+$B$16)^(-$A54/4)</f>
        <v>0.627179720582548</v>
      </c>
      <c r="AX54" s="14" t="n">
        <f aca="false">AV54*AW54</f>
        <v>551516.606842095</v>
      </c>
      <c r="AY54" s="14" t="n">
        <f aca="false">AV54</f>
        <v>879359.757247612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25</v>
      </c>
      <c r="AJ55" s="21" t="n">
        <f aca="false">IF(AH55&lt;0,0,INT(AH55/($B$8+$B$10)))</f>
        <v>0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163819.103991457</v>
      </c>
      <c r="AM55" s="14" t="n">
        <f aca="false">IF($A55&lt;=$G$8,$E$8*$F$8,IF(AI55&gt;=$B$8,AK55*$B$4*(1+$B$5)^(($G$8+$B$8+AJ55*($B$8+$B$10))/4),0))</f>
        <v>655276.415965829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0</v>
      </c>
      <c r="AP55" s="14" t="n">
        <f aca="false">F55+N55+V55+AD55+AL55</f>
        <v>935489.103454907</v>
      </c>
      <c r="AQ55" s="14" t="n">
        <f aca="false">G55+O55+W55+AE55+AM55</f>
        <v>3741956.41381963</v>
      </c>
      <c r="AR55" s="14" t="n">
        <f aca="false">H55+P55+X55+AF55+AN55+IF($A55=$B$15,$B$14,0)</f>
        <v>0</v>
      </c>
      <c r="AS55" s="21" t="n">
        <f aca="false">I55+Q55+Y55+AG55+AO55</f>
        <v>0</v>
      </c>
      <c r="AT55" s="14" t="n">
        <f aca="false">AP55*(1-$B$12)-AS55*$B$13/4</f>
        <v>879359.757247612</v>
      </c>
      <c r="AU55" s="14" t="n">
        <f aca="false">0</f>
        <v>0</v>
      </c>
      <c r="AV55" s="14" t="n">
        <f aca="false">AT55-AR55-AU55</f>
        <v>879359.757247612</v>
      </c>
      <c r="AW55" s="21" t="n">
        <f aca="false">(1+$B$16)^(-$A55/4)</f>
        <v>0.615584516343389</v>
      </c>
      <c r="AX55" s="14" t="n">
        <f aca="false">AV55*AW55</f>
        <v>541320.250857112</v>
      </c>
      <c r="AY55" s="14" t="n">
        <f aca="false">AV55</f>
        <v>879359.757247612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26</v>
      </c>
      <c r="AJ56" s="21" t="n">
        <f aca="false">IF(AH56&lt;0,0,INT(AH56/($B$8+$B$10)))</f>
        <v>0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163819.103991457</v>
      </c>
      <c r="AM56" s="14" t="n">
        <f aca="false">IF($A56&lt;=$G$8,$E$8*$F$8,IF(AI56&gt;=$B$8,AK56*$B$4*(1+$B$5)^(($G$8+$B$8+AJ56*($B$8+$B$10))/4),0))</f>
        <v>655276.415965829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0</v>
      </c>
      <c r="AP56" s="14" t="n">
        <f aca="false">F56+N56+V56+AD56+AL56</f>
        <v>821529.103454907</v>
      </c>
      <c r="AQ56" s="14" t="n">
        <f aca="false">G56+O56+W56+AE56+AM56</f>
        <v>3286116.41381963</v>
      </c>
      <c r="AR56" s="14" t="n">
        <f aca="false">H56+P56+X56+AF56+AN56+IF($A56=$B$15,$B$14,0)</f>
        <v>759407.944688937</v>
      </c>
      <c r="AS56" s="21" t="n">
        <f aca="false">I56+Q56+Y56+AG56+AO56</f>
        <v>1540</v>
      </c>
      <c r="AT56" s="14" t="n">
        <f aca="false">AP56*(1-$B$12)-AS56*$B$13/4</f>
        <v>751062.357247612</v>
      </c>
      <c r="AU56" s="14" t="n">
        <f aca="false">0</f>
        <v>0</v>
      </c>
      <c r="AV56" s="14" t="n">
        <f aca="false">AT56-AR56-AU56</f>
        <v>-8345.58744132426</v>
      </c>
      <c r="AW56" s="21" t="n">
        <f aca="false">(1+$B$16)^(-$A56/4)</f>
        <v>0.604203682494304</v>
      </c>
      <c r="AX56" s="14" t="n">
        <f aca="false">AV56*AW56</f>
        <v>-5042.43466462634</v>
      </c>
      <c r="AY56" s="14" t="n">
        <f aca="false">AV56</f>
        <v>-8345.58744132426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27</v>
      </c>
      <c r="AJ57" s="21" t="n">
        <f aca="false">IF(AH57&lt;0,0,INT(AH57/($B$8+$B$10)))</f>
        <v>0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163819.103991457</v>
      </c>
      <c r="AM57" s="14" t="n">
        <f aca="false">IF($A57&lt;=$G$8,$E$8*$F$8,IF(AI57&gt;=$B$8,AK57*$B$4*(1+$B$5)^(($G$8+$B$8+AJ57*($B$8+$B$10))/4),0))</f>
        <v>655276.415965829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821529.103454907</v>
      </c>
      <c r="AQ57" s="14" t="n">
        <f aca="false">G57+O57+W57+AE57+AM57</f>
        <v>3286116.41381963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751062.357247612</v>
      </c>
      <c r="AU57" s="14" t="n">
        <f aca="false">0</f>
        <v>0</v>
      </c>
      <c r="AV57" s="14" t="n">
        <f aca="false">AT57-AR57-AU57</f>
        <v>751062.357247612</v>
      </c>
      <c r="AW57" s="21" t="n">
        <f aca="false">(1+$B$16)^(-$A57/4)</f>
        <v>0.5930332557878</v>
      </c>
      <c r="AX57" s="14" t="n">
        <f aca="false">AV57*AW57</f>
        <v>445404.955018211</v>
      </c>
      <c r="AY57" s="14" t="n">
        <f aca="false">AV57</f>
        <v>751062.357247612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28</v>
      </c>
      <c r="AJ58" s="21" t="n">
        <f aca="false">IF(AH58&lt;0,0,INT(AH58/($B$8+$B$10)))</f>
        <v>0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163819.103991457</v>
      </c>
      <c r="AM58" s="14" t="n">
        <f aca="false">IF($A58&lt;=$G$8,$E$8*$F$8,IF(AI58&gt;=$B$8,AK58*$B$4*(1+$B$5)^(($G$8+$B$8+AJ58*($B$8+$B$10))/4),0))</f>
        <v>655276.415965829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821529.103454907</v>
      </c>
      <c r="AQ58" s="14" t="n">
        <f aca="false">G58+O58+W58+AE58+AM58</f>
        <v>3286116.41381963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751062.357247612</v>
      </c>
      <c r="AU58" s="14" t="n">
        <f aca="false">0</f>
        <v>0</v>
      </c>
      <c r="AV58" s="14" t="n">
        <f aca="false">AT58-AR58-AU58</f>
        <v>751062.357247612</v>
      </c>
      <c r="AW58" s="21" t="n">
        <f aca="false">(1+$B$16)^(-$A58/4)</f>
        <v>0.582069346248305</v>
      </c>
      <c r="AX58" s="14" t="n">
        <f aca="false">AV58*AW58</f>
        <v>437170.375274828</v>
      </c>
      <c r="AY58" s="14" t="n">
        <f aca="false">AV58</f>
        <v>751062.357247612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23</v>
      </c>
      <c r="AB59" s="21" t="n">
        <f aca="false">IF(Z59&lt;0,0,INT(Z59/($B$8+$B$10)))</f>
        <v>0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77555.0100488435</v>
      </c>
      <c r="AE59" s="14" t="n">
        <f aca="false">IF($A59&lt;=$G$7,$E$7*$F$7,IF(AA59&gt;=$B$8,AC59*$B$4*(1+$B$5)^(($G$7+$B$8+AB59*($B$8+$B$10))/4),0))</f>
        <v>310220.040195374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0</v>
      </c>
      <c r="AH59" s="21" t="n">
        <f aca="false">$A59-$G$8-1</f>
        <v>29</v>
      </c>
      <c r="AI59" s="21" t="n">
        <f aca="false">IF(AH59&lt;0,-1,MOD(AH59,$B$8+$B$10))</f>
        <v>29</v>
      </c>
      <c r="AJ59" s="21" t="n">
        <f aca="false">IF(AH59&lt;0,0,INT(AH59/($B$8+$B$10)))</f>
        <v>0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163819.103991457</v>
      </c>
      <c r="AM59" s="14" t="n">
        <f aca="false">IF($A59&lt;=$G$8,$E$8*$F$8,IF(AI59&gt;=$B$8,AK59*$B$4*(1+$B$5)^(($G$8+$B$8+AJ59*($B$8+$B$10))/4),0))</f>
        <v>655276.415965829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821529.103454907</v>
      </c>
      <c r="AQ59" s="14" t="n">
        <f aca="false">G59+O59+W59+AE59+AM59</f>
        <v>3800776.84777937</v>
      </c>
      <c r="AR59" s="14" t="n">
        <f aca="false">H59+P59+X59+AF59+AN59+IF($A59=$B$15,$B$14,0)</f>
        <v>61759.2520751688</v>
      </c>
      <c r="AS59" s="21" t="n">
        <f aca="false">I59+Q59+Y59+AG59+AO59</f>
        <v>0</v>
      </c>
      <c r="AT59" s="14" t="n">
        <f aca="false">AP59*(1-$B$12)-AS59*$B$13/4</f>
        <v>772237.357247612</v>
      </c>
      <c r="AU59" s="14" t="n">
        <f aca="false">0</f>
        <v>0</v>
      </c>
      <c r="AV59" s="14" t="n">
        <f aca="false">AT59-AR59-AU59</f>
        <v>710478.105172444</v>
      </c>
      <c r="AW59" s="21" t="n">
        <f aca="false">(1+$B$16)^(-$A59/4)</f>
        <v>0.571308135817531</v>
      </c>
      <c r="AX59" s="14" t="n">
        <f aca="false">AV59*AW59</f>
        <v>405901.92180524</v>
      </c>
      <c r="AY59" s="14" t="n">
        <f aca="false">AV59</f>
        <v>710478.105172444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24</v>
      </c>
      <c r="AB60" s="21" t="n">
        <f aca="false">IF(Z60&lt;0,0,INT(Z60/($B$8+$B$10)))</f>
        <v>0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77555.0100488435</v>
      </c>
      <c r="AE60" s="14" t="n">
        <f aca="false">IF($A60&lt;=$G$7,$E$7*$F$7,IF(AA60&gt;=$B$8,AC60*$B$4*(1+$B$5)^(($G$7+$B$8+AB60*($B$8+$B$10))/4),0))</f>
        <v>310220.040195374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30</v>
      </c>
      <c r="AJ60" s="21" t="n">
        <f aca="false">IF(AH60&lt;0,0,INT(AH60/($B$8+$B$10)))</f>
        <v>0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163819.103991457</v>
      </c>
      <c r="AM60" s="14" t="n">
        <f aca="false">IF($A60&lt;=$G$8,$E$8*$F$8,IF(AI60&gt;=$B$8,AK60*$B$4*(1+$B$5)^(($G$8+$B$8+AJ60*($B$8+$B$10))/4),0))</f>
        <v>655276.415965829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821529.103454907</v>
      </c>
      <c r="AQ60" s="14" t="n">
        <f aca="false">G60+O60+W60+AE60+AM60</f>
        <v>3800776.84777937</v>
      </c>
      <c r="AR60" s="14" t="n">
        <f aca="false">H60+P60+X60+AF60+AN60+IF($A60=$B$15,$B$14,0)</f>
        <v>0</v>
      </c>
      <c r="AS60" s="21" t="n">
        <f aca="false">I60+Q60+Y60+AG60+AO60</f>
        <v>0</v>
      </c>
      <c r="AT60" s="14" t="n">
        <f aca="false">AP60*(1-$B$12)-AS60*$B$13/4</f>
        <v>772237.357247612</v>
      </c>
      <c r="AU60" s="14" t="n">
        <f aca="false">0</f>
        <v>0</v>
      </c>
      <c r="AV60" s="14" t="n">
        <f aca="false">AT60-AR60-AU60</f>
        <v>772237.357247612</v>
      </c>
      <c r="AW60" s="21" t="n">
        <f aca="false">(1+$B$16)^(-$A60/4)</f>
        <v>0.560745877024877</v>
      </c>
      <c r="AX60" s="14" t="n">
        <f aca="false">AV60*AW60</f>
        <v>433028.914161185</v>
      </c>
      <c r="AY60" s="14" t="n">
        <f aca="false">AV60</f>
        <v>772237.357247612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25</v>
      </c>
      <c r="AB61" s="21" t="n">
        <f aca="false">IF(Z61&lt;0,0,INT(Z61/($B$8+$B$10)))</f>
        <v>0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77555.0100488435</v>
      </c>
      <c r="AE61" s="14" t="n">
        <f aca="false">IF($A61&lt;=$G$7,$E$7*$F$7,IF(AA61&gt;=$B$8,AC61*$B$4*(1+$B$5)^(($G$7+$B$8+AB61*($B$8+$B$10))/4),0))</f>
        <v>310220.040195374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0</v>
      </c>
      <c r="AH61" s="21" t="n">
        <f aca="false">$A61-$G$8-1</f>
        <v>31</v>
      </c>
      <c r="AI61" s="21" t="n">
        <f aca="false">IF(AH61&lt;0,-1,MOD(AH61,$B$8+$B$10))</f>
        <v>31</v>
      </c>
      <c r="AJ61" s="21" t="n">
        <f aca="false">IF(AH61&lt;0,0,INT(AH61/($B$8+$B$10)))</f>
        <v>0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163819.103991457</v>
      </c>
      <c r="AM61" s="14" t="n">
        <f aca="false">IF($A61&lt;=$G$8,$E$8*$F$8,IF(AI61&gt;=$B$8,AK61*$B$4*(1+$B$5)^(($G$8+$B$8+AJ61*($B$8+$B$10))/4),0))</f>
        <v>655276.415965829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821529.103454907</v>
      </c>
      <c r="AQ61" s="14" t="n">
        <f aca="false">G61+O61+W61+AE61+AM61</f>
        <v>3800776.84777937</v>
      </c>
      <c r="AR61" s="14" t="n">
        <f aca="false">H61+P61+X61+AF61+AN61+IF($A61=$B$15,$B$14,0)</f>
        <v>0</v>
      </c>
      <c r="AS61" s="21" t="n">
        <f aca="false">I61+Q61+Y61+AG61+AO61</f>
        <v>0</v>
      </c>
      <c r="AT61" s="14" t="n">
        <f aca="false">AP61*(1-$B$12)-AS61*$B$13/4</f>
        <v>772237.357247612</v>
      </c>
      <c r="AU61" s="14" t="n">
        <f aca="false">0</f>
        <v>0</v>
      </c>
      <c r="AV61" s="14" t="n">
        <f aca="false">AT61-AR61-AU61</f>
        <v>772237.357247612</v>
      </c>
      <c r="AW61" s="21" t="n">
        <f aca="false">(1+$B$16)^(-$A61/4)</f>
        <v>0.550378891682413</v>
      </c>
      <c r="AX61" s="14" t="n">
        <f aca="false">AV61*AW61</f>
        <v>425023.140797696</v>
      </c>
      <c r="AY61" s="14" t="n">
        <f aca="false">AV61</f>
        <v>772237.357247612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26</v>
      </c>
      <c r="AB62" s="21" t="n">
        <f aca="false">IF(Z62&lt;0,0,INT(Z62/($B$8+$B$10)))</f>
        <v>0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77555.0100488435</v>
      </c>
      <c r="AE62" s="14" t="n">
        <f aca="false">IF($A62&lt;=$G$7,$E$7*$F$7,IF(AA62&gt;=$B$8,AC62*$B$4*(1+$B$5)^(($G$7+$B$8+AB62*($B$8+$B$10))/4),0))</f>
        <v>310220.040195374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32</v>
      </c>
      <c r="AJ62" s="21" t="n">
        <f aca="false">IF(AH62&lt;0,0,INT(AH62/($B$8+$B$10)))</f>
        <v>0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163819.103991457</v>
      </c>
      <c r="AM62" s="14" t="n">
        <f aca="false">IF($A62&lt;=$G$8,$E$8*$F$8,IF(AI62&gt;=$B$8,AK62*$B$4*(1+$B$5)^(($G$8+$B$8+AJ62*($B$8+$B$10))/4),0))</f>
        <v>655276.415965829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950194.211944842</v>
      </c>
      <c r="AQ62" s="14" t="n">
        <f aca="false">G62+O62+W62+AE62+AM62</f>
        <v>3800776.84777937</v>
      </c>
      <c r="AR62" s="14" t="n">
        <f aca="false">H62+P62+X62+AF62+AN62+IF($A62=$B$15,$B$14,0)</f>
        <v>0</v>
      </c>
      <c r="AS62" s="21" t="n">
        <f aca="false">I62+Q62+Y62+AG62+AO62</f>
        <v>0</v>
      </c>
      <c r="AT62" s="14" t="n">
        <f aca="false">AP62*(1-$B$12)-AS62*$B$13/4</f>
        <v>893182.559228151</v>
      </c>
      <c r="AU62" s="14" t="n">
        <f aca="false">0</f>
        <v>0</v>
      </c>
      <c r="AV62" s="14" t="n">
        <f aca="false">AT62-AR62-AU62</f>
        <v>893182.559228151</v>
      </c>
      <c r="AW62" s="21" t="n">
        <f aca="false">(1+$B$16)^(-$A62/4)</f>
        <v>0.540203569603995</v>
      </c>
      <c r="AX62" s="14" t="n">
        <f aca="false">AV62*AW62</f>
        <v>482500.406803079</v>
      </c>
      <c r="AY62" s="14" t="n">
        <f aca="false">AV62</f>
        <v>893182.559228151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23</v>
      </c>
      <c r="D63" s="0" t="n">
        <f aca="false">IF(B63&lt;0,0,INT(B63/($B$8+$B$10)))</f>
        <v>0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330617.00783822</v>
      </c>
      <c r="G63" s="14" t="n">
        <f aca="false">IF($A63&lt;=$G$4,$E$4*$F$4,IF(C63&gt;=$B$8,E63*$B$4*(1+$B$5)^(($G$4+$B$8+D63*($B$8+$B$10))/4),0))</f>
        <v>1322468.03135288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27</v>
      </c>
      <c r="AB63" s="21" t="n">
        <f aca="false">IF(Z63&lt;0,0,INT(Z63/($B$8+$B$10)))</f>
        <v>0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77555.0100488435</v>
      </c>
      <c r="AE63" s="14" t="n">
        <f aca="false">IF($A63&lt;=$G$7,$E$7*$F$7,IF(AA63&gt;=$B$8,AC63*$B$4*(1+$B$5)^(($G$7+$B$8+AB63*($B$8+$B$10))/4),0))</f>
        <v>310220.040195374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33</v>
      </c>
      <c r="AJ63" s="21" t="n">
        <f aca="false">IF(AH63&lt;0,0,INT(AH63/($B$8+$B$10)))</f>
        <v>0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163819.103991457</v>
      </c>
      <c r="AM63" s="14" t="n">
        <f aca="false">IF($A63&lt;=$G$8,$E$8*$F$8,IF(AI63&gt;=$B$8,AK63*$B$4*(1+$B$5)^(($G$8+$B$8+AJ63*($B$8+$B$10))/4),0))</f>
        <v>655276.415965829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950194.211944842</v>
      </c>
      <c r="AQ63" s="14" t="n">
        <f aca="false">G63+O63+W63+AE63+AM63</f>
        <v>3800776.84777937</v>
      </c>
      <c r="AR63" s="14" t="n">
        <f aca="false">H63+P63+X63+AF63+AN63+IF($A63=$B$15,$B$14,0)</f>
        <v>0</v>
      </c>
      <c r="AS63" s="21" t="n">
        <f aca="false">I63+Q63+Y63+AG63+AO63</f>
        <v>0</v>
      </c>
      <c r="AT63" s="14" t="n">
        <f aca="false">AP63*(1-$B$12)-AS63*$B$13/4</f>
        <v>893182.559228151</v>
      </c>
      <c r="AU63" s="14" t="n">
        <f aca="false">0</f>
        <v>0</v>
      </c>
      <c r="AV63" s="14" t="n">
        <f aca="false">AT63-AR63-AU63</f>
        <v>893182.559228151</v>
      </c>
      <c r="AW63" s="21" t="n">
        <f aca="false">(1+$B$16)^(-$A63/4)</f>
        <v>0.530216367348056</v>
      </c>
      <c r="AX63" s="14" t="n">
        <f aca="false">AV63*AW63</f>
        <v>473580.011932591</v>
      </c>
      <c r="AY63" s="14" t="n">
        <f aca="false">AV63</f>
        <v>893182.559228151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24</v>
      </c>
      <c r="D64" s="0" t="n">
        <f aca="false">IF(B64&lt;0,0,INT(B64/($B$8+$B$10)))</f>
        <v>0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330617.00783822</v>
      </c>
      <c r="G64" s="14" t="n">
        <f aca="false">IF($A64&lt;=$G$4,$E$4*$F$4,IF(C64&gt;=$B$8,E64*$B$4*(1+$B$5)^(($G$4+$B$8+D64*($B$8+$B$10))/4),0))</f>
        <v>1322468.03135288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28</v>
      </c>
      <c r="AB64" s="21" t="n">
        <f aca="false">IF(Z64&lt;0,0,INT(Z64/($B$8+$B$10)))</f>
        <v>0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77555.0100488435</v>
      </c>
      <c r="AE64" s="14" t="n">
        <f aca="false">IF($A64&lt;=$G$7,$E$7*$F$7,IF(AA64&gt;=$B$8,AC64*$B$4*(1+$B$5)^(($G$7+$B$8+AB64*($B$8+$B$10))/4),0))</f>
        <v>310220.040195374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34</v>
      </c>
      <c r="AJ64" s="21" t="n">
        <f aca="false">IF(AH64&lt;0,0,INT(AH64/($B$8+$B$10)))</f>
        <v>0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163819.103991457</v>
      </c>
      <c r="AM64" s="14" t="n">
        <f aca="false">IF($A64&lt;=$G$8,$E$8*$F$8,IF(AI64&gt;=$B$8,AK64*$B$4*(1+$B$5)^(($G$8+$B$8+AJ64*($B$8+$B$10))/4),0))</f>
        <v>655276.415965829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950194.211944842</v>
      </c>
      <c r="AQ64" s="14" t="n">
        <f aca="false">G64+O64+W64+AE64+AM64</f>
        <v>3800776.84777937</v>
      </c>
      <c r="AR64" s="14" t="n">
        <f aca="false">H64+P64+X64+AF64+AN64+IF($A64=$B$15,$B$14,0)</f>
        <v>0</v>
      </c>
      <c r="AS64" s="21" t="n">
        <f aca="false">I64+Q64+Y64+AG64+AO64</f>
        <v>0</v>
      </c>
      <c r="AT64" s="14" t="n">
        <f aca="false">AP64*(1-$B$12)-AS64*$B$13/4</f>
        <v>893182.559228151</v>
      </c>
      <c r="AU64" s="14" t="n">
        <f aca="false">0</f>
        <v>0</v>
      </c>
      <c r="AV64" s="14" t="n">
        <f aca="false">AT64-AR64-AU64</f>
        <v>893182.559228151</v>
      </c>
      <c r="AW64" s="21" t="n">
        <f aca="false">(1+$B$16)^(-$A64/4)</f>
        <v>0.520413806983644</v>
      </c>
      <c r="AX64" s="14" t="n">
        <f aca="false">AV64*AW64</f>
        <v>464824.535979316</v>
      </c>
      <c r="AY64" s="14" t="n">
        <f aca="false">AV64</f>
        <v>893182.559228151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25</v>
      </c>
      <c r="D65" s="0" t="n">
        <f aca="false">IF(B65&lt;0,0,INT(B65/($B$8+$B$10)))</f>
        <v>0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330617.00783822</v>
      </c>
      <c r="G65" s="14" t="n">
        <f aca="false">IF($A65&lt;=$G$4,$E$4*$F$4,IF(C65&gt;=$B$8,E65*$B$4*(1+$B$5)^(($G$4+$B$8+D65*($B$8+$B$10))/4),0))</f>
        <v>1322468.03135288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29</v>
      </c>
      <c r="AB65" s="21" t="n">
        <f aca="false">IF(Z65&lt;0,0,INT(Z65/($B$8+$B$10)))</f>
        <v>0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77555.0100488435</v>
      </c>
      <c r="AE65" s="14" t="n">
        <f aca="false">IF($A65&lt;=$G$7,$E$7*$F$7,IF(AA65&gt;=$B$8,AC65*$B$4*(1+$B$5)^(($G$7+$B$8+AB65*($B$8+$B$10))/4),0))</f>
        <v>310220.040195374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35</v>
      </c>
      <c r="AJ65" s="21" t="n">
        <f aca="false">IF(AH65&lt;0,0,INT(AH65/($B$8+$B$10)))</f>
        <v>0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163819.103991457</v>
      </c>
      <c r="AM65" s="14" t="n">
        <f aca="false">IF($A65&lt;=$G$8,$E$8*$F$8,IF(AI65&gt;=$B$8,AK65*$B$4*(1+$B$5)^(($G$8+$B$8+AJ65*($B$8+$B$10))/4),0))</f>
        <v>655276.415965829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950194.211944842</v>
      </c>
      <c r="AQ65" s="14" t="n">
        <f aca="false">G65+O65+W65+AE65+AM65</f>
        <v>3800776.84777937</v>
      </c>
      <c r="AR65" s="14" t="n">
        <f aca="false">H65+P65+X65+AF65+AN65+IF($A65=$B$15,$B$14,0)</f>
        <v>0</v>
      </c>
      <c r="AS65" s="21" t="n">
        <f aca="false">I65+Q65+Y65+AG65+AO65</f>
        <v>0</v>
      </c>
      <c r="AT65" s="14" t="n">
        <f aca="false">AP65*(1-$B$12)-AS65*$B$13/4</f>
        <v>893182.559228151</v>
      </c>
      <c r="AU65" s="14" t="n">
        <f aca="false">0</f>
        <v>0</v>
      </c>
      <c r="AV65" s="14" t="n">
        <f aca="false">AT65-AR65-AU65</f>
        <v>893182.559228151</v>
      </c>
      <c r="AW65" s="21" t="n">
        <f aca="false">(1+$B$16)^(-$A65/4)</f>
        <v>0.51079247487927</v>
      </c>
      <c r="AX65" s="14" t="n">
        <f aca="false">AV65*AW65</f>
        <v>456230.929947147</v>
      </c>
      <c r="AY65" s="14" t="n">
        <f aca="false">AV65</f>
        <v>893182.559228151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26</v>
      </c>
      <c r="D66" s="0" t="n">
        <f aca="false">IF(B66&lt;0,0,INT(B66/($B$8+$B$10)))</f>
        <v>0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330617.00783822</v>
      </c>
      <c r="G66" s="14" t="n">
        <f aca="false">IF($A66&lt;=$G$4,$E$4*$F$4,IF(C66&gt;=$B$8,E66*$B$4*(1+$B$5)^(($G$4+$B$8+D66*($B$8+$B$10))/4),0))</f>
        <v>1322468.03135288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30</v>
      </c>
      <c r="AB66" s="21" t="n">
        <f aca="false">IF(Z66&lt;0,0,INT(Z66/($B$8+$B$10)))</f>
        <v>0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77555.0100488435</v>
      </c>
      <c r="AE66" s="14" t="n">
        <f aca="false">IF($A66&lt;=$G$7,$E$7*$F$7,IF(AA66&gt;=$B$8,AC66*$B$4*(1+$B$5)^(($G$7+$B$8+AB66*($B$8+$B$10))/4),0))</f>
        <v>310220.040195374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36</v>
      </c>
      <c r="AJ66" s="21" t="n">
        <f aca="false">IF(AH66&lt;0,0,INT(AH66/($B$8+$B$10)))</f>
        <v>0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163819.103991457</v>
      </c>
      <c r="AM66" s="14" t="n">
        <f aca="false">IF($A66&lt;=$G$8,$E$8*$F$8,IF(AI66&gt;=$B$8,AK66*$B$4*(1+$B$5)^(($G$8+$B$8+AJ66*($B$8+$B$10))/4),0))</f>
        <v>655276.415965829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950194.211944842</v>
      </c>
      <c r="AQ66" s="14" t="n">
        <f aca="false">G66+O66+W66+AE66+AM66</f>
        <v>3800776.84777937</v>
      </c>
      <c r="AR66" s="14" t="n">
        <f aca="false">H66+P66+X66+AF66+AN66+IF($A66=$B$15,$B$14,0)</f>
        <v>0</v>
      </c>
      <c r="AS66" s="21" t="n">
        <f aca="false">I66+Q66+Y66+AG66+AO66</f>
        <v>0</v>
      </c>
      <c r="AT66" s="14" t="n">
        <f aca="false">AP66*(1-$B$12)-AS66*$B$13/4</f>
        <v>893182.559228151</v>
      </c>
      <c r="AU66" s="14" t="n">
        <f aca="false">0</f>
        <v>0</v>
      </c>
      <c r="AV66" s="14" t="n">
        <f aca="false">AT66-AR66-AU66</f>
        <v>893182.559228151</v>
      </c>
      <c r="AW66" s="21" t="n">
        <f aca="false">(1+$B$16)^(-$A66/4)</f>
        <v>0.501349020514149</v>
      </c>
      <c r="AX66" s="14" t="n">
        <f aca="false">AV66*AW66</f>
        <v>447796.201209354</v>
      </c>
      <c r="AY66" s="14" t="n">
        <f aca="false">AV66</f>
        <v>893182.559228151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27</v>
      </c>
      <c r="D67" s="0" t="n">
        <f aca="false">IF(B67&lt;0,0,INT(B67/($B$8+$B$10)))</f>
        <v>0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330617.00783822</v>
      </c>
      <c r="G67" s="14" t="n">
        <f aca="false">IF($A67&lt;=$G$4,$E$4*$F$4,IF(C67&gt;=$B$8,E67*$B$4*(1+$B$5)^(($G$4+$B$8+D67*($B$8+$B$10))/4),0))</f>
        <v>1322468.03135288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31</v>
      </c>
      <c r="AB67" s="21" t="n">
        <f aca="false">IF(Z67&lt;0,0,INT(Z67/($B$8+$B$10)))</f>
        <v>0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77555.0100488435</v>
      </c>
      <c r="AE67" s="14" t="n">
        <f aca="false">IF($A67&lt;=$G$7,$E$7*$F$7,IF(AA67&gt;=$B$8,AC67*$B$4*(1+$B$5)^(($G$7+$B$8+AB67*($B$8+$B$10))/4),0))</f>
        <v>310220.040195374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37</v>
      </c>
      <c r="AJ67" s="21" t="n">
        <f aca="false">IF(AH67&lt;0,0,INT(AH67/($B$8+$B$10)))</f>
        <v>0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163819.103991457</v>
      </c>
      <c r="AM67" s="14" t="n">
        <f aca="false">IF($A67&lt;=$G$8,$E$8*$F$8,IF(AI67&gt;=$B$8,AK67*$B$4*(1+$B$5)^(($G$8+$B$8+AJ67*($B$8+$B$10))/4),0))</f>
        <v>655276.415965829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950194.211944842</v>
      </c>
      <c r="AQ67" s="14" t="n">
        <f aca="false">G67+O67+W67+AE67+AM67</f>
        <v>3800776.84777937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893182.559228151</v>
      </c>
      <c r="AU67" s="14" t="n">
        <f aca="false">0</f>
        <v>0</v>
      </c>
      <c r="AV67" s="14" t="n">
        <f aca="false">AT67-AR67-AU67</f>
        <v>893182.559228151</v>
      </c>
      <c r="AW67" s="21" t="n">
        <f aca="false">(1+$B$16)^(-$A67/4)</f>
        <v>0.492080155311421</v>
      </c>
      <c r="AX67" s="14" t="n">
        <f aca="false">AV67*AW67</f>
        <v>439517.412466441</v>
      </c>
      <c r="AY67" s="14" t="n">
        <f aca="false">AV67</f>
        <v>893182.559228151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28</v>
      </c>
      <c r="D68" s="0" t="n">
        <f aca="false">IF(B68&lt;0,0,INT(B68/($B$8+$B$10)))</f>
        <v>0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330617.00783822</v>
      </c>
      <c r="G68" s="14" t="n">
        <f aca="false">IF($A68&lt;=$G$4,$E$4*$F$4,IF(C68&gt;=$B$8,E68*$B$4*(1+$B$5)^(($G$4+$B$8+D68*($B$8+$B$10))/4),0))</f>
        <v>1322468.03135288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32</v>
      </c>
      <c r="AB68" s="21" t="n">
        <f aca="false">IF(Z68&lt;0,0,INT(Z68/($B$8+$B$10)))</f>
        <v>0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77555.0100488435</v>
      </c>
      <c r="AE68" s="14" t="n">
        <f aca="false">IF($A68&lt;=$G$7,$E$7*$F$7,IF(AA68&gt;=$B$8,AC68*$B$4*(1+$B$5)^(($G$7+$B$8+AB68*($B$8+$B$10))/4),0))</f>
        <v>310220.040195374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38</v>
      </c>
      <c r="AJ68" s="21" t="n">
        <f aca="false">IF(AH68&lt;0,0,INT(AH68/($B$8+$B$10)))</f>
        <v>0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163819.103991457</v>
      </c>
      <c r="AM68" s="14" t="n">
        <f aca="false">IF($A68&lt;=$G$8,$E$8*$F$8,IF(AI68&gt;=$B$8,AK68*$B$4*(1+$B$5)^(($G$8+$B$8+AJ68*($B$8+$B$10))/4),0))</f>
        <v>655276.415965829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950194.211944842</v>
      </c>
      <c r="AQ68" s="14" t="n">
        <f aca="false">G68+O68+W68+AE68+AM68</f>
        <v>3800776.84777937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893182.559228151</v>
      </c>
      <c r="AU68" s="14" t="n">
        <f aca="false">0</f>
        <v>0</v>
      </c>
      <c r="AV68" s="14" t="n">
        <f aca="false">AT68-AR68-AU68</f>
        <v>893182.559228151</v>
      </c>
      <c r="AW68" s="21" t="n">
        <f aca="false">(1+$B$16)^(-$A68/4)</f>
        <v>0.482982651492941</v>
      </c>
      <c r="AX68" s="14" t="n">
        <f aca="false">AV68*AW68</f>
        <v>431391.680723264</v>
      </c>
      <c r="AY68" s="14" t="n">
        <f aca="false">AV68</f>
        <v>893182.559228151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29</v>
      </c>
      <c r="D69" s="0" t="n">
        <f aca="false">IF(B69&lt;0,0,INT(B69/($B$8+$B$10)))</f>
        <v>0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330617.00783822</v>
      </c>
      <c r="G69" s="14" t="n">
        <f aca="false">IF($A69&lt;=$G$4,$E$4*$F$4,IF(C69&gt;=$B$8,E69*$B$4*(1+$B$5)^(($G$4+$B$8+D69*($B$8+$B$10))/4),0))</f>
        <v>1322468.03135288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23</v>
      </c>
      <c r="L69" s="21" t="n">
        <f aca="false">IF(J69&lt;0,0,INT(J69/($B$8+$B$10)))</f>
        <v>0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249537.981576387</v>
      </c>
      <c r="O69" s="14" t="n">
        <f aca="false">IF($A69&lt;=$G$5,$E$5*$F$5,IF(K69&gt;=$B$8,M69*$B$4*(1+$B$5)^(($G$5+$B$8+L69*($B$8+$B$10))/4),0))</f>
        <v>998151.926305546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33</v>
      </c>
      <c r="AB69" s="21" t="n">
        <f aca="false">IF(Z69&lt;0,0,INT(Z69/($B$8+$B$10)))</f>
        <v>0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77555.0100488435</v>
      </c>
      <c r="AE69" s="14" t="n">
        <f aca="false">IF($A69&lt;=$G$7,$E$7*$F$7,IF(AA69&gt;=$B$8,AC69*$B$4*(1+$B$5)^(($G$7+$B$8+AB69*($B$8+$B$10))/4),0))</f>
        <v>310220.040195374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39</v>
      </c>
      <c r="AJ69" s="21" t="n">
        <f aca="false">IF(AH69&lt;0,0,INT(AH69/($B$8+$B$10)))</f>
        <v>0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163819.103991457</v>
      </c>
      <c r="AM69" s="14" t="n">
        <f aca="false">IF($A69&lt;=$G$8,$E$8*$F$8,IF(AI69&gt;=$B$8,AK69*$B$4*(1+$B$5)^(($G$8+$B$8+AJ69*($B$8+$B$10))/4),0))</f>
        <v>655276.415965829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950194.211944842</v>
      </c>
      <c r="AQ69" s="14" t="n">
        <f aca="false">G69+O69+W69+AE69+AM69</f>
        <v>3800776.84777937</v>
      </c>
      <c r="AR69" s="14" t="n">
        <f aca="false">H69+P69+X69+AF69+AN69+IF($A69=$B$15,$B$14,0)</f>
        <v>0</v>
      </c>
      <c r="AS69" s="21" t="n">
        <f aca="false">I69+Q69+Y69+AG69+AO69</f>
        <v>0</v>
      </c>
      <c r="AT69" s="14" t="n">
        <f aca="false">AP69*(1-$B$12)-AS69*$B$13/4</f>
        <v>893182.559228151</v>
      </c>
      <c r="AU69" s="14" t="n">
        <f aca="false">0</f>
        <v>0</v>
      </c>
      <c r="AV69" s="14" t="n">
        <f aca="false">AT69-AR69-AU69</f>
        <v>893182.559228151</v>
      </c>
      <c r="AW69" s="21" t="n">
        <f aca="false">(1+$B$16)^(-$A69/4)</f>
        <v>0.474053340955239</v>
      </c>
      <c r="AX69" s="14" t="n">
        <f aca="false">AV69*AW69</f>
        <v>423416.176285055</v>
      </c>
      <c r="AY69" s="14" t="n">
        <f aca="false">AV69+$J$9</f>
        <v>53028579.3497306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320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300</v>
      </c>
    </row>
    <row r="5" customFormat="false" ht="15" hidden="false" customHeight="false" outlineLevel="0" collapsed="false">
      <c r="A5" s="0" t="s">
        <v>23</v>
      </c>
      <c r="B5" s="25" t="n">
        <v>0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2670000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3384000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47749766.3724564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8387848.36565452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22635936.278695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31023784.6443496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29130314.2200465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0.729631685437121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0.0294760335836057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24806167.4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13379829.5111318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-3420885.67497637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-0.105092460063183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648000</v>
      </c>
      <c r="AN33" s="14" t="n">
        <f aca="false">IF($A33&lt;=$G$8,0,IF(AI33=0,AK33*$B$6*(1+$B$7)^(($G$8+AJ33*($B$8+$B$10))/4),0)+IF(AI33=$B$8,$B$11*$B$4*(1+$B$5)^(($G$8+$B$8+AJ33*($B$8+$B$10))/4)*AK33,0))</f>
        <v>77760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3696940</v>
      </c>
      <c r="AR33" s="14" t="n">
        <f aca="false">H33+P33+X33+AF33+AN33+IF($A33=$B$15,$B$14,0)</f>
        <v>77760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638740.9</v>
      </c>
      <c r="AW33" s="21" t="n">
        <f aca="false">(1+$B$16)^(-$A33/4)</f>
        <v>0.928074245939675</v>
      </c>
      <c r="AX33" s="14" t="n">
        <f aca="false">AV33*AW33</f>
        <v>592798.97911833</v>
      </c>
      <c r="AY33" s="14" t="n">
        <f aca="false">AV33</f>
        <v>638740.9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648000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3696940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648000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3696940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162000</v>
      </c>
      <c r="AM36" s="14" t="n">
        <f aca="false">IF($A36&lt;=$G$8,$E$8*$F$8,IF(AI36&gt;=$B$8,AK36*$B$4*(1+$B$5)^(($G$8+$B$8+AJ36*($B$8+$B$10))/4),0))</f>
        <v>648000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846235</v>
      </c>
      <c r="AQ36" s="14" t="n">
        <f aca="false">G36+O36+W36+AE36+AM36</f>
        <v>3384940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781710.9</v>
      </c>
      <c r="AU36" s="14" t="n">
        <f aca="false">0</f>
        <v>0</v>
      </c>
      <c r="AV36" s="14" t="n">
        <f aca="false">AT36-AR36-AU36</f>
        <v>345862.86885841</v>
      </c>
      <c r="AW36" s="21" t="n">
        <f aca="false">(1+$B$16)^(-$A36/4)</f>
        <v>0.877545739475122</v>
      </c>
      <c r="AX36" s="14" t="n">
        <f aca="false">AV36*AW36</f>
        <v>303510.487009341</v>
      </c>
      <c r="AY36" s="14" t="n">
        <f aca="false">AV36</f>
        <v>345862.86885841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162000</v>
      </c>
      <c r="AM37" s="14" t="n">
        <f aca="false">IF($A37&lt;=$G$8,$E$8*$F$8,IF(AI37&gt;=$B$8,AK37*$B$4*(1+$B$5)^(($G$8+$B$8+AJ37*($B$8+$B$10))/4),0))</f>
        <v>648000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846235</v>
      </c>
      <c r="AQ37" s="14" t="n">
        <f aca="false">G37+O37+W37+AE37+AM37</f>
        <v>3384940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781710.9</v>
      </c>
      <c r="AU37" s="14" t="n">
        <f aca="false">0</f>
        <v>0</v>
      </c>
      <c r="AV37" s="14" t="n">
        <f aca="false">AT37-AR37-AU37</f>
        <v>781710.9</v>
      </c>
      <c r="AW37" s="21" t="n">
        <f aca="false">(1+$B$16)^(-$A37/4)</f>
        <v>0.861321805976497</v>
      </c>
      <c r="AX37" s="14" t="n">
        <f aca="false">AV37*AW37</f>
        <v>673304.644139513</v>
      </c>
      <c r="AY37" s="14" t="n">
        <f aca="false">AV37</f>
        <v>781710.9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162000</v>
      </c>
      <c r="AM38" s="14" t="n">
        <f aca="false">IF($A38&lt;=$G$8,$E$8*$F$8,IF(AI38&gt;=$B$8,AK38*$B$4*(1+$B$5)^(($G$8+$B$8+AJ38*($B$8+$B$10))/4),0))</f>
        <v>648000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846235</v>
      </c>
      <c r="AQ38" s="14" t="n">
        <f aca="false">G38+O38+W38+AE38+AM38</f>
        <v>3384940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781710.9</v>
      </c>
      <c r="AU38" s="14" t="n">
        <f aca="false">0</f>
        <v>0</v>
      </c>
      <c r="AV38" s="14" t="n">
        <f aca="false">AT38-AR38-AU38</f>
        <v>781710.9</v>
      </c>
      <c r="AW38" s="21" t="n">
        <f aca="false">(1+$B$16)^(-$A38/4)</f>
        <v>0.845397818117543</v>
      </c>
      <c r="AX38" s="14" t="n">
        <f aca="false">AV38*AW38</f>
        <v>660856.689258701</v>
      </c>
      <c r="AY38" s="14" t="n">
        <f aca="false">AV38</f>
        <v>781710.9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300000</v>
      </c>
      <c r="AF39" s="14" t="n">
        <f aca="false">IF($A39&lt;=$G$7,0,IF(AA39=0,AC39*$B$6*(1+$B$7)^(($G$7+AB39*($B$8+$B$10))/4),0)+IF(AA39=$B$8,$B$11*$B$4*(1+$B$5)^(($G$7+$B$8+AB39*($B$8+$B$10))/4)*AC39,0))</f>
        <v>36000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162000</v>
      </c>
      <c r="AM39" s="14" t="n">
        <f aca="false">IF($A39&lt;=$G$8,$E$8*$F$8,IF(AI39&gt;=$B$8,AK39*$B$4*(1+$B$5)^(($G$8+$B$8+AJ39*($B$8+$B$10))/4),0))</f>
        <v>648000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846235</v>
      </c>
      <c r="AQ39" s="14" t="n">
        <f aca="false">G39+O39+W39+AE39+AM39</f>
        <v>3684940</v>
      </c>
      <c r="AR39" s="14" t="n">
        <f aca="false">H39+P39+X39+AF39+AN39+IF($A39=$B$15,$B$14,0)</f>
        <v>36000</v>
      </c>
      <c r="AS39" s="21" t="n">
        <f aca="false">I39+Q39+Y39+AG39+AO39</f>
        <v>0</v>
      </c>
      <c r="AT39" s="14" t="n">
        <f aca="false">AP39*(1-$B$12)-AS39*$B$13/4</f>
        <v>795460.9</v>
      </c>
      <c r="AU39" s="14" t="n">
        <f aca="false">0</f>
        <v>0</v>
      </c>
      <c r="AV39" s="14" t="n">
        <f aca="false">AT39-AR39-AU39</f>
        <v>759460.9</v>
      </c>
      <c r="AW39" s="21" t="n">
        <f aca="false">(1+$B$16)^(-$A39/4)</f>
        <v>0.829768230548437</v>
      </c>
      <c r="AX39" s="14" t="n">
        <f aca="false">AV39*AW39</f>
        <v>630176.527163723</v>
      </c>
      <c r="AY39" s="14" t="n">
        <f aca="false">AV39</f>
        <v>759460.9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300000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162000</v>
      </c>
      <c r="AM40" s="14" t="n">
        <f aca="false">IF($A40&lt;=$G$8,$E$8*$F$8,IF(AI40&gt;=$B$8,AK40*$B$4*(1+$B$5)^(($G$8+$B$8+AJ40*($B$8+$B$10))/4),0))</f>
        <v>648000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512335</v>
      </c>
      <c r="AQ40" s="14" t="n">
        <f aca="false">G40+O40+W40+AE40+AM40</f>
        <v>2349340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423844.9</v>
      </c>
      <c r="AU40" s="14" t="n">
        <f aca="false">0</f>
        <v>0</v>
      </c>
      <c r="AV40" s="14" t="n">
        <f aca="false">AT40-AR40-AU40</f>
        <v>-1452480.87406454</v>
      </c>
      <c r="AW40" s="21" t="n">
        <f aca="false">(1+$B$16)^(-$A40/4)</f>
        <v>0.814427600440949</v>
      </c>
      <c r="AX40" s="14" t="n">
        <f aca="false">AV40*AW40</f>
        <v>-1182940.51295076</v>
      </c>
      <c r="AY40" s="14" t="n">
        <f aca="false">AV40</f>
        <v>-1452480.87406454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300000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162000</v>
      </c>
      <c r="AM41" s="14" t="n">
        <f aca="false">IF($A41&lt;=$G$8,$E$8*$F$8,IF(AI41&gt;=$B$8,AK41*$B$4*(1+$B$5)^(($G$8+$B$8+AJ41*($B$8+$B$10))/4),0))</f>
        <v>648000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512335</v>
      </c>
      <c r="AQ41" s="14" t="n">
        <f aca="false">G41+O41+W41+AE41+AM41</f>
        <v>2349340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423844.9</v>
      </c>
      <c r="AU41" s="14" t="n">
        <f aca="false">0</f>
        <v>0</v>
      </c>
      <c r="AV41" s="14" t="n">
        <f aca="false">AT41-AR41-AU41</f>
        <v>-1476155.1</v>
      </c>
      <c r="AW41" s="21" t="n">
        <f aca="false">(1+$B$16)^(-$A41/4)</f>
        <v>0.799370585593037</v>
      </c>
      <c r="AX41" s="14" t="n">
        <f aca="false">AV41*AW41</f>
        <v>-1179994.96671315</v>
      </c>
      <c r="AY41" s="14" t="n">
        <f aca="false">AV41</f>
        <v>-1476155.1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75000</v>
      </c>
      <c r="AE42" s="14" t="n">
        <f aca="false">IF($A42&lt;=$G$7,$E$7*$F$7,IF(AA42&gt;=$B$8,AC42*$B$4*(1+$B$5)^(($G$7+$B$8+AB42*($B$8+$B$10))/4),0))</f>
        <v>300000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162000</v>
      </c>
      <c r="AM42" s="14" t="n">
        <f aca="false">IF($A42&lt;=$G$8,$E$8*$F$8,IF(AI42&gt;=$B$8,AK42*$B$4*(1+$B$5)^(($G$8+$B$8+AJ42*($B$8+$B$10))/4),0))</f>
        <v>648000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587335</v>
      </c>
      <c r="AQ42" s="14" t="n">
        <f aca="false">G42+O42+W42+AE42+AM42</f>
        <v>2349340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494344.9</v>
      </c>
      <c r="AU42" s="14" t="n">
        <f aca="false">0</f>
        <v>0</v>
      </c>
      <c r="AV42" s="14" t="n">
        <f aca="false">AT42-AR42-AU42</f>
        <v>494344.9</v>
      </c>
      <c r="AW42" s="21" t="n">
        <f aca="false">(1+$B$16)^(-$A42/4)</f>
        <v>0.784591942568485</v>
      </c>
      <c r="AX42" s="14" t="n">
        <f aca="false">AV42*AW42</f>
        <v>387859.025389824</v>
      </c>
      <c r="AY42" s="14" t="n">
        <f aca="false">AV42</f>
        <v>494344.9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1260000</v>
      </c>
      <c r="H43" s="14" t="n">
        <f aca="false">IF($A43&lt;=$G$4,0,IF(C43=0,E43*$B$6*(1+$B$7)^(($G$4+D43*($B$8+$B$10))/4),0)+IF(C43=$B$8,$B$11*$B$4*(1+$B$5)^(($G$4+$B$8+D43*($B$8+$B$10))/4)*E43,0))</f>
        <v>151200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75000</v>
      </c>
      <c r="AE43" s="14" t="n">
        <f aca="false">IF($A43&lt;=$G$7,$E$7*$F$7,IF(AA43&gt;=$B$8,AC43*$B$4*(1+$B$5)^(($G$7+$B$8+AB43*($B$8+$B$10))/4),0))</f>
        <v>300000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162000</v>
      </c>
      <c r="AM43" s="14" t="n">
        <f aca="false">IF($A43&lt;=$G$8,$E$8*$F$8,IF(AI43&gt;=$B$8,AK43*$B$4*(1+$B$5)^(($G$8+$B$8+AJ43*($B$8+$B$10))/4),0))</f>
        <v>648000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587335</v>
      </c>
      <c r="AQ43" s="14" t="n">
        <f aca="false">G43+O43+W43+AE43+AM43</f>
        <v>3609340</v>
      </c>
      <c r="AR43" s="14" t="n">
        <f aca="false">H43+P43+X43+AF43+AN43+IF($A43=$B$15,$B$14,0)</f>
        <v>151200</v>
      </c>
      <c r="AS43" s="21" t="n">
        <f aca="false">I43+Q43+Y43+AG43+AO43</f>
        <v>0</v>
      </c>
      <c r="AT43" s="14" t="n">
        <f aca="false">AP43*(1-$B$12)-AS43*$B$13/4</f>
        <v>552094.9</v>
      </c>
      <c r="AU43" s="14" t="n">
        <f aca="false">0</f>
        <v>0</v>
      </c>
      <c r="AV43" s="14" t="n">
        <f aca="false">AT43-AR43-AU43</f>
        <v>400894.9</v>
      </c>
      <c r="AW43" s="21" t="n">
        <f aca="false">(1+$B$16)^(-$A43/4)</f>
        <v>0.770086524870939</v>
      </c>
      <c r="AX43" s="14" t="n">
        <f aca="false">AV43*AW43</f>
        <v>308723.760379483</v>
      </c>
      <c r="AY43" s="14" t="n">
        <f aca="false">AV43</f>
        <v>400894.9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1260000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75000</v>
      </c>
      <c r="AE44" s="14" t="n">
        <f aca="false">IF($A44&lt;=$G$7,$E$7*$F$7,IF(AA44&gt;=$B$8,AC44*$B$4*(1+$B$5)^(($G$7+$B$8+AB44*($B$8+$B$10))/4),0))</f>
        <v>300000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162000</v>
      </c>
      <c r="AM44" s="14" t="n">
        <f aca="false">IF($A44&lt;=$G$8,$E$8*$F$8,IF(AI44&gt;=$B$8,AK44*$B$4*(1+$B$5)^(($G$8+$B$8+AJ44*($B$8+$B$10))/4),0))</f>
        <v>648000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587335</v>
      </c>
      <c r="AQ44" s="14" t="n">
        <f aca="false">G44+O44+W44+AE44+AM44</f>
        <v>3609340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552094.9</v>
      </c>
      <c r="AU44" s="14" t="n">
        <f aca="false">0</f>
        <v>0</v>
      </c>
      <c r="AV44" s="14" t="n">
        <f aca="false">AT44-AR44-AU44</f>
        <v>552094.9</v>
      </c>
      <c r="AW44" s="21" t="n">
        <f aca="false">(1+$B$16)^(-$A44/4)</f>
        <v>0.755849281151693</v>
      </c>
      <c r="AX44" s="14" t="n">
        <f aca="false">AV44*AW44</f>
        <v>417300.533292516</v>
      </c>
      <c r="AY44" s="14" t="n">
        <f aca="false">AV44</f>
        <v>552094.9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1260000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75000</v>
      </c>
      <c r="AE45" s="14" t="n">
        <f aca="false">IF($A45&lt;=$G$7,$E$7*$F$7,IF(AA45&gt;=$B$8,AC45*$B$4*(1+$B$5)^(($G$7+$B$8+AB45*($B$8+$B$10))/4),0))</f>
        <v>300000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162000</v>
      </c>
      <c r="AM45" s="14" t="n">
        <f aca="false">IF($A45&lt;=$G$8,$E$8*$F$8,IF(AI45&gt;=$B$8,AK45*$B$4*(1+$B$5)^(($G$8+$B$8+AJ45*($B$8+$B$10))/4),0))</f>
        <v>648000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587335</v>
      </c>
      <c r="AQ45" s="14" t="n">
        <f aca="false">G45+O45+W45+AE45+AM45</f>
        <v>3609340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552094.9</v>
      </c>
      <c r="AU45" s="14" t="n">
        <f aca="false">0</f>
        <v>0</v>
      </c>
      <c r="AV45" s="14" t="n">
        <f aca="false">AT45-AR45-AU45</f>
        <v>552094.9</v>
      </c>
      <c r="AW45" s="21" t="n">
        <f aca="false">(1+$B$16)^(-$A45/4)</f>
        <v>0.741875253450614</v>
      </c>
      <c r="AX45" s="14" t="n">
        <f aca="false">AV45*AW45</f>
        <v>409585.543866291</v>
      </c>
      <c r="AY45" s="14" t="n">
        <f aca="false">AV45</f>
        <v>552094.9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315000</v>
      </c>
      <c r="G46" s="14" t="n">
        <f aca="false">IF($A46&lt;=$G$4,$E$4*$F$4,IF(C46&gt;=$B$8,E46*$B$4*(1+$B$5)^(($G$4+$B$8+D46*($B$8+$B$10))/4),0))</f>
        <v>1260000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75000</v>
      </c>
      <c r="AE46" s="14" t="n">
        <f aca="false">IF($A46&lt;=$G$7,$E$7*$F$7,IF(AA46&gt;=$B$8,AC46*$B$4*(1+$B$5)^(($G$7+$B$8+AB46*($B$8+$B$10))/4),0))</f>
        <v>300000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162000</v>
      </c>
      <c r="AM46" s="14" t="n">
        <f aca="false">IF($A46&lt;=$G$8,$E$8*$F$8,IF(AI46&gt;=$B$8,AK46*$B$4*(1+$B$5)^(($G$8+$B$8+AJ46*($B$8+$B$10))/4),0))</f>
        <v>648000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665960</v>
      </c>
      <c r="AQ46" s="14" t="n">
        <f aca="false">G46+O46+W46+AE46+AM46</f>
        <v>2663840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583377.4</v>
      </c>
      <c r="AU46" s="14" t="n">
        <f aca="false">0</f>
        <v>0</v>
      </c>
      <c r="AV46" s="14" t="n">
        <f aca="false">AT46-AR46-AU46</f>
        <v>-853786.98359375</v>
      </c>
      <c r="AW46" s="21" t="n">
        <f aca="false">(1+$B$16)^(-$A46/4)</f>
        <v>0.728159575469592</v>
      </c>
      <c r="AX46" s="14" t="n">
        <f aca="false">AV46*AW46</f>
        <v>-621693.167515088</v>
      </c>
      <c r="AY46" s="14" t="n">
        <f aca="false">AV46</f>
        <v>-853786.98359375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315000</v>
      </c>
      <c r="G47" s="14" t="n">
        <f aca="false">IF($A47&lt;=$G$4,$E$4*$F$4,IF(C47&gt;=$B$8,E47*$B$4*(1+$B$5)^(($G$4+$B$8+D47*($B$8+$B$10))/4),0))</f>
        <v>1260000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75000</v>
      </c>
      <c r="AE47" s="14" t="n">
        <f aca="false">IF($A47&lt;=$G$7,$E$7*$F$7,IF(AA47&gt;=$B$8,AC47*$B$4*(1+$B$5)^(($G$7+$B$8+AB47*($B$8+$B$10))/4),0))</f>
        <v>300000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162000</v>
      </c>
      <c r="AM47" s="14" t="n">
        <f aca="false">IF($A47&lt;=$G$8,$E$8*$F$8,IF(AI47&gt;=$B$8,AK47*$B$4*(1+$B$5)^(($G$8+$B$8+AJ47*($B$8+$B$10))/4),0))</f>
        <v>648000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665960</v>
      </c>
      <c r="AQ47" s="14" t="n">
        <f aca="false">G47+O47+W47+AE47+AM47</f>
        <v>2663840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583377.4</v>
      </c>
      <c r="AU47" s="14" t="n">
        <f aca="false">0</f>
        <v>0</v>
      </c>
      <c r="AV47" s="14" t="n">
        <f aca="false">AT47-AR47-AU47</f>
        <v>583377.4</v>
      </c>
      <c r="AW47" s="21" t="n">
        <f aca="false">(1+$B$16)^(-$A47/4)</f>
        <v>0.714697470877902</v>
      </c>
      <c r="AX47" s="14" t="n">
        <f aca="false">AV47*AW47</f>
        <v>416938.352347326</v>
      </c>
      <c r="AY47" s="14" t="n">
        <f aca="false">AV47</f>
        <v>583377.4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315000</v>
      </c>
      <c r="G48" s="14" t="n">
        <f aca="false">IF($A48&lt;=$G$4,$E$4*$F$4,IF(C48&gt;=$B$8,E48*$B$4*(1+$B$5)^(($G$4+$B$8+D48*($B$8+$B$10))/4),0))</f>
        <v>1260000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75000</v>
      </c>
      <c r="AE48" s="14" t="n">
        <f aca="false">IF($A48&lt;=$G$7,$E$7*$F$7,IF(AA48&gt;=$B$8,AC48*$B$4*(1+$B$5)^(($G$7+$B$8+AB48*($B$8+$B$10))/4),0))</f>
        <v>300000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162000</v>
      </c>
      <c r="AM48" s="14" t="n">
        <f aca="false">IF($A48&lt;=$G$8,$E$8*$F$8,IF(AI48&gt;=$B$8,AK48*$B$4*(1+$B$5)^(($G$8+$B$8+AJ48*($B$8+$B$10))/4),0))</f>
        <v>648000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665960</v>
      </c>
      <c r="AQ48" s="14" t="n">
        <f aca="false">G48+O48+W48+AE48+AM48</f>
        <v>2663840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583377.4</v>
      </c>
      <c r="AU48" s="14" t="n">
        <f aca="false">0</f>
        <v>0</v>
      </c>
      <c r="AV48" s="14" t="n">
        <f aca="false">AT48-AR48-AU48</f>
        <v>583377.4</v>
      </c>
      <c r="AW48" s="21" t="n">
        <f aca="false">(1+$B$16)^(-$A48/4)</f>
        <v>0.701484251648903</v>
      </c>
      <c r="AX48" s="14" t="n">
        <f aca="false">AV48*AW48</f>
        <v>409230.058867883</v>
      </c>
      <c r="AY48" s="14" t="n">
        <f aca="false">AV48</f>
        <v>583377.4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315000</v>
      </c>
      <c r="G49" s="14" t="n">
        <f aca="false">IF($A49&lt;=$G$4,$E$4*$F$4,IF(C49&gt;=$B$8,E49*$B$4*(1+$B$5)^(($G$4+$B$8+D49*($B$8+$B$10))/4),0))</f>
        <v>1260000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930000</v>
      </c>
      <c r="P49" s="14" t="n">
        <f aca="false">IF($A49&lt;=$G$5,0,IF(K49=0,M49*$B$6*(1+$B$7)^(($G$5+L49*($B$8+$B$10))/4),0)+IF(K49=$B$8,$B$11*$B$4*(1+$B$5)^(($G$5+$B$8+L49*($B$8+$B$10))/4)*M49,0))</f>
        <v>111600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75000</v>
      </c>
      <c r="AE49" s="14" t="n">
        <f aca="false">IF($A49&lt;=$G$7,$E$7*$F$7,IF(AA49&gt;=$B$8,AC49*$B$4*(1+$B$5)^(($G$7+$B$8+AB49*($B$8+$B$10))/4),0))</f>
        <v>300000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162000</v>
      </c>
      <c r="AM49" s="14" t="n">
        <f aca="false">IF($A49&lt;=$G$8,$E$8*$F$8,IF(AI49&gt;=$B$8,AK49*$B$4*(1+$B$5)^(($G$8+$B$8+AJ49*($B$8+$B$10))/4),0))</f>
        <v>648000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665960</v>
      </c>
      <c r="AQ49" s="14" t="n">
        <f aca="false">G49+O49+W49+AE49+AM49</f>
        <v>3593840</v>
      </c>
      <c r="AR49" s="14" t="n">
        <f aca="false">H49+P49+X49+AF49+AN49+IF($A49=$B$15,$B$14,0)</f>
        <v>111600</v>
      </c>
      <c r="AS49" s="21" t="n">
        <f aca="false">I49+Q49+Y49+AG49+AO49</f>
        <v>0</v>
      </c>
      <c r="AT49" s="14" t="n">
        <f aca="false">AP49*(1-$B$12)-AS49*$B$13/4</f>
        <v>626002.4</v>
      </c>
      <c r="AU49" s="14" t="n">
        <f aca="false">0</f>
        <v>0</v>
      </c>
      <c r="AV49" s="14" t="n">
        <f aca="false">AT49-AR49-AU49</f>
        <v>514402.4</v>
      </c>
      <c r="AW49" s="21" t="n">
        <f aca="false">(1+$B$16)^(-$A49/4)</f>
        <v>0.688515316427484</v>
      </c>
      <c r="AX49" s="14" t="n">
        <f aca="false">AV49*AW49</f>
        <v>354173.931207057</v>
      </c>
      <c r="AY49" s="14" t="n">
        <f aca="false">AV49</f>
        <v>514402.4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315000</v>
      </c>
      <c r="G50" s="14" t="n">
        <f aca="false">IF($A50&lt;=$G$4,$E$4*$F$4,IF(C50&gt;=$B$8,E50*$B$4*(1+$B$5)^(($G$4+$B$8+D50*($B$8+$B$10))/4),0))</f>
        <v>1260000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930000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75000</v>
      </c>
      <c r="AE50" s="14" t="n">
        <f aca="false">IF($A50&lt;=$G$7,$E$7*$F$7,IF(AA50&gt;=$B$8,AC50*$B$4*(1+$B$5)^(($G$7+$B$8+AB50*($B$8+$B$10))/4),0))</f>
        <v>300000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162000</v>
      </c>
      <c r="AM50" s="14" t="n">
        <f aca="false">IF($A50&lt;=$G$8,$E$8*$F$8,IF(AI50&gt;=$B$8,AK50*$B$4*(1+$B$5)^(($G$8+$B$8+AJ50*($B$8+$B$10))/4),0))</f>
        <v>648000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665960</v>
      </c>
      <c r="AQ50" s="14" t="n">
        <f aca="false">G50+O50+W50+AE50+AM50</f>
        <v>3593840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626002.4</v>
      </c>
      <c r="AU50" s="14" t="n">
        <f aca="false">0</f>
        <v>0</v>
      </c>
      <c r="AV50" s="14" t="n">
        <f aca="false">AT50-AR50-AU50</f>
        <v>626002.4</v>
      </c>
      <c r="AW50" s="21" t="n">
        <f aca="false">(1+$B$16)^(-$A50/4)</f>
        <v>0.675786148927696</v>
      </c>
      <c r="AX50" s="14" t="n">
        <f aca="false">AV50*AW50</f>
        <v>423043.751115495</v>
      </c>
      <c r="AY50" s="14" t="n">
        <f aca="false">AV50</f>
        <v>626002.4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315000</v>
      </c>
      <c r="G51" s="14" t="n">
        <f aca="false">IF($A51&lt;=$G$4,$E$4*$F$4,IF(C51&gt;=$B$8,E51*$B$4*(1+$B$5)^(($G$4+$B$8+D51*($B$8+$B$10))/4),0))</f>
        <v>1260000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930000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75000</v>
      </c>
      <c r="AE51" s="14" t="n">
        <f aca="false">IF($A51&lt;=$G$7,$E$7*$F$7,IF(AA51&gt;=$B$8,AC51*$B$4*(1+$B$5)^(($G$7+$B$8+AB51*($B$8+$B$10))/4),0))</f>
        <v>300000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162000</v>
      </c>
      <c r="AM51" s="14" t="n">
        <f aca="false">IF($A51&lt;=$G$8,$E$8*$F$8,IF(AI51&gt;=$B$8,AK51*$B$4*(1+$B$5)^(($G$8+$B$8+AJ51*($B$8+$B$10))/4),0))</f>
        <v>648000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665960</v>
      </c>
      <c r="AQ51" s="14" t="n">
        <f aca="false">G51+O51+W51+AE51+AM51</f>
        <v>3593840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626002.4</v>
      </c>
      <c r="AU51" s="14" t="n">
        <f aca="false">0</f>
        <v>0</v>
      </c>
      <c r="AV51" s="14" t="n">
        <f aca="false">AT51-AR51-AU51</f>
        <v>626002.4</v>
      </c>
      <c r="AW51" s="21" t="n">
        <f aca="false">(1+$B$16)^(-$A51/4)</f>
        <v>0.663292316360002</v>
      </c>
      <c r="AX51" s="14" t="n">
        <f aca="false">AV51*AW51</f>
        <v>415222.58194292</v>
      </c>
      <c r="AY51" s="14" t="n">
        <f aca="false">AV51</f>
        <v>626002.4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315000</v>
      </c>
      <c r="G52" s="14" t="n">
        <f aca="false">IF($A52&lt;=$G$4,$E$4*$F$4,IF(C52&gt;=$B$8,E52*$B$4*(1+$B$5)^(($G$4+$B$8+D52*($B$8+$B$10))/4),0))</f>
        <v>1260000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232500</v>
      </c>
      <c r="O52" s="14" t="n">
        <f aca="false">IF($A52&lt;=$G$5,$E$5*$F$5,IF(K52&gt;=$B$8,M52*$B$4*(1+$B$5)^(($G$5+$B$8+L52*($B$8+$B$10))/4),0))</f>
        <v>930000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75000</v>
      </c>
      <c r="AE52" s="14" t="n">
        <f aca="false">IF($A52&lt;=$G$7,$E$7*$F$7,IF(AA52&gt;=$B$8,AC52*$B$4*(1+$B$5)^(($G$7+$B$8+AB52*($B$8+$B$10))/4),0))</f>
        <v>300000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162000</v>
      </c>
      <c r="AM52" s="14" t="n">
        <f aca="false">IF($A52&lt;=$G$8,$E$8*$F$8,IF(AI52&gt;=$B$8,AK52*$B$4*(1+$B$5)^(($G$8+$B$8+AJ52*($B$8+$B$10))/4),0))</f>
        <v>648000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898460</v>
      </c>
      <c r="AQ52" s="14" t="n">
        <f aca="false">G52+O52+W52+AE52+AM52</f>
        <v>3593840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844552.4</v>
      </c>
      <c r="AU52" s="14" t="n">
        <f aca="false">0</f>
        <v>0</v>
      </c>
      <c r="AV52" s="14" t="n">
        <f aca="false">AT52-AR52-AU52</f>
        <v>844552.4</v>
      </c>
      <c r="AW52" s="21" t="n">
        <f aca="false">(1+$B$16)^(-$A52/4)</f>
        <v>0.651029467887613</v>
      </c>
      <c r="AX52" s="14" t="n">
        <f aca="false">AV52*AW52</f>
        <v>549828.499575206</v>
      </c>
      <c r="AY52" s="14" t="n">
        <f aca="false">AV52</f>
        <v>844552.4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315000</v>
      </c>
      <c r="G53" s="14" t="n">
        <f aca="false">IF($A53&lt;=$G$4,$E$4*$F$4,IF(C53&gt;=$B$8,E53*$B$4*(1+$B$5)^(($G$4+$B$8+D53*($B$8+$B$10))/4),0))</f>
        <v>1260000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232500</v>
      </c>
      <c r="O53" s="14" t="n">
        <f aca="false">IF($A53&lt;=$G$5,$E$5*$F$5,IF(K53&gt;=$B$8,M53*$B$4*(1+$B$5)^(($G$5+$B$8+L53*($B$8+$B$10))/4),0))</f>
        <v>930000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75000</v>
      </c>
      <c r="AE53" s="14" t="n">
        <f aca="false">IF($A53&lt;=$G$7,$E$7*$F$7,IF(AA53&gt;=$B$8,AC53*$B$4*(1+$B$5)^(($G$7+$B$8+AB53*($B$8+$B$10))/4),0))</f>
        <v>300000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736460</v>
      </c>
      <c r="AQ53" s="14" t="n">
        <f aca="false">G53+O53+W53+AE53+AM53</f>
        <v>2945840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662572.4</v>
      </c>
      <c r="AU53" s="14" t="n">
        <f aca="false">0</f>
        <v>0</v>
      </c>
      <c r="AV53" s="14" t="n">
        <f aca="false">AT53-AR53-AU53</f>
        <v>-383026.860821822</v>
      </c>
      <c r="AW53" s="21" t="n">
        <f aca="false">(1+$B$16)^(-$A53/4)</f>
        <v>0.638993333111354</v>
      </c>
      <c r="AX53" s="14" t="n">
        <f aca="false">AV53*AW53</f>
        <v>-244751.610467715</v>
      </c>
      <c r="AY53" s="14" t="n">
        <f aca="false">AV53</f>
        <v>-383026.860821822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315000</v>
      </c>
      <c r="G54" s="14" t="n">
        <f aca="false">IF($A54&lt;=$G$4,$E$4*$F$4,IF(C54&gt;=$B$8,E54*$B$4*(1+$B$5)^(($G$4+$B$8+D54*($B$8+$B$10))/4),0))</f>
        <v>1260000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232500</v>
      </c>
      <c r="O54" s="14" t="n">
        <f aca="false">IF($A54&lt;=$G$5,$E$5*$F$5,IF(K54&gt;=$B$8,M54*$B$4*(1+$B$5)^(($G$5+$B$8+L54*($B$8+$B$10))/4),0))</f>
        <v>930000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75000</v>
      </c>
      <c r="AE54" s="14" t="n">
        <f aca="false">IF($A54&lt;=$G$7,$E$7*$F$7,IF(AA54&gt;=$B$8,AC54*$B$4*(1+$B$5)^(($G$7+$B$8+AB54*($B$8+$B$10))/4),0))</f>
        <v>300000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736460</v>
      </c>
      <c r="AQ54" s="14" t="n">
        <f aca="false">G54+O54+W54+AE54+AM54</f>
        <v>2945840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662572.4</v>
      </c>
      <c r="AU54" s="14" t="n">
        <f aca="false">0</f>
        <v>0</v>
      </c>
      <c r="AV54" s="14" t="n">
        <f aca="false">AT54-AR54-AU54</f>
        <v>662572.4</v>
      </c>
      <c r="AW54" s="21" t="n">
        <f aca="false">(1+$B$16)^(-$A54/4)</f>
        <v>0.627179720582548</v>
      </c>
      <c r="AX54" s="14" t="n">
        <f aca="false">AV54*AW54</f>
        <v>415551.972697708</v>
      </c>
      <c r="AY54" s="14" t="n">
        <f aca="false">AV54</f>
        <v>662572.4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315000</v>
      </c>
      <c r="G55" s="14" t="n">
        <f aca="false">IF($A55&lt;=$G$4,$E$4*$F$4,IF(C55&gt;=$B$8,E55*$B$4*(1+$B$5)^(($G$4+$B$8+D55*($B$8+$B$10))/4),0))</f>
        <v>1260000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232500</v>
      </c>
      <c r="O55" s="14" t="n">
        <f aca="false">IF($A55&lt;=$G$5,$E$5*$F$5,IF(K55&gt;=$B$8,M55*$B$4*(1+$B$5)^(($G$5+$B$8+L55*($B$8+$B$10))/4),0))</f>
        <v>930000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75000</v>
      </c>
      <c r="AE55" s="14" t="n">
        <f aca="false">IF($A55&lt;=$G$7,$E$7*$F$7,IF(AA55&gt;=$B$8,AC55*$B$4*(1+$B$5)^(($G$7+$B$8+AB55*($B$8+$B$10))/4),0))</f>
        <v>300000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736460</v>
      </c>
      <c r="AQ55" s="14" t="n">
        <f aca="false">G55+O55+W55+AE55+AM55</f>
        <v>2945840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662572.4</v>
      </c>
      <c r="AU55" s="14" t="n">
        <f aca="false">0</f>
        <v>0</v>
      </c>
      <c r="AV55" s="14" t="n">
        <f aca="false">AT55-AR55-AU55</f>
        <v>662572.4</v>
      </c>
      <c r="AW55" s="21" t="n">
        <f aca="false">(1+$B$16)^(-$A55/4)</f>
        <v>0.615584516343389</v>
      </c>
      <c r="AX55" s="14" t="n">
        <f aca="false">AV55*AW55</f>
        <v>407869.310396479</v>
      </c>
      <c r="AY55" s="14" t="n">
        <f aca="false">AV55</f>
        <v>662572.4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315000</v>
      </c>
      <c r="G56" s="14" t="n">
        <f aca="false">IF($A56&lt;=$G$4,$E$4*$F$4,IF(C56&gt;=$B$8,E56*$B$4*(1+$B$5)^(($G$4+$B$8+D56*($B$8+$B$10))/4),0))</f>
        <v>1260000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232500</v>
      </c>
      <c r="O56" s="14" t="n">
        <f aca="false">IF($A56&lt;=$G$5,$E$5*$F$5,IF(K56&gt;=$B$8,M56*$B$4*(1+$B$5)^(($G$5+$B$8+L56*($B$8+$B$10))/4),0))</f>
        <v>930000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75000</v>
      </c>
      <c r="AE56" s="14" t="n">
        <f aca="false">IF($A56&lt;=$G$7,$E$7*$F$7,IF(AA56&gt;=$B$8,AC56*$B$4*(1+$B$5)^(($G$7+$B$8+AB56*($B$8+$B$10))/4),0))</f>
        <v>300000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648000</v>
      </c>
      <c r="AN56" s="14" t="n">
        <f aca="false">IF($A56&lt;=$G$8,0,IF(AI56=0,AK56*$B$6*(1+$B$7)^(($G$8+AJ56*($B$8+$B$10))/4),0)+IF(AI56=$B$8,$B$11*$B$4*(1+$B$5)^(($G$8+$B$8+AJ56*($B$8+$B$10))/4)*AK56,0))</f>
        <v>77760</v>
      </c>
      <c r="AO56" s="21" t="n">
        <f aca="false">IF($A56&lt;=$G$8,0,IF(AI56&lt;$B$8,AK56,0))</f>
        <v>0</v>
      </c>
      <c r="AP56" s="14" t="n">
        <f aca="false">F56+N56+V56+AD56+AL56</f>
        <v>622500</v>
      </c>
      <c r="AQ56" s="14" t="n">
        <f aca="false">G56+O56+W56+AE56+AM56</f>
        <v>3138000</v>
      </c>
      <c r="AR56" s="14" t="n">
        <f aca="false">H56+P56+X56+AF56+AN56+IF($A56=$B$15,$B$14,0)</f>
        <v>837167.944688937</v>
      </c>
      <c r="AS56" s="21" t="n">
        <f aca="false">I56+Q56+Y56+AG56+AO56</f>
        <v>1540</v>
      </c>
      <c r="AT56" s="14" t="n">
        <f aca="false">AP56*(1-$B$12)-AS56*$B$13/4</f>
        <v>563975</v>
      </c>
      <c r="AU56" s="14" t="n">
        <f aca="false">0</f>
        <v>0</v>
      </c>
      <c r="AV56" s="14" t="n">
        <f aca="false">AT56-AR56-AU56</f>
        <v>-273192.944688937</v>
      </c>
      <c r="AW56" s="21" t="n">
        <f aca="false">(1+$B$16)^(-$A56/4)</f>
        <v>0.604203682494304</v>
      </c>
      <c r="AX56" s="14" t="n">
        <f aca="false">AV56*AW56</f>
        <v>-165064.183212518</v>
      </c>
      <c r="AY56" s="14" t="n">
        <f aca="false">AV56</f>
        <v>-273192.944688937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315000</v>
      </c>
      <c r="G57" s="14" t="n">
        <f aca="false">IF($A57&lt;=$G$4,$E$4*$F$4,IF(C57&gt;=$B$8,E57*$B$4*(1+$B$5)^(($G$4+$B$8+D57*($B$8+$B$10))/4),0))</f>
        <v>1260000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232500</v>
      </c>
      <c r="O57" s="14" t="n">
        <f aca="false">IF($A57&lt;=$G$5,$E$5*$F$5,IF(K57&gt;=$B$8,M57*$B$4*(1+$B$5)^(($G$5+$B$8+L57*($B$8+$B$10))/4),0))</f>
        <v>930000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75000</v>
      </c>
      <c r="AE57" s="14" t="n">
        <f aca="false">IF($A57&lt;=$G$7,$E$7*$F$7,IF(AA57&gt;=$B$8,AC57*$B$4*(1+$B$5)^(($G$7+$B$8+AB57*($B$8+$B$10))/4),0))</f>
        <v>300000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648000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622500</v>
      </c>
      <c r="AQ57" s="14" t="n">
        <f aca="false">G57+O57+W57+AE57+AM57</f>
        <v>3138000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563975</v>
      </c>
      <c r="AU57" s="14" t="n">
        <f aca="false">0</f>
        <v>0</v>
      </c>
      <c r="AV57" s="14" t="n">
        <f aca="false">AT57-AR57-AU57</f>
        <v>563975</v>
      </c>
      <c r="AW57" s="21" t="n">
        <f aca="false">(1+$B$16)^(-$A57/4)</f>
        <v>0.5930332557878</v>
      </c>
      <c r="AX57" s="14" t="n">
        <f aca="false">AV57*AW57</f>
        <v>334455.930432924</v>
      </c>
      <c r="AY57" s="14" t="n">
        <f aca="false">AV57</f>
        <v>563975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315000</v>
      </c>
      <c r="G58" s="14" t="n">
        <f aca="false">IF($A58&lt;=$G$4,$E$4*$F$4,IF(C58&gt;=$B$8,E58*$B$4*(1+$B$5)^(($G$4+$B$8+D58*($B$8+$B$10))/4),0))</f>
        <v>1260000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232500</v>
      </c>
      <c r="O58" s="14" t="n">
        <f aca="false">IF($A58&lt;=$G$5,$E$5*$F$5,IF(K58&gt;=$B$8,M58*$B$4*(1+$B$5)^(($G$5+$B$8+L58*($B$8+$B$10))/4),0))</f>
        <v>930000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75000</v>
      </c>
      <c r="AE58" s="14" t="n">
        <f aca="false">IF($A58&lt;=$G$7,$E$7*$F$7,IF(AA58&gt;=$B$8,AC58*$B$4*(1+$B$5)^(($G$7+$B$8+AB58*($B$8+$B$10))/4),0))</f>
        <v>300000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648000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622500</v>
      </c>
      <c r="AQ58" s="14" t="n">
        <f aca="false">G58+O58+W58+AE58+AM58</f>
        <v>3138000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563975</v>
      </c>
      <c r="AU58" s="14" t="n">
        <f aca="false">0</f>
        <v>0</v>
      </c>
      <c r="AV58" s="14" t="n">
        <f aca="false">AT58-AR58-AU58</f>
        <v>563975</v>
      </c>
      <c r="AW58" s="21" t="n">
        <f aca="false">(1+$B$16)^(-$A58/4)</f>
        <v>0.582069346248305</v>
      </c>
      <c r="AX58" s="14" t="n">
        <f aca="false">AV58*AW58</f>
        <v>328272.559550388</v>
      </c>
      <c r="AY58" s="14" t="n">
        <f aca="false">AV58</f>
        <v>563975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315000</v>
      </c>
      <c r="G59" s="14" t="n">
        <f aca="false">IF($A59&lt;=$G$4,$E$4*$F$4,IF(C59&gt;=$B$8,E59*$B$4*(1+$B$5)^(($G$4+$B$8+D59*($B$8+$B$10))/4),0))</f>
        <v>1260000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232500</v>
      </c>
      <c r="O59" s="14" t="n">
        <f aca="false">IF($A59&lt;=$G$5,$E$5*$F$5,IF(K59&gt;=$B$8,M59*$B$4*(1+$B$5)^(($G$5+$B$8+L59*($B$8+$B$10))/4),0))</f>
        <v>930000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462000</v>
      </c>
      <c r="X59" s="14" t="n">
        <f aca="false">IF($A59&lt;=$G$6,0,IF(S59=0,U59*$B$6*(1+$B$7)^(($G$6+T59*($B$8+$B$10))/4),0)+IF(S59=$B$8,$B$11*$B$4*(1+$B$5)^(($G$6+$B$8+T59*($B$8+$B$10))/4)*U59,0))</f>
        <v>55440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162000</v>
      </c>
      <c r="AM59" s="14" t="n">
        <f aca="false">IF($A59&lt;=$G$8,$E$8*$F$8,IF(AI59&gt;=$B$8,AK59*$B$4*(1+$B$5)^(($G$8+$B$8+AJ59*($B$8+$B$10))/4),0))</f>
        <v>648000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709500</v>
      </c>
      <c r="AQ59" s="14" t="n">
        <f aca="false">G59+O59+W59+AE59+AM59</f>
        <v>3300000</v>
      </c>
      <c r="AR59" s="14" t="n">
        <f aca="false">H59+P59+X59+AF59+AN59+IF($A59=$B$15,$B$14,0)</f>
        <v>557779.483236654</v>
      </c>
      <c r="AS59" s="21" t="n">
        <f aca="false">I59+Q59+Y59+AG59+AO59</f>
        <v>1000</v>
      </c>
      <c r="AT59" s="14" t="n">
        <f aca="false">AP59*(1-$B$12)-AS59*$B$13/4</f>
        <v>653180</v>
      </c>
      <c r="AU59" s="14" t="n">
        <f aca="false">0</f>
        <v>0</v>
      </c>
      <c r="AV59" s="14" t="n">
        <f aca="false">AT59-AR59-AU59</f>
        <v>95400.516763346</v>
      </c>
      <c r="AW59" s="21" t="n">
        <f aca="false">(1+$B$16)^(-$A59/4)</f>
        <v>0.571308135817531</v>
      </c>
      <c r="AX59" s="14" t="n">
        <f aca="false">AV59*AW59</f>
        <v>54503.0913880963</v>
      </c>
      <c r="AY59" s="14" t="n">
        <f aca="false">AV59</f>
        <v>95400.516763346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315000</v>
      </c>
      <c r="G60" s="14" t="n">
        <f aca="false">IF($A60&lt;=$G$4,$E$4*$F$4,IF(C60&gt;=$B$8,E60*$B$4*(1+$B$5)^(($G$4+$B$8+D60*($B$8+$B$10))/4),0))</f>
        <v>1260000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232500</v>
      </c>
      <c r="O60" s="14" t="n">
        <f aca="false">IF($A60&lt;=$G$5,$E$5*$F$5,IF(K60&gt;=$B$8,M60*$B$4*(1+$B$5)^(($G$5+$B$8+L60*($B$8+$B$10))/4),0))</f>
        <v>930000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462000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162000</v>
      </c>
      <c r="AM60" s="14" t="n">
        <f aca="false">IF($A60&lt;=$G$8,$E$8*$F$8,IF(AI60&gt;=$B$8,AK60*$B$4*(1+$B$5)^(($G$8+$B$8+AJ60*($B$8+$B$10))/4),0))</f>
        <v>648000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709500</v>
      </c>
      <c r="AQ60" s="14" t="n">
        <f aca="false">G60+O60+W60+AE60+AM60</f>
        <v>3300000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653180</v>
      </c>
      <c r="AU60" s="14" t="n">
        <f aca="false">0</f>
        <v>0</v>
      </c>
      <c r="AV60" s="14" t="n">
        <f aca="false">AT60-AR60-AU60</f>
        <v>653180</v>
      </c>
      <c r="AW60" s="21" t="n">
        <f aca="false">(1+$B$16)^(-$A60/4)</f>
        <v>0.560745877024877</v>
      </c>
      <c r="AX60" s="14" t="n">
        <f aca="false">AV60*AW60</f>
        <v>366267.991955109</v>
      </c>
      <c r="AY60" s="14" t="n">
        <f aca="false">AV60</f>
        <v>653180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315000</v>
      </c>
      <c r="G61" s="14" t="n">
        <f aca="false">IF($A61&lt;=$G$4,$E$4*$F$4,IF(C61&gt;=$B$8,E61*$B$4*(1+$B$5)^(($G$4+$B$8+D61*($B$8+$B$10))/4),0))</f>
        <v>1260000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232500</v>
      </c>
      <c r="O61" s="14" t="n">
        <f aca="false">IF($A61&lt;=$G$5,$E$5*$F$5,IF(K61&gt;=$B$8,M61*$B$4*(1+$B$5)^(($G$5+$B$8+L61*($B$8+$B$10))/4),0))</f>
        <v>930000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462000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162000</v>
      </c>
      <c r="AM61" s="14" t="n">
        <f aca="false">IF($A61&lt;=$G$8,$E$8*$F$8,IF(AI61&gt;=$B$8,AK61*$B$4*(1+$B$5)^(($G$8+$B$8+AJ61*($B$8+$B$10))/4),0))</f>
        <v>648000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709500</v>
      </c>
      <c r="AQ61" s="14" t="n">
        <f aca="false">G61+O61+W61+AE61+AM61</f>
        <v>3300000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653180</v>
      </c>
      <c r="AU61" s="14" t="n">
        <f aca="false">0</f>
        <v>0</v>
      </c>
      <c r="AV61" s="14" t="n">
        <f aca="false">AT61-AR61-AU61</f>
        <v>653180</v>
      </c>
      <c r="AW61" s="21" t="n">
        <f aca="false">(1+$B$16)^(-$A61/4)</f>
        <v>0.550378891682413</v>
      </c>
      <c r="AX61" s="14" t="n">
        <f aca="false">AV61*AW61</f>
        <v>359496.484469118</v>
      </c>
      <c r="AY61" s="14" t="n">
        <f aca="false">AV61</f>
        <v>653180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315000</v>
      </c>
      <c r="G62" s="14" t="n">
        <f aca="false">IF($A62&lt;=$G$4,$E$4*$F$4,IF(C62&gt;=$B$8,E62*$B$4*(1+$B$5)^(($G$4+$B$8+D62*($B$8+$B$10))/4),0))</f>
        <v>1260000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232500</v>
      </c>
      <c r="O62" s="14" t="n">
        <f aca="false">IF($A62&lt;=$G$5,$E$5*$F$5,IF(K62&gt;=$B$8,M62*$B$4*(1+$B$5)^(($G$5+$B$8+L62*($B$8+$B$10))/4),0))</f>
        <v>930000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115500</v>
      </c>
      <c r="W62" s="14" t="n">
        <f aca="false">IF($A62&lt;=$G$6,$E$6*$F$6,IF(S62&gt;=$B$8,U62*$B$4*(1+$B$5)^(($G$6+$B$8+T62*($B$8+$B$10))/4),0))</f>
        <v>462000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300000</v>
      </c>
      <c r="AF62" s="14" t="n">
        <f aca="false">IF($A62&lt;=$G$7,0,IF(AA62=0,AC62*$B$6*(1+$B$7)^(($G$7+AB62*($B$8+$B$10))/4),0)+IF(AA62=$B$8,$B$11*$B$4*(1+$B$5)^(($G$7+$B$8+AB62*($B$8+$B$10))/4)*AC62,0))</f>
        <v>36000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162000</v>
      </c>
      <c r="AM62" s="14" t="n">
        <f aca="false">IF($A62&lt;=$G$8,$E$8*$F$8,IF(AI62&gt;=$B$8,AK62*$B$4*(1+$B$5)^(($G$8+$B$8+AJ62*($B$8+$B$10))/4),0))</f>
        <v>648000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825000</v>
      </c>
      <c r="AQ62" s="14" t="n">
        <f aca="false">G62+O62+W62+AE62+AM62</f>
        <v>3600000</v>
      </c>
      <c r="AR62" s="14" t="n">
        <f aca="false">H62+P62+X62+AF62+AN62+IF($A62=$B$15,$B$14,0)</f>
        <v>36000</v>
      </c>
      <c r="AS62" s="21" t="n">
        <f aca="false">I62+Q62+Y62+AG62+AO62</f>
        <v>0</v>
      </c>
      <c r="AT62" s="14" t="n">
        <f aca="false">AP62*(1-$B$12)-AS62*$B$13/4</f>
        <v>775500</v>
      </c>
      <c r="AU62" s="14" t="n">
        <f aca="false">0</f>
        <v>0</v>
      </c>
      <c r="AV62" s="14" t="n">
        <f aca="false">AT62-AR62-AU62</f>
        <v>739500</v>
      </c>
      <c r="AW62" s="21" t="n">
        <f aca="false">(1+$B$16)^(-$A62/4)</f>
        <v>0.540203569603995</v>
      </c>
      <c r="AX62" s="14" t="n">
        <f aca="false">AV62*AW62</f>
        <v>399480.539722154</v>
      </c>
      <c r="AY62" s="14" t="n">
        <f aca="false">AV62</f>
        <v>739500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232500</v>
      </c>
      <c r="O63" s="14" t="n">
        <f aca="false">IF($A63&lt;=$G$5,$E$5*$F$5,IF(K63&gt;=$B$8,M63*$B$4*(1+$B$5)^(($G$5+$B$8+L63*($B$8+$B$10))/4),0))</f>
        <v>930000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115500</v>
      </c>
      <c r="W63" s="14" t="n">
        <f aca="false">IF($A63&lt;=$G$6,$E$6*$F$6,IF(S63&gt;=$B$8,U63*$B$4*(1+$B$5)^(($G$6+$B$8+T63*($B$8+$B$10))/4),0))</f>
        <v>462000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300000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162000</v>
      </c>
      <c r="AM63" s="14" t="n">
        <f aca="false">IF($A63&lt;=$G$8,$E$8*$F$8,IF(AI63&gt;=$B$8,AK63*$B$4*(1+$B$5)^(($G$8+$B$8+AJ63*($B$8+$B$10))/4),0))</f>
        <v>648000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510000</v>
      </c>
      <c r="AQ63" s="14" t="n">
        <f aca="false">G63+O63+W63+AE63+AM63</f>
        <v>2340000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421650</v>
      </c>
      <c r="AU63" s="14" t="n">
        <f aca="false">0</f>
        <v>0</v>
      </c>
      <c r="AV63" s="14" t="n">
        <f aca="false">AT63-AR63-AU63</f>
        <v>-1740921.4753338</v>
      </c>
      <c r="AW63" s="21" t="n">
        <f aca="false">(1+$B$16)^(-$A63/4)</f>
        <v>0.530216367348056</v>
      </c>
      <c r="AX63" s="14" t="n">
        <f aca="false">AV63*AW63</f>
        <v>-923065.060489704</v>
      </c>
      <c r="AY63" s="14" t="n">
        <f aca="false">AV63</f>
        <v>-1740921.4753338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232500</v>
      </c>
      <c r="O64" s="14" t="n">
        <f aca="false">IF($A64&lt;=$G$5,$E$5*$F$5,IF(K64&gt;=$B$8,M64*$B$4*(1+$B$5)^(($G$5+$B$8+L64*($B$8+$B$10))/4),0))</f>
        <v>930000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115500</v>
      </c>
      <c r="W64" s="14" t="n">
        <f aca="false">IF($A64&lt;=$G$6,$E$6*$F$6,IF(S64&gt;=$B$8,U64*$B$4*(1+$B$5)^(($G$6+$B$8+T64*($B$8+$B$10))/4),0))</f>
        <v>462000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300000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162000</v>
      </c>
      <c r="AM64" s="14" t="n">
        <f aca="false">IF($A64&lt;=$G$8,$E$8*$F$8,IF(AI64&gt;=$B$8,AK64*$B$4*(1+$B$5)^(($G$8+$B$8+AJ64*($B$8+$B$10))/4),0))</f>
        <v>648000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510000</v>
      </c>
      <c r="AQ64" s="14" t="n">
        <f aca="false">G64+O64+W64+AE64+AM64</f>
        <v>2340000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421650</v>
      </c>
      <c r="AU64" s="14" t="n">
        <f aca="false">0</f>
        <v>0</v>
      </c>
      <c r="AV64" s="14" t="n">
        <f aca="false">AT64-AR64-AU64</f>
        <v>421650</v>
      </c>
      <c r="AW64" s="21" t="n">
        <f aca="false">(1+$B$16)^(-$A64/4)</f>
        <v>0.520413806983644</v>
      </c>
      <c r="AX64" s="14" t="n">
        <f aca="false">AV64*AW64</f>
        <v>219432.481714654</v>
      </c>
      <c r="AY64" s="14" t="n">
        <f aca="false">AV64</f>
        <v>421650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232500</v>
      </c>
      <c r="O65" s="14" t="n">
        <f aca="false">IF($A65&lt;=$G$5,$E$5*$F$5,IF(K65&gt;=$B$8,M65*$B$4*(1+$B$5)^(($G$5+$B$8+L65*($B$8+$B$10))/4),0))</f>
        <v>930000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115500</v>
      </c>
      <c r="W65" s="14" t="n">
        <f aca="false">IF($A65&lt;=$G$6,$E$6*$F$6,IF(S65&gt;=$B$8,U65*$B$4*(1+$B$5)^(($G$6+$B$8+T65*($B$8+$B$10))/4),0))</f>
        <v>462000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75000</v>
      </c>
      <c r="AE65" s="14" t="n">
        <f aca="false">IF($A65&lt;=$G$7,$E$7*$F$7,IF(AA65&gt;=$B$8,AC65*$B$4*(1+$B$5)^(($G$7+$B$8+AB65*($B$8+$B$10))/4),0))</f>
        <v>300000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162000</v>
      </c>
      <c r="AM65" s="14" t="n">
        <f aca="false">IF($A65&lt;=$G$8,$E$8*$F$8,IF(AI65&gt;=$B$8,AK65*$B$4*(1+$B$5)^(($G$8+$B$8+AJ65*($B$8+$B$10))/4),0))</f>
        <v>648000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585000</v>
      </c>
      <c r="AQ65" s="14" t="n">
        <f aca="false">G65+O65+W65+AE65+AM65</f>
        <v>2340000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492150</v>
      </c>
      <c r="AU65" s="14" t="n">
        <f aca="false">0</f>
        <v>0</v>
      </c>
      <c r="AV65" s="14" t="n">
        <f aca="false">AT65-AR65-AU65</f>
        <v>492150</v>
      </c>
      <c r="AW65" s="21" t="n">
        <f aca="false">(1+$B$16)^(-$A65/4)</f>
        <v>0.51079247487927</v>
      </c>
      <c r="AX65" s="14" t="n">
        <f aca="false">AV65*AW65</f>
        <v>251386.516511832</v>
      </c>
      <c r="AY65" s="14" t="n">
        <f aca="false">AV65</f>
        <v>492150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1260000</v>
      </c>
      <c r="H66" s="14" t="n">
        <f aca="false">IF($A66&lt;=$G$4,0,IF(C66=0,E66*$B$6*(1+$B$7)^(($G$4+D66*($B$8+$B$10))/4),0)+IF(C66=$B$8,$B$11*$B$4*(1+$B$5)^(($G$4+$B$8+D66*($B$8+$B$10))/4)*E66,0))</f>
        <v>151200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232500</v>
      </c>
      <c r="O66" s="14" t="n">
        <f aca="false">IF($A66&lt;=$G$5,$E$5*$F$5,IF(K66&gt;=$B$8,M66*$B$4*(1+$B$5)^(($G$5+$B$8+L66*($B$8+$B$10))/4),0))</f>
        <v>930000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115500</v>
      </c>
      <c r="W66" s="14" t="n">
        <f aca="false">IF($A66&lt;=$G$6,$E$6*$F$6,IF(S66&gt;=$B$8,U66*$B$4*(1+$B$5)^(($G$6+$B$8+T66*($B$8+$B$10))/4),0))</f>
        <v>462000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75000</v>
      </c>
      <c r="AE66" s="14" t="n">
        <f aca="false">IF($A66&lt;=$G$7,$E$7*$F$7,IF(AA66&gt;=$B$8,AC66*$B$4*(1+$B$5)^(($G$7+$B$8+AB66*($B$8+$B$10))/4),0))</f>
        <v>300000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162000</v>
      </c>
      <c r="AM66" s="14" t="n">
        <f aca="false">IF($A66&lt;=$G$8,$E$8*$F$8,IF(AI66&gt;=$B$8,AK66*$B$4*(1+$B$5)^(($G$8+$B$8+AJ66*($B$8+$B$10))/4),0))</f>
        <v>648000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585000</v>
      </c>
      <c r="AQ66" s="14" t="n">
        <f aca="false">G66+O66+W66+AE66+AM66</f>
        <v>3600000</v>
      </c>
      <c r="AR66" s="14" t="n">
        <f aca="false">H66+P66+X66+AF66+AN66+IF($A66=$B$15,$B$14,0)</f>
        <v>151200</v>
      </c>
      <c r="AS66" s="21" t="n">
        <f aca="false">I66+Q66+Y66+AG66+AO66</f>
        <v>0</v>
      </c>
      <c r="AT66" s="14" t="n">
        <f aca="false">AP66*(1-$B$12)-AS66*$B$13/4</f>
        <v>549900</v>
      </c>
      <c r="AU66" s="14" t="n">
        <f aca="false">0</f>
        <v>0</v>
      </c>
      <c r="AV66" s="14" t="n">
        <f aca="false">AT66-AR66-AU66</f>
        <v>398700</v>
      </c>
      <c r="AW66" s="21" t="n">
        <f aca="false">(1+$B$16)^(-$A66/4)</f>
        <v>0.501349020514149</v>
      </c>
      <c r="AX66" s="14" t="n">
        <f aca="false">AV66*AW66</f>
        <v>199887.854478991</v>
      </c>
      <c r="AY66" s="14" t="n">
        <f aca="false">AV66</f>
        <v>398700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1260000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232500</v>
      </c>
      <c r="O67" s="14" t="n">
        <f aca="false">IF($A67&lt;=$G$5,$E$5*$F$5,IF(K67&gt;=$B$8,M67*$B$4*(1+$B$5)^(($G$5+$B$8+L67*($B$8+$B$10))/4),0))</f>
        <v>930000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115500</v>
      </c>
      <c r="W67" s="14" t="n">
        <f aca="false">IF($A67&lt;=$G$6,$E$6*$F$6,IF(S67&gt;=$B$8,U67*$B$4*(1+$B$5)^(($G$6+$B$8+T67*($B$8+$B$10))/4),0))</f>
        <v>462000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75000</v>
      </c>
      <c r="AE67" s="14" t="n">
        <f aca="false">IF($A67&lt;=$G$7,$E$7*$F$7,IF(AA67&gt;=$B$8,AC67*$B$4*(1+$B$5)^(($G$7+$B$8+AB67*($B$8+$B$10))/4),0))</f>
        <v>300000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162000</v>
      </c>
      <c r="AM67" s="14" t="n">
        <f aca="false">IF($A67&lt;=$G$8,$E$8*$F$8,IF(AI67&gt;=$B$8,AK67*$B$4*(1+$B$5)^(($G$8+$B$8+AJ67*($B$8+$B$10))/4),0))</f>
        <v>648000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585000</v>
      </c>
      <c r="AQ67" s="14" t="n">
        <f aca="false">G67+O67+W67+AE67+AM67</f>
        <v>3600000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549900</v>
      </c>
      <c r="AU67" s="14" t="n">
        <f aca="false">0</f>
        <v>0</v>
      </c>
      <c r="AV67" s="14" t="n">
        <f aca="false">AT67-AR67-AU67</f>
        <v>549900</v>
      </c>
      <c r="AW67" s="21" t="n">
        <f aca="false">(1+$B$16)^(-$A67/4)</f>
        <v>0.492080155311421</v>
      </c>
      <c r="AX67" s="14" t="n">
        <f aca="false">AV67*AW67</f>
        <v>270594.877405751</v>
      </c>
      <c r="AY67" s="14" t="n">
        <f aca="false">AV67</f>
        <v>549900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1260000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232500</v>
      </c>
      <c r="O68" s="14" t="n">
        <f aca="false">IF($A68&lt;=$G$5,$E$5*$F$5,IF(K68&gt;=$B$8,M68*$B$4*(1+$B$5)^(($G$5+$B$8+L68*($B$8+$B$10))/4),0))</f>
        <v>930000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115500</v>
      </c>
      <c r="W68" s="14" t="n">
        <f aca="false">IF($A68&lt;=$G$6,$E$6*$F$6,IF(S68&gt;=$B$8,U68*$B$4*(1+$B$5)^(($G$6+$B$8+T68*($B$8+$B$10))/4),0))</f>
        <v>462000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75000</v>
      </c>
      <c r="AE68" s="14" t="n">
        <f aca="false">IF($A68&lt;=$G$7,$E$7*$F$7,IF(AA68&gt;=$B$8,AC68*$B$4*(1+$B$5)^(($G$7+$B$8+AB68*($B$8+$B$10))/4),0))</f>
        <v>300000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162000</v>
      </c>
      <c r="AM68" s="14" t="n">
        <f aca="false">IF($A68&lt;=$G$8,$E$8*$F$8,IF(AI68&gt;=$B$8,AK68*$B$4*(1+$B$5)^(($G$8+$B$8+AJ68*($B$8+$B$10))/4),0))</f>
        <v>648000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585000</v>
      </c>
      <c r="AQ68" s="14" t="n">
        <f aca="false">G68+O68+W68+AE68+AM68</f>
        <v>3600000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549900</v>
      </c>
      <c r="AU68" s="14" t="n">
        <f aca="false">0</f>
        <v>0</v>
      </c>
      <c r="AV68" s="14" t="n">
        <f aca="false">AT68-AR68-AU68</f>
        <v>549900</v>
      </c>
      <c r="AW68" s="21" t="n">
        <f aca="false">(1+$B$16)^(-$A68/4)</f>
        <v>0.482982651492941</v>
      </c>
      <c r="AX68" s="14" t="n">
        <f aca="false">AV68*AW68</f>
        <v>265592.160055968</v>
      </c>
      <c r="AY68" s="14" t="n">
        <f aca="false">AV68</f>
        <v>549900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315000</v>
      </c>
      <c r="G69" s="14" t="n">
        <f aca="false">IF($A69&lt;=$G$4,$E$4*$F$4,IF(C69&gt;=$B$8,E69*$B$4*(1+$B$5)^(($G$4+$B$8+D69*($B$8+$B$10))/4),0))</f>
        <v>1260000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115500</v>
      </c>
      <c r="W69" s="14" t="n">
        <f aca="false">IF($A69&lt;=$G$6,$E$6*$F$6,IF(S69&gt;=$B$8,U69*$B$4*(1+$B$5)^(($G$6+$B$8+T69*($B$8+$B$10))/4),0))</f>
        <v>462000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75000</v>
      </c>
      <c r="AE69" s="14" t="n">
        <f aca="false">IF($A69&lt;=$G$7,$E$7*$F$7,IF(AA69&gt;=$B$8,AC69*$B$4*(1+$B$5)^(($G$7+$B$8+AB69*($B$8+$B$10))/4),0))</f>
        <v>300000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162000</v>
      </c>
      <c r="AM69" s="14" t="n">
        <f aca="false">IF($A69&lt;=$G$8,$E$8*$F$8,IF(AI69&gt;=$B$8,AK69*$B$4*(1+$B$5)^(($G$8+$B$8+AJ69*($B$8+$B$10))/4),0))</f>
        <v>648000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667500</v>
      </c>
      <c r="AQ69" s="14" t="n">
        <f aca="false">G69+O69+W69+AE69+AM69</f>
        <v>2670000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584825</v>
      </c>
      <c r="AU69" s="14" t="n">
        <f aca="false">0</f>
        <v>0</v>
      </c>
      <c r="AV69" s="14" t="n">
        <f aca="false">AT69-AR69-AU69</f>
        <v>-1071588.15825074</v>
      </c>
      <c r="AW69" s="21" t="n">
        <f aca="false">(1+$B$16)^(-$A69/4)</f>
        <v>0.474053340955239</v>
      </c>
      <c r="AX69" s="14" t="n">
        <f aca="false">AV69*AW69</f>
        <v>-507989.946546836</v>
      </c>
      <c r="AY69" s="14" t="n">
        <f aca="false">AV69+$J$9</f>
        <v>46678178.2142056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321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26" t="n">
        <v>270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312.181868803163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2706412.65147231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3453725.85807639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48767247.412534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7923648.57641552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23118276.5651024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31041925.141518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29147347.5507211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0.744743647815264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0.0298962506093108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24086497.951452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13362539.602001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-3403852.34430181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-0.104569181943498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589748.774369246</v>
      </c>
      <c r="AN33" s="14" t="n">
        <f aca="false">IF($A33&lt;=$G$8,0,IF(AI33=0,AK33*$B$6*(1+$B$7)^(($G$8+AJ33*($B$8+$B$10))/4),0)+IF(AI33=$B$8,$B$11*$B$4*(1+$B$5)^(($G$8+$B$8+AJ33*($B$8+$B$10))/4)*AK33,0))</f>
        <v>70769.8529243095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3638688.77436925</v>
      </c>
      <c r="AR33" s="14" t="n">
        <f aca="false">H33+P33+X33+AF33+AN33+IF($A33=$B$15,$B$14,0)</f>
        <v>70769.8529243095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645731.047075691</v>
      </c>
      <c r="AW33" s="21" t="n">
        <f aca="false">(1+$B$16)^(-$A33/4)</f>
        <v>0.928074245939675</v>
      </c>
      <c r="AX33" s="14" t="n">
        <f aca="false">AV33*AW33</f>
        <v>599286.354594608</v>
      </c>
      <c r="AY33" s="14" t="n">
        <f aca="false">AV33</f>
        <v>645731.047075691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589748.774369246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3638688.77436925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589748.774369246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3638688.77436925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147437.193592311</v>
      </c>
      <c r="AM36" s="14" t="n">
        <f aca="false">IF($A36&lt;=$G$8,$E$8*$F$8,IF(AI36&gt;=$B$8,AK36*$B$4*(1+$B$5)^(($G$8+$B$8+AJ36*($B$8+$B$10))/4),0))</f>
        <v>589748.774369246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831672.193592312</v>
      </c>
      <c r="AQ36" s="14" t="n">
        <f aca="false">G36+O36+W36+AE36+AM36</f>
        <v>3326688.77436925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768021.861976773</v>
      </c>
      <c r="AU36" s="14" t="n">
        <f aca="false">0</f>
        <v>0</v>
      </c>
      <c r="AV36" s="14" t="n">
        <f aca="false">AT36-AR36-AU36</f>
        <v>332173.830835183</v>
      </c>
      <c r="AW36" s="21" t="n">
        <f aca="false">(1+$B$16)^(-$A36/4)</f>
        <v>0.877545739475122</v>
      </c>
      <c r="AX36" s="14" t="n">
        <f aca="false">AV36*AW36</f>
        <v>291497.730014545</v>
      </c>
      <c r="AY36" s="14" t="n">
        <f aca="false">AV36</f>
        <v>332173.830835183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147437.193592311</v>
      </c>
      <c r="AM37" s="14" t="n">
        <f aca="false">IF($A37&lt;=$G$8,$E$8*$F$8,IF(AI37&gt;=$B$8,AK37*$B$4*(1+$B$5)^(($G$8+$B$8+AJ37*($B$8+$B$10))/4),0))</f>
        <v>589748.774369246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831672.193592312</v>
      </c>
      <c r="AQ37" s="14" t="n">
        <f aca="false">G37+O37+W37+AE37+AM37</f>
        <v>3326688.77436925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768021.861976773</v>
      </c>
      <c r="AU37" s="14" t="n">
        <f aca="false">0</f>
        <v>0</v>
      </c>
      <c r="AV37" s="14" t="n">
        <f aca="false">AT37-AR37-AU37</f>
        <v>768021.861976773</v>
      </c>
      <c r="AW37" s="21" t="n">
        <f aca="false">(1+$B$16)^(-$A37/4)</f>
        <v>0.861321805976497</v>
      </c>
      <c r="AX37" s="14" t="n">
        <f aca="false">AV37*AW37</f>
        <v>661513.977187266</v>
      </c>
      <c r="AY37" s="14" t="n">
        <f aca="false">AV37</f>
        <v>768021.861976773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147437.193592311</v>
      </c>
      <c r="AM38" s="14" t="n">
        <f aca="false">IF($A38&lt;=$G$8,$E$8*$F$8,IF(AI38&gt;=$B$8,AK38*$B$4*(1+$B$5)^(($G$8+$B$8+AJ38*($B$8+$B$10))/4),0))</f>
        <v>589748.774369246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831672.193592312</v>
      </c>
      <c r="AQ38" s="14" t="n">
        <f aca="false">G38+O38+W38+AE38+AM38</f>
        <v>3326688.77436925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768021.861976773</v>
      </c>
      <c r="AU38" s="14" t="n">
        <f aca="false">0</f>
        <v>0</v>
      </c>
      <c r="AV38" s="14" t="n">
        <f aca="false">AT38-AR38-AU38</f>
        <v>768021.861976773</v>
      </c>
      <c r="AW38" s="21" t="n">
        <f aca="false">(1+$B$16)^(-$A38/4)</f>
        <v>0.845397818117543</v>
      </c>
      <c r="AX38" s="14" t="n">
        <f aca="false">AV38*AW38</f>
        <v>649284.006381736</v>
      </c>
      <c r="AY38" s="14" t="n">
        <f aca="false">AV38</f>
        <v>768021.861976773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279198.036175837</v>
      </c>
      <c r="AF39" s="14" t="n">
        <f aca="false">IF($A39&lt;=$G$7,0,IF(AA39=0,AC39*$B$6*(1+$B$7)^(($G$7+AB39*($B$8+$B$10))/4),0)+IF(AA39=$B$8,$B$11*$B$4*(1+$B$5)^(($G$7+$B$8+AB39*($B$8+$B$10))/4)*AC39,0))</f>
        <v>33503.7643411004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147437.193592311</v>
      </c>
      <c r="AM39" s="14" t="n">
        <f aca="false">IF($A39&lt;=$G$8,$E$8*$F$8,IF(AI39&gt;=$B$8,AK39*$B$4*(1+$B$5)^(($G$8+$B$8+AJ39*($B$8+$B$10))/4),0))</f>
        <v>589748.774369246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831672.193592312</v>
      </c>
      <c r="AQ39" s="14" t="n">
        <f aca="false">G39+O39+W39+AE39+AM39</f>
        <v>3605886.81054508</v>
      </c>
      <c r="AR39" s="14" t="n">
        <f aca="false">H39+P39+X39+AF39+AN39+IF($A39=$B$15,$B$14,0)</f>
        <v>33503.7643411004</v>
      </c>
      <c r="AS39" s="21" t="n">
        <f aca="false">I39+Q39+Y39+AG39+AO39</f>
        <v>0</v>
      </c>
      <c r="AT39" s="14" t="n">
        <f aca="false">AP39*(1-$B$12)-AS39*$B$13/4</f>
        <v>781771.861976773</v>
      </c>
      <c r="AU39" s="14" t="n">
        <f aca="false">0</f>
        <v>0</v>
      </c>
      <c r="AV39" s="14" t="n">
        <f aca="false">AT39-AR39-AU39</f>
        <v>748268.097635672</v>
      </c>
      <c r="AW39" s="21" t="n">
        <f aca="false">(1+$B$16)^(-$A39/4)</f>
        <v>0.829768230548437</v>
      </c>
      <c r="AX39" s="14" t="n">
        <f aca="false">AV39*AW39</f>
        <v>620889.095350997</v>
      </c>
      <c r="AY39" s="14" t="n">
        <f aca="false">AV39</f>
        <v>748268.097635672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279198.036175837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147437.193592311</v>
      </c>
      <c r="AM40" s="14" t="n">
        <f aca="false">IF($A40&lt;=$G$8,$E$8*$F$8,IF(AI40&gt;=$B$8,AK40*$B$4*(1+$B$5)^(($G$8+$B$8+AJ40*($B$8+$B$10))/4),0))</f>
        <v>589748.774369246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497772.193592311</v>
      </c>
      <c r="AQ40" s="14" t="n">
        <f aca="false">G40+O40+W40+AE40+AM40</f>
        <v>2270286.81054508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410155.861976773</v>
      </c>
      <c r="AU40" s="14" t="n">
        <f aca="false">0</f>
        <v>0</v>
      </c>
      <c r="AV40" s="14" t="n">
        <f aca="false">AT40-AR40-AU40</f>
        <v>-1466169.91208777</v>
      </c>
      <c r="AW40" s="21" t="n">
        <f aca="false">(1+$B$16)^(-$A40/4)</f>
        <v>0.814427600440949</v>
      </c>
      <c r="AX40" s="14" t="n">
        <f aca="false">AV40*AW40</f>
        <v>-1194089.24334036</v>
      </c>
      <c r="AY40" s="14" t="n">
        <f aca="false">AV40</f>
        <v>-1466169.91208777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279198.036175837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147437.193592311</v>
      </c>
      <c r="AM41" s="14" t="n">
        <f aca="false">IF($A41&lt;=$G$8,$E$8*$F$8,IF(AI41&gt;=$B$8,AK41*$B$4*(1+$B$5)^(($G$8+$B$8+AJ41*($B$8+$B$10))/4),0))</f>
        <v>589748.774369246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497772.193592311</v>
      </c>
      <c r="AQ41" s="14" t="n">
        <f aca="false">G41+O41+W41+AE41+AM41</f>
        <v>2270286.81054508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410155.861976773</v>
      </c>
      <c r="AU41" s="14" t="n">
        <f aca="false">0</f>
        <v>0</v>
      </c>
      <c r="AV41" s="14" t="n">
        <f aca="false">AT41-AR41-AU41</f>
        <v>-1489844.13802323</v>
      </c>
      <c r="AW41" s="21" t="n">
        <f aca="false">(1+$B$16)^(-$A41/4)</f>
        <v>0.799370585593037</v>
      </c>
      <c r="AX41" s="14" t="n">
        <f aca="false">AV41*AW41</f>
        <v>-1190937.58105398</v>
      </c>
      <c r="AY41" s="14" t="n">
        <f aca="false">AV41</f>
        <v>-1489844.13802323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69799.5090439591</v>
      </c>
      <c r="AE42" s="14" t="n">
        <f aca="false">IF($A42&lt;=$G$7,$E$7*$F$7,IF(AA42&gt;=$B$8,AC42*$B$4*(1+$B$5)^(($G$7+$B$8+AB42*($B$8+$B$10))/4),0))</f>
        <v>279198.036175837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147437.193592311</v>
      </c>
      <c r="AM42" s="14" t="n">
        <f aca="false">IF($A42&lt;=$G$8,$E$8*$F$8,IF(AI42&gt;=$B$8,AK42*$B$4*(1+$B$5)^(($G$8+$B$8+AJ42*($B$8+$B$10))/4),0))</f>
        <v>589748.774369246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567571.702636271</v>
      </c>
      <c r="AQ42" s="14" t="n">
        <f aca="false">G42+O42+W42+AE42+AM42</f>
        <v>2270286.81054508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475767.400478094</v>
      </c>
      <c r="AU42" s="14" t="n">
        <f aca="false">0</f>
        <v>0</v>
      </c>
      <c r="AV42" s="14" t="n">
        <f aca="false">AT42-AR42-AU42</f>
        <v>475767.400478094</v>
      </c>
      <c r="AW42" s="21" t="n">
        <f aca="false">(1+$B$16)^(-$A42/4)</f>
        <v>0.784591942568485</v>
      </c>
      <c r="AX42" s="14" t="n">
        <f aca="false">AV42*AW42</f>
        <v>373283.268951867</v>
      </c>
      <c r="AY42" s="14" t="n">
        <f aca="false">AV42</f>
        <v>475767.400478094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1190221.22821759</v>
      </c>
      <c r="H43" s="14" t="n">
        <f aca="false">IF($A43&lt;=$G$4,0,IF(C43=0,E43*$B$6*(1+$B$7)^(($G$4+D43*($B$8+$B$10))/4),0)+IF(C43=$B$8,$B$11*$B$4*(1+$B$5)^(($G$4+$B$8+D43*($B$8+$B$10))/4)*E43,0))</f>
        <v>142826.547386111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69799.5090439591</v>
      </c>
      <c r="AE43" s="14" t="n">
        <f aca="false">IF($A43&lt;=$G$7,$E$7*$F$7,IF(AA43&gt;=$B$8,AC43*$B$4*(1+$B$5)^(($G$7+$B$8+AB43*($B$8+$B$10))/4),0))</f>
        <v>279198.036175837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147437.193592311</v>
      </c>
      <c r="AM43" s="14" t="n">
        <f aca="false">IF($A43&lt;=$G$8,$E$8*$F$8,IF(AI43&gt;=$B$8,AK43*$B$4*(1+$B$5)^(($G$8+$B$8+AJ43*($B$8+$B$10))/4),0))</f>
        <v>589748.774369246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567571.702636271</v>
      </c>
      <c r="AQ43" s="14" t="n">
        <f aca="false">G43+O43+W43+AE43+AM43</f>
        <v>3460508.03876267</v>
      </c>
      <c r="AR43" s="14" t="n">
        <f aca="false">H43+P43+X43+AF43+AN43+IF($A43=$B$15,$B$14,0)</f>
        <v>142826.547386111</v>
      </c>
      <c r="AS43" s="21" t="n">
        <f aca="false">I43+Q43+Y43+AG43+AO43</f>
        <v>0</v>
      </c>
      <c r="AT43" s="14" t="n">
        <f aca="false">AP43*(1-$B$12)-AS43*$B$13/4</f>
        <v>533517.400478094</v>
      </c>
      <c r="AU43" s="14" t="n">
        <f aca="false">0</f>
        <v>0</v>
      </c>
      <c r="AV43" s="14" t="n">
        <f aca="false">AT43-AR43-AU43</f>
        <v>390690.853091983</v>
      </c>
      <c r="AW43" s="21" t="n">
        <f aca="false">(1+$B$16)^(-$A43/4)</f>
        <v>0.770086524870939</v>
      </c>
      <c r="AX43" s="14" t="n">
        <f aca="false">AV43*AW43</f>
        <v>300865.761356468</v>
      </c>
      <c r="AY43" s="14" t="n">
        <f aca="false">AV43</f>
        <v>390690.853091983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1190221.22821759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69799.5090439591</v>
      </c>
      <c r="AE44" s="14" t="n">
        <f aca="false">IF($A44&lt;=$G$7,$E$7*$F$7,IF(AA44&gt;=$B$8,AC44*$B$4*(1+$B$5)^(($G$7+$B$8+AB44*($B$8+$B$10))/4),0))</f>
        <v>279198.036175837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147437.193592311</v>
      </c>
      <c r="AM44" s="14" t="n">
        <f aca="false">IF($A44&lt;=$G$8,$E$8*$F$8,IF(AI44&gt;=$B$8,AK44*$B$4*(1+$B$5)^(($G$8+$B$8+AJ44*($B$8+$B$10))/4),0))</f>
        <v>589748.774369246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567571.702636271</v>
      </c>
      <c r="AQ44" s="14" t="n">
        <f aca="false">G44+O44+W44+AE44+AM44</f>
        <v>3460508.03876267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533517.400478094</v>
      </c>
      <c r="AU44" s="14" t="n">
        <f aca="false">0</f>
        <v>0</v>
      </c>
      <c r="AV44" s="14" t="n">
        <f aca="false">AT44-AR44-AU44</f>
        <v>533517.400478094</v>
      </c>
      <c r="AW44" s="21" t="n">
        <f aca="false">(1+$B$16)^(-$A44/4)</f>
        <v>0.755849281151693</v>
      </c>
      <c r="AX44" s="14" t="n">
        <f aca="false">AV44*AW44</f>
        <v>403258.743633287</v>
      </c>
      <c r="AY44" s="14" t="n">
        <f aca="false">AV44</f>
        <v>533517.400478094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1190221.22821759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69799.5090439591</v>
      </c>
      <c r="AE45" s="14" t="n">
        <f aca="false">IF($A45&lt;=$G$7,$E$7*$F$7,IF(AA45&gt;=$B$8,AC45*$B$4*(1+$B$5)^(($G$7+$B$8+AB45*($B$8+$B$10))/4),0))</f>
        <v>279198.036175837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147437.193592311</v>
      </c>
      <c r="AM45" s="14" t="n">
        <f aca="false">IF($A45&lt;=$G$8,$E$8*$F$8,IF(AI45&gt;=$B$8,AK45*$B$4*(1+$B$5)^(($G$8+$B$8+AJ45*($B$8+$B$10))/4),0))</f>
        <v>589748.774369246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567571.702636271</v>
      </c>
      <c r="AQ45" s="14" t="n">
        <f aca="false">G45+O45+W45+AE45+AM45</f>
        <v>3460508.03876267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533517.400478094</v>
      </c>
      <c r="AU45" s="14" t="n">
        <f aca="false">0</f>
        <v>0</v>
      </c>
      <c r="AV45" s="14" t="n">
        <f aca="false">AT45-AR45-AU45</f>
        <v>533517.400478094</v>
      </c>
      <c r="AW45" s="21" t="n">
        <f aca="false">(1+$B$16)^(-$A45/4)</f>
        <v>0.741875253450614</v>
      </c>
      <c r="AX45" s="14" t="n">
        <f aca="false">AV45*AW45</f>
        <v>395803.356699999</v>
      </c>
      <c r="AY45" s="14" t="n">
        <f aca="false">AV45</f>
        <v>533517.400478094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297555.307054398</v>
      </c>
      <c r="G46" s="14" t="n">
        <f aca="false">IF($A46&lt;=$G$4,$E$4*$F$4,IF(C46&gt;=$B$8,E46*$B$4*(1+$B$5)^(($G$4+$B$8+D46*($B$8+$B$10))/4),0))</f>
        <v>1190221.22821759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69799.5090439591</v>
      </c>
      <c r="AE46" s="14" t="n">
        <f aca="false">IF($A46&lt;=$G$7,$E$7*$F$7,IF(AA46&gt;=$B$8,AC46*$B$4*(1+$B$5)^(($G$7+$B$8+AB46*($B$8+$B$10))/4),0))</f>
        <v>279198.036175837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147437.193592311</v>
      </c>
      <c r="AM46" s="14" t="n">
        <f aca="false">IF($A46&lt;=$G$8,$E$8*$F$8,IF(AI46&gt;=$B$8,AK46*$B$4*(1+$B$5)^(($G$8+$B$8+AJ46*($B$8+$B$10))/4),0))</f>
        <v>589748.774369246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628752.009690668</v>
      </c>
      <c r="AQ46" s="14" t="n">
        <f aca="false">G46+O46+W46+AE46+AM46</f>
        <v>2515008.03876267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548401.889109228</v>
      </c>
      <c r="AU46" s="14" t="n">
        <f aca="false">0</f>
        <v>0</v>
      </c>
      <c r="AV46" s="14" t="n">
        <f aca="false">AT46-AR46-AU46</f>
        <v>-888762.494484521</v>
      </c>
      <c r="AW46" s="21" t="n">
        <f aca="false">(1+$B$16)^(-$A46/4)</f>
        <v>0.728159575469592</v>
      </c>
      <c r="AX46" s="14" t="n">
        <f aca="false">AV46*AW46</f>
        <v>-647160.920677145</v>
      </c>
      <c r="AY46" s="14" t="n">
        <f aca="false">AV46</f>
        <v>-888762.494484521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297555.307054398</v>
      </c>
      <c r="G47" s="14" t="n">
        <f aca="false">IF($A47&lt;=$G$4,$E$4*$F$4,IF(C47&gt;=$B$8,E47*$B$4*(1+$B$5)^(($G$4+$B$8+D47*($B$8+$B$10))/4),0))</f>
        <v>1190221.22821759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69799.5090439591</v>
      </c>
      <c r="AE47" s="14" t="n">
        <f aca="false">IF($A47&lt;=$G$7,$E$7*$F$7,IF(AA47&gt;=$B$8,AC47*$B$4*(1+$B$5)^(($G$7+$B$8+AB47*($B$8+$B$10))/4),0))</f>
        <v>279198.036175837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147437.193592311</v>
      </c>
      <c r="AM47" s="14" t="n">
        <f aca="false">IF($A47&lt;=$G$8,$E$8*$F$8,IF(AI47&gt;=$B$8,AK47*$B$4*(1+$B$5)^(($G$8+$B$8+AJ47*($B$8+$B$10))/4),0))</f>
        <v>589748.774369246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628752.009690668</v>
      </c>
      <c r="AQ47" s="14" t="n">
        <f aca="false">G47+O47+W47+AE47+AM47</f>
        <v>2515008.03876267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548401.889109228</v>
      </c>
      <c r="AU47" s="14" t="n">
        <f aca="false">0</f>
        <v>0</v>
      </c>
      <c r="AV47" s="14" t="n">
        <f aca="false">AT47-AR47-AU47</f>
        <v>548401.889109228</v>
      </c>
      <c r="AW47" s="21" t="n">
        <f aca="false">(1+$B$16)^(-$A47/4)</f>
        <v>0.714697470877902</v>
      </c>
      <c r="AX47" s="14" t="n">
        <f aca="false">AV47*AW47</f>
        <v>391941.443171029</v>
      </c>
      <c r="AY47" s="14" t="n">
        <f aca="false">AV47</f>
        <v>548401.889109228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297555.307054398</v>
      </c>
      <c r="G48" s="14" t="n">
        <f aca="false">IF($A48&lt;=$G$4,$E$4*$F$4,IF(C48&gt;=$B$8,E48*$B$4*(1+$B$5)^(($G$4+$B$8+D48*($B$8+$B$10))/4),0))</f>
        <v>1190221.22821759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69799.5090439591</v>
      </c>
      <c r="AE48" s="14" t="n">
        <f aca="false">IF($A48&lt;=$G$7,$E$7*$F$7,IF(AA48&gt;=$B$8,AC48*$B$4*(1+$B$5)^(($G$7+$B$8+AB48*($B$8+$B$10))/4),0))</f>
        <v>279198.036175837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147437.193592311</v>
      </c>
      <c r="AM48" s="14" t="n">
        <f aca="false">IF($A48&lt;=$G$8,$E$8*$F$8,IF(AI48&gt;=$B$8,AK48*$B$4*(1+$B$5)^(($G$8+$B$8+AJ48*($B$8+$B$10))/4),0))</f>
        <v>589748.774369246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628752.009690668</v>
      </c>
      <c r="AQ48" s="14" t="n">
        <f aca="false">G48+O48+W48+AE48+AM48</f>
        <v>2515008.03876267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548401.889109228</v>
      </c>
      <c r="AU48" s="14" t="n">
        <f aca="false">0</f>
        <v>0</v>
      </c>
      <c r="AV48" s="14" t="n">
        <f aca="false">AT48-AR48-AU48</f>
        <v>548401.889109228</v>
      </c>
      <c r="AW48" s="21" t="n">
        <f aca="false">(1+$B$16)^(-$A48/4)</f>
        <v>0.701484251648903</v>
      </c>
      <c r="AX48" s="14" t="n">
        <f aca="false">AV48*AW48</f>
        <v>384695.288784632</v>
      </c>
      <c r="AY48" s="14" t="n">
        <f aca="false">AV48</f>
        <v>548401.889109228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297555.307054398</v>
      </c>
      <c r="G49" s="14" t="n">
        <f aca="false">IF($A49&lt;=$G$4,$E$4*$F$4,IF(C49&gt;=$B$8,E49*$B$4*(1+$B$5)^(($G$4+$B$8+D49*($B$8+$B$10))/4),0))</f>
        <v>1190221.22821759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898336.733674991</v>
      </c>
      <c r="P49" s="14" t="n">
        <f aca="false">IF($A49&lt;=$G$5,0,IF(K49=0,M49*$B$6*(1+$B$7)^(($G$5+L49*($B$8+$B$10))/4),0)+IF(K49=$B$8,$B$11*$B$4*(1+$B$5)^(($G$5+$B$8+L49*($B$8+$B$10))/4)*M49,0))</f>
        <v>107800.408040999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69799.5090439591</v>
      </c>
      <c r="AE49" s="14" t="n">
        <f aca="false">IF($A49&lt;=$G$7,$E$7*$F$7,IF(AA49&gt;=$B$8,AC49*$B$4*(1+$B$5)^(($G$7+$B$8+AB49*($B$8+$B$10))/4),0))</f>
        <v>279198.036175837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147437.193592311</v>
      </c>
      <c r="AM49" s="14" t="n">
        <f aca="false">IF($A49&lt;=$G$8,$E$8*$F$8,IF(AI49&gt;=$B$8,AK49*$B$4*(1+$B$5)^(($G$8+$B$8+AJ49*($B$8+$B$10))/4),0))</f>
        <v>589748.774369246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628752.009690668</v>
      </c>
      <c r="AQ49" s="14" t="n">
        <f aca="false">G49+O49+W49+AE49+AM49</f>
        <v>3413344.77243767</v>
      </c>
      <c r="AR49" s="14" t="n">
        <f aca="false">H49+P49+X49+AF49+AN49+IF($A49=$B$15,$B$14,0)</f>
        <v>107800.408040999</v>
      </c>
      <c r="AS49" s="21" t="n">
        <f aca="false">I49+Q49+Y49+AG49+AO49</f>
        <v>0</v>
      </c>
      <c r="AT49" s="14" t="n">
        <f aca="false">AP49*(1-$B$12)-AS49*$B$13/4</f>
        <v>591026.889109228</v>
      </c>
      <c r="AU49" s="14" t="n">
        <f aca="false">0</f>
        <v>0</v>
      </c>
      <c r="AV49" s="14" t="n">
        <f aca="false">AT49-AR49-AU49</f>
        <v>483226.481068229</v>
      </c>
      <c r="AW49" s="21" t="n">
        <f aca="false">(1+$B$16)^(-$A49/4)</f>
        <v>0.688515316427484</v>
      </c>
      <c r="AX49" s="14" t="n">
        <f aca="false">AV49*AW49</f>
        <v>332708.833518832</v>
      </c>
      <c r="AY49" s="14" t="n">
        <f aca="false">AV49</f>
        <v>483226.481068229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297555.307054398</v>
      </c>
      <c r="G50" s="14" t="n">
        <f aca="false">IF($A50&lt;=$G$4,$E$4*$F$4,IF(C50&gt;=$B$8,E50*$B$4*(1+$B$5)^(($G$4+$B$8+D50*($B$8+$B$10))/4),0))</f>
        <v>1190221.22821759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898336.733674991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69799.5090439591</v>
      </c>
      <c r="AE50" s="14" t="n">
        <f aca="false">IF($A50&lt;=$G$7,$E$7*$F$7,IF(AA50&gt;=$B$8,AC50*$B$4*(1+$B$5)^(($G$7+$B$8+AB50*($B$8+$B$10))/4),0))</f>
        <v>279198.036175837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147437.193592311</v>
      </c>
      <c r="AM50" s="14" t="n">
        <f aca="false">IF($A50&lt;=$G$8,$E$8*$F$8,IF(AI50&gt;=$B$8,AK50*$B$4*(1+$B$5)^(($G$8+$B$8+AJ50*($B$8+$B$10))/4),0))</f>
        <v>589748.774369246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628752.009690668</v>
      </c>
      <c r="AQ50" s="14" t="n">
        <f aca="false">G50+O50+W50+AE50+AM50</f>
        <v>3413344.77243767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591026.889109228</v>
      </c>
      <c r="AU50" s="14" t="n">
        <f aca="false">0</f>
        <v>0</v>
      </c>
      <c r="AV50" s="14" t="n">
        <f aca="false">AT50-AR50-AU50</f>
        <v>591026.889109228</v>
      </c>
      <c r="AW50" s="21" t="n">
        <f aca="false">(1+$B$16)^(-$A50/4)</f>
        <v>0.675786148927696</v>
      </c>
      <c r="AX50" s="14" t="n">
        <f aca="false">AV50*AW50</f>
        <v>399407.785303842</v>
      </c>
      <c r="AY50" s="14" t="n">
        <f aca="false">AV50</f>
        <v>591026.889109228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297555.307054398</v>
      </c>
      <c r="G51" s="14" t="n">
        <f aca="false">IF($A51&lt;=$G$4,$E$4*$F$4,IF(C51&gt;=$B$8,E51*$B$4*(1+$B$5)^(($G$4+$B$8+D51*($B$8+$B$10))/4),0))</f>
        <v>1190221.22821759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898336.733674991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69799.5090439591</v>
      </c>
      <c r="AE51" s="14" t="n">
        <f aca="false">IF($A51&lt;=$G$7,$E$7*$F$7,IF(AA51&gt;=$B$8,AC51*$B$4*(1+$B$5)^(($G$7+$B$8+AB51*($B$8+$B$10))/4),0))</f>
        <v>279198.036175837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147437.193592311</v>
      </c>
      <c r="AM51" s="14" t="n">
        <f aca="false">IF($A51&lt;=$G$8,$E$8*$F$8,IF(AI51&gt;=$B$8,AK51*$B$4*(1+$B$5)^(($G$8+$B$8+AJ51*($B$8+$B$10))/4),0))</f>
        <v>589748.774369246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628752.009690668</v>
      </c>
      <c r="AQ51" s="14" t="n">
        <f aca="false">G51+O51+W51+AE51+AM51</f>
        <v>3413344.77243767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591026.889109228</v>
      </c>
      <c r="AU51" s="14" t="n">
        <f aca="false">0</f>
        <v>0</v>
      </c>
      <c r="AV51" s="14" t="n">
        <f aca="false">AT51-AR51-AU51</f>
        <v>591026.889109228</v>
      </c>
      <c r="AW51" s="21" t="n">
        <f aca="false">(1+$B$16)^(-$A51/4)</f>
        <v>0.663292316360002</v>
      </c>
      <c r="AX51" s="14" t="n">
        <f aca="false">AV51*AW51</f>
        <v>392023.594308306</v>
      </c>
      <c r="AY51" s="14" t="n">
        <f aca="false">AV51</f>
        <v>591026.889109228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297555.307054398</v>
      </c>
      <c r="G52" s="14" t="n">
        <f aca="false">IF($A52&lt;=$G$4,$E$4*$F$4,IF(C52&gt;=$B$8,E52*$B$4*(1+$B$5)^(($G$4+$B$8+D52*($B$8+$B$10))/4),0))</f>
        <v>1190221.22821759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224584.183418748</v>
      </c>
      <c r="O52" s="14" t="n">
        <f aca="false">IF($A52&lt;=$G$5,$E$5*$F$5,IF(K52&gt;=$B$8,M52*$B$4*(1+$B$5)^(($G$5+$B$8+L52*($B$8+$B$10))/4),0))</f>
        <v>898336.733674991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69799.5090439591</v>
      </c>
      <c r="AE52" s="14" t="n">
        <f aca="false">IF($A52&lt;=$G$7,$E$7*$F$7,IF(AA52&gt;=$B$8,AC52*$B$4*(1+$B$5)^(($G$7+$B$8+AB52*($B$8+$B$10))/4),0))</f>
        <v>279198.036175837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147437.193592311</v>
      </c>
      <c r="AM52" s="14" t="n">
        <f aca="false">IF($A52&lt;=$G$8,$E$8*$F$8,IF(AI52&gt;=$B$8,AK52*$B$4*(1+$B$5)^(($G$8+$B$8+AJ52*($B$8+$B$10))/4),0))</f>
        <v>589748.774369246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853336.193109416</v>
      </c>
      <c r="AQ52" s="14" t="n">
        <f aca="false">G52+O52+W52+AE52+AM52</f>
        <v>3413344.77243767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802136.021522851</v>
      </c>
      <c r="AU52" s="14" t="n">
        <f aca="false">0</f>
        <v>0</v>
      </c>
      <c r="AV52" s="14" t="n">
        <f aca="false">AT52-AR52-AU52</f>
        <v>802136.021522851</v>
      </c>
      <c r="AW52" s="21" t="n">
        <f aca="false">(1+$B$16)^(-$A52/4)</f>
        <v>0.651029467887613</v>
      </c>
      <c r="AX52" s="14" t="n">
        <f aca="false">AV52*AW52</f>
        <v>522214.187265509</v>
      </c>
      <c r="AY52" s="14" t="n">
        <f aca="false">AV52</f>
        <v>802136.021522851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297555.307054398</v>
      </c>
      <c r="G53" s="14" t="n">
        <f aca="false">IF($A53&lt;=$G$4,$E$4*$F$4,IF(C53&gt;=$B$8,E53*$B$4*(1+$B$5)^(($G$4+$B$8+D53*($B$8+$B$10))/4),0))</f>
        <v>1190221.22821759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224584.183418748</v>
      </c>
      <c r="O53" s="14" t="n">
        <f aca="false">IF($A53&lt;=$G$5,$E$5*$F$5,IF(K53&gt;=$B$8,M53*$B$4*(1+$B$5)^(($G$5+$B$8+L53*($B$8+$B$10))/4),0))</f>
        <v>898336.733674991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69799.5090439591</v>
      </c>
      <c r="AE53" s="14" t="n">
        <f aca="false">IF($A53&lt;=$G$7,$E$7*$F$7,IF(AA53&gt;=$B$8,AC53*$B$4*(1+$B$5)^(($G$7+$B$8+AB53*($B$8+$B$10))/4),0))</f>
        <v>279198.036175837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705898.999517105</v>
      </c>
      <c r="AQ53" s="14" t="n">
        <f aca="false">G53+O53+W53+AE53+AM53</f>
        <v>2823595.99806842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633845.059546078</v>
      </c>
      <c r="AU53" s="14" t="n">
        <f aca="false">0</f>
        <v>0</v>
      </c>
      <c r="AV53" s="14" t="n">
        <f aca="false">AT53-AR53-AU53</f>
        <v>-411754.201275744</v>
      </c>
      <c r="AW53" s="21" t="n">
        <f aca="false">(1+$B$16)^(-$A53/4)</f>
        <v>0.638993333111354</v>
      </c>
      <c r="AX53" s="14" t="n">
        <f aca="false">AV53*AW53</f>
        <v>-263108.189495791</v>
      </c>
      <c r="AY53" s="14" t="n">
        <f aca="false">AV53</f>
        <v>-411754.201275744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297555.307054398</v>
      </c>
      <c r="G54" s="14" t="n">
        <f aca="false">IF($A54&lt;=$G$4,$E$4*$F$4,IF(C54&gt;=$B$8,E54*$B$4*(1+$B$5)^(($G$4+$B$8+D54*($B$8+$B$10))/4),0))</f>
        <v>1190221.22821759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224584.183418748</v>
      </c>
      <c r="O54" s="14" t="n">
        <f aca="false">IF($A54&lt;=$G$5,$E$5*$F$5,IF(K54&gt;=$B$8,M54*$B$4*(1+$B$5)^(($G$5+$B$8+L54*($B$8+$B$10))/4),0))</f>
        <v>898336.733674991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69799.5090439591</v>
      </c>
      <c r="AE54" s="14" t="n">
        <f aca="false">IF($A54&lt;=$G$7,$E$7*$F$7,IF(AA54&gt;=$B$8,AC54*$B$4*(1+$B$5)^(($G$7+$B$8+AB54*($B$8+$B$10))/4),0))</f>
        <v>279198.036175837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705898.999517105</v>
      </c>
      <c r="AQ54" s="14" t="n">
        <f aca="false">G54+O54+W54+AE54+AM54</f>
        <v>2823595.99806842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633845.059546078</v>
      </c>
      <c r="AU54" s="14" t="n">
        <f aca="false">0</f>
        <v>0</v>
      </c>
      <c r="AV54" s="14" t="n">
        <f aca="false">AT54-AR54-AU54</f>
        <v>633845.059546078</v>
      </c>
      <c r="AW54" s="21" t="n">
        <f aca="false">(1+$B$16)^(-$A54/4)</f>
        <v>0.627179720582548</v>
      </c>
      <c r="AX54" s="14" t="n">
        <f aca="false">AV54*AW54</f>
        <v>397534.767338738</v>
      </c>
      <c r="AY54" s="14" t="n">
        <f aca="false">AV54</f>
        <v>633845.059546078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297555.307054398</v>
      </c>
      <c r="G55" s="14" t="n">
        <f aca="false">IF($A55&lt;=$G$4,$E$4*$F$4,IF(C55&gt;=$B$8,E55*$B$4*(1+$B$5)^(($G$4+$B$8+D55*($B$8+$B$10))/4),0))</f>
        <v>1190221.22821759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224584.183418748</v>
      </c>
      <c r="O55" s="14" t="n">
        <f aca="false">IF($A55&lt;=$G$5,$E$5*$F$5,IF(K55&gt;=$B$8,M55*$B$4*(1+$B$5)^(($G$5+$B$8+L55*($B$8+$B$10))/4),0))</f>
        <v>898336.733674991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69799.5090439591</v>
      </c>
      <c r="AE55" s="14" t="n">
        <f aca="false">IF($A55&lt;=$G$7,$E$7*$F$7,IF(AA55&gt;=$B$8,AC55*$B$4*(1+$B$5)^(($G$7+$B$8+AB55*($B$8+$B$10))/4),0))</f>
        <v>279198.036175837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705898.999517105</v>
      </c>
      <c r="AQ55" s="14" t="n">
        <f aca="false">G55+O55+W55+AE55+AM55</f>
        <v>2823595.99806842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633845.059546078</v>
      </c>
      <c r="AU55" s="14" t="n">
        <f aca="false">0</f>
        <v>0</v>
      </c>
      <c r="AV55" s="14" t="n">
        <f aca="false">AT55-AR55-AU55</f>
        <v>633845.059546078</v>
      </c>
      <c r="AW55" s="21" t="n">
        <f aca="false">(1+$B$16)^(-$A55/4)</f>
        <v>0.615584516343389</v>
      </c>
      <c r="AX55" s="14" t="n">
        <f aca="false">AV55*AW55</f>
        <v>390185.20441732</v>
      </c>
      <c r="AY55" s="14" t="n">
        <f aca="false">AV55</f>
        <v>633845.059546078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297555.307054398</v>
      </c>
      <c r="G56" s="14" t="n">
        <f aca="false">IF($A56&lt;=$G$4,$E$4*$F$4,IF(C56&gt;=$B$8,E56*$B$4*(1+$B$5)^(($G$4+$B$8+D56*($B$8+$B$10))/4),0))</f>
        <v>1190221.22821759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224584.183418748</v>
      </c>
      <c r="O56" s="14" t="n">
        <f aca="false">IF($A56&lt;=$G$5,$E$5*$F$5,IF(K56&gt;=$B$8,M56*$B$4*(1+$B$5)^(($G$5+$B$8+L56*($B$8+$B$10))/4),0))</f>
        <v>898336.733674991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69799.5090439591</v>
      </c>
      <c r="AE56" s="14" t="n">
        <f aca="false">IF($A56&lt;=$G$7,$E$7*$F$7,IF(AA56&gt;=$B$8,AC56*$B$4*(1+$B$5)^(($G$7+$B$8+AB56*($B$8+$B$10))/4),0))</f>
        <v>279198.036175837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642461.030430744</v>
      </c>
      <c r="AN56" s="14" t="n">
        <f aca="false">IF($A56&lt;=$G$8,0,IF(AI56=0,AK56*$B$6*(1+$B$7)^(($G$8+AJ56*($B$8+$B$10))/4),0)+IF(AI56=$B$8,$B$11*$B$4*(1+$B$5)^(($G$8+$B$8+AJ56*($B$8+$B$10))/4)*AK56,0))</f>
        <v>77095.3236516893</v>
      </c>
      <c r="AO56" s="21" t="n">
        <f aca="false">IF($A56&lt;=$G$8,0,IF(AI56&lt;$B$8,AK56,0))</f>
        <v>0</v>
      </c>
      <c r="AP56" s="14" t="n">
        <f aca="false">F56+N56+V56+AD56+AL56</f>
        <v>591938.999517105</v>
      </c>
      <c r="AQ56" s="14" t="n">
        <f aca="false">G56+O56+W56+AE56+AM56</f>
        <v>3010217.02849916</v>
      </c>
      <c r="AR56" s="14" t="n">
        <f aca="false">H56+P56+X56+AF56+AN56+IF($A56=$B$15,$B$14,0)</f>
        <v>836503.268340626</v>
      </c>
      <c r="AS56" s="21" t="n">
        <f aca="false">I56+Q56+Y56+AG56+AO56</f>
        <v>1540</v>
      </c>
      <c r="AT56" s="14" t="n">
        <f aca="false">AP56*(1-$B$12)-AS56*$B$13/4</f>
        <v>535247.659546079</v>
      </c>
      <c r="AU56" s="14" t="n">
        <f aca="false">0</f>
        <v>0</v>
      </c>
      <c r="AV56" s="14" t="n">
        <f aca="false">AT56-AR56-AU56</f>
        <v>-301255.608794548</v>
      </c>
      <c r="AW56" s="21" t="n">
        <f aca="false">(1+$B$16)^(-$A56/4)</f>
        <v>0.604203682494304</v>
      </c>
      <c r="AX56" s="14" t="n">
        <f aca="false">AV56*AW56</f>
        <v>-182019.748205729</v>
      </c>
      <c r="AY56" s="14" t="n">
        <f aca="false">AV56</f>
        <v>-301255.608794548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297555.307054398</v>
      </c>
      <c r="G57" s="14" t="n">
        <f aca="false">IF($A57&lt;=$G$4,$E$4*$F$4,IF(C57&gt;=$B$8,E57*$B$4*(1+$B$5)^(($G$4+$B$8+D57*($B$8+$B$10))/4),0))</f>
        <v>1190221.22821759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224584.183418748</v>
      </c>
      <c r="O57" s="14" t="n">
        <f aca="false">IF($A57&lt;=$G$5,$E$5*$F$5,IF(K57&gt;=$B$8,M57*$B$4*(1+$B$5)^(($G$5+$B$8+L57*($B$8+$B$10))/4),0))</f>
        <v>898336.733674991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69799.5090439591</v>
      </c>
      <c r="AE57" s="14" t="n">
        <f aca="false">IF($A57&lt;=$G$7,$E$7*$F$7,IF(AA57&gt;=$B$8,AC57*$B$4*(1+$B$5)^(($G$7+$B$8+AB57*($B$8+$B$10))/4),0))</f>
        <v>279198.036175837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642461.030430744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591938.999517105</v>
      </c>
      <c r="AQ57" s="14" t="n">
        <f aca="false">G57+O57+W57+AE57+AM57</f>
        <v>3010217.02849916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535247.659546079</v>
      </c>
      <c r="AU57" s="14" t="n">
        <f aca="false">0</f>
        <v>0</v>
      </c>
      <c r="AV57" s="14" t="n">
        <f aca="false">AT57-AR57-AU57</f>
        <v>535247.659546079</v>
      </c>
      <c r="AW57" s="21" t="n">
        <f aca="false">(1+$B$16)^(-$A57/4)</f>
        <v>0.5930332557878</v>
      </c>
      <c r="AX57" s="14" t="n">
        <f aca="false">AV57*AW57</f>
        <v>317419.662193411</v>
      </c>
      <c r="AY57" s="14" t="n">
        <f aca="false">AV57</f>
        <v>535247.659546079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297555.307054398</v>
      </c>
      <c r="G58" s="14" t="n">
        <f aca="false">IF($A58&lt;=$G$4,$E$4*$F$4,IF(C58&gt;=$B$8,E58*$B$4*(1+$B$5)^(($G$4+$B$8+D58*($B$8+$B$10))/4),0))</f>
        <v>1190221.22821759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224584.183418748</v>
      </c>
      <c r="O58" s="14" t="n">
        <f aca="false">IF($A58&lt;=$G$5,$E$5*$F$5,IF(K58&gt;=$B$8,M58*$B$4*(1+$B$5)^(($G$5+$B$8+L58*($B$8+$B$10))/4),0))</f>
        <v>898336.733674991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69799.5090439591</v>
      </c>
      <c r="AE58" s="14" t="n">
        <f aca="false">IF($A58&lt;=$G$7,$E$7*$F$7,IF(AA58&gt;=$B$8,AC58*$B$4*(1+$B$5)^(($G$7+$B$8+AB58*($B$8+$B$10))/4),0))</f>
        <v>279198.036175837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642461.030430744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591938.999517105</v>
      </c>
      <c r="AQ58" s="14" t="n">
        <f aca="false">G58+O58+W58+AE58+AM58</f>
        <v>3010217.02849916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535247.659546079</v>
      </c>
      <c r="AU58" s="14" t="n">
        <f aca="false">0</f>
        <v>0</v>
      </c>
      <c r="AV58" s="14" t="n">
        <f aca="false">AT58-AR58-AU58</f>
        <v>535247.659546079</v>
      </c>
      <c r="AW58" s="21" t="n">
        <f aca="false">(1+$B$16)^(-$A58/4)</f>
        <v>0.582069346248305</v>
      </c>
      <c r="AX58" s="14" t="n">
        <f aca="false">AV58*AW58</f>
        <v>311551.255272921</v>
      </c>
      <c r="AY58" s="14" t="n">
        <f aca="false">AV58</f>
        <v>535247.659546079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297555.307054398</v>
      </c>
      <c r="G59" s="14" t="n">
        <f aca="false">IF($A59&lt;=$G$4,$E$4*$F$4,IF(C59&gt;=$B$8,E59*$B$4*(1+$B$5)^(($G$4+$B$8+D59*($B$8+$B$10))/4),0))</f>
        <v>1190221.22821759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224584.183418748</v>
      </c>
      <c r="O59" s="14" t="n">
        <f aca="false">IF($A59&lt;=$G$5,$E$5*$F$5,IF(K59&gt;=$B$8,M59*$B$4*(1+$B$5)^(($G$5+$B$8+L59*($B$8+$B$10))/4),0))</f>
        <v>898336.733674991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463194.390563766</v>
      </c>
      <c r="X59" s="14" t="n">
        <f aca="false">IF($A59&lt;=$G$6,0,IF(S59=0,U59*$B$6*(1+$B$7)^(($G$6+T59*($B$8+$B$10))/4),0)+IF(S59=$B$8,$B$11*$B$4*(1+$B$5)^(($G$6+$B$8+T59*($B$8+$B$10))/4)*U59,0))</f>
        <v>55583.3268676519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160615.257607686</v>
      </c>
      <c r="AM59" s="14" t="n">
        <f aca="false">IF($A59&lt;=$G$8,$E$8*$F$8,IF(AI59&gt;=$B$8,AK59*$B$4*(1+$B$5)^(($G$8+$B$8+AJ59*($B$8+$B$10))/4),0))</f>
        <v>642461.030430744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682754.748080832</v>
      </c>
      <c r="AQ59" s="14" t="n">
        <f aca="false">G59+O59+W59+AE59+AM59</f>
        <v>3194213.38288709</v>
      </c>
      <c r="AR59" s="14" t="n">
        <f aca="false">H59+P59+X59+AF59+AN59+IF($A59=$B$15,$B$14,0)</f>
        <v>557922.810104306</v>
      </c>
      <c r="AS59" s="21" t="n">
        <f aca="false">I59+Q59+Y59+AG59+AO59</f>
        <v>1000</v>
      </c>
      <c r="AT59" s="14" t="n">
        <f aca="false">AP59*(1-$B$12)-AS59*$B$13/4</f>
        <v>628039.463195982</v>
      </c>
      <c r="AU59" s="14" t="n">
        <f aca="false">0</f>
        <v>0</v>
      </c>
      <c r="AV59" s="14" t="n">
        <f aca="false">AT59-AR59-AU59</f>
        <v>70116.6530916758</v>
      </c>
      <c r="AW59" s="21" t="n">
        <f aca="false">(1+$B$16)^(-$A59/4)</f>
        <v>0.571308135817531</v>
      </c>
      <c r="AX59" s="14" t="n">
        <f aca="false">AV59*AW59</f>
        <v>40058.2143675698</v>
      </c>
      <c r="AY59" s="14" t="n">
        <f aca="false">AV59</f>
        <v>70116.6530916758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297555.307054398</v>
      </c>
      <c r="G60" s="14" t="n">
        <f aca="false">IF($A60&lt;=$G$4,$E$4*$F$4,IF(C60&gt;=$B$8,E60*$B$4*(1+$B$5)^(($G$4+$B$8+D60*($B$8+$B$10))/4),0))</f>
        <v>1190221.22821759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224584.183418748</v>
      </c>
      <c r="O60" s="14" t="n">
        <f aca="false">IF($A60&lt;=$G$5,$E$5*$F$5,IF(K60&gt;=$B$8,M60*$B$4*(1+$B$5)^(($G$5+$B$8+L60*($B$8+$B$10))/4),0))</f>
        <v>898336.733674991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463194.390563766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160615.257607686</v>
      </c>
      <c r="AM60" s="14" t="n">
        <f aca="false">IF($A60&lt;=$G$8,$E$8*$F$8,IF(AI60&gt;=$B$8,AK60*$B$4*(1+$B$5)^(($G$8+$B$8+AJ60*($B$8+$B$10))/4),0))</f>
        <v>642461.030430744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682754.748080832</v>
      </c>
      <c r="AQ60" s="14" t="n">
        <f aca="false">G60+O60+W60+AE60+AM60</f>
        <v>3194213.38288709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628039.463195982</v>
      </c>
      <c r="AU60" s="14" t="n">
        <f aca="false">0</f>
        <v>0</v>
      </c>
      <c r="AV60" s="14" t="n">
        <f aca="false">AT60-AR60-AU60</f>
        <v>628039.463195982</v>
      </c>
      <c r="AW60" s="21" t="n">
        <f aca="false">(1+$B$16)^(-$A60/4)</f>
        <v>0.560745877024877</v>
      </c>
      <c r="AX60" s="14" t="n">
        <f aca="false">AV60*AW60</f>
        <v>352170.539596064</v>
      </c>
      <c r="AY60" s="14" t="n">
        <f aca="false">AV60</f>
        <v>628039.463195982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297555.307054398</v>
      </c>
      <c r="G61" s="14" t="n">
        <f aca="false">IF($A61&lt;=$G$4,$E$4*$F$4,IF(C61&gt;=$B$8,E61*$B$4*(1+$B$5)^(($G$4+$B$8+D61*($B$8+$B$10))/4),0))</f>
        <v>1190221.22821759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224584.183418748</v>
      </c>
      <c r="O61" s="14" t="n">
        <f aca="false">IF($A61&lt;=$G$5,$E$5*$F$5,IF(K61&gt;=$B$8,M61*$B$4*(1+$B$5)^(($G$5+$B$8+L61*($B$8+$B$10))/4),0))</f>
        <v>898336.733674991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463194.390563766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160615.257607686</v>
      </c>
      <c r="AM61" s="14" t="n">
        <f aca="false">IF($A61&lt;=$G$8,$E$8*$F$8,IF(AI61&gt;=$B$8,AK61*$B$4*(1+$B$5)^(($G$8+$B$8+AJ61*($B$8+$B$10))/4),0))</f>
        <v>642461.030430744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682754.748080832</v>
      </c>
      <c r="AQ61" s="14" t="n">
        <f aca="false">G61+O61+W61+AE61+AM61</f>
        <v>3194213.38288709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628039.463195982</v>
      </c>
      <c r="AU61" s="14" t="n">
        <f aca="false">0</f>
        <v>0</v>
      </c>
      <c r="AV61" s="14" t="n">
        <f aca="false">AT61-AR61-AU61</f>
        <v>628039.463195982</v>
      </c>
      <c r="AW61" s="21" t="n">
        <f aca="false">(1+$B$16)^(-$A61/4)</f>
        <v>0.550378891682413</v>
      </c>
      <c r="AX61" s="14" t="n">
        <f aca="false">AV61*AW61</f>
        <v>345659.663686622</v>
      </c>
      <c r="AY61" s="14" t="n">
        <f aca="false">AV61</f>
        <v>628039.463195982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297555.307054398</v>
      </c>
      <c r="G62" s="14" t="n">
        <f aca="false">IF($A62&lt;=$G$4,$E$4*$F$4,IF(C62&gt;=$B$8,E62*$B$4*(1+$B$5)^(($G$4+$B$8+D62*($B$8+$B$10))/4),0))</f>
        <v>1190221.22821759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224584.183418748</v>
      </c>
      <c r="O62" s="14" t="n">
        <f aca="false">IF($A62&lt;=$G$5,$E$5*$F$5,IF(K62&gt;=$B$8,M62*$B$4*(1+$B$5)^(($G$5+$B$8+L62*($B$8+$B$10))/4),0))</f>
        <v>898336.733674991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115798.597640941</v>
      </c>
      <c r="W62" s="14" t="n">
        <f aca="false">IF($A62&lt;=$G$6,$E$6*$F$6,IF(S62&gt;=$B$8,U62*$B$4*(1+$B$5)^(($G$6+$B$8+T62*($B$8+$B$10))/4),0))</f>
        <v>463194.390563766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304152.998380733</v>
      </c>
      <c r="AF62" s="14" t="n">
        <f aca="false">IF($A62&lt;=$G$7,0,IF(AA62=0,AC62*$B$6*(1+$B$7)^(($G$7+AB62*($B$8+$B$10))/4),0)+IF(AA62=$B$8,$B$11*$B$4*(1+$B$5)^(($G$7+$B$8+AB62*($B$8+$B$10))/4)*AC62,0))</f>
        <v>36498.3598056879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160615.257607686</v>
      </c>
      <c r="AM62" s="14" t="n">
        <f aca="false">IF($A62&lt;=$G$8,$E$8*$F$8,IF(AI62&gt;=$B$8,AK62*$B$4*(1+$B$5)^(($G$8+$B$8+AJ62*($B$8+$B$10))/4),0))</f>
        <v>642461.030430744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798553.345721773</v>
      </c>
      <c r="AQ62" s="14" t="n">
        <f aca="false">G62+O62+W62+AE62+AM62</f>
        <v>3498366.38126783</v>
      </c>
      <c r="AR62" s="14" t="n">
        <f aca="false">H62+P62+X62+AF62+AN62+IF($A62=$B$15,$B$14,0)</f>
        <v>36498.3598056879</v>
      </c>
      <c r="AS62" s="21" t="n">
        <f aca="false">I62+Q62+Y62+AG62+AO62</f>
        <v>0</v>
      </c>
      <c r="AT62" s="14" t="n">
        <f aca="false">AP62*(1-$B$12)-AS62*$B$13/4</f>
        <v>750640.144978467</v>
      </c>
      <c r="AU62" s="14" t="n">
        <f aca="false">0</f>
        <v>0</v>
      </c>
      <c r="AV62" s="14" t="n">
        <f aca="false">AT62-AR62-AU62</f>
        <v>714141.785172779</v>
      </c>
      <c r="AW62" s="21" t="n">
        <f aca="false">(1+$B$16)^(-$A62/4)</f>
        <v>0.540203569603995</v>
      </c>
      <c r="AX62" s="14" t="n">
        <f aca="false">AV62*AW62</f>
        <v>385781.941553705</v>
      </c>
      <c r="AY62" s="14" t="n">
        <f aca="false">AV62</f>
        <v>714141.785172779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224584.183418748</v>
      </c>
      <c r="O63" s="14" t="n">
        <f aca="false">IF($A63&lt;=$G$5,$E$5*$F$5,IF(K63&gt;=$B$8,M63*$B$4*(1+$B$5)^(($G$5+$B$8+L63*($B$8+$B$10))/4),0))</f>
        <v>898336.733674991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115798.597640941</v>
      </c>
      <c r="W63" s="14" t="n">
        <f aca="false">IF($A63&lt;=$G$6,$E$6*$F$6,IF(S63&gt;=$B$8,U63*$B$4*(1+$B$5)^(($G$6+$B$8+T63*($B$8+$B$10))/4),0))</f>
        <v>463194.390563766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304152.998380733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160615.257607686</v>
      </c>
      <c r="AM63" s="14" t="n">
        <f aca="false">IF($A63&lt;=$G$8,$E$8*$F$8,IF(AI63&gt;=$B$8,AK63*$B$4*(1+$B$5)^(($G$8+$B$8+AJ63*($B$8+$B$10))/4),0))</f>
        <v>642461.030430744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500998.038667375</v>
      </c>
      <c r="AQ63" s="14" t="n">
        <f aca="false">G63+O63+W63+AE63+AM63</f>
        <v>2308145.15305023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413188.156347333</v>
      </c>
      <c r="AU63" s="14" t="n">
        <f aca="false">0</f>
        <v>0</v>
      </c>
      <c r="AV63" s="14" t="n">
        <f aca="false">AT63-AR63-AU63</f>
        <v>-1749383.31898646</v>
      </c>
      <c r="AW63" s="21" t="n">
        <f aca="false">(1+$B$16)^(-$A63/4)</f>
        <v>0.530216367348056</v>
      </c>
      <c r="AX63" s="14" t="n">
        <f aca="false">AV63*AW63</f>
        <v>-927551.668492288</v>
      </c>
      <c r="AY63" s="14" t="n">
        <f aca="false">AV63</f>
        <v>-1749383.31898646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224584.183418748</v>
      </c>
      <c r="O64" s="14" t="n">
        <f aca="false">IF($A64&lt;=$G$5,$E$5*$F$5,IF(K64&gt;=$B$8,M64*$B$4*(1+$B$5)^(($G$5+$B$8+L64*($B$8+$B$10))/4),0))</f>
        <v>898336.733674991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115798.597640941</v>
      </c>
      <c r="W64" s="14" t="n">
        <f aca="false">IF($A64&lt;=$G$6,$E$6*$F$6,IF(S64&gt;=$B$8,U64*$B$4*(1+$B$5)^(($G$6+$B$8+T64*($B$8+$B$10))/4),0))</f>
        <v>463194.390563766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304152.998380733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160615.257607686</v>
      </c>
      <c r="AM64" s="14" t="n">
        <f aca="false">IF($A64&lt;=$G$8,$E$8*$F$8,IF(AI64&gt;=$B$8,AK64*$B$4*(1+$B$5)^(($G$8+$B$8+AJ64*($B$8+$B$10))/4),0))</f>
        <v>642461.030430744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500998.038667375</v>
      </c>
      <c r="AQ64" s="14" t="n">
        <f aca="false">G64+O64+W64+AE64+AM64</f>
        <v>2308145.15305023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413188.156347333</v>
      </c>
      <c r="AU64" s="14" t="n">
        <f aca="false">0</f>
        <v>0</v>
      </c>
      <c r="AV64" s="14" t="n">
        <f aca="false">AT64-AR64-AU64</f>
        <v>413188.156347333</v>
      </c>
      <c r="AW64" s="21" t="n">
        <f aca="false">(1+$B$16)^(-$A64/4)</f>
        <v>0.520413806983644</v>
      </c>
      <c r="AX64" s="14" t="n">
        <f aca="false">AV64*AW64</f>
        <v>215028.821445269</v>
      </c>
      <c r="AY64" s="14" t="n">
        <f aca="false">AV64</f>
        <v>413188.156347333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224584.183418748</v>
      </c>
      <c r="O65" s="14" t="n">
        <f aca="false">IF($A65&lt;=$G$5,$E$5*$F$5,IF(K65&gt;=$B$8,M65*$B$4*(1+$B$5)^(($G$5+$B$8+L65*($B$8+$B$10))/4),0))</f>
        <v>898336.733674991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115798.597640941</v>
      </c>
      <c r="W65" s="14" t="n">
        <f aca="false">IF($A65&lt;=$G$6,$E$6*$F$6,IF(S65&gt;=$B$8,U65*$B$4*(1+$B$5)^(($G$6+$B$8+T65*($B$8+$B$10))/4),0))</f>
        <v>463194.390563766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76038.2495951832</v>
      </c>
      <c r="AE65" s="14" t="n">
        <f aca="false">IF($A65&lt;=$G$7,$E$7*$F$7,IF(AA65&gt;=$B$8,AC65*$B$4*(1+$B$5)^(($G$7+$B$8+AB65*($B$8+$B$10))/4),0))</f>
        <v>304152.998380733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160615.257607686</v>
      </c>
      <c r="AM65" s="14" t="n">
        <f aca="false">IF($A65&lt;=$G$8,$E$8*$F$8,IF(AI65&gt;=$B$8,AK65*$B$4*(1+$B$5)^(($G$8+$B$8+AJ65*($B$8+$B$10))/4),0))</f>
        <v>642461.030430744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577036.288262559</v>
      </c>
      <c r="AQ65" s="14" t="n">
        <f aca="false">G65+O65+W65+AE65+AM65</f>
        <v>2308145.15305023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484664.110966805</v>
      </c>
      <c r="AU65" s="14" t="n">
        <f aca="false">0</f>
        <v>0</v>
      </c>
      <c r="AV65" s="14" t="n">
        <f aca="false">AT65-AR65-AU65</f>
        <v>484664.110966805</v>
      </c>
      <c r="AW65" s="21" t="n">
        <f aca="false">(1+$B$16)^(-$A65/4)</f>
        <v>0.51079247487927</v>
      </c>
      <c r="AX65" s="14" t="n">
        <f aca="false">AV65*AW65</f>
        <v>247562.780725895</v>
      </c>
      <c r="AY65" s="14" t="n">
        <f aca="false">AV65</f>
        <v>484664.110966805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1296604.23209706</v>
      </c>
      <c r="H66" s="14" t="n">
        <f aca="false">IF($A66&lt;=$G$4,0,IF(C66=0,E66*$B$6*(1+$B$7)^(($G$4+D66*($B$8+$B$10))/4),0)+IF(C66=$B$8,$B$11*$B$4*(1+$B$5)^(($G$4+$B$8+D66*($B$8+$B$10))/4)*E66,0))</f>
        <v>155592.507851648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224584.183418748</v>
      </c>
      <c r="O66" s="14" t="n">
        <f aca="false">IF($A66&lt;=$G$5,$E$5*$F$5,IF(K66&gt;=$B$8,M66*$B$4*(1+$B$5)^(($G$5+$B$8+L66*($B$8+$B$10))/4),0))</f>
        <v>898336.733674991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115798.597640941</v>
      </c>
      <c r="W66" s="14" t="n">
        <f aca="false">IF($A66&lt;=$G$6,$E$6*$F$6,IF(S66&gt;=$B$8,U66*$B$4*(1+$B$5)^(($G$6+$B$8+T66*($B$8+$B$10))/4),0))</f>
        <v>463194.390563766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76038.2495951832</v>
      </c>
      <c r="AE66" s="14" t="n">
        <f aca="false">IF($A66&lt;=$G$7,$E$7*$F$7,IF(AA66&gt;=$B$8,AC66*$B$4*(1+$B$5)^(($G$7+$B$8+AB66*($B$8+$B$10))/4),0))</f>
        <v>304152.998380733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160615.257607686</v>
      </c>
      <c r="AM66" s="14" t="n">
        <f aca="false">IF($A66&lt;=$G$8,$E$8*$F$8,IF(AI66&gt;=$B$8,AK66*$B$4*(1+$B$5)^(($G$8+$B$8+AJ66*($B$8+$B$10))/4),0))</f>
        <v>642461.030430744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577036.288262559</v>
      </c>
      <c r="AQ66" s="14" t="n">
        <f aca="false">G66+O66+W66+AE66+AM66</f>
        <v>3604749.3851473</v>
      </c>
      <c r="AR66" s="14" t="n">
        <f aca="false">H66+P66+X66+AF66+AN66+IF($A66=$B$15,$B$14,0)</f>
        <v>155592.507851648</v>
      </c>
      <c r="AS66" s="21" t="n">
        <f aca="false">I66+Q66+Y66+AG66+AO66</f>
        <v>0</v>
      </c>
      <c r="AT66" s="14" t="n">
        <f aca="false">AP66*(1-$B$12)-AS66*$B$13/4</f>
        <v>542414.110966805</v>
      </c>
      <c r="AU66" s="14" t="n">
        <f aca="false">0</f>
        <v>0</v>
      </c>
      <c r="AV66" s="14" t="n">
        <f aca="false">AT66-AR66-AU66</f>
        <v>386821.603115158</v>
      </c>
      <c r="AW66" s="21" t="n">
        <f aca="false">(1+$B$16)^(-$A66/4)</f>
        <v>0.501349020514149</v>
      </c>
      <c r="AX66" s="14" t="n">
        <f aca="false">AV66*AW66</f>
        <v>193932.631835497</v>
      </c>
      <c r="AY66" s="14" t="n">
        <f aca="false">AV66</f>
        <v>386821.603115158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1296604.23209706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224584.183418748</v>
      </c>
      <c r="O67" s="14" t="n">
        <f aca="false">IF($A67&lt;=$G$5,$E$5*$F$5,IF(K67&gt;=$B$8,M67*$B$4*(1+$B$5)^(($G$5+$B$8+L67*($B$8+$B$10))/4),0))</f>
        <v>898336.733674991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115798.597640941</v>
      </c>
      <c r="W67" s="14" t="n">
        <f aca="false">IF($A67&lt;=$G$6,$E$6*$F$6,IF(S67&gt;=$B$8,U67*$B$4*(1+$B$5)^(($G$6+$B$8+T67*($B$8+$B$10))/4),0))</f>
        <v>463194.390563766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76038.2495951832</v>
      </c>
      <c r="AE67" s="14" t="n">
        <f aca="false">IF($A67&lt;=$G$7,$E$7*$F$7,IF(AA67&gt;=$B$8,AC67*$B$4*(1+$B$5)^(($G$7+$B$8+AB67*($B$8+$B$10))/4),0))</f>
        <v>304152.998380733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160615.257607686</v>
      </c>
      <c r="AM67" s="14" t="n">
        <f aca="false">IF($A67&lt;=$G$8,$E$8*$F$8,IF(AI67&gt;=$B$8,AK67*$B$4*(1+$B$5)^(($G$8+$B$8+AJ67*($B$8+$B$10))/4),0))</f>
        <v>642461.030430744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577036.288262559</v>
      </c>
      <c r="AQ67" s="14" t="n">
        <f aca="false">G67+O67+W67+AE67+AM67</f>
        <v>3604749.3851473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542414.110966805</v>
      </c>
      <c r="AU67" s="14" t="n">
        <f aca="false">0</f>
        <v>0</v>
      </c>
      <c r="AV67" s="14" t="n">
        <f aca="false">AT67-AR67-AU67</f>
        <v>542414.110966805</v>
      </c>
      <c r="AW67" s="21" t="n">
        <f aca="false">(1+$B$16)^(-$A67/4)</f>
        <v>0.492080155311421</v>
      </c>
      <c r="AX67" s="14" t="n">
        <f aca="false">AV67*AW67</f>
        <v>266911.219967652</v>
      </c>
      <c r="AY67" s="14" t="n">
        <f aca="false">AV67</f>
        <v>542414.110966805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1296604.23209706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224584.183418748</v>
      </c>
      <c r="O68" s="14" t="n">
        <f aca="false">IF($A68&lt;=$G$5,$E$5*$F$5,IF(K68&gt;=$B$8,M68*$B$4*(1+$B$5)^(($G$5+$B$8+L68*($B$8+$B$10))/4),0))</f>
        <v>898336.733674991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115798.597640941</v>
      </c>
      <c r="W68" s="14" t="n">
        <f aca="false">IF($A68&lt;=$G$6,$E$6*$F$6,IF(S68&gt;=$B$8,U68*$B$4*(1+$B$5)^(($G$6+$B$8+T68*($B$8+$B$10))/4),0))</f>
        <v>463194.390563766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76038.2495951832</v>
      </c>
      <c r="AE68" s="14" t="n">
        <f aca="false">IF($A68&lt;=$G$7,$E$7*$F$7,IF(AA68&gt;=$B$8,AC68*$B$4*(1+$B$5)^(($G$7+$B$8+AB68*($B$8+$B$10))/4),0))</f>
        <v>304152.998380733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160615.257607686</v>
      </c>
      <c r="AM68" s="14" t="n">
        <f aca="false">IF($A68&lt;=$G$8,$E$8*$F$8,IF(AI68&gt;=$B$8,AK68*$B$4*(1+$B$5)^(($G$8+$B$8+AJ68*($B$8+$B$10))/4),0))</f>
        <v>642461.030430744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577036.288262559</v>
      </c>
      <c r="AQ68" s="14" t="n">
        <f aca="false">G68+O68+W68+AE68+AM68</f>
        <v>3604749.3851473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542414.110966805</v>
      </c>
      <c r="AU68" s="14" t="n">
        <f aca="false">0</f>
        <v>0</v>
      </c>
      <c r="AV68" s="14" t="n">
        <f aca="false">AT68-AR68-AU68</f>
        <v>542414.110966805</v>
      </c>
      <c r="AW68" s="21" t="n">
        <f aca="false">(1+$B$16)^(-$A68/4)</f>
        <v>0.482982651492941</v>
      </c>
      <c r="AX68" s="14" t="n">
        <f aca="false">AV68*AW68</f>
        <v>261976.605521934</v>
      </c>
      <c r="AY68" s="14" t="n">
        <f aca="false">AV68</f>
        <v>542414.110966805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324151.058024266</v>
      </c>
      <c r="G69" s="14" t="n">
        <f aca="false">IF($A69&lt;=$G$4,$E$4*$F$4,IF(C69&gt;=$B$8,E69*$B$4*(1+$B$5)^(($G$4+$B$8+D69*($B$8+$B$10))/4),0))</f>
        <v>1296604.23209706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115798.597640941</v>
      </c>
      <c r="W69" s="14" t="n">
        <f aca="false">IF($A69&lt;=$G$6,$E$6*$F$6,IF(S69&gt;=$B$8,U69*$B$4*(1+$B$5)^(($G$6+$B$8+T69*($B$8+$B$10))/4),0))</f>
        <v>463194.390563766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76038.2495951832</v>
      </c>
      <c r="AE69" s="14" t="n">
        <f aca="false">IF($A69&lt;=$G$7,$E$7*$F$7,IF(AA69&gt;=$B$8,AC69*$B$4*(1+$B$5)^(($G$7+$B$8+AB69*($B$8+$B$10))/4),0))</f>
        <v>304152.998380733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160615.257607686</v>
      </c>
      <c r="AM69" s="14" t="n">
        <f aca="false">IF($A69&lt;=$G$8,$E$8*$F$8,IF(AI69&gt;=$B$8,AK69*$B$4*(1+$B$5)^(($G$8+$B$8+AJ69*($B$8+$B$10))/4),0))</f>
        <v>642461.030430744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676603.162868077</v>
      </c>
      <c r="AQ69" s="14" t="n">
        <f aca="false">G69+O69+W69+AE69+AM69</f>
        <v>2706412.65147231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593381.973095992</v>
      </c>
      <c r="AU69" s="14" t="n">
        <f aca="false">0</f>
        <v>0</v>
      </c>
      <c r="AV69" s="14" t="n">
        <f aca="false">AT69-AR69-AU69</f>
        <v>-1063031.18515475</v>
      </c>
      <c r="AW69" s="21" t="n">
        <f aca="false">(1+$B$16)^(-$A69/4)</f>
        <v>0.474053340955239</v>
      </c>
      <c r="AX69" s="14" t="n">
        <f aca="false">AV69*AW69</f>
        <v>-503933.484862217</v>
      </c>
      <c r="AY69" s="14" t="n">
        <f aca="false">AV69+$J$9</f>
        <v>47704216.2273792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322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26" t="n">
        <v>330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381.555617426088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3307837.68513282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4221220.49320447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59966983.9399586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9864581.55113444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28427549.0837465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38292130.634881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35955052.2393248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0.742386192996307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0.0553570588543537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27421804.7406635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13513577.399972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3403852.34430194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0.104569181943502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720804.057562411</v>
      </c>
      <c r="AN33" s="14" t="n">
        <f aca="false">IF($A33&lt;=$G$8,0,IF(AI33=0,AK33*$B$6*(1+$B$7)^(($G$8+AJ33*($B$8+$B$10))/4),0)+IF(AI33=$B$8,$B$11*$B$4*(1+$B$5)^(($G$8+$B$8+AJ33*($B$8+$B$10))/4)*AK33,0))</f>
        <v>86496.4869074894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3769744.05756241</v>
      </c>
      <c r="AR33" s="14" t="n">
        <f aca="false">H33+P33+X33+AF33+AN33+IF($A33=$B$15,$B$14,0)</f>
        <v>86496.4869074894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630004.413092511</v>
      </c>
      <c r="AW33" s="21" t="n">
        <f aca="false">(1+$B$16)^(-$A33/4)</f>
        <v>0.928074245939675</v>
      </c>
      <c r="AX33" s="14" t="n">
        <f aca="false">AV33*AW33</f>
        <v>584690.870619499</v>
      </c>
      <c r="AY33" s="14" t="n">
        <f aca="false">AV33</f>
        <v>630004.413092511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720804.057562411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3769744.05756241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720804.057562411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3769744.05756241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180201.014390603</v>
      </c>
      <c r="AM36" s="14" t="n">
        <f aca="false">IF($A36&lt;=$G$8,$E$8*$F$8,IF(AI36&gt;=$B$8,AK36*$B$4*(1+$B$5)^(($G$8+$B$8+AJ36*($B$8+$B$10))/4),0))</f>
        <v>720804.057562411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864436.014390603</v>
      </c>
      <c r="AQ36" s="14" t="n">
        <f aca="false">G36+O36+W36+AE36+AM36</f>
        <v>3457744.05756241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798819.853527167</v>
      </c>
      <c r="AU36" s="14" t="n">
        <f aca="false">0</f>
        <v>0</v>
      </c>
      <c r="AV36" s="14" t="n">
        <f aca="false">AT36-AR36-AU36</f>
        <v>362971.822385577</v>
      </c>
      <c r="AW36" s="21" t="n">
        <f aca="false">(1+$B$16)^(-$A36/4)</f>
        <v>0.877545739475122</v>
      </c>
      <c r="AX36" s="14" t="n">
        <f aca="false">AV36*AW36</f>
        <v>318524.376283984</v>
      </c>
      <c r="AY36" s="14" t="n">
        <f aca="false">AV36</f>
        <v>362971.822385577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180201.014390603</v>
      </c>
      <c r="AM37" s="14" t="n">
        <f aca="false">IF($A37&lt;=$G$8,$E$8*$F$8,IF(AI37&gt;=$B$8,AK37*$B$4*(1+$B$5)^(($G$8+$B$8+AJ37*($B$8+$B$10))/4),0))</f>
        <v>720804.057562411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864436.014390603</v>
      </c>
      <c r="AQ37" s="14" t="n">
        <f aca="false">G37+O37+W37+AE37+AM37</f>
        <v>3457744.05756241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798819.853527167</v>
      </c>
      <c r="AU37" s="14" t="n">
        <f aca="false">0</f>
        <v>0</v>
      </c>
      <c r="AV37" s="14" t="n">
        <f aca="false">AT37-AR37-AU37</f>
        <v>798819.853527167</v>
      </c>
      <c r="AW37" s="21" t="n">
        <f aca="false">(1+$B$16)^(-$A37/4)</f>
        <v>0.861321805976497</v>
      </c>
      <c r="AX37" s="14" t="n">
        <f aca="false">AV37*AW37</f>
        <v>688040.9588899</v>
      </c>
      <c r="AY37" s="14" t="n">
        <f aca="false">AV37</f>
        <v>798819.853527167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180201.014390603</v>
      </c>
      <c r="AM38" s="14" t="n">
        <f aca="false">IF($A38&lt;=$G$8,$E$8*$F$8,IF(AI38&gt;=$B$8,AK38*$B$4*(1+$B$5)^(($G$8+$B$8+AJ38*($B$8+$B$10))/4),0))</f>
        <v>720804.057562411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864436.014390603</v>
      </c>
      <c r="AQ38" s="14" t="n">
        <f aca="false">G38+O38+W38+AE38+AM38</f>
        <v>3457744.05756241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798819.853527167</v>
      </c>
      <c r="AU38" s="14" t="n">
        <f aca="false">0</f>
        <v>0</v>
      </c>
      <c r="AV38" s="14" t="n">
        <f aca="false">AT38-AR38-AU38</f>
        <v>798819.853527167</v>
      </c>
      <c r="AW38" s="21" t="n">
        <f aca="false">(1+$B$16)^(-$A38/4)</f>
        <v>0.845397818117543</v>
      </c>
      <c r="AX38" s="14" t="n">
        <f aca="false">AV38*AW38</f>
        <v>675320.561240842</v>
      </c>
      <c r="AY38" s="14" t="n">
        <f aca="false">AV38</f>
        <v>798819.853527167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341242.044214911</v>
      </c>
      <c r="AF39" s="14" t="n">
        <f aca="false">IF($A39&lt;=$G$7,0,IF(AA39=0,AC39*$B$6*(1+$B$7)^(($G$7+AB39*($B$8+$B$10))/4),0)+IF(AA39=$B$8,$B$11*$B$4*(1+$B$5)^(($G$7+$B$8+AB39*($B$8+$B$10))/4)*AC39,0))</f>
        <v>40949.0453057894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180201.014390603</v>
      </c>
      <c r="AM39" s="14" t="n">
        <f aca="false">IF($A39&lt;=$G$8,$E$8*$F$8,IF(AI39&gt;=$B$8,AK39*$B$4*(1+$B$5)^(($G$8+$B$8+AJ39*($B$8+$B$10))/4),0))</f>
        <v>720804.057562411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864436.014390603</v>
      </c>
      <c r="AQ39" s="14" t="n">
        <f aca="false">G39+O39+W39+AE39+AM39</f>
        <v>3798986.10177732</v>
      </c>
      <c r="AR39" s="14" t="n">
        <f aca="false">H39+P39+X39+AF39+AN39+IF($A39=$B$15,$B$14,0)</f>
        <v>40949.0453057894</v>
      </c>
      <c r="AS39" s="21" t="n">
        <f aca="false">I39+Q39+Y39+AG39+AO39</f>
        <v>0</v>
      </c>
      <c r="AT39" s="14" t="n">
        <f aca="false">AP39*(1-$B$12)-AS39*$B$13/4</f>
        <v>812569.853527167</v>
      </c>
      <c r="AU39" s="14" t="n">
        <f aca="false">0</f>
        <v>0</v>
      </c>
      <c r="AV39" s="14" t="n">
        <f aca="false">AT39-AR39-AU39</f>
        <v>771620.808221377</v>
      </c>
      <c r="AW39" s="21" t="n">
        <f aca="false">(1+$B$16)^(-$A39/4)</f>
        <v>0.829768230548437</v>
      </c>
      <c r="AX39" s="14" t="n">
        <f aca="false">AV39*AW39</f>
        <v>640266.432692207</v>
      </c>
      <c r="AY39" s="14" t="n">
        <f aca="false">AV39</f>
        <v>771620.808221377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341242.044214911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180201.014390603</v>
      </c>
      <c r="AM40" s="14" t="n">
        <f aca="false">IF($A40&lt;=$G$8,$E$8*$F$8,IF(AI40&gt;=$B$8,AK40*$B$4*(1+$B$5)^(($G$8+$B$8+AJ40*($B$8+$B$10))/4),0))</f>
        <v>720804.057562411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530536.014390603</v>
      </c>
      <c r="AQ40" s="14" t="n">
        <f aca="false">G40+O40+W40+AE40+AM40</f>
        <v>2463386.10177732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440953.853527167</v>
      </c>
      <c r="AU40" s="14" t="n">
        <f aca="false">0</f>
        <v>0</v>
      </c>
      <c r="AV40" s="14" t="n">
        <f aca="false">AT40-AR40-AU40</f>
        <v>-1435371.92053738</v>
      </c>
      <c r="AW40" s="21" t="n">
        <f aca="false">(1+$B$16)^(-$A40/4)</f>
        <v>0.814427600440949</v>
      </c>
      <c r="AX40" s="14" t="n">
        <f aca="false">AV40*AW40</f>
        <v>-1169006.50898357</v>
      </c>
      <c r="AY40" s="14" t="n">
        <f aca="false">AV40</f>
        <v>-1435371.92053738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341242.044214911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180201.014390603</v>
      </c>
      <c r="AM41" s="14" t="n">
        <f aca="false">IF($A41&lt;=$G$8,$E$8*$F$8,IF(AI41&gt;=$B$8,AK41*$B$4*(1+$B$5)^(($G$8+$B$8+AJ41*($B$8+$B$10))/4),0))</f>
        <v>720804.057562411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530536.014390603</v>
      </c>
      <c r="AQ41" s="14" t="n">
        <f aca="false">G41+O41+W41+AE41+AM41</f>
        <v>2463386.10177732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440953.853527167</v>
      </c>
      <c r="AU41" s="14" t="n">
        <f aca="false">0</f>
        <v>0</v>
      </c>
      <c r="AV41" s="14" t="n">
        <f aca="false">AT41-AR41-AU41</f>
        <v>-1459046.14647283</v>
      </c>
      <c r="AW41" s="21" t="n">
        <f aca="false">(1+$B$16)^(-$A41/4)</f>
        <v>0.799370585593037</v>
      </c>
      <c r="AX41" s="14" t="n">
        <f aca="false">AV41*AW41</f>
        <v>-1166318.57251325</v>
      </c>
      <c r="AY41" s="14" t="n">
        <f aca="false">AV41</f>
        <v>-1459046.14647283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85310.5110537278</v>
      </c>
      <c r="AE42" s="14" t="n">
        <f aca="false">IF($A42&lt;=$G$7,$E$7*$F$7,IF(AA42&gt;=$B$8,AC42*$B$4*(1+$B$5)^(($G$7+$B$8+AB42*($B$8+$B$10))/4),0))</f>
        <v>341242.044214911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180201.014390603</v>
      </c>
      <c r="AM42" s="14" t="n">
        <f aca="false">IF($A42&lt;=$G$8,$E$8*$F$8,IF(AI42&gt;=$B$8,AK42*$B$4*(1+$B$5)^(($G$8+$B$8+AJ42*($B$8+$B$10))/4),0))</f>
        <v>720804.057562411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615846.525444331</v>
      </c>
      <c r="AQ42" s="14" t="n">
        <f aca="false">G42+O42+W42+AE42+AM42</f>
        <v>2463386.10177732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521145.733917671</v>
      </c>
      <c r="AU42" s="14" t="n">
        <f aca="false">0</f>
        <v>0</v>
      </c>
      <c r="AV42" s="14" t="n">
        <f aca="false">AT42-AR42-AU42</f>
        <v>521145.733917671</v>
      </c>
      <c r="AW42" s="21" t="n">
        <f aca="false">(1+$B$16)^(-$A42/4)</f>
        <v>0.784591942568485</v>
      </c>
      <c r="AX42" s="14" t="n">
        <f aca="false">AV42*AW42</f>
        <v>408886.743735744</v>
      </c>
      <c r="AY42" s="14" t="n">
        <f aca="false">AV42</f>
        <v>521145.733917671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1454714.83448817</v>
      </c>
      <c r="H43" s="14" t="n">
        <f aca="false">IF($A43&lt;=$G$4,0,IF(C43=0,E43*$B$6*(1+$B$7)^(($G$4+D43*($B$8+$B$10))/4),0)+IF(C43=$B$8,$B$11*$B$4*(1+$B$5)^(($G$4+$B$8+D43*($B$8+$B$10))/4)*E43,0))</f>
        <v>174565.78013858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85310.5110537278</v>
      </c>
      <c r="AE43" s="14" t="n">
        <f aca="false">IF($A43&lt;=$G$7,$E$7*$F$7,IF(AA43&gt;=$B$8,AC43*$B$4*(1+$B$5)^(($G$7+$B$8+AB43*($B$8+$B$10))/4),0))</f>
        <v>341242.044214911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180201.014390603</v>
      </c>
      <c r="AM43" s="14" t="n">
        <f aca="false">IF($A43&lt;=$G$8,$E$8*$F$8,IF(AI43&gt;=$B$8,AK43*$B$4*(1+$B$5)^(($G$8+$B$8+AJ43*($B$8+$B$10))/4),0))</f>
        <v>720804.057562411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615846.525444331</v>
      </c>
      <c r="AQ43" s="14" t="n">
        <f aca="false">G43+O43+W43+AE43+AM43</f>
        <v>3918100.93626549</v>
      </c>
      <c r="AR43" s="14" t="n">
        <f aca="false">H43+P43+X43+AF43+AN43+IF($A43=$B$15,$B$14,0)</f>
        <v>174565.78013858</v>
      </c>
      <c r="AS43" s="21" t="n">
        <f aca="false">I43+Q43+Y43+AG43+AO43</f>
        <v>0</v>
      </c>
      <c r="AT43" s="14" t="n">
        <f aca="false">AP43*(1-$B$12)-AS43*$B$13/4</f>
        <v>578895.733917671</v>
      </c>
      <c r="AU43" s="14" t="n">
        <f aca="false">0</f>
        <v>0</v>
      </c>
      <c r="AV43" s="14" t="n">
        <f aca="false">AT43-AR43-AU43</f>
        <v>404329.953779091</v>
      </c>
      <c r="AW43" s="21" t="n">
        <f aca="false">(1+$B$16)^(-$A43/4)</f>
        <v>0.770086524870939</v>
      </c>
      <c r="AX43" s="14" t="n">
        <f aca="false">AV43*AW43</f>
        <v>311369.049006968</v>
      </c>
      <c r="AY43" s="14" t="n">
        <f aca="false">AV43</f>
        <v>404329.953779091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1454714.83448817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85310.5110537278</v>
      </c>
      <c r="AE44" s="14" t="n">
        <f aca="false">IF($A44&lt;=$G$7,$E$7*$F$7,IF(AA44&gt;=$B$8,AC44*$B$4*(1+$B$5)^(($G$7+$B$8+AB44*($B$8+$B$10))/4),0))</f>
        <v>341242.044214911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180201.014390603</v>
      </c>
      <c r="AM44" s="14" t="n">
        <f aca="false">IF($A44&lt;=$G$8,$E$8*$F$8,IF(AI44&gt;=$B$8,AK44*$B$4*(1+$B$5)^(($G$8+$B$8+AJ44*($B$8+$B$10))/4),0))</f>
        <v>720804.057562411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615846.525444331</v>
      </c>
      <c r="AQ44" s="14" t="n">
        <f aca="false">G44+O44+W44+AE44+AM44</f>
        <v>3918100.93626549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578895.733917671</v>
      </c>
      <c r="AU44" s="14" t="n">
        <f aca="false">0</f>
        <v>0</v>
      </c>
      <c r="AV44" s="14" t="n">
        <f aca="false">AT44-AR44-AU44</f>
        <v>578895.733917671</v>
      </c>
      <c r="AW44" s="21" t="n">
        <f aca="false">(1+$B$16)^(-$A44/4)</f>
        <v>0.755849281151693</v>
      </c>
      <c r="AX44" s="14" t="n">
        <f aca="false">AV44*AW44</f>
        <v>437557.924343453</v>
      </c>
      <c r="AY44" s="14" t="n">
        <f aca="false">AV44</f>
        <v>578895.733917671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1454714.83448817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85310.5110537278</v>
      </c>
      <c r="AE45" s="14" t="n">
        <f aca="false">IF($A45&lt;=$G$7,$E$7*$F$7,IF(AA45&gt;=$B$8,AC45*$B$4*(1+$B$5)^(($G$7+$B$8+AB45*($B$8+$B$10))/4),0))</f>
        <v>341242.044214911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180201.014390603</v>
      </c>
      <c r="AM45" s="14" t="n">
        <f aca="false">IF($A45&lt;=$G$8,$E$8*$F$8,IF(AI45&gt;=$B$8,AK45*$B$4*(1+$B$5)^(($G$8+$B$8+AJ45*($B$8+$B$10))/4),0))</f>
        <v>720804.057562411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615846.525444331</v>
      </c>
      <c r="AQ45" s="14" t="n">
        <f aca="false">G45+O45+W45+AE45+AM45</f>
        <v>3918100.93626549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578895.733917671</v>
      </c>
      <c r="AU45" s="14" t="n">
        <f aca="false">0</f>
        <v>0</v>
      </c>
      <c r="AV45" s="14" t="n">
        <f aca="false">AT45-AR45-AU45</f>
        <v>578895.733917671</v>
      </c>
      <c r="AW45" s="21" t="n">
        <f aca="false">(1+$B$16)^(-$A45/4)</f>
        <v>0.741875253450614</v>
      </c>
      <c r="AX45" s="14" t="n">
        <f aca="false">AV45*AW45</f>
        <v>429468.419321651</v>
      </c>
      <c r="AY45" s="14" t="n">
        <f aca="false">AV45</f>
        <v>578895.733917671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363678.708622042</v>
      </c>
      <c r="G46" s="14" t="n">
        <f aca="false">IF($A46&lt;=$G$4,$E$4*$F$4,IF(C46&gt;=$B$8,E46*$B$4*(1+$B$5)^(($G$4+$B$8+D46*($B$8+$B$10))/4),0))</f>
        <v>1454714.83448817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85310.5110537278</v>
      </c>
      <c r="AE46" s="14" t="n">
        <f aca="false">IF($A46&lt;=$G$7,$E$7*$F$7,IF(AA46&gt;=$B$8,AC46*$B$4*(1+$B$5)^(($G$7+$B$8+AB46*($B$8+$B$10))/4),0))</f>
        <v>341242.044214911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180201.014390603</v>
      </c>
      <c r="AM46" s="14" t="n">
        <f aca="false">IF($A46&lt;=$G$8,$E$8*$F$8,IF(AI46&gt;=$B$8,AK46*$B$4*(1+$B$5)^(($G$8+$B$8+AJ46*($B$8+$B$10))/4),0))</f>
        <v>720804.057562411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743150.234066372</v>
      </c>
      <c r="AQ46" s="14" t="n">
        <f aca="false">G46+O46+W46+AE46+AM46</f>
        <v>2972600.93626549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655936.22002239</v>
      </c>
      <c r="AU46" s="14" t="n">
        <f aca="false">0</f>
        <v>0</v>
      </c>
      <c r="AV46" s="14" t="n">
        <f aca="false">AT46-AR46-AU46</f>
        <v>-781228.16357136</v>
      </c>
      <c r="AW46" s="21" t="n">
        <f aca="false">(1+$B$16)^(-$A46/4)</f>
        <v>0.728159575469592</v>
      </c>
      <c r="AX46" s="14" t="n">
        <f aca="false">AV46*AW46</f>
        <v>-568858.76793101</v>
      </c>
      <c r="AY46" s="14" t="n">
        <f aca="false">AV46</f>
        <v>-781228.16357136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363678.708622042</v>
      </c>
      <c r="G47" s="14" t="n">
        <f aca="false">IF($A47&lt;=$G$4,$E$4*$F$4,IF(C47&gt;=$B$8,E47*$B$4*(1+$B$5)^(($G$4+$B$8+D47*($B$8+$B$10))/4),0))</f>
        <v>1454714.83448817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85310.5110537278</v>
      </c>
      <c r="AE47" s="14" t="n">
        <f aca="false">IF($A47&lt;=$G$7,$E$7*$F$7,IF(AA47&gt;=$B$8,AC47*$B$4*(1+$B$5)^(($G$7+$B$8+AB47*($B$8+$B$10))/4),0))</f>
        <v>341242.044214911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180201.014390603</v>
      </c>
      <c r="AM47" s="14" t="n">
        <f aca="false">IF($A47&lt;=$G$8,$E$8*$F$8,IF(AI47&gt;=$B$8,AK47*$B$4*(1+$B$5)^(($G$8+$B$8+AJ47*($B$8+$B$10))/4),0))</f>
        <v>720804.057562411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743150.234066372</v>
      </c>
      <c r="AQ47" s="14" t="n">
        <f aca="false">G47+O47+W47+AE47+AM47</f>
        <v>2972600.93626549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655936.22002239</v>
      </c>
      <c r="AU47" s="14" t="n">
        <f aca="false">0</f>
        <v>0</v>
      </c>
      <c r="AV47" s="14" t="n">
        <f aca="false">AT47-AR47-AU47</f>
        <v>655936.22002239</v>
      </c>
      <c r="AW47" s="21" t="n">
        <f aca="false">(1+$B$16)^(-$A47/4)</f>
        <v>0.714697470877902</v>
      </c>
      <c r="AX47" s="14" t="n">
        <f aca="false">AV47*AW47</f>
        <v>468795.957507213</v>
      </c>
      <c r="AY47" s="14" t="n">
        <f aca="false">AV47</f>
        <v>655936.22002239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363678.708622042</v>
      </c>
      <c r="G48" s="14" t="n">
        <f aca="false">IF($A48&lt;=$G$4,$E$4*$F$4,IF(C48&gt;=$B$8,E48*$B$4*(1+$B$5)^(($G$4+$B$8+D48*($B$8+$B$10))/4),0))</f>
        <v>1454714.83448817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85310.5110537278</v>
      </c>
      <c r="AE48" s="14" t="n">
        <f aca="false">IF($A48&lt;=$G$7,$E$7*$F$7,IF(AA48&gt;=$B$8,AC48*$B$4*(1+$B$5)^(($G$7+$B$8+AB48*($B$8+$B$10))/4),0))</f>
        <v>341242.044214911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180201.014390603</v>
      </c>
      <c r="AM48" s="14" t="n">
        <f aca="false">IF($A48&lt;=$G$8,$E$8*$F$8,IF(AI48&gt;=$B$8,AK48*$B$4*(1+$B$5)^(($G$8+$B$8+AJ48*($B$8+$B$10))/4),0))</f>
        <v>720804.057562411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743150.234066372</v>
      </c>
      <c r="AQ48" s="14" t="n">
        <f aca="false">G48+O48+W48+AE48+AM48</f>
        <v>2972600.93626549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655936.22002239</v>
      </c>
      <c r="AU48" s="14" t="n">
        <f aca="false">0</f>
        <v>0</v>
      </c>
      <c r="AV48" s="14" t="n">
        <f aca="false">AT48-AR48-AU48</f>
        <v>655936.22002239</v>
      </c>
      <c r="AW48" s="21" t="n">
        <f aca="false">(1+$B$16)^(-$A48/4)</f>
        <v>0.701484251648903</v>
      </c>
      <c r="AX48" s="14" t="n">
        <f aca="false">AV48*AW48</f>
        <v>460128.928431816</v>
      </c>
      <c r="AY48" s="14" t="n">
        <f aca="false">AV48</f>
        <v>655936.22002239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363678.708622042</v>
      </c>
      <c r="G49" s="14" t="n">
        <f aca="false">IF($A49&lt;=$G$4,$E$4*$F$4,IF(C49&gt;=$B$8,E49*$B$4*(1+$B$5)^(($G$4+$B$8+D49*($B$8+$B$10))/4),0))</f>
        <v>1454714.83448817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1097967.1189361</v>
      </c>
      <c r="P49" s="14" t="n">
        <f aca="false">IF($A49&lt;=$G$5,0,IF(K49=0,M49*$B$6*(1+$B$7)^(($G$5+L49*($B$8+$B$10))/4),0)+IF(K49=$B$8,$B$11*$B$4*(1+$B$5)^(($G$5+$B$8+L49*($B$8+$B$10))/4)*M49,0))</f>
        <v>131756.054272332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85310.5110537278</v>
      </c>
      <c r="AE49" s="14" t="n">
        <f aca="false">IF($A49&lt;=$G$7,$E$7*$F$7,IF(AA49&gt;=$B$8,AC49*$B$4*(1+$B$5)^(($G$7+$B$8+AB49*($B$8+$B$10))/4),0))</f>
        <v>341242.044214911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180201.014390603</v>
      </c>
      <c r="AM49" s="14" t="n">
        <f aca="false">IF($A49&lt;=$G$8,$E$8*$F$8,IF(AI49&gt;=$B$8,AK49*$B$4*(1+$B$5)^(($G$8+$B$8+AJ49*($B$8+$B$10))/4),0))</f>
        <v>720804.057562411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743150.234066372</v>
      </c>
      <c r="AQ49" s="14" t="n">
        <f aca="false">G49+O49+W49+AE49+AM49</f>
        <v>4070568.05520159</v>
      </c>
      <c r="AR49" s="14" t="n">
        <f aca="false">H49+P49+X49+AF49+AN49+IF($A49=$B$15,$B$14,0)</f>
        <v>131756.054272332</v>
      </c>
      <c r="AS49" s="21" t="n">
        <f aca="false">I49+Q49+Y49+AG49+AO49</f>
        <v>0</v>
      </c>
      <c r="AT49" s="14" t="n">
        <f aca="false">AP49*(1-$B$12)-AS49*$B$13/4</f>
        <v>698561.22002239</v>
      </c>
      <c r="AU49" s="14" t="n">
        <f aca="false">0</f>
        <v>0</v>
      </c>
      <c r="AV49" s="14" t="n">
        <f aca="false">AT49-AR49-AU49</f>
        <v>566805.165750058</v>
      </c>
      <c r="AW49" s="21" t="n">
        <f aca="false">(1+$B$16)^(-$A49/4)</f>
        <v>0.688515316427484</v>
      </c>
      <c r="AX49" s="14" t="n">
        <f aca="false">AV49*AW49</f>
        <v>390254.038049134</v>
      </c>
      <c r="AY49" s="14" t="n">
        <f aca="false">AV49</f>
        <v>566805.165750058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363678.708622042</v>
      </c>
      <c r="G50" s="14" t="n">
        <f aca="false">IF($A50&lt;=$G$4,$E$4*$F$4,IF(C50&gt;=$B$8,E50*$B$4*(1+$B$5)^(($G$4+$B$8+D50*($B$8+$B$10))/4),0))</f>
        <v>1454714.83448817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1097967.1189361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85310.5110537278</v>
      </c>
      <c r="AE50" s="14" t="n">
        <f aca="false">IF($A50&lt;=$G$7,$E$7*$F$7,IF(AA50&gt;=$B$8,AC50*$B$4*(1+$B$5)^(($G$7+$B$8+AB50*($B$8+$B$10))/4),0))</f>
        <v>341242.044214911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180201.014390603</v>
      </c>
      <c r="AM50" s="14" t="n">
        <f aca="false">IF($A50&lt;=$G$8,$E$8*$F$8,IF(AI50&gt;=$B$8,AK50*$B$4*(1+$B$5)^(($G$8+$B$8+AJ50*($B$8+$B$10))/4),0))</f>
        <v>720804.057562411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743150.234066372</v>
      </c>
      <c r="AQ50" s="14" t="n">
        <f aca="false">G50+O50+W50+AE50+AM50</f>
        <v>4070568.05520159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698561.22002239</v>
      </c>
      <c r="AU50" s="14" t="n">
        <f aca="false">0</f>
        <v>0</v>
      </c>
      <c r="AV50" s="14" t="n">
        <f aca="false">AT50-AR50-AU50</f>
        <v>698561.22002239</v>
      </c>
      <c r="AW50" s="21" t="n">
        <f aca="false">(1+$B$16)^(-$A50/4)</f>
        <v>0.675786148927696</v>
      </c>
      <c r="AX50" s="14" t="n">
        <f aca="false">AV50*AW50</f>
        <v>472077.996669164</v>
      </c>
      <c r="AY50" s="14" t="n">
        <f aca="false">AV50</f>
        <v>698561.22002239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363678.708622042</v>
      </c>
      <c r="G51" s="14" t="n">
        <f aca="false">IF($A51&lt;=$G$4,$E$4*$F$4,IF(C51&gt;=$B$8,E51*$B$4*(1+$B$5)^(($G$4+$B$8+D51*($B$8+$B$10))/4),0))</f>
        <v>1454714.83448817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1097967.1189361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85310.5110537278</v>
      </c>
      <c r="AE51" s="14" t="n">
        <f aca="false">IF($A51&lt;=$G$7,$E$7*$F$7,IF(AA51&gt;=$B$8,AC51*$B$4*(1+$B$5)^(($G$7+$B$8+AB51*($B$8+$B$10))/4),0))</f>
        <v>341242.044214911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180201.014390603</v>
      </c>
      <c r="AM51" s="14" t="n">
        <f aca="false">IF($A51&lt;=$G$8,$E$8*$F$8,IF(AI51&gt;=$B$8,AK51*$B$4*(1+$B$5)^(($G$8+$B$8+AJ51*($B$8+$B$10))/4),0))</f>
        <v>720804.057562411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743150.234066372</v>
      </c>
      <c r="AQ51" s="14" t="n">
        <f aca="false">G51+O51+W51+AE51+AM51</f>
        <v>4070568.05520159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698561.22002239</v>
      </c>
      <c r="AU51" s="14" t="n">
        <f aca="false">0</f>
        <v>0</v>
      </c>
      <c r="AV51" s="14" t="n">
        <f aca="false">AT51-AR51-AU51</f>
        <v>698561.22002239</v>
      </c>
      <c r="AW51" s="21" t="n">
        <f aca="false">(1+$B$16)^(-$A51/4)</f>
        <v>0.663292316360002</v>
      </c>
      <c r="AX51" s="14" t="n">
        <f aca="false">AV51*AW51</f>
        <v>463350.28974792</v>
      </c>
      <c r="AY51" s="14" t="n">
        <f aca="false">AV51</f>
        <v>698561.22002239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363678.708622042</v>
      </c>
      <c r="G52" s="14" t="n">
        <f aca="false">IF($A52&lt;=$G$4,$E$4*$F$4,IF(C52&gt;=$B$8,E52*$B$4*(1+$B$5)^(($G$4+$B$8+D52*($B$8+$B$10))/4),0))</f>
        <v>1454714.83448817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274491.779734025</v>
      </c>
      <c r="O52" s="14" t="n">
        <f aca="false">IF($A52&lt;=$G$5,$E$5*$F$5,IF(K52&gt;=$B$8,M52*$B$4*(1+$B$5)^(($G$5+$B$8+L52*($B$8+$B$10))/4),0))</f>
        <v>1097967.1189361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85310.5110537278</v>
      </c>
      <c r="AE52" s="14" t="n">
        <f aca="false">IF($A52&lt;=$G$7,$E$7*$F$7,IF(AA52&gt;=$B$8,AC52*$B$4*(1+$B$5)^(($G$7+$B$8+AB52*($B$8+$B$10))/4),0))</f>
        <v>341242.044214911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180201.014390603</v>
      </c>
      <c r="AM52" s="14" t="n">
        <f aca="false">IF($A52&lt;=$G$8,$E$8*$F$8,IF(AI52&gt;=$B$8,AK52*$B$4*(1+$B$5)^(($G$8+$B$8+AJ52*($B$8+$B$10))/4),0))</f>
        <v>720804.057562411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1017642.0138004</v>
      </c>
      <c r="AQ52" s="14" t="n">
        <f aca="false">G52+O52+W52+AE52+AM52</f>
        <v>4070568.05520159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956583.492972374</v>
      </c>
      <c r="AU52" s="14" t="n">
        <f aca="false">0</f>
        <v>0</v>
      </c>
      <c r="AV52" s="14" t="n">
        <f aca="false">AT52-AR52-AU52</f>
        <v>956583.492972374</v>
      </c>
      <c r="AW52" s="21" t="n">
        <f aca="false">(1+$B$16)^(-$A52/4)</f>
        <v>0.651029467887613</v>
      </c>
      <c r="AX52" s="14" t="n">
        <f aca="false">AV52*AW52</f>
        <v>622764.042419879</v>
      </c>
      <c r="AY52" s="14" t="n">
        <f aca="false">AV52</f>
        <v>956583.492972374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363678.708622042</v>
      </c>
      <c r="G53" s="14" t="n">
        <f aca="false">IF($A53&lt;=$G$4,$E$4*$F$4,IF(C53&gt;=$B$8,E53*$B$4*(1+$B$5)^(($G$4+$B$8+D53*($B$8+$B$10))/4),0))</f>
        <v>1454714.83448817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274491.779734025</v>
      </c>
      <c r="O53" s="14" t="n">
        <f aca="false">IF($A53&lt;=$G$5,$E$5*$F$5,IF(K53&gt;=$B$8,M53*$B$4*(1+$B$5)^(($G$5+$B$8+L53*($B$8+$B$10))/4),0))</f>
        <v>1097967.1189361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85310.5110537278</v>
      </c>
      <c r="AE53" s="14" t="n">
        <f aca="false">IF($A53&lt;=$G$7,$E$7*$F$7,IF(AA53&gt;=$B$8,AC53*$B$4*(1+$B$5)^(($G$7+$B$8+AB53*($B$8+$B$10))/4),0))</f>
        <v>341242.044214911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837440.999409795</v>
      </c>
      <c r="AQ53" s="14" t="n">
        <f aca="false">G53+O53+W53+AE53+AM53</f>
        <v>3349763.99763918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757494.539445207</v>
      </c>
      <c r="AU53" s="14" t="n">
        <f aca="false">0</f>
        <v>0</v>
      </c>
      <c r="AV53" s="14" t="n">
        <f aca="false">AT53-AR53-AU53</f>
        <v>-288104.721376615</v>
      </c>
      <c r="AW53" s="21" t="n">
        <f aca="false">(1+$B$16)^(-$A53/4)</f>
        <v>0.638993333111354</v>
      </c>
      <c r="AX53" s="14" t="n">
        <f aca="false">AV53*AW53</f>
        <v>-184096.996197561</v>
      </c>
      <c r="AY53" s="14" t="n">
        <f aca="false">AV53</f>
        <v>-288104.721376615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363678.708622042</v>
      </c>
      <c r="G54" s="14" t="n">
        <f aca="false">IF($A54&lt;=$G$4,$E$4*$F$4,IF(C54&gt;=$B$8,E54*$B$4*(1+$B$5)^(($G$4+$B$8+D54*($B$8+$B$10))/4),0))</f>
        <v>1454714.83448817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274491.779734025</v>
      </c>
      <c r="O54" s="14" t="n">
        <f aca="false">IF($A54&lt;=$G$5,$E$5*$F$5,IF(K54&gt;=$B$8,M54*$B$4*(1+$B$5)^(($G$5+$B$8+L54*($B$8+$B$10))/4),0))</f>
        <v>1097967.1189361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85310.5110537278</v>
      </c>
      <c r="AE54" s="14" t="n">
        <f aca="false">IF($A54&lt;=$G$7,$E$7*$F$7,IF(AA54&gt;=$B$8,AC54*$B$4*(1+$B$5)^(($G$7+$B$8+AB54*($B$8+$B$10))/4),0))</f>
        <v>341242.044214911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837440.999409795</v>
      </c>
      <c r="AQ54" s="14" t="n">
        <f aca="false">G54+O54+W54+AE54+AM54</f>
        <v>3349763.99763918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757494.539445207</v>
      </c>
      <c r="AU54" s="14" t="n">
        <f aca="false">0</f>
        <v>0</v>
      </c>
      <c r="AV54" s="14" t="n">
        <f aca="false">AT54-AR54-AU54</f>
        <v>757494.539445207</v>
      </c>
      <c r="AW54" s="21" t="n">
        <f aca="false">(1+$B$16)^(-$A54/4)</f>
        <v>0.627179720582548</v>
      </c>
      <c r="AX54" s="14" t="n">
        <f aca="false">AV54*AW54</f>
        <v>475085.213592051</v>
      </c>
      <c r="AY54" s="14" t="n">
        <f aca="false">AV54</f>
        <v>757494.539445207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363678.708622042</v>
      </c>
      <c r="G55" s="14" t="n">
        <f aca="false">IF($A55&lt;=$G$4,$E$4*$F$4,IF(C55&gt;=$B$8,E55*$B$4*(1+$B$5)^(($G$4+$B$8+D55*($B$8+$B$10))/4),0))</f>
        <v>1454714.83448817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274491.779734025</v>
      </c>
      <c r="O55" s="14" t="n">
        <f aca="false">IF($A55&lt;=$G$5,$E$5*$F$5,IF(K55&gt;=$B$8,M55*$B$4*(1+$B$5)^(($G$5+$B$8+L55*($B$8+$B$10))/4),0))</f>
        <v>1097967.1189361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85310.5110537278</v>
      </c>
      <c r="AE55" s="14" t="n">
        <f aca="false">IF($A55&lt;=$G$7,$E$7*$F$7,IF(AA55&gt;=$B$8,AC55*$B$4*(1+$B$5)^(($G$7+$B$8+AB55*($B$8+$B$10))/4),0))</f>
        <v>341242.044214911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837440.999409795</v>
      </c>
      <c r="AQ55" s="14" t="n">
        <f aca="false">G55+O55+W55+AE55+AM55</f>
        <v>3349763.99763918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757494.539445207</v>
      </c>
      <c r="AU55" s="14" t="n">
        <f aca="false">0</f>
        <v>0</v>
      </c>
      <c r="AV55" s="14" t="n">
        <f aca="false">AT55-AR55-AU55</f>
        <v>757494.539445207</v>
      </c>
      <c r="AW55" s="21" t="n">
        <f aca="false">(1+$B$16)^(-$A55/4)</f>
        <v>0.615584516343389</v>
      </c>
      <c r="AX55" s="14" t="n">
        <f aca="false">AV55*AW55</f>
        <v>466301.909697136</v>
      </c>
      <c r="AY55" s="14" t="n">
        <f aca="false">AV55</f>
        <v>757494.539445207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363678.708622042</v>
      </c>
      <c r="G56" s="14" t="n">
        <f aca="false">IF($A56&lt;=$G$4,$E$4*$F$4,IF(C56&gt;=$B$8,E56*$B$4*(1+$B$5)^(($G$4+$B$8+D56*($B$8+$B$10))/4),0))</f>
        <v>1454714.83448817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274491.779734025</v>
      </c>
      <c r="O56" s="14" t="n">
        <f aca="false">IF($A56&lt;=$G$5,$E$5*$F$5,IF(K56&gt;=$B$8,M56*$B$4*(1+$B$5)^(($G$5+$B$8+L56*($B$8+$B$10))/4),0))</f>
        <v>1097967.1189361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85310.5110537278</v>
      </c>
      <c r="AE56" s="14" t="n">
        <f aca="false">IF($A56&lt;=$G$7,$E$7*$F$7,IF(AA56&gt;=$B$8,AC56*$B$4*(1+$B$5)^(($G$7+$B$8+AB56*($B$8+$B$10))/4),0))</f>
        <v>341242.044214911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785230.148304243</v>
      </c>
      <c r="AN56" s="14" t="n">
        <f aca="false">IF($A56&lt;=$G$8,0,IF(AI56=0,AK56*$B$6*(1+$B$7)^(($G$8+AJ56*($B$8+$B$10))/4),0)+IF(AI56=$B$8,$B$11*$B$4*(1+$B$5)^(($G$8+$B$8+AJ56*($B$8+$B$10))/4)*AK56,0))</f>
        <v>94227.6177965092</v>
      </c>
      <c r="AO56" s="21" t="n">
        <f aca="false">IF($A56&lt;=$G$8,0,IF(AI56&lt;$B$8,AK56,0))</f>
        <v>0</v>
      </c>
      <c r="AP56" s="14" t="n">
        <f aca="false">F56+N56+V56+AD56+AL56</f>
        <v>723480.999409795</v>
      </c>
      <c r="AQ56" s="14" t="n">
        <f aca="false">G56+O56+W56+AE56+AM56</f>
        <v>3679154.14594342</v>
      </c>
      <c r="AR56" s="14" t="n">
        <f aca="false">H56+P56+X56+AF56+AN56+IF($A56=$B$15,$B$14,0)</f>
        <v>853635.562485446</v>
      </c>
      <c r="AS56" s="21" t="n">
        <f aca="false">I56+Q56+Y56+AG56+AO56</f>
        <v>1540</v>
      </c>
      <c r="AT56" s="14" t="n">
        <f aca="false">AP56*(1-$B$12)-AS56*$B$13/4</f>
        <v>658897.139445207</v>
      </c>
      <c r="AU56" s="14" t="n">
        <f aca="false">0</f>
        <v>0</v>
      </c>
      <c r="AV56" s="14" t="n">
        <f aca="false">AT56-AR56-AU56</f>
        <v>-194738.423040239</v>
      </c>
      <c r="AW56" s="21" t="n">
        <f aca="false">(1+$B$16)^(-$A56/4)</f>
        <v>0.604203682494304</v>
      </c>
      <c r="AX56" s="14" t="n">
        <f aca="false">AV56*AW56</f>
        <v>-117661.672324046</v>
      </c>
      <c r="AY56" s="14" t="n">
        <f aca="false">AV56</f>
        <v>-194738.423040239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363678.708622042</v>
      </c>
      <c r="G57" s="14" t="n">
        <f aca="false">IF($A57&lt;=$G$4,$E$4*$F$4,IF(C57&gt;=$B$8,E57*$B$4*(1+$B$5)^(($G$4+$B$8+D57*($B$8+$B$10))/4),0))</f>
        <v>1454714.83448817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274491.779734025</v>
      </c>
      <c r="O57" s="14" t="n">
        <f aca="false">IF($A57&lt;=$G$5,$E$5*$F$5,IF(K57&gt;=$B$8,M57*$B$4*(1+$B$5)^(($G$5+$B$8+L57*($B$8+$B$10))/4),0))</f>
        <v>1097967.1189361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85310.5110537278</v>
      </c>
      <c r="AE57" s="14" t="n">
        <f aca="false">IF($A57&lt;=$G$7,$E$7*$F$7,IF(AA57&gt;=$B$8,AC57*$B$4*(1+$B$5)^(($G$7+$B$8+AB57*($B$8+$B$10))/4),0))</f>
        <v>341242.044214911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785230.148304243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723480.999409795</v>
      </c>
      <c r="AQ57" s="14" t="n">
        <f aca="false">G57+O57+W57+AE57+AM57</f>
        <v>3679154.14594342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658897.139445207</v>
      </c>
      <c r="AU57" s="14" t="n">
        <f aca="false">0</f>
        <v>0</v>
      </c>
      <c r="AV57" s="14" t="n">
        <f aca="false">AT57-AR57-AU57</f>
        <v>658897.139445207</v>
      </c>
      <c r="AW57" s="21" t="n">
        <f aca="false">(1+$B$16)^(-$A57/4)</f>
        <v>0.5930332557878</v>
      </c>
      <c r="AX57" s="14" t="n">
        <f aca="false">AV57*AW57</f>
        <v>390747.915834459</v>
      </c>
      <c r="AY57" s="14" t="n">
        <f aca="false">AV57</f>
        <v>658897.139445207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363678.708622042</v>
      </c>
      <c r="G58" s="14" t="n">
        <f aca="false">IF($A58&lt;=$G$4,$E$4*$F$4,IF(C58&gt;=$B$8,E58*$B$4*(1+$B$5)^(($G$4+$B$8+D58*($B$8+$B$10))/4),0))</f>
        <v>1454714.83448817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274491.779734025</v>
      </c>
      <c r="O58" s="14" t="n">
        <f aca="false">IF($A58&lt;=$G$5,$E$5*$F$5,IF(K58&gt;=$B$8,M58*$B$4*(1+$B$5)^(($G$5+$B$8+L58*($B$8+$B$10))/4),0))</f>
        <v>1097967.1189361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85310.5110537278</v>
      </c>
      <c r="AE58" s="14" t="n">
        <f aca="false">IF($A58&lt;=$G$7,$E$7*$F$7,IF(AA58&gt;=$B$8,AC58*$B$4*(1+$B$5)^(($G$7+$B$8+AB58*($B$8+$B$10))/4),0))</f>
        <v>341242.044214911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785230.148304243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723480.999409795</v>
      </c>
      <c r="AQ58" s="14" t="n">
        <f aca="false">G58+O58+W58+AE58+AM58</f>
        <v>3679154.14594342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658897.139445207</v>
      </c>
      <c r="AU58" s="14" t="n">
        <f aca="false">0</f>
        <v>0</v>
      </c>
      <c r="AV58" s="14" t="n">
        <f aca="false">AT58-AR58-AU58</f>
        <v>658897.139445207</v>
      </c>
      <c r="AW58" s="21" t="n">
        <f aca="false">(1+$B$16)^(-$A58/4)</f>
        <v>0.582069346248305</v>
      </c>
      <c r="AX58" s="14" t="n">
        <f aca="false">AV58*AW58</f>
        <v>383523.82720175</v>
      </c>
      <c r="AY58" s="14" t="n">
        <f aca="false">AV58</f>
        <v>658897.139445207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363678.708622042</v>
      </c>
      <c r="G59" s="14" t="n">
        <f aca="false">IF($A59&lt;=$G$4,$E$4*$F$4,IF(C59&gt;=$B$8,E59*$B$4*(1+$B$5)^(($G$4+$B$8+D59*($B$8+$B$10))/4),0))</f>
        <v>1454714.83448817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274491.779734025</v>
      </c>
      <c r="O59" s="14" t="n">
        <f aca="false">IF($A59&lt;=$G$5,$E$5*$F$5,IF(K59&gt;=$B$8,M59*$B$4*(1+$B$5)^(($G$5+$B$8+L59*($B$8+$B$10))/4),0))</f>
        <v>1097967.1189361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566126.477355714</v>
      </c>
      <c r="X59" s="14" t="n">
        <f aca="false">IF($A59&lt;=$G$6,0,IF(S59=0,U59*$B$6*(1+$B$7)^(($G$6+T59*($B$8+$B$10))/4),0)+IF(S59=$B$8,$B$11*$B$4*(1+$B$5)^(($G$6+$B$8+T59*($B$8+$B$10))/4)*U59,0))</f>
        <v>67935.1772826857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196307.537076061</v>
      </c>
      <c r="AM59" s="14" t="n">
        <f aca="false">IF($A59&lt;=$G$8,$E$8*$F$8,IF(AI59&gt;=$B$8,AK59*$B$4*(1+$B$5)^(($G$8+$B$8+AJ59*($B$8+$B$10))/4),0))</f>
        <v>785230.148304243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834478.025432128</v>
      </c>
      <c r="AQ59" s="14" t="n">
        <f aca="false">G59+O59+W59+AE59+AM59</f>
        <v>3904038.57908422</v>
      </c>
      <c r="AR59" s="14" t="n">
        <f aca="false">H59+P59+X59+AF59+AN59+IF($A59=$B$15,$B$14,0)</f>
        <v>570274.66051934</v>
      </c>
      <c r="AS59" s="21" t="n">
        <f aca="false">I59+Q59+Y59+AG59+AO59</f>
        <v>1000</v>
      </c>
      <c r="AT59" s="14" t="n">
        <f aca="false">AP59*(1-$B$12)-AS59*$B$13/4</f>
        <v>770659.3439062</v>
      </c>
      <c r="AU59" s="14" t="n">
        <f aca="false">0</f>
        <v>0</v>
      </c>
      <c r="AV59" s="14" t="n">
        <f aca="false">AT59-AR59-AU59</f>
        <v>200384.68338686</v>
      </c>
      <c r="AW59" s="21" t="n">
        <f aca="false">(1+$B$16)^(-$A59/4)</f>
        <v>0.571308135817531</v>
      </c>
      <c r="AX59" s="14" t="n">
        <f aca="false">AV59*AW59</f>
        <v>114481.399912133</v>
      </c>
      <c r="AY59" s="14" t="n">
        <f aca="false">AV59</f>
        <v>200384.68338686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363678.708622042</v>
      </c>
      <c r="G60" s="14" t="n">
        <f aca="false">IF($A60&lt;=$G$4,$E$4*$F$4,IF(C60&gt;=$B$8,E60*$B$4*(1+$B$5)^(($G$4+$B$8+D60*($B$8+$B$10))/4),0))</f>
        <v>1454714.83448817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274491.779734025</v>
      </c>
      <c r="O60" s="14" t="n">
        <f aca="false">IF($A60&lt;=$G$5,$E$5*$F$5,IF(K60&gt;=$B$8,M60*$B$4*(1+$B$5)^(($G$5+$B$8+L60*($B$8+$B$10))/4),0))</f>
        <v>1097967.1189361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566126.477355714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196307.537076061</v>
      </c>
      <c r="AM60" s="14" t="n">
        <f aca="false">IF($A60&lt;=$G$8,$E$8*$F$8,IF(AI60&gt;=$B$8,AK60*$B$4*(1+$B$5)^(($G$8+$B$8+AJ60*($B$8+$B$10))/4),0))</f>
        <v>785230.148304243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834478.025432128</v>
      </c>
      <c r="AQ60" s="14" t="n">
        <f aca="false">G60+O60+W60+AE60+AM60</f>
        <v>3904038.57908422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770659.3439062</v>
      </c>
      <c r="AU60" s="14" t="n">
        <f aca="false">0</f>
        <v>0</v>
      </c>
      <c r="AV60" s="14" t="n">
        <f aca="false">AT60-AR60-AU60</f>
        <v>770659.3439062</v>
      </c>
      <c r="AW60" s="21" t="n">
        <f aca="false">(1+$B$16)^(-$A60/4)</f>
        <v>0.560745877024877</v>
      </c>
      <c r="AX60" s="14" t="n">
        <f aca="false">AV60*AW60</f>
        <v>432144.049686098</v>
      </c>
      <c r="AY60" s="14" t="n">
        <f aca="false">AV60</f>
        <v>770659.3439062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363678.708622042</v>
      </c>
      <c r="G61" s="14" t="n">
        <f aca="false">IF($A61&lt;=$G$4,$E$4*$F$4,IF(C61&gt;=$B$8,E61*$B$4*(1+$B$5)^(($G$4+$B$8+D61*($B$8+$B$10))/4),0))</f>
        <v>1454714.83448817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274491.779734025</v>
      </c>
      <c r="O61" s="14" t="n">
        <f aca="false">IF($A61&lt;=$G$5,$E$5*$F$5,IF(K61&gt;=$B$8,M61*$B$4*(1+$B$5)^(($G$5+$B$8+L61*($B$8+$B$10))/4),0))</f>
        <v>1097967.1189361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566126.477355714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196307.537076061</v>
      </c>
      <c r="AM61" s="14" t="n">
        <f aca="false">IF($A61&lt;=$G$8,$E$8*$F$8,IF(AI61&gt;=$B$8,AK61*$B$4*(1+$B$5)^(($G$8+$B$8+AJ61*($B$8+$B$10))/4),0))</f>
        <v>785230.148304243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834478.025432128</v>
      </c>
      <c r="AQ61" s="14" t="n">
        <f aca="false">G61+O61+W61+AE61+AM61</f>
        <v>3904038.57908422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770659.3439062</v>
      </c>
      <c r="AU61" s="14" t="n">
        <f aca="false">0</f>
        <v>0</v>
      </c>
      <c r="AV61" s="14" t="n">
        <f aca="false">AT61-AR61-AU61</f>
        <v>770659.3439062</v>
      </c>
      <c r="AW61" s="21" t="n">
        <f aca="false">(1+$B$16)^(-$A61/4)</f>
        <v>0.550378891682413</v>
      </c>
      <c r="AX61" s="14" t="n">
        <f aca="false">AV61*AW61</f>
        <v>424154.63556379</v>
      </c>
      <c r="AY61" s="14" t="n">
        <f aca="false">AV61</f>
        <v>770659.3439062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363678.708622042</v>
      </c>
      <c r="G62" s="14" t="n">
        <f aca="false">IF($A62&lt;=$G$4,$E$4*$F$4,IF(C62&gt;=$B$8,E62*$B$4*(1+$B$5)^(($G$4+$B$8+D62*($B$8+$B$10))/4),0))</f>
        <v>1454714.83448817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274491.779734025</v>
      </c>
      <c r="O62" s="14" t="n">
        <f aca="false">IF($A62&lt;=$G$5,$E$5*$F$5,IF(K62&gt;=$B$8,M62*$B$4*(1+$B$5)^(($G$5+$B$8+L62*($B$8+$B$10))/4),0))</f>
        <v>1097967.1189361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141531.619338928</v>
      </c>
      <c r="W62" s="14" t="n">
        <f aca="false">IF($A62&lt;=$G$6,$E$6*$F$6,IF(S62&gt;=$B$8,U62*$B$4*(1+$B$5)^(($G$6+$B$8+T62*($B$8+$B$10))/4),0))</f>
        <v>566126.477355714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371742.553576451</v>
      </c>
      <c r="AF62" s="14" t="n">
        <f aca="false">IF($A62&lt;=$G$7,0,IF(AA62=0,AC62*$B$6*(1+$B$7)^(($G$7+AB62*($B$8+$B$10))/4),0)+IF(AA62=$B$8,$B$11*$B$4*(1+$B$5)^(($G$7+$B$8+AB62*($B$8+$B$10))/4)*AC62,0))</f>
        <v>44609.1064291741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196307.537076061</v>
      </c>
      <c r="AM62" s="14" t="n">
        <f aca="false">IF($A62&lt;=$G$8,$E$8*$F$8,IF(AI62&gt;=$B$8,AK62*$B$4*(1+$B$5)^(($G$8+$B$8+AJ62*($B$8+$B$10))/4),0))</f>
        <v>785230.148304243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976009.644771056</v>
      </c>
      <c r="AQ62" s="14" t="n">
        <f aca="false">G62+O62+W62+AE62+AM62</f>
        <v>4275781.13266068</v>
      </c>
      <c r="AR62" s="14" t="n">
        <f aca="false">H62+P62+X62+AF62+AN62+IF($A62=$B$15,$B$14,0)</f>
        <v>44609.1064291741</v>
      </c>
      <c r="AS62" s="21" t="n">
        <f aca="false">I62+Q62+Y62+AG62+AO62</f>
        <v>0</v>
      </c>
      <c r="AT62" s="14" t="n">
        <f aca="false">AP62*(1-$B$12)-AS62*$B$13/4</f>
        <v>917449.066084793</v>
      </c>
      <c r="AU62" s="14" t="n">
        <f aca="false">0</f>
        <v>0</v>
      </c>
      <c r="AV62" s="14" t="n">
        <f aca="false">AT62-AR62-AU62</f>
        <v>872839.959655619</v>
      </c>
      <c r="AW62" s="21" t="n">
        <f aca="false">(1+$B$16)^(-$A62/4)</f>
        <v>0.540203569603995</v>
      </c>
      <c r="AX62" s="14" t="n">
        <f aca="false">AV62*AW62</f>
        <v>471511.261898972</v>
      </c>
      <c r="AY62" s="14" t="n">
        <f aca="false">AV62</f>
        <v>872839.959655619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274491.779734025</v>
      </c>
      <c r="O63" s="14" t="n">
        <f aca="false">IF($A63&lt;=$G$5,$E$5*$F$5,IF(K63&gt;=$B$8,M63*$B$4*(1+$B$5)^(($G$5+$B$8+L63*($B$8+$B$10))/4),0))</f>
        <v>1097967.1189361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141531.619338928</v>
      </c>
      <c r="W63" s="14" t="n">
        <f aca="false">IF($A63&lt;=$G$6,$E$6*$F$6,IF(S63&gt;=$B$8,U63*$B$4*(1+$B$5)^(($G$6+$B$8+T63*($B$8+$B$10))/4),0))</f>
        <v>566126.477355714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371742.553576451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196307.537076061</v>
      </c>
      <c r="AM63" s="14" t="n">
        <f aca="false">IF($A63&lt;=$G$8,$E$8*$F$8,IF(AI63&gt;=$B$8,AK63*$B$4*(1+$B$5)^(($G$8+$B$8+AJ63*($B$8+$B$10))/4),0))</f>
        <v>785230.148304243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612330.936149014</v>
      </c>
      <c r="AQ63" s="14" t="n">
        <f aca="false">G63+O63+W63+AE63+AM63</f>
        <v>2821066.29817251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517841.079980074</v>
      </c>
      <c r="AU63" s="14" t="n">
        <f aca="false">0</f>
        <v>0</v>
      </c>
      <c r="AV63" s="14" t="n">
        <f aca="false">AT63-AR63-AU63</f>
        <v>-1644730.39535372</v>
      </c>
      <c r="AW63" s="21" t="n">
        <f aca="false">(1+$B$16)^(-$A63/4)</f>
        <v>0.530216367348056</v>
      </c>
      <c r="AX63" s="14" t="n">
        <f aca="false">AV63*AW63</f>
        <v>-872062.975491383</v>
      </c>
      <c r="AY63" s="14" t="n">
        <f aca="false">AV63</f>
        <v>-1644730.39535372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274491.779734025</v>
      </c>
      <c r="O64" s="14" t="n">
        <f aca="false">IF($A64&lt;=$G$5,$E$5*$F$5,IF(K64&gt;=$B$8,M64*$B$4*(1+$B$5)^(($G$5+$B$8+L64*($B$8+$B$10))/4),0))</f>
        <v>1097967.1189361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141531.619338928</v>
      </c>
      <c r="W64" s="14" t="n">
        <f aca="false">IF($A64&lt;=$G$6,$E$6*$F$6,IF(S64&gt;=$B$8,U64*$B$4*(1+$B$5)^(($G$6+$B$8+T64*($B$8+$B$10))/4),0))</f>
        <v>566126.477355714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371742.553576451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196307.537076061</v>
      </c>
      <c r="AM64" s="14" t="n">
        <f aca="false">IF($A64&lt;=$G$8,$E$8*$F$8,IF(AI64&gt;=$B$8,AK64*$B$4*(1+$B$5)^(($G$8+$B$8+AJ64*($B$8+$B$10))/4),0))</f>
        <v>785230.148304243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612330.936149014</v>
      </c>
      <c r="AQ64" s="14" t="n">
        <f aca="false">G64+O64+W64+AE64+AM64</f>
        <v>2821066.29817251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517841.079980074</v>
      </c>
      <c r="AU64" s="14" t="n">
        <f aca="false">0</f>
        <v>0</v>
      </c>
      <c r="AV64" s="14" t="n">
        <f aca="false">AT64-AR64-AU64</f>
        <v>517841.079980074</v>
      </c>
      <c r="AW64" s="21" t="n">
        <f aca="false">(1+$B$16)^(-$A64/4)</f>
        <v>0.520413806983644</v>
      </c>
      <c r="AX64" s="14" t="n">
        <f aca="false">AV64*AW64</f>
        <v>269491.647844952</v>
      </c>
      <c r="AY64" s="14" t="n">
        <f aca="false">AV64</f>
        <v>517841.079980074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274491.779734025</v>
      </c>
      <c r="O65" s="14" t="n">
        <f aca="false">IF($A65&lt;=$G$5,$E$5*$F$5,IF(K65&gt;=$B$8,M65*$B$4*(1+$B$5)^(($G$5+$B$8+L65*($B$8+$B$10))/4),0))</f>
        <v>1097967.1189361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141531.619338928</v>
      </c>
      <c r="W65" s="14" t="n">
        <f aca="false">IF($A65&lt;=$G$6,$E$6*$F$6,IF(S65&gt;=$B$8,U65*$B$4*(1+$B$5)^(($G$6+$B$8+T65*($B$8+$B$10))/4),0))</f>
        <v>566126.477355714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92935.6383941128</v>
      </c>
      <c r="AE65" s="14" t="n">
        <f aca="false">IF($A65&lt;=$G$7,$E$7*$F$7,IF(AA65&gt;=$B$8,AC65*$B$4*(1+$B$5)^(($G$7+$B$8+AB65*($B$8+$B$10))/4),0))</f>
        <v>371742.553576451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196307.537076061</v>
      </c>
      <c r="AM65" s="14" t="n">
        <f aca="false">IF($A65&lt;=$G$8,$E$8*$F$8,IF(AI65&gt;=$B$8,AK65*$B$4*(1+$B$5)^(($G$8+$B$8+AJ65*($B$8+$B$10))/4),0))</f>
        <v>785230.148304243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705266.574543127</v>
      </c>
      <c r="AQ65" s="14" t="n">
        <f aca="false">G65+O65+W65+AE65+AM65</f>
        <v>2821066.29817251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605200.58007054</v>
      </c>
      <c r="AU65" s="14" t="n">
        <f aca="false">0</f>
        <v>0</v>
      </c>
      <c r="AV65" s="14" t="n">
        <f aca="false">AT65-AR65-AU65</f>
        <v>605200.58007054</v>
      </c>
      <c r="AW65" s="21" t="n">
        <f aca="false">(1+$B$16)^(-$A65/4)</f>
        <v>0.51079247487927</v>
      </c>
      <c r="AX65" s="14" t="n">
        <f aca="false">AV65*AW65</f>
        <v>309131.9020926</v>
      </c>
      <c r="AY65" s="14" t="n">
        <f aca="false">AV65</f>
        <v>605200.58007054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1584738.50589641</v>
      </c>
      <c r="H66" s="14" t="n">
        <f aca="false">IF($A66&lt;=$G$4,0,IF(C66=0,E66*$B$6*(1+$B$7)^(($G$4+D66*($B$8+$B$10))/4),0)+IF(C66=$B$8,$B$11*$B$4*(1+$B$5)^(($G$4+$B$8+D66*($B$8+$B$10))/4)*E66,0))</f>
        <v>190168.620707569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274491.779734025</v>
      </c>
      <c r="O66" s="14" t="n">
        <f aca="false">IF($A66&lt;=$G$5,$E$5*$F$5,IF(K66&gt;=$B$8,M66*$B$4*(1+$B$5)^(($G$5+$B$8+L66*($B$8+$B$10))/4),0))</f>
        <v>1097967.1189361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141531.619338928</v>
      </c>
      <c r="W66" s="14" t="n">
        <f aca="false">IF($A66&lt;=$G$6,$E$6*$F$6,IF(S66&gt;=$B$8,U66*$B$4*(1+$B$5)^(($G$6+$B$8+T66*($B$8+$B$10))/4),0))</f>
        <v>566126.477355714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92935.6383941128</v>
      </c>
      <c r="AE66" s="14" t="n">
        <f aca="false">IF($A66&lt;=$G$7,$E$7*$F$7,IF(AA66&gt;=$B$8,AC66*$B$4*(1+$B$5)^(($G$7+$B$8+AB66*($B$8+$B$10))/4),0))</f>
        <v>371742.553576451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196307.537076061</v>
      </c>
      <c r="AM66" s="14" t="n">
        <f aca="false">IF($A66&lt;=$G$8,$E$8*$F$8,IF(AI66&gt;=$B$8,AK66*$B$4*(1+$B$5)^(($G$8+$B$8+AJ66*($B$8+$B$10))/4),0))</f>
        <v>785230.148304243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705266.574543127</v>
      </c>
      <c r="AQ66" s="14" t="n">
        <f aca="false">G66+O66+W66+AE66+AM66</f>
        <v>4405804.80406892</v>
      </c>
      <c r="AR66" s="14" t="n">
        <f aca="false">H66+P66+X66+AF66+AN66+IF($A66=$B$15,$B$14,0)</f>
        <v>190168.620707569</v>
      </c>
      <c r="AS66" s="21" t="n">
        <f aca="false">I66+Q66+Y66+AG66+AO66</f>
        <v>0</v>
      </c>
      <c r="AT66" s="14" t="n">
        <f aca="false">AP66*(1-$B$12)-AS66*$B$13/4</f>
        <v>662950.58007054</v>
      </c>
      <c r="AU66" s="14" t="n">
        <f aca="false">0</f>
        <v>0</v>
      </c>
      <c r="AV66" s="14" t="n">
        <f aca="false">AT66-AR66-AU66</f>
        <v>472781.95936297</v>
      </c>
      <c r="AW66" s="21" t="n">
        <f aca="false">(1+$B$16)^(-$A66/4)</f>
        <v>0.501349020514149</v>
      </c>
      <c r="AX66" s="14" t="n">
        <f aca="false">AV66*AW66</f>
        <v>237028.772243385</v>
      </c>
      <c r="AY66" s="14" t="n">
        <f aca="false">AV66</f>
        <v>472781.95936297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1584738.50589641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274491.779734025</v>
      </c>
      <c r="O67" s="14" t="n">
        <f aca="false">IF($A67&lt;=$G$5,$E$5*$F$5,IF(K67&gt;=$B$8,M67*$B$4*(1+$B$5)^(($G$5+$B$8+L67*($B$8+$B$10))/4),0))</f>
        <v>1097967.1189361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141531.619338928</v>
      </c>
      <c r="W67" s="14" t="n">
        <f aca="false">IF($A67&lt;=$G$6,$E$6*$F$6,IF(S67&gt;=$B$8,U67*$B$4*(1+$B$5)^(($G$6+$B$8+T67*($B$8+$B$10))/4),0))</f>
        <v>566126.477355714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92935.6383941128</v>
      </c>
      <c r="AE67" s="14" t="n">
        <f aca="false">IF($A67&lt;=$G$7,$E$7*$F$7,IF(AA67&gt;=$B$8,AC67*$B$4*(1+$B$5)^(($G$7+$B$8+AB67*($B$8+$B$10))/4),0))</f>
        <v>371742.553576451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196307.537076061</v>
      </c>
      <c r="AM67" s="14" t="n">
        <f aca="false">IF($A67&lt;=$G$8,$E$8*$F$8,IF(AI67&gt;=$B$8,AK67*$B$4*(1+$B$5)^(($G$8+$B$8+AJ67*($B$8+$B$10))/4),0))</f>
        <v>785230.148304243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705266.574543127</v>
      </c>
      <c r="AQ67" s="14" t="n">
        <f aca="false">G67+O67+W67+AE67+AM67</f>
        <v>4405804.80406892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662950.58007054</v>
      </c>
      <c r="AU67" s="14" t="n">
        <f aca="false">0</f>
        <v>0</v>
      </c>
      <c r="AV67" s="14" t="n">
        <f aca="false">AT67-AR67-AU67</f>
        <v>662950.58007054</v>
      </c>
      <c r="AW67" s="21" t="n">
        <f aca="false">(1+$B$16)^(-$A67/4)</f>
        <v>0.492080155311421</v>
      </c>
      <c r="AX67" s="14" t="n">
        <f aca="false">AV67*AW67</f>
        <v>326224.824404908</v>
      </c>
      <c r="AY67" s="14" t="n">
        <f aca="false">AV67</f>
        <v>662950.58007054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1584738.50589641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274491.779734025</v>
      </c>
      <c r="O68" s="14" t="n">
        <f aca="false">IF($A68&lt;=$G$5,$E$5*$F$5,IF(K68&gt;=$B$8,M68*$B$4*(1+$B$5)^(($G$5+$B$8+L68*($B$8+$B$10))/4),0))</f>
        <v>1097967.1189361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141531.619338928</v>
      </c>
      <c r="W68" s="14" t="n">
        <f aca="false">IF($A68&lt;=$G$6,$E$6*$F$6,IF(S68&gt;=$B$8,U68*$B$4*(1+$B$5)^(($G$6+$B$8+T68*($B$8+$B$10))/4),0))</f>
        <v>566126.477355714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92935.6383941128</v>
      </c>
      <c r="AE68" s="14" t="n">
        <f aca="false">IF($A68&lt;=$G$7,$E$7*$F$7,IF(AA68&gt;=$B$8,AC68*$B$4*(1+$B$5)^(($G$7+$B$8+AB68*($B$8+$B$10))/4),0))</f>
        <v>371742.553576451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196307.537076061</v>
      </c>
      <c r="AM68" s="14" t="n">
        <f aca="false">IF($A68&lt;=$G$8,$E$8*$F$8,IF(AI68&gt;=$B$8,AK68*$B$4*(1+$B$5)^(($G$8+$B$8+AJ68*($B$8+$B$10))/4),0))</f>
        <v>785230.148304243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705266.574543127</v>
      </c>
      <c r="AQ68" s="14" t="n">
        <f aca="false">G68+O68+W68+AE68+AM68</f>
        <v>4405804.80406892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662950.58007054</v>
      </c>
      <c r="AU68" s="14" t="n">
        <f aca="false">0</f>
        <v>0</v>
      </c>
      <c r="AV68" s="14" t="n">
        <f aca="false">AT68-AR68-AU68</f>
        <v>662950.58007054</v>
      </c>
      <c r="AW68" s="21" t="n">
        <f aca="false">(1+$B$16)^(-$A68/4)</f>
        <v>0.482982651492941</v>
      </c>
      <c r="AX68" s="14" t="n">
        <f aca="false">AV68*AW68</f>
        <v>320193.628971253</v>
      </c>
      <c r="AY68" s="14" t="n">
        <f aca="false">AV68</f>
        <v>662950.58007054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396184.626474103</v>
      </c>
      <c r="G69" s="14" t="n">
        <f aca="false">IF($A69&lt;=$G$4,$E$4*$F$4,IF(C69&gt;=$B$8,E69*$B$4*(1+$B$5)^(($G$4+$B$8+D69*($B$8+$B$10))/4),0))</f>
        <v>1584738.50589641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141531.619338928</v>
      </c>
      <c r="W69" s="14" t="n">
        <f aca="false">IF($A69&lt;=$G$6,$E$6*$F$6,IF(S69&gt;=$B$8,U69*$B$4*(1+$B$5)^(($G$6+$B$8+T69*($B$8+$B$10))/4),0))</f>
        <v>566126.477355714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92935.6383941128</v>
      </c>
      <c r="AE69" s="14" t="n">
        <f aca="false">IF($A69&lt;=$G$7,$E$7*$F$7,IF(AA69&gt;=$B$8,AC69*$B$4*(1+$B$5)^(($G$7+$B$8+AB69*($B$8+$B$10))/4),0))</f>
        <v>371742.553576451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196307.537076061</v>
      </c>
      <c r="AM69" s="14" t="n">
        <f aca="false">IF($A69&lt;=$G$8,$E$8*$F$8,IF(AI69&gt;=$B$8,AK69*$B$4*(1+$B$5)^(($G$8+$B$8+AJ69*($B$8+$B$10))/4),0))</f>
        <v>785230.148304243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826959.421283205</v>
      </c>
      <c r="AQ69" s="14" t="n">
        <f aca="false">G69+O69+W69+AE69+AM69</f>
        <v>3307837.68513282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734716.856006212</v>
      </c>
      <c r="AU69" s="14" t="n">
        <f aca="false">0</f>
        <v>0</v>
      </c>
      <c r="AV69" s="14" t="n">
        <f aca="false">AT69-AR69-AU69</f>
        <v>-921696.302244531</v>
      </c>
      <c r="AW69" s="21" t="n">
        <f aca="false">(1+$B$16)^(-$A69/4)</f>
        <v>0.474053340955239</v>
      </c>
      <c r="AX69" s="14" t="n">
        <f aca="false">AV69*AW69</f>
        <v>-436933.211425109</v>
      </c>
      <c r="AY69" s="14" t="n">
        <f aca="false">AV69+$J$9</f>
        <v>59045287.6377141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323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699.713699721896</v>
      </c>
    </row>
    <row r="6" customFormat="false" ht="15" hidden="false" customHeight="false" outlineLevel="0" collapsed="false">
      <c r="A6" s="0" t="s">
        <v>24</v>
      </c>
      <c r="B6" s="26" t="n">
        <v>550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53862106.8550225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6667605.50897063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25533511.7055115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32201117.2144821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30235790.8117203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0.792938690152901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0.0354592559241043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16775613.3496702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-2315409.08330263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-0.0711312974873364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1188000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1188000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-501199.1</v>
      </c>
      <c r="AW30" s="21" t="n">
        <f aca="false">(1+$B$16)^(-$A30/4)</f>
        <v>0.98151215057083</v>
      </c>
      <c r="AX30" s="14" t="n">
        <f aca="false">AV30*AW30</f>
        <v>-491933.006505165</v>
      </c>
      <c r="AY30" s="14" t="n">
        <f aca="false">AV30</f>
        <v>-501199.1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570753.374113986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570753.374113986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212667.483637984</v>
      </c>
      <c r="AW36" s="21" t="n">
        <f aca="false">(1+$B$16)^(-$A36/4)</f>
        <v>0.877545739475122</v>
      </c>
      <c r="AX36" s="14" t="n">
        <f aca="false">AV36*AW36</f>
        <v>186625.444191408</v>
      </c>
      <c r="AY36" s="14" t="n">
        <f aca="false">AV36</f>
        <v>212667.483637984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2457093.27556071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2457093.27556071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-2031538.41780874</v>
      </c>
      <c r="AW40" s="21" t="n">
        <f aca="false">(1+$B$16)^(-$A40/4)</f>
        <v>0.814427600440949</v>
      </c>
      <c r="AX40" s="14" t="n">
        <f aca="false">AV40*AW40</f>
        <v>-1654540.95881957</v>
      </c>
      <c r="AY40" s="14" t="n">
        <f aca="false">AV40</f>
        <v>-2031538.41780874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1882000.97851562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1882000.97851562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-1279831.92394982</v>
      </c>
      <c r="AW46" s="21" t="n">
        <f aca="false">(1+$B$16)^(-$A46/4)</f>
        <v>0.728159575469592</v>
      </c>
      <c r="AX46" s="14" t="n">
        <f aca="false">AV46*AW46</f>
        <v>-931921.870415729</v>
      </c>
      <c r="AY46" s="14" t="n">
        <f aca="false">AV46</f>
        <v>-1279831.92394982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1369237.12726667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1369237.12726667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-673567.327771029</v>
      </c>
      <c r="AW53" s="21" t="n">
        <f aca="false">(1+$B$16)^(-$A53/4)</f>
        <v>0.638993333111354</v>
      </c>
      <c r="AX53" s="14" t="n">
        <f aca="false">AV53*AW53</f>
        <v>-430405.031847318</v>
      </c>
      <c r="AY53" s="14" t="n">
        <f aca="false">AV53</f>
        <v>-673567.327771029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994462.784711703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1080124.2554358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-483051.855940159</v>
      </c>
      <c r="AW56" s="21" t="n">
        <f aca="false">(1+$B$16)^(-$A56/4)</f>
        <v>0.604203682494304</v>
      </c>
      <c r="AX56" s="14" t="n">
        <f aca="false">AV56*AW56</f>
        <v>-291861.710194753</v>
      </c>
      <c r="AY56" s="14" t="n">
        <f aca="false">AV56</f>
        <v>-483051.855940159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657825.513762285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719584.765837454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-20235.3622863629</v>
      </c>
      <c r="AW59" s="21" t="n">
        <f aca="false">(1+$B$16)^(-$A59/4)</f>
        <v>0.571308135817531</v>
      </c>
      <c r="AX59" s="14" t="n">
        <f aca="false">AV59*AW59</f>
        <v>-11560.6271054144</v>
      </c>
      <c r="AY59" s="14" t="n">
        <f aca="false">AV59</f>
        <v>-20235.3622863629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2831938.83674664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2831938.83674664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-2366424.21858293</v>
      </c>
      <c r="AW63" s="21" t="n">
        <f aca="false">(1+$B$16)^(-$A63/4)</f>
        <v>0.530216367348056</v>
      </c>
      <c r="AX63" s="14" t="n">
        <f aca="false">AV63*AW63</f>
        <v>-1254716.85278151</v>
      </c>
      <c r="AY63" s="14" t="n">
        <f aca="false">AV63</f>
        <v>-2366424.21858293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2169112.46913788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2169112.46913788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-1505063.05458678</v>
      </c>
      <c r="AW69" s="21" t="n">
        <f aca="false">(1+$B$16)^(-$A69/4)</f>
        <v>0.474053340955239</v>
      </c>
      <c r="AX69" s="14" t="n">
        <f aca="false">AV69*AW69</f>
        <v>-713480.169375158</v>
      </c>
      <c r="AY69" s="14" t="n">
        <f aca="false">AV69+$J$9</f>
        <v>52357043.8004357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324</v>
      </c>
    </row>
    <row r="2" customFormat="false" ht="15" hidden="false" customHeight="false" outlineLevel="0" collapsed="false">
      <c r="A2" s="22" t="s">
        <v>325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26" t="n">
        <v>330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409.950365074097</v>
      </c>
    </row>
    <row r="5" customFormat="false" ht="15" hidden="false" customHeight="false" outlineLevel="0" collapsed="false">
      <c r="A5" s="0" t="s">
        <v>23</v>
      </c>
      <c r="B5" s="25" t="n">
        <v>0.0225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445.272354368479</v>
      </c>
    </row>
    <row r="6" customFormat="false" ht="15" hidden="false" customHeight="false" outlineLevel="0" collapsed="false">
      <c r="A6" s="0" t="s">
        <v>24</v>
      </c>
      <c r="B6" s="26" t="n">
        <v>350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3472952.17945793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24" t="n">
        <v>2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4459170.41251637</v>
      </c>
    </row>
    <row r="9" customFormat="false" ht="15" hidden="false" customHeight="false" outlineLevel="0" collapsed="false">
      <c r="A9" s="0" t="s">
        <v>27</v>
      </c>
      <c r="B9" s="24" t="n">
        <v>2</v>
      </c>
      <c r="I9" s="21" t="s">
        <v>102</v>
      </c>
      <c r="J9" s="14" t="n">
        <f aca="false">(J8/$B$17-J7*J5)*(1-$B$19)</f>
        <v>68916886.5671938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13463273.4376726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32670280.3254114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46133553.763084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43317890.8573559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0.708167432606376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0.0784408476114005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31242750.5618937</v>
      </c>
    </row>
    <row r="17" customFormat="false" ht="15" hidden="false" customHeight="false" outlineLevel="0" collapsed="false">
      <c r="A17" s="0" t="s">
        <v>35</v>
      </c>
      <c r="B17" s="25" t="n">
        <v>0.0625</v>
      </c>
      <c r="I17" s="21" t="s">
        <v>109</v>
      </c>
      <c r="J17" s="14" t="n">
        <f aca="false">SUM(AR30:AR69)</f>
        <v>11716339.0445111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10766690.962333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0.330761722979656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756000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756000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-69199.1000000001</v>
      </c>
      <c r="AW30" s="21" t="n">
        <f aca="false">(1+$B$16)^(-$A30/4)</f>
        <v>0.98151215057083</v>
      </c>
      <c r="AX30" s="14" t="n">
        <f aca="false">AV30*AW30</f>
        <v>-67919.757458566</v>
      </c>
      <c r="AY30" s="14" t="n">
        <f aca="false">AV30</f>
        <v>-69199.1000000001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720774.393551824</v>
      </c>
      <c r="AN32" s="14" t="n">
        <f aca="false">IF($A32&lt;=$G$8,0,IF(AI32=0,AK32*$B$6*(1+$B$7)^(($G$8+AJ32*($B$8+$B$10))/4),0)+IF(AI32=$B$8,$B$11*$B$4*(1+$B$5)^(($G$8+$B$8+AJ32*($B$8+$B$10))/4)*AK32,0))</f>
        <v>86492.9272262189</v>
      </c>
      <c r="AO32" s="21" t="n">
        <f aca="false">IF($A32&lt;=$G$8,0,IF(AI32&lt;$B$8,AK32,0))</f>
        <v>0</v>
      </c>
      <c r="AP32" s="14" t="n">
        <f aca="false">F32+N32+V32+AD32+AL32</f>
        <v>762235</v>
      </c>
      <c r="AQ32" s="14" t="n">
        <f aca="false">G32+O32+W32+AE32+AM32</f>
        <v>3769714.39355182</v>
      </c>
      <c r="AR32" s="14" t="n">
        <f aca="false">H32+P32+X32+AF32+AN32+IF($A32=$B$15,$B$14,0)</f>
        <v>86492.9272262189</v>
      </c>
      <c r="AS32" s="21" t="n">
        <f aca="false">I32+Q32+Y32+AG32+AO32</f>
        <v>0</v>
      </c>
      <c r="AT32" s="14" t="n">
        <f aca="false">AP32*(1-$B$12)-AS32*$B$13/4</f>
        <v>716500.9</v>
      </c>
      <c r="AU32" s="14" t="n">
        <f aca="false">0</f>
        <v>0</v>
      </c>
      <c r="AV32" s="14" t="n">
        <f aca="false">AT32-AR32-AU32</f>
        <v>630007.972773781</v>
      </c>
      <c r="AW32" s="21" t="n">
        <f aca="false">(1+$B$16)^(-$A32/4)</f>
        <v>0.945555534284444</v>
      </c>
      <c r="AX32" s="14" t="n">
        <f aca="false">AV32*AW32</f>
        <v>595707.525299572</v>
      </c>
      <c r="AY32" s="14" t="n">
        <f aca="false">AV32</f>
        <v>630007.972773781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720774.393551824</v>
      </c>
      <c r="AN33" s="14" t="n">
        <f aca="false">IF($A33&lt;=$G$8,0,IF(AI33=0,AK33*$B$6*(1+$B$7)^(($G$8+AJ33*($B$8+$B$10))/4),0)+IF(AI33=$B$8,$B$11*$B$4*(1+$B$5)^(($G$8+$B$8+AJ33*($B$8+$B$10))/4)*AK33,0))</f>
        <v>0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3769714.39355182</v>
      </c>
      <c r="AR33" s="14" t="n">
        <f aca="false">H33+P33+X33+AF33+AN33+IF($A33=$B$15,$B$14,0)</f>
        <v>0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716500.9</v>
      </c>
      <c r="AW33" s="21" t="n">
        <f aca="false">(1+$B$16)^(-$A33/4)</f>
        <v>0.928074245939675</v>
      </c>
      <c r="AX33" s="14" t="n">
        <f aca="false">AV33*AW33</f>
        <v>664966.032482599</v>
      </c>
      <c r="AY33" s="14" t="n">
        <f aca="false">AV33</f>
        <v>716500.9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180193.598387956</v>
      </c>
      <c r="AM34" s="14" t="n">
        <f aca="false">IF($A34&lt;=$G$8,$E$8*$F$8,IF(AI34&gt;=$B$8,AK34*$B$4*(1+$B$5)^(($G$8+$B$8+AJ34*($B$8+$B$10))/4),0))</f>
        <v>720774.393551824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942428.598387956</v>
      </c>
      <c r="AQ34" s="14" t="n">
        <f aca="false">G34+O34+W34+AE34+AM34</f>
        <v>3769714.39355182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885882.882484679</v>
      </c>
      <c r="AU34" s="14" t="n">
        <f aca="false">0</f>
        <v>0</v>
      </c>
      <c r="AV34" s="14" t="n">
        <f aca="false">AT34-AR34-AU34</f>
        <v>885882.882484679</v>
      </c>
      <c r="AW34" s="21" t="n">
        <f aca="false">(1+$B$16)^(-$A34/4)</f>
        <v>0.910916149021652</v>
      </c>
      <c r="AX34" s="14" t="n">
        <f aca="false">AV34*AW34</f>
        <v>806965.023797144</v>
      </c>
      <c r="AY34" s="14" t="n">
        <f aca="false">AV34</f>
        <v>885882.882484679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180193.598387956</v>
      </c>
      <c r="AM35" s="14" t="n">
        <f aca="false">IF($A35&lt;=$G$8,$E$8*$F$8,IF(AI35&gt;=$B$8,AK35*$B$4*(1+$B$5)^(($G$8+$B$8+AJ35*($B$8+$B$10))/4),0))</f>
        <v>720774.393551824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942428.598387956</v>
      </c>
      <c r="AQ35" s="14" t="n">
        <f aca="false">G35+O35+W35+AE35+AM35</f>
        <v>3769714.39355182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885882.882484679</v>
      </c>
      <c r="AU35" s="14" t="n">
        <f aca="false">0</f>
        <v>0</v>
      </c>
      <c r="AV35" s="14" t="n">
        <f aca="false">AT35-AR35-AU35</f>
        <v>885882.882484679</v>
      </c>
      <c r="AW35" s="21" t="n">
        <f aca="false">(1+$B$16)^(-$A35/4)</f>
        <v>0.894075268415941</v>
      </c>
      <c r="AX35" s="14" t="n">
        <f aca="false">AV35*AW35</f>
        <v>792045.975942576</v>
      </c>
      <c r="AY35" s="14" t="n">
        <f aca="false">AV35</f>
        <v>885882.882484679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363206.692617991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180193.598387956</v>
      </c>
      <c r="AM36" s="14" t="n">
        <f aca="false">IF($A36&lt;=$G$8,$E$8*$F$8,IF(AI36&gt;=$B$8,AK36*$B$4*(1+$B$5)^(($G$8+$B$8+AJ36*($B$8+$B$10))/4),0))</f>
        <v>720774.393551824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864428.598387956</v>
      </c>
      <c r="AQ36" s="14" t="n">
        <f aca="false">G36+O36+W36+AE36+AM36</f>
        <v>3457714.39355182</v>
      </c>
      <c r="AR36" s="14" t="n">
        <f aca="false">H36+P36+X36+AF36+AN36+IF($A36=$B$15,$B$14,0)</f>
        <v>363206.692617991</v>
      </c>
      <c r="AS36" s="21" t="n">
        <f aca="false">I36+Q36+Y36+AG36+AO36</f>
        <v>1000</v>
      </c>
      <c r="AT36" s="14" t="n">
        <f aca="false">AP36*(1-$B$12)-AS36*$B$13/4</f>
        <v>798812.882484679</v>
      </c>
      <c r="AU36" s="14" t="n">
        <f aca="false">0</f>
        <v>0</v>
      </c>
      <c r="AV36" s="14" t="n">
        <f aca="false">AT36-AR36-AU36</f>
        <v>435606.189866687</v>
      </c>
      <c r="AW36" s="21" t="n">
        <f aca="false">(1+$B$16)^(-$A36/4)</f>
        <v>0.877545739475122</v>
      </c>
      <c r="AX36" s="14" t="n">
        <f aca="false">AV36*AW36</f>
        <v>382264.356006503</v>
      </c>
      <c r="AY36" s="14" t="n">
        <f aca="false">AV36</f>
        <v>435606.189866687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180193.598387956</v>
      </c>
      <c r="AM37" s="14" t="n">
        <f aca="false">IF($A37&lt;=$G$8,$E$8*$F$8,IF(AI37&gt;=$B$8,AK37*$B$4*(1+$B$5)^(($G$8+$B$8+AJ37*($B$8+$B$10))/4),0))</f>
        <v>720774.393551824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864428.598387956</v>
      </c>
      <c r="AQ37" s="14" t="n">
        <f aca="false">G37+O37+W37+AE37+AM37</f>
        <v>3457714.39355182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798812.882484679</v>
      </c>
      <c r="AU37" s="14" t="n">
        <f aca="false">0</f>
        <v>0</v>
      </c>
      <c r="AV37" s="14" t="n">
        <f aca="false">AT37-AR37-AU37</f>
        <v>798812.882484679</v>
      </c>
      <c r="AW37" s="21" t="n">
        <f aca="false">(1+$B$16)^(-$A37/4)</f>
        <v>0.861321805976497</v>
      </c>
      <c r="AX37" s="14" t="n">
        <f aca="false">AV37*AW37</f>
        <v>688034.954578995</v>
      </c>
      <c r="AY37" s="14" t="n">
        <f aca="false">AV37</f>
        <v>798812.882484679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345017.0625</v>
      </c>
      <c r="AF38" s="14" t="n">
        <f aca="false">IF($A38&lt;=$G$7,0,IF(AA38=0,AC38*$B$6*(1+$B$7)^(($G$7+AB38*($B$8+$B$10))/4),0)+IF(AA38=$B$8,$B$11*$B$4*(1+$B$5)^(($G$7+$B$8+AB38*($B$8+$B$10))/4)*AC38,0))</f>
        <v>41402.0475</v>
      </c>
      <c r="AG38" s="21" t="n">
        <f aca="false">IF($A38&lt;=$G$7,0,IF(AA38&lt;$B$8,AC38,0))</f>
        <v>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180193.598387956</v>
      </c>
      <c r="AM38" s="14" t="n">
        <f aca="false">IF($A38&lt;=$G$8,$E$8*$F$8,IF(AI38&gt;=$B$8,AK38*$B$4*(1+$B$5)^(($G$8+$B$8+AJ38*($B$8+$B$10))/4),0))</f>
        <v>720774.393551824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864428.598387956</v>
      </c>
      <c r="AQ38" s="14" t="n">
        <f aca="false">G38+O38+W38+AE38+AM38</f>
        <v>3802731.45605182</v>
      </c>
      <c r="AR38" s="14" t="n">
        <f aca="false">H38+P38+X38+AF38+AN38+IF($A38=$B$15,$B$14,0)</f>
        <v>41402.0475</v>
      </c>
      <c r="AS38" s="21" t="n">
        <f aca="false">I38+Q38+Y38+AG38+AO38</f>
        <v>0</v>
      </c>
      <c r="AT38" s="14" t="n">
        <f aca="false">AP38*(1-$B$12)-AS38*$B$13/4</f>
        <v>812562.882484679</v>
      </c>
      <c r="AU38" s="14" t="n">
        <f aca="false">0</f>
        <v>0</v>
      </c>
      <c r="AV38" s="14" t="n">
        <f aca="false">AT38-AR38-AU38</f>
        <v>771160.834984679</v>
      </c>
      <c r="AW38" s="21" t="n">
        <f aca="false">(1+$B$16)^(-$A38/4)</f>
        <v>0.845397818117543</v>
      </c>
      <c r="AX38" s="14" t="n">
        <f aca="false">AV38*AW38</f>
        <v>651937.68731375</v>
      </c>
      <c r="AY38" s="14" t="n">
        <f aca="false">AV38</f>
        <v>771160.834984679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345017.0625</v>
      </c>
      <c r="AF39" s="14" t="n">
        <f aca="false">IF($A39&lt;=$G$7,0,IF(AA39=0,AC39*$B$6*(1+$B$7)^(($G$7+AB39*($B$8+$B$10))/4),0)+IF(AA39=$B$8,$B$11*$B$4*(1+$B$5)^(($G$7+$B$8+AB39*($B$8+$B$10))/4)*AC39,0))</f>
        <v>0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180193.598387956</v>
      </c>
      <c r="AM39" s="14" t="n">
        <f aca="false">IF($A39&lt;=$G$8,$E$8*$F$8,IF(AI39&gt;=$B$8,AK39*$B$4*(1+$B$5)^(($G$8+$B$8+AJ39*($B$8+$B$10))/4),0))</f>
        <v>720774.393551824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864428.598387956</v>
      </c>
      <c r="AQ39" s="14" t="n">
        <f aca="false">G39+O39+W39+AE39+AM39</f>
        <v>3802731.45605182</v>
      </c>
      <c r="AR39" s="14" t="n">
        <f aca="false">H39+P39+X39+AF39+AN39+IF($A39=$B$15,$B$14,0)</f>
        <v>0</v>
      </c>
      <c r="AS39" s="21" t="n">
        <f aca="false">I39+Q39+Y39+AG39+AO39</f>
        <v>0</v>
      </c>
      <c r="AT39" s="14" t="n">
        <f aca="false">AP39*(1-$B$12)-AS39*$B$13/4</f>
        <v>812562.882484679</v>
      </c>
      <c r="AU39" s="14" t="n">
        <f aca="false">0</f>
        <v>0</v>
      </c>
      <c r="AV39" s="14" t="n">
        <f aca="false">AT39-AR39-AU39</f>
        <v>812562.882484679</v>
      </c>
      <c r="AW39" s="21" t="n">
        <f aca="false">(1+$B$16)^(-$A39/4)</f>
        <v>0.829768230548437</v>
      </c>
      <c r="AX39" s="14" t="n">
        <f aca="false">AV39*AW39</f>
        <v>674238.865208649</v>
      </c>
      <c r="AY39" s="14" t="n">
        <f aca="false">AV39</f>
        <v>812562.882484679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1563604.81172045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86254.265625</v>
      </c>
      <c r="AE40" s="14" t="n">
        <f aca="false">IF($A40&lt;=$G$7,$E$7*$F$7,IF(AA40&gt;=$B$8,AC40*$B$4*(1+$B$5)^(($G$7+$B$8+AB40*($B$8+$B$10))/4),0))</f>
        <v>345017.0625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180193.598387956</v>
      </c>
      <c r="AM40" s="14" t="n">
        <f aca="false">IF($A40&lt;=$G$8,$E$8*$F$8,IF(AI40&gt;=$B$8,AK40*$B$4*(1+$B$5)^(($G$8+$B$8+AJ40*($B$8+$B$10))/4),0))</f>
        <v>720774.393551824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616782.864012956</v>
      </c>
      <c r="AQ40" s="14" t="n">
        <f aca="false">G40+O40+W40+AE40+AM40</f>
        <v>2467131.45605182</v>
      </c>
      <c r="AR40" s="14" t="n">
        <f aca="false">H40+P40+X40+AF40+AN40+IF($A40=$B$15,$B$14,0)</f>
        <v>1563604.81172045</v>
      </c>
      <c r="AS40" s="21" t="n">
        <f aca="false">I40+Q40+Y40+AG40+AO40</f>
        <v>4200</v>
      </c>
      <c r="AT40" s="14" t="n">
        <f aca="false">AP40*(1-$B$12)-AS40*$B$13/4</f>
        <v>522025.892172179</v>
      </c>
      <c r="AU40" s="14" t="n">
        <f aca="false">0</f>
        <v>0</v>
      </c>
      <c r="AV40" s="14" t="n">
        <f aca="false">AT40-AR40-AU40</f>
        <v>-1041578.91954827</v>
      </c>
      <c r="AW40" s="21" t="n">
        <f aca="false">(1+$B$16)^(-$A40/4)</f>
        <v>0.814427600440949</v>
      </c>
      <c r="AX40" s="14" t="n">
        <f aca="false">AV40*AW40</f>
        <v>-848290.620117576</v>
      </c>
      <c r="AY40" s="14" t="n">
        <f aca="false">AV40</f>
        <v>-1041578.91954827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86254.265625</v>
      </c>
      <c r="AE41" s="14" t="n">
        <f aca="false">IF($A41&lt;=$G$7,$E$7*$F$7,IF(AA41&gt;=$B$8,AC41*$B$4*(1+$B$5)^(($G$7+$B$8+AB41*($B$8+$B$10))/4),0))</f>
        <v>345017.0625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180193.598387956</v>
      </c>
      <c r="AM41" s="14" t="n">
        <f aca="false">IF($A41&lt;=$G$8,$E$8*$F$8,IF(AI41&gt;=$B$8,AK41*$B$4*(1+$B$5)^(($G$8+$B$8+AJ41*($B$8+$B$10))/4),0))</f>
        <v>720774.393551824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616782.864012956</v>
      </c>
      <c r="AQ41" s="14" t="n">
        <f aca="false">G41+O41+W41+AE41+AM41</f>
        <v>2467131.45605182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522025.892172179</v>
      </c>
      <c r="AU41" s="14" t="n">
        <f aca="false">0</f>
        <v>0</v>
      </c>
      <c r="AV41" s="14" t="n">
        <f aca="false">AT41-AR41-AU41</f>
        <v>-1377974.10782782</v>
      </c>
      <c r="AW41" s="21" t="n">
        <f aca="false">(1+$B$16)^(-$A41/4)</f>
        <v>0.799370585593037</v>
      </c>
      <c r="AX41" s="14" t="n">
        <f aca="false">AV41*AW41</f>
        <v>-1101511.96950637</v>
      </c>
      <c r="AY41" s="14" t="n">
        <f aca="false">AV41</f>
        <v>-1377974.10782782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1481675.77490625</v>
      </c>
      <c r="H42" s="14" t="n">
        <f aca="false">IF($A42&lt;=$G$4,0,IF(C42=0,E42*$B$6*(1+$B$7)^(($G$4+D42*($B$8+$B$10))/4),0)+IF(C42=$B$8,$B$11*$B$4*(1+$B$5)^(($G$4+$B$8+D42*($B$8+$B$10))/4)*E42,0))</f>
        <v>177801.09298875</v>
      </c>
      <c r="I42" s="21" t="n">
        <f aca="false">IF($A42&lt;=$G$4,0,IF(C42&lt;$B$8,E42,0))</f>
        <v>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86254.265625</v>
      </c>
      <c r="AE42" s="14" t="n">
        <f aca="false">IF($A42&lt;=$G$7,$E$7*$F$7,IF(AA42&gt;=$B$8,AC42*$B$4*(1+$B$5)^(($G$7+$B$8+AB42*($B$8+$B$10))/4),0))</f>
        <v>345017.0625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180193.598387956</v>
      </c>
      <c r="AM42" s="14" t="n">
        <f aca="false">IF($A42&lt;=$G$8,$E$8*$F$8,IF(AI42&gt;=$B$8,AK42*$B$4*(1+$B$5)^(($G$8+$B$8+AJ42*($B$8+$B$10))/4),0))</f>
        <v>720774.393551824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616782.864012956</v>
      </c>
      <c r="AQ42" s="14" t="n">
        <f aca="false">G42+O42+W42+AE42+AM42</f>
        <v>3948807.23095807</v>
      </c>
      <c r="AR42" s="14" t="n">
        <f aca="false">H42+P42+X42+AF42+AN42+IF($A42=$B$15,$B$14,0)</f>
        <v>177801.09298875</v>
      </c>
      <c r="AS42" s="21" t="n">
        <f aca="false">I42+Q42+Y42+AG42+AO42</f>
        <v>0</v>
      </c>
      <c r="AT42" s="14" t="n">
        <f aca="false">AP42*(1-$B$12)-AS42*$B$13/4</f>
        <v>579775.892172179</v>
      </c>
      <c r="AU42" s="14" t="n">
        <f aca="false">0</f>
        <v>0</v>
      </c>
      <c r="AV42" s="14" t="n">
        <f aca="false">AT42-AR42-AU42</f>
        <v>401974.799183429</v>
      </c>
      <c r="AW42" s="21" t="n">
        <f aca="false">(1+$B$16)^(-$A42/4)</f>
        <v>0.784591942568485</v>
      </c>
      <c r="AX42" s="14" t="n">
        <f aca="false">AV42*AW42</f>
        <v>315386.188554903</v>
      </c>
      <c r="AY42" s="14" t="n">
        <f aca="false">AV42</f>
        <v>401974.799183429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1481675.77490625</v>
      </c>
      <c r="H43" s="14" t="n">
        <f aca="false">IF($A43&lt;=$G$4,0,IF(C43=0,E43*$B$6*(1+$B$7)^(($G$4+D43*($B$8+$B$10))/4),0)+IF(C43=$B$8,$B$11*$B$4*(1+$B$5)^(($G$4+$B$8+D43*($B$8+$B$10))/4)*E43,0))</f>
        <v>0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86254.265625</v>
      </c>
      <c r="AE43" s="14" t="n">
        <f aca="false">IF($A43&lt;=$G$7,$E$7*$F$7,IF(AA43&gt;=$B$8,AC43*$B$4*(1+$B$5)^(($G$7+$B$8+AB43*($B$8+$B$10))/4),0))</f>
        <v>345017.0625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180193.598387956</v>
      </c>
      <c r="AM43" s="14" t="n">
        <f aca="false">IF($A43&lt;=$G$8,$E$8*$F$8,IF(AI43&gt;=$B$8,AK43*$B$4*(1+$B$5)^(($G$8+$B$8+AJ43*($B$8+$B$10))/4),0))</f>
        <v>720774.393551824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616782.864012956</v>
      </c>
      <c r="AQ43" s="14" t="n">
        <f aca="false">G43+O43+W43+AE43+AM43</f>
        <v>3948807.23095807</v>
      </c>
      <c r="AR43" s="14" t="n">
        <f aca="false">H43+P43+X43+AF43+AN43+IF($A43=$B$15,$B$14,0)</f>
        <v>0</v>
      </c>
      <c r="AS43" s="21" t="n">
        <f aca="false">I43+Q43+Y43+AG43+AO43</f>
        <v>0</v>
      </c>
      <c r="AT43" s="14" t="n">
        <f aca="false">AP43*(1-$B$12)-AS43*$B$13/4</f>
        <v>579775.892172179</v>
      </c>
      <c r="AU43" s="14" t="n">
        <f aca="false">0</f>
        <v>0</v>
      </c>
      <c r="AV43" s="14" t="n">
        <f aca="false">AT43-AR43-AU43</f>
        <v>579775.892172179</v>
      </c>
      <c r="AW43" s="21" t="n">
        <f aca="false">(1+$B$16)^(-$A43/4)</f>
        <v>0.770086524870939</v>
      </c>
      <c r="AX43" s="14" t="n">
        <f aca="false">AV43*AW43</f>
        <v>446477.602006821</v>
      </c>
      <c r="AY43" s="14" t="n">
        <f aca="false">AV43</f>
        <v>579775.892172179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370418.943726562</v>
      </c>
      <c r="G44" s="14" t="n">
        <f aca="false">IF($A44&lt;=$G$4,$E$4*$F$4,IF(C44&gt;=$B$8,E44*$B$4*(1+$B$5)^(($G$4+$B$8+D44*($B$8+$B$10))/4),0))</f>
        <v>1481675.77490625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86254.265625</v>
      </c>
      <c r="AE44" s="14" t="n">
        <f aca="false">IF($A44&lt;=$G$7,$E$7*$F$7,IF(AA44&gt;=$B$8,AC44*$B$4*(1+$B$5)^(($G$7+$B$8+AB44*($B$8+$B$10))/4),0))</f>
        <v>345017.0625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180193.598387956</v>
      </c>
      <c r="AM44" s="14" t="n">
        <f aca="false">IF($A44&lt;=$G$8,$E$8*$F$8,IF(AI44&gt;=$B$8,AK44*$B$4*(1+$B$5)^(($G$8+$B$8+AJ44*($B$8+$B$10))/4),0))</f>
        <v>720774.393551824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987201.807739519</v>
      </c>
      <c r="AQ44" s="14" t="n">
        <f aca="false">G44+O44+W44+AE44+AM44</f>
        <v>3948807.23095807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927969.699275147</v>
      </c>
      <c r="AU44" s="14" t="n">
        <f aca="false">0</f>
        <v>0</v>
      </c>
      <c r="AV44" s="14" t="n">
        <f aca="false">AT44-AR44-AU44</f>
        <v>927969.699275147</v>
      </c>
      <c r="AW44" s="21" t="n">
        <f aca="false">(1+$B$16)^(-$A44/4)</f>
        <v>0.755849281151693</v>
      </c>
      <c r="AX44" s="14" t="n">
        <f aca="false">AV44*AW44</f>
        <v>701405.230127673</v>
      </c>
      <c r="AY44" s="14" t="n">
        <f aca="false">AV44</f>
        <v>927969.699275147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370418.943726562</v>
      </c>
      <c r="G45" s="14" t="n">
        <f aca="false">IF($A45&lt;=$G$4,$E$4*$F$4,IF(C45&gt;=$B$8,E45*$B$4*(1+$B$5)^(($G$4+$B$8+D45*($B$8+$B$10))/4),0))</f>
        <v>1481675.77490625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86254.265625</v>
      </c>
      <c r="AE45" s="14" t="n">
        <f aca="false">IF($A45&lt;=$G$7,$E$7*$F$7,IF(AA45&gt;=$B$8,AC45*$B$4*(1+$B$5)^(($G$7+$B$8+AB45*($B$8+$B$10))/4),0))</f>
        <v>345017.0625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180193.598387956</v>
      </c>
      <c r="AM45" s="14" t="n">
        <f aca="false">IF($A45&lt;=$G$8,$E$8*$F$8,IF(AI45&gt;=$B$8,AK45*$B$4*(1+$B$5)^(($G$8+$B$8+AJ45*($B$8+$B$10))/4),0))</f>
        <v>720774.393551824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987201.807739519</v>
      </c>
      <c r="AQ45" s="14" t="n">
        <f aca="false">G45+O45+W45+AE45+AM45</f>
        <v>3948807.23095807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927969.699275147</v>
      </c>
      <c r="AU45" s="14" t="n">
        <f aca="false">0</f>
        <v>0</v>
      </c>
      <c r="AV45" s="14" t="n">
        <f aca="false">AT45-AR45-AU45</f>
        <v>927969.699275147</v>
      </c>
      <c r="AW45" s="21" t="n">
        <f aca="false">(1+$B$16)^(-$A45/4)</f>
        <v>0.741875253450614</v>
      </c>
      <c r="AX45" s="14" t="n">
        <f aca="false">AV45*AW45</f>
        <v>688437.75584424</v>
      </c>
      <c r="AY45" s="14" t="n">
        <f aca="false">AV45</f>
        <v>927969.699275147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370418.943726562</v>
      </c>
      <c r="G46" s="14" t="n">
        <f aca="false">IF($A46&lt;=$G$4,$E$4*$F$4,IF(C46&gt;=$B$8,E46*$B$4*(1+$B$5)^(($G$4+$B$8+D46*($B$8+$B$10))/4),0))</f>
        <v>1481675.77490625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1197636.98632812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86254.265625</v>
      </c>
      <c r="AE46" s="14" t="n">
        <f aca="false">IF($A46&lt;=$G$7,$E$7*$F$7,IF(AA46&gt;=$B$8,AC46*$B$4*(1+$B$5)^(($G$7+$B$8+AB46*($B$8+$B$10))/4),0))</f>
        <v>345017.0625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180193.598387956</v>
      </c>
      <c r="AM46" s="14" t="n">
        <f aca="false">IF($A46&lt;=$G$8,$E$8*$F$8,IF(AI46&gt;=$B$8,AK46*$B$4*(1+$B$5)^(($G$8+$B$8+AJ46*($B$8+$B$10))/4),0))</f>
        <v>720774.393551824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750826.807739519</v>
      </c>
      <c r="AQ46" s="14" t="n">
        <f aca="false">G46+O46+W46+AE46+AM46</f>
        <v>3003307.23095807</v>
      </c>
      <c r="AR46" s="14" t="n">
        <f aca="false">H46+P46+X46+AF46+AN46+IF($A46=$B$15,$B$14,0)</f>
        <v>1197636.98632812</v>
      </c>
      <c r="AS46" s="21" t="n">
        <f aca="false">I46+Q46+Y46+AG46+AO46</f>
        <v>3100</v>
      </c>
      <c r="AT46" s="14" t="n">
        <f aca="false">AP46*(1-$B$12)-AS46*$B$13/4</f>
        <v>663152.199275147</v>
      </c>
      <c r="AU46" s="14" t="n">
        <f aca="false">0</f>
        <v>0</v>
      </c>
      <c r="AV46" s="14" t="n">
        <f aca="false">AT46-AR46-AU46</f>
        <v>-534484.787052977</v>
      </c>
      <c r="AW46" s="21" t="n">
        <f aca="false">(1+$B$16)^(-$A46/4)</f>
        <v>0.728159575469592</v>
      </c>
      <c r="AX46" s="14" t="n">
        <f aca="false">AV46*AW46</f>
        <v>-389190.215635451</v>
      </c>
      <c r="AY46" s="14" t="n">
        <f aca="false">AV46</f>
        <v>-534484.787052977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370418.943726562</v>
      </c>
      <c r="G47" s="14" t="n">
        <f aca="false">IF($A47&lt;=$G$4,$E$4*$F$4,IF(C47&gt;=$B$8,E47*$B$4*(1+$B$5)^(($G$4+$B$8+D47*($B$8+$B$10))/4),0))</f>
        <v>1481675.77490625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86254.265625</v>
      </c>
      <c r="AE47" s="14" t="n">
        <f aca="false">IF($A47&lt;=$G$7,$E$7*$F$7,IF(AA47&gt;=$B$8,AC47*$B$4*(1+$B$5)^(($G$7+$B$8+AB47*($B$8+$B$10))/4),0))</f>
        <v>345017.0625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180193.598387956</v>
      </c>
      <c r="AM47" s="14" t="n">
        <f aca="false">IF($A47&lt;=$G$8,$E$8*$F$8,IF(AI47&gt;=$B$8,AK47*$B$4*(1+$B$5)^(($G$8+$B$8+AJ47*($B$8+$B$10))/4),0))</f>
        <v>720774.393551824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750826.807739519</v>
      </c>
      <c r="AQ47" s="14" t="n">
        <f aca="false">G47+O47+W47+AE47+AM47</f>
        <v>3003307.23095807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663152.199275147</v>
      </c>
      <c r="AU47" s="14" t="n">
        <f aca="false">0</f>
        <v>0</v>
      </c>
      <c r="AV47" s="14" t="n">
        <f aca="false">AT47-AR47-AU47</f>
        <v>663152.199275147</v>
      </c>
      <c r="AW47" s="21" t="n">
        <f aca="false">(1+$B$16)^(-$A47/4)</f>
        <v>0.714697470877902</v>
      </c>
      <c r="AX47" s="14" t="n">
        <f aca="false">AV47*AW47</f>
        <v>473953.199629066</v>
      </c>
      <c r="AY47" s="14" t="n">
        <f aca="false">AV47</f>
        <v>663152.199275147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370418.943726562</v>
      </c>
      <c r="G48" s="14" t="n">
        <f aca="false">IF($A48&lt;=$G$4,$E$4*$F$4,IF(C48&gt;=$B$8,E48*$B$4*(1+$B$5)^(($G$4+$B$8+D48*($B$8+$B$10))/4),0))</f>
        <v>1481675.77490625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1130734.28019703</v>
      </c>
      <c r="P48" s="14" t="n">
        <f aca="false">IF($A48&lt;=$G$5,0,IF(K48=0,M48*$B$6*(1+$B$7)^(($G$5+L48*($B$8+$B$10))/4),0)+IF(K48=$B$8,$B$11*$B$4*(1+$B$5)^(($G$5+$B$8+L48*($B$8+$B$10))/4)*M48,0))</f>
        <v>135688.113623644</v>
      </c>
      <c r="Q48" s="21" t="n">
        <f aca="false">IF($A48&lt;=$G$5,0,IF(K48&lt;$B$8,M48,0))</f>
        <v>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86254.265625</v>
      </c>
      <c r="AE48" s="14" t="n">
        <f aca="false">IF($A48&lt;=$G$7,$E$7*$F$7,IF(AA48&gt;=$B$8,AC48*$B$4*(1+$B$5)^(($G$7+$B$8+AB48*($B$8+$B$10))/4),0))</f>
        <v>345017.0625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180193.598387956</v>
      </c>
      <c r="AM48" s="14" t="n">
        <f aca="false">IF($A48&lt;=$G$8,$E$8*$F$8,IF(AI48&gt;=$B$8,AK48*$B$4*(1+$B$5)^(($G$8+$B$8+AJ48*($B$8+$B$10))/4),0))</f>
        <v>720774.393551824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750826.807739519</v>
      </c>
      <c r="AQ48" s="14" t="n">
        <f aca="false">G48+O48+W48+AE48+AM48</f>
        <v>4134041.5111551</v>
      </c>
      <c r="AR48" s="14" t="n">
        <f aca="false">H48+P48+X48+AF48+AN48+IF($A48=$B$15,$B$14,0)</f>
        <v>135688.113623644</v>
      </c>
      <c r="AS48" s="21" t="n">
        <f aca="false">I48+Q48+Y48+AG48+AO48</f>
        <v>0</v>
      </c>
      <c r="AT48" s="14" t="n">
        <f aca="false">AP48*(1-$B$12)-AS48*$B$13/4</f>
        <v>705777.199275147</v>
      </c>
      <c r="AU48" s="14" t="n">
        <f aca="false">0</f>
        <v>0</v>
      </c>
      <c r="AV48" s="14" t="n">
        <f aca="false">AT48-AR48-AU48</f>
        <v>570089.085651504</v>
      </c>
      <c r="AW48" s="21" t="n">
        <f aca="false">(1+$B$16)^(-$A48/4)</f>
        <v>0.701484251648903</v>
      </c>
      <c r="AX48" s="14" t="n">
        <f aca="false">AV48*AW48</f>
        <v>399908.515621452</v>
      </c>
      <c r="AY48" s="14" t="n">
        <f aca="false">AV48</f>
        <v>570089.085651504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370418.943726562</v>
      </c>
      <c r="G49" s="14" t="n">
        <f aca="false">IF($A49&lt;=$G$4,$E$4*$F$4,IF(C49&gt;=$B$8,E49*$B$4*(1+$B$5)^(($G$4+$B$8+D49*($B$8+$B$10))/4),0))</f>
        <v>1481675.77490625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1130734.28019703</v>
      </c>
      <c r="P49" s="14" t="n">
        <f aca="false">IF($A49&lt;=$G$5,0,IF(K49=0,M49*$B$6*(1+$B$7)^(($G$5+L49*($B$8+$B$10))/4),0)+IF(K49=$B$8,$B$11*$B$4*(1+$B$5)^(($G$5+$B$8+L49*($B$8+$B$10))/4)*M49,0))</f>
        <v>0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86254.265625</v>
      </c>
      <c r="AE49" s="14" t="n">
        <f aca="false">IF($A49&lt;=$G$7,$E$7*$F$7,IF(AA49&gt;=$B$8,AC49*$B$4*(1+$B$5)^(($G$7+$B$8+AB49*($B$8+$B$10))/4),0))</f>
        <v>345017.0625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180193.598387956</v>
      </c>
      <c r="AM49" s="14" t="n">
        <f aca="false">IF($A49&lt;=$G$8,$E$8*$F$8,IF(AI49&gt;=$B$8,AK49*$B$4*(1+$B$5)^(($G$8+$B$8+AJ49*($B$8+$B$10))/4),0))</f>
        <v>720774.393551824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750826.807739519</v>
      </c>
      <c r="AQ49" s="14" t="n">
        <f aca="false">G49+O49+W49+AE49+AM49</f>
        <v>4134041.5111551</v>
      </c>
      <c r="AR49" s="14" t="n">
        <f aca="false">H49+P49+X49+AF49+AN49+IF($A49=$B$15,$B$14,0)</f>
        <v>0</v>
      </c>
      <c r="AS49" s="21" t="n">
        <f aca="false">I49+Q49+Y49+AG49+AO49</f>
        <v>0</v>
      </c>
      <c r="AT49" s="14" t="n">
        <f aca="false">AP49*(1-$B$12)-AS49*$B$13/4</f>
        <v>705777.199275147</v>
      </c>
      <c r="AU49" s="14" t="n">
        <f aca="false">0</f>
        <v>0</v>
      </c>
      <c r="AV49" s="14" t="n">
        <f aca="false">AT49-AR49-AU49</f>
        <v>705777.199275147</v>
      </c>
      <c r="AW49" s="21" t="n">
        <f aca="false">(1+$B$16)^(-$A49/4)</f>
        <v>0.688515316427484</v>
      </c>
      <c r="AX49" s="14" t="n">
        <f aca="false">AV49*AW49</f>
        <v>485938.411686232</v>
      </c>
      <c r="AY49" s="14" t="n">
        <f aca="false">AV49</f>
        <v>705777.199275147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370418.943726562</v>
      </c>
      <c r="G50" s="14" t="n">
        <f aca="false">IF($A50&lt;=$G$4,$E$4*$F$4,IF(C50&gt;=$B$8,E50*$B$4*(1+$B$5)^(($G$4+$B$8+D50*($B$8+$B$10))/4),0))</f>
        <v>1481675.77490625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282683.570049258</v>
      </c>
      <c r="O50" s="14" t="n">
        <f aca="false">IF($A50&lt;=$G$5,$E$5*$F$5,IF(K50&gt;=$B$8,M50*$B$4*(1+$B$5)^(($G$5+$B$8+L50*($B$8+$B$10))/4),0))</f>
        <v>1130734.28019703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86254.265625</v>
      </c>
      <c r="AE50" s="14" t="n">
        <f aca="false">IF($A50&lt;=$G$7,$E$7*$F$7,IF(AA50&gt;=$B$8,AC50*$B$4*(1+$B$5)^(($G$7+$B$8+AB50*($B$8+$B$10))/4),0))</f>
        <v>345017.0625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180193.598387956</v>
      </c>
      <c r="AM50" s="14" t="n">
        <f aca="false">IF($A50&lt;=$G$8,$E$8*$F$8,IF(AI50&gt;=$B$8,AK50*$B$4*(1+$B$5)^(($G$8+$B$8+AJ50*($B$8+$B$10))/4),0))</f>
        <v>720774.393551824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1033510.37778878</v>
      </c>
      <c r="AQ50" s="14" t="n">
        <f aca="false">G50+O50+W50+AE50+AM50</f>
        <v>4134041.5111551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971499.75512145</v>
      </c>
      <c r="AU50" s="14" t="n">
        <f aca="false">0</f>
        <v>0</v>
      </c>
      <c r="AV50" s="14" t="n">
        <f aca="false">AT50-AR50-AU50</f>
        <v>971499.75512145</v>
      </c>
      <c r="AW50" s="21" t="n">
        <f aca="false">(1+$B$16)^(-$A50/4)</f>
        <v>0.675786148927696</v>
      </c>
      <c r="AX50" s="14" t="n">
        <f aca="false">AV50*AW50</f>
        <v>656526.078197724</v>
      </c>
      <c r="AY50" s="14" t="n">
        <f aca="false">AV50</f>
        <v>971499.75512145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370418.943726562</v>
      </c>
      <c r="G51" s="14" t="n">
        <f aca="false">IF($A51&lt;=$G$4,$E$4*$F$4,IF(C51&gt;=$B$8,E51*$B$4*(1+$B$5)^(($G$4+$B$8+D51*($B$8+$B$10))/4),0))</f>
        <v>1481675.77490625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282683.570049258</v>
      </c>
      <c r="O51" s="14" t="n">
        <f aca="false">IF($A51&lt;=$G$5,$E$5*$F$5,IF(K51&gt;=$B$8,M51*$B$4*(1+$B$5)^(($G$5+$B$8+L51*($B$8+$B$10))/4),0))</f>
        <v>1130734.28019703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86254.265625</v>
      </c>
      <c r="AE51" s="14" t="n">
        <f aca="false">IF($A51&lt;=$G$7,$E$7*$F$7,IF(AA51&gt;=$B$8,AC51*$B$4*(1+$B$5)^(($G$7+$B$8+AB51*($B$8+$B$10))/4),0))</f>
        <v>345017.0625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180193.598387956</v>
      </c>
      <c r="AM51" s="14" t="n">
        <f aca="false">IF($A51&lt;=$G$8,$E$8*$F$8,IF(AI51&gt;=$B$8,AK51*$B$4*(1+$B$5)^(($G$8+$B$8+AJ51*($B$8+$B$10))/4),0))</f>
        <v>720774.393551824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1033510.37778878</v>
      </c>
      <c r="AQ51" s="14" t="n">
        <f aca="false">G51+O51+W51+AE51+AM51</f>
        <v>4134041.5111551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971499.75512145</v>
      </c>
      <c r="AU51" s="14" t="n">
        <f aca="false">0</f>
        <v>0</v>
      </c>
      <c r="AV51" s="14" t="n">
        <f aca="false">AT51-AR51-AU51</f>
        <v>971499.75512145</v>
      </c>
      <c r="AW51" s="21" t="n">
        <f aca="false">(1+$B$16)^(-$A51/4)</f>
        <v>0.663292316360002</v>
      </c>
      <c r="AX51" s="14" t="n">
        <f aca="false">AV51*AW51</f>
        <v>644388.322917681</v>
      </c>
      <c r="AY51" s="14" t="n">
        <f aca="false">AV51</f>
        <v>971499.75512145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370418.943726562</v>
      </c>
      <c r="G52" s="14" t="n">
        <f aca="false">IF($A52&lt;=$G$4,$E$4*$F$4,IF(C52&gt;=$B$8,E52*$B$4*(1+$B$5)^(($G$4+$B$8+D52*($B$8+$B$10))/4),0))</f>
        <v>1481675.77490625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282683.570049258</v>
      </c>
      <c r="O52" s="14" t="n">
        <f aca="false">IF($A52&lt;=$G$5,$E$5*$F$5,IF(K52&gt;=$B$8,M52*$B$4*(1+$B$5)^(($G$5+$B$8+L52*($B$8+$B$10))/4),0))</f>
        <v>1130734.28019703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86254.265625</v>
      </c>
      <c r="AE52" s="14" t="n">
        <f aca="false">IF($A52&lt;=$G$7,$E$7*$F$7,IF(AA52&gt;=$B$8,AC52*$B$4*(1+$B$5)^(($G$7+$B$8+AB52*($B$8+$B$10))/4),0))</f>
        <v>345017.0625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0</v>
      </c>
      <c r="AJ52" s="21" t="n">
        <f aca="false">IF(AH52&lt;0,0,INT(AH52/($B$8+$B$10)))</f>
        <v>1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0</v>
      </c>
      <c r="AM52" s="14" t="n">
        <f aca="false">IF($A52&lt;=$G$8,$E$8*$F$8,IF(AI52&gt;=$B$8,AK52*$B$4*(1+$B$5)^(($G$8+$B$8+AJ52*($B$8+$B$10))/4),0))</f>
        <v>0</v>
      </c>
      <c r="AN52" s="14" t="n">
        <f aca="false">IF($A52&lt;=$G$8,0,IF(AI52=0,AK52*$B$6*(1+$B$7)^(($G$8+AJ52*($B$8+$B$10))/4),0)+IF(AI52=$B$8,$B$11*$B$4*(1+$B$5)^(($G$8+$B$8+AJ52*($B$8+$B$10))/4)*AK52,0))</f>
        <v>865970.415229703</v>
      </c>
      <c r="AO52" s="21" t="n">
        <f aca="false">IF($A52&lt;=$G$8,0,IF(AI52&lt;$B$8,AK52,0))</f>
        <v>2160</v>
      </c>
      <c r="AP52" s="14" t="n">
        <f aca="false">F52+N52+V52+AD52+AL52</f>
        <v>853316.77940082</v>
      </c>
      <c r="AQ52" s="14" t="n">
        <f aca="false">G52+O52+W52+AE52+AM52</f>
        <v>3413267.11760328</v>
      </c>
      <c r="AR52" s="14" t="n">
        <f aca="false">H52+P52+X52+AF52+AN52+IF($A52=$B$15,$B$14,0)</f>
        <v>865970.415229703</v>
      </c>
      <c r="AS52" s="21" t="n">
        <f aca="false">I52+Q52+Y52+AG52+AO52</f>
        <v>2160</v>
      </c>
      <c r="AT52" s="14" t="n">
        <f aca="false">AP52*(1-$B$12)-AS52*$B$13/4</f>
        <v>772417.772636771</v>
      </c>
      <c r="AU52" s="14" t="n">
        <f aca="false">0</f>
        <v>0</v>
      </c>
      <c r="AV52" s="14" t="n">
        <f aca="false">AT52-AR52-AU52</f>
        <v>-93552.6425929321</v>
      </c>
      <c r="AW52" s="21" t="n">
        <f aca="false">(1+$B$16)^(-$A52/4)</f>
        <v>0.651029467887613</v>
      </c>
      <c r="AX52" s="14" t="n">
        <f aca="false">AV52*AW52</f>
        <v>-60905.5271267566</v>
      </c>
      <c r="AY52" s="14" t="n">
        <f aca="false">AV52</f>
        <v>-93552.6425929321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370418.943726562</v>
      </c>
      <c r="G53" s="14" t="n">
        <f aca="false">IF($A53&lt;=$G$4,$E$4*$F$4,IF(C53&gt;=$B$8,E53*$B$4*(1+$B$5)^(($G$4+$B$8+D53*($B$8+$B$10))/4),0))</f>
        <v>1481675.77490625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282683.570049258</v>
      </c>
      <c r="O53" s="14" t="n">
        <f aca="false">IF($A53&lt;=$G$5,$E$5*$F$5,IF(K53&gt;=$B$8,M53*$B$4*(1+$B$5)^(($G$5+$B$8+L53*($B$8+$B$10))/4),0))</f>
        <v>1130734.28019703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86254.265625</v>
      </c>
      <c r="AE53" s="14" t="n">
        <f aca="false">IF($A53&lt;=$G$7,$E$7*$F$7,IF(AA53&gt;=$B$8,AC53*$B$4*(1+$B$5)^(($G$7+$B$8+AB53*($B$8+$B$10))/4),0))</f>
        <v>345017.0625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1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2160</v>
      </c>
      <c r="AP53" s="14" t="n">
        <f aca="false">F53+N53+V53+AD53+AL53</f>
        <v>853316.77940082</v>
      </c>
      <c r="AQ53" s="14" t="n">
        <f aca="false">G53+O53+W53+AE53+AM53</f>
        <v>3413267.11760328</v>
      </c>
      <c r="AR53" s="14" t="n">
        <f aca="false">H53+P53+X53+AF53+AN53+IF($A53=$B$15,$B$14,0)</f>
        <v>0</v>
      </c>
      <c r="AS53" s="21" t="n">
        <f aca="false">I53+Q53+Y53+AG53+AO53</f>
        <v>2160</v>
      </c>
      <c r="AT53" s="14" t="n">
        <f aca="false">AP53*(1-$B$12)-AS53*$B$13/4</f>
        <v>772417.772636771</v>
      </c>
      <c r="AU53" s="14" t="n">
        <f aca="false">0</f>
        <v>0</v>
      </c>
      <c r="AV53" s="14" t="n">
        <f aca="false">AT53-AR53-AU53</f>
        <v>772417.772636771</v>
      </c>
      <c r="AW53" s="21" t="n">
        <f aca="false">(1+$B$16)^(-$A53/4)</f>
        <v>0.638993333111354</v>
      </c>
      <c r="AX53" s="14" t="n">
        <f aca="false">AV53*AW53</f>
        <v>493569.807091618</v>
      </c>
      <c r="AY53" s="14" t="n">
        <f aca="false">AV53</f>
        <v>772417.772636771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370418.943726562</v>
      </c>
      <c r="G54" s="14" t="n">
        <f aca="false">IF($A54&lt;=$G$4,$E$4*$F$4,IF(C54&gt;=$B$8,E54*$B$4*(1+$B$5)^(($G$4+$B$8+D54*($B$8+$B$10))/4),0))</f>
        <v>1481675.77490625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282683.570049258</v>
      </c>
      <c r="O54" s="14" t="n">
        <f aca="false">IF($A54&lt;=$G$5,$E$5*$F$5,IF(K54&gt;=$B$8,M54*$B$4*(1+$B$5)^(($G$5+$B$8+L54*($B$8+$B$10))/4),0))</f>
        <v>1130734.28019703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86254.265625</v>
      </c>
      <c r="AE54" s="14" t="n">
        <f aca="false">IF($A54&lt;=$G$7,$E$7*$F$7,IF(AA54&gt;=$B$8,AC54*$B$4*(1+$B$5)^(($G$7+$B$8+AB54*($B$8+$B$10))/4),0))</f>
        <v>345017.0625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2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814605.974747323</v>
      </c>
      <c r="AN54" s="14" t="n">
        <f aca="false">IF($A54&lt;=$G$8,0,IF(AI54=0,AK54*$B$6*(1+$B$7)^(($G$8+AJ54*($B$8+$B$10))/4),0)+IF(AI54=$B$8,$B$11*$B$4*(1+$B$5)^(($G$8+$B$8+AJ54*($B$8+$B$10))/4)*AK54,0))</f>
        <v>97752.7169696788</v>
      </c>
      <c r="AO54" s="21" t="n">
        <f aca="false">IF($A54&lt;=$G$8,0,IF(AI54&lt;$B$8,AK54,0))</f>
        <v>0</v>
      </c>
      <c r="AP54" s="14" t="n">
        <f aca="false">F54+N54+V54+AD54+AL54</f>
        <v>853316.77940082</v>
      </c>
      <c r="AQ54" s="14" t="n">
        <f aca="false">G54+O54+W54+AE54+AM54</f>
        <v>4227873.0923506</v>
      </c>
      <c r="AR54" s="14" t="n">
        <f aca="false">H54+P54+X54+AF54+AN54+IF($A54=$B$15,$B$14,0)</f>
        <v>97752.7169696788</v>
      </c>
      <c r="AS54" s="21" t="n">
        <f aca="false">I54+Q54+Y54+AG54+AO54</f>
        <v>0</v>
      </c>
      <c r="AT54" s="14" t="n">
        <f aca="false">AP54*(1-$B$12)-AS54*$B$13/4</f>
        <v>802117.772636771</v>
      </c>
      <c r="AU54" s="14" t="n">
        <f aca="false">0</f>
        <v>0</v>
      </c>
      <c r="AV54" s="14" t="n">
        <f aca="false">AT54-AR54-AU54</f>
        <v>704365.055667092</v>
      </c>
      <c r="AW54" s="21" t="n">
        <f aca="false">(1+$B$16)^(-$A54/4)</f>
        <v>0.627179720582548</v>
      </c>
      <c r="AX54" s="14" t="n">
        <f aca="false">AV54*AW54</f>
        <v>441763.478801398</v>
      </c>
      <c r="AY54" s="14" t="n">
        <f aca="false">AV54</f>
        <v>704365.055667092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370418.943726562</v>
      </c>
      <c r="G55" s="14" t="n">
        <f aca="false">IF($A55&lt;=$G$4,$E$4*$F$4,IF(C55&gt;=$B$8,E55*$B$4*(1+$B$5)^(($G$4+$B$8+D55*($B$8+$B$10))/4),0))</f>
        <v>1481675.77490625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282683.570049258</v>
      </c>
      <c r="O55" s="14" t="n">
        <f aca="false">IF($A55&lt;=$G$5,$E$5*$F$5,IF(K55&gt;=$B$8,M55*$B$4*(1+$B$5)^(($G$5+$B$8+L55*($B$8+$B$10))/4),0))</f>
        <v>1130734.28019703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86254.265625</v>
      </c>
      <c r="AE55" s="14" t="n">
        <f aca="false">IF($A55&lt;=$G$7,$E$7*$F$7,IF(AA55&gt;=$B$8,AC55*$B$4*(1+$B$5)^(($G$7+$B$8+AB55*($B$8+$B$10))/4),0))</f>
        <v>345017.0625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3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814605.974747323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0</v>
      </c>
      <c r="AP55" s="14" t="n">
        <f aca="false">F55+N55+V55+AD55+AL55</f>
        <v>853316.77940082</v>
      </c>
      <c r="AQ55" s="14" t="n">
        <f aca="false">G55+O55+W55+AE55+AM55</f>
        <v>4227873.0923506</v>
      </c>
      <c r="AR55" s="14" t="n">
        <f aca="false">H55+P55+X55+AF55+AN55+IF($A55=$B$15,$B$14,0)</f>
        <v>0</v>
      </c>
      <c r="AS55" s="21" t="n">
        <f aca="false">I55+Q55+Y55+AG55+AO55</f>
        <v>0</v>
      </c>
      <c r="AT55" s="14" t="n">
        <f aca="false">AP55*(1-$B$12)-AS55*$B$13/4</f>
        <v>802117.772636771</v>
      </c>
      <c r="AU55" s="14" t="n">
        <f aca="false">0</f>
        <v>0</v>
      </c>
      <c r="AV55" s="14" t="n">
        <f aca="false">AT55-AR55-AU55</f>
        <v>802117.772636771</v>
      </c>
      <c r="AW55" s="21" t="n">
        <f aca="false">(1+$B$16)^(-$A55/4)</f>
        <v>0.615584516343389</v>
      </c>
      <c r="AX55" s="14" t="n">
        <f aca="false">AV55*AW55</f>
        <v>493771.281119043</v>
      </c>
      <c r="AY55" s="14" t="n">
        <f aca="false">AV55</f>
        <v>802117.772636771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370418.943726562</v>
      </c>
      <c r="G56" s="14" t="n">
        <f aca="false">IF($A56&lt;=$G$4,$E$4*$F$4,IF(C56&gt;=$B$8,E56*$B$4*(1+$B$5)^(($G$4+$B$8+D56*($B$8+$B$10))/4),0))</f>
        <v>1481675.77490625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282683.570049258</v>
      </c>
      <c r="O56" s="14" t="n">
        <f aca="false">IF($A56&lt;=$G$5,$E$5*$F$5,IF(K56&gt;=$B$8,M56*$B$4*(1+$B$5)^(($G$5+$B$8+L56*($B$8+$B$10))/4),0))</f>
        <v>1130734.28019703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632839.953907447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86254.265625</v>
      </c>
      <c r="AE56" s="14" t="n">
        <f aca="false">IF($A56&lt;=$G$7,$E$7*$F$7,IF(AA56&gt;=$B$8,AC56*$B$4*(1+$B$5)^(($G$7+$B$8+AB56*($B$8+$B$10))/4),0))</f>
        <v>345017.0625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4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203651.493686831</v>
      </c>
      <c r="AM56" s="14" t="n">
        <f aca="false">IF($A56&lt;=$G$8,$E$8*$F$8,IF(AI56&gt;=$B$8,AK56*$B$4*(1+$B$5)^(($G$8+$B$8+AJ56*($B$8+$B$10))/4),0))</f>
        <v>814605.974747323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0</v>
      </c>
      <c r="AP56" s="14" t="n">
        <f aca="false">F56+N56+V56+AD56+AL56</f>
        <v>943008.273087651</v>
      </c>
      <c r="AQ56" s="14" t="n">
        <f aca="false">G56+O56+W56+AE56+AM56</f>
        <v>3772033.0923506</v>
      </c>
      <c r="AR56" s="14" t="n">
        <f aca="false">H56+P56+X56+AF56+AN56+IF($A56=$B$15,$B$14,0)</f>
        <v>632839.953907447</v>
      </c>
      <c r="AS56" s="21" t="n">
        <f aca="false">I56+Q56+Y56+AG56+AO56</f>
        <v>1540</v>
      </c>
      <c r="AT56" s="14" t="n">
        <f aca="false">AP56*(1-$B$12)-AS56*$B$13/4</f>
        <v>865252.776702392</v>
      </c>
      <c r="AU56" s="14" t="n">
        <f aca="false">0</f>
        <v>0</v>
      </c>
      <c r="AV56" s="14" t="n">
        <f aca="false">AT56-AR56-AU56</f>
        <v>232412.822794945</v>
      </c>
      <c r="AW56" s="21" t="n">
        <f aca="false">(1+$B$16)^(-$A56/4)</f>
        <v>0.604203682494304</v>
      </c>
      <c r="AX56" s="14" t="n">
        <f aca="false">AV56*AW56</f>
        <v>140424.683391602</v>
      </c>
      <c r="AY56" s="14" t="n">
        <f aca="false">AV56</f>
        <v>232412.822794945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370418.943726562</v>
      </c>
      <c r="G57" s="14" t="n">
        <f aca="false">IF($A57&lt;=$G$4,$E$4*$F$4,IF(C57&gt;=$B$8,E57*$B$4*(1+$B$5)^(($G$4+$B$8+D57*($B$8+$B$10))/4),0))</f>
        <v>1481675.77490625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282683.570049258</v>
      </c>
      <c r="O57" s="14" t="n">
        <f aca="false">IF($A57&lt;=$G$5,$E$5*$F$5,IF(K57&gt;=$B$8,M57*$B$4*(1+$B$5)^(($G$5+$B$8+L57*($B$8+$B$10))/4),0))</f>
        <v>1130734.28019703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86254.265625</v>
      </c>
      <c r="AE57" s="14" t="n">
        <f aca="false">IF($A57&lt;=$G$7,$E$7*$F$7,IF(AA57&gt;=$B$8,AC57*$B$4*(1+$B$5)^(($G$7+$B$8+AB57*($B$8+$B$10))/4),0))</f>
        <v>345017.0625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5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203651.493686831</v>
      </c>
      <c r="AM57" s="14" t="n">
        <f aca="false">IF($A57&lt;=$G$8,$E$8*$F$8,IF(AI57&gt;=$B$8,AK57*$B$4*(1+$B$5)^(($G$8+$B$8+AJ57*($B$8+$B$10))/4),0))</f>
        <v>814605.974747323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943008.273087651</v>
      </c>
      <c r="AQ57" s="14" t="n">
        <f aca="false">G57+O57+W57+AE57+AM57</f>
        <v>3772033.0923506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865252.776702392</v>
      </c>
      <c r="AU57" s="14" t="n">
        <f aca="false">0</f>
        <v>0</v>
      </c>
      <c r="AV57" s="14" t="n">
        <f aca="false">AT57-AR57-AU57</f>
        <v>865252.776702392</v>
      </c>
      <c r="AW57" s="21" t="n">
        <f aca="false">(1+$B$16)^(-$A57/4)</f>
        <v>0.5930332557878</v>
      </c>
      <c r="AX57" s="14" t="n">
        <f aca="false">AV57*AW57</f>
        <v>513123.671247253</v>
      </c>
      <c r="AY57" s="14" t="n">
        <f aca="false">AV57</f>
        <v>865252.776702392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370418.943726562</v>
      </c>
      <c r="G58" s="14" t="n">
        <f aca="false">IF($A58&lt;=$G$4,$E$4*$F$4,IF(C58&gt;=$B$8,E58*$B$4*(1+$B$5)^(($G$4+$B$8+D58*($B$8+$B$10))/4),0))</f>
        <v>1481675.77490625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282683.570049258</v>
      </c>
      <c r="O58" s="14" t="n">
        <f aca="false">IF($A58&lt;=$G$5,$E$5*$F$5,IF(K58&gt;=$B$8,M58*$B$4*(1+$B$5)^(($G$5+$B$8+L58*($B$8+$B$10))/4),0))</f>
        <v>1130734.28019703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593851.526914756</v>
      </c>
      <c r="X58" s="14" t="n">
        <f aca="false">IF($A58&lt;=$G$6,0,IF(S58=0,U58*$B$6*(1+$B$7)^(($G$6+T58*($B$8+$B$10))/4),0)+IF(S58=$B$8,$B$11*$B$4*(1+$B$5)^(($G$6+$B$8+T58*($B$8+$B$10))/4)*U58,0))</f>
        <v>71262.1832297707</v>
      </c>
      <c r="Y58" s="21" t="n">
        <f aca="false">IF($A58&lt;=$G$6,0,IF(S58&lt;$B$8,U58,0))</f>
        <v>0</v>
      </c>
      <c r="Z58" s="21" t="n">
        <f aca="false">$A58-$G$7-1</f>
        <v>22</v>
      </c>
      <c r="AA58" s="21" t="n">
        <f aca="false">IF(Z58&lt;0,-1,MOD(Z58,$B$8+$B$10))</f>
        <v>0</v>
      </c>
      <c r="AB58" s="21" t="n">
        <f aca="false">IF(Z58&lt;0,0,INT(Z58/($B$8+$B$10)))</f>
        <v>1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0</v>
      </c>
      <c r="AE58" s="14" t="n">
        <f aca="false">IF($A58&lt;=$G$7,$E$7*$F$7,IF(AA58&gt;=$B$8,AC58*$B$4*(1+$B$5)^(($G$7+$B$8+AB58*($B$8+$B$10))/4),0))</f>
        <v>0</v>
      </c>
      <c r="AF58" s="14" t="n">
        <f aca="false">IF($A58&lt;=$G$7,0,IF(AA58=0,AC58*$B$6*(1+$B$7)^(($G$7+AB58*($B$8+$B$10))/4),0)+IF(AA58=$B$8,$B$11*$B$4*(1+$B$5)^(($G$7+$B$8+AB58*($B$8+$B$10))/4)*AC58,0))</f>
        <v>416040.013783874</v>
      </c>
      <c r="AG58" s="21" t="n">
        <f aca="false">IF($A58&lt;=$G$7,0,IF(AA58&lt;$B$8,AC58,0))</f>
        <v>1000</v>
      </c>
      <c r="AH58" s="21" t="n">
        <f aca="false">$A58-$G$8-1</f>
        <v>28</v>
      </c>
      <c r="AI58" s="21" t="n">
        <f aca="false">IF(AH58&lt;0,-1,MOD(AH58,$B$8+$B$10))</f>
        <v>6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203651.493686831</v>
      </c>
      <c r="AM58" s="14" t="n">
        <f aca="false">IF($A58&lt;=$G$8,$E$8*$F$8,IF(AI58&gt;=$B$8,AK58*$B$4*(1+$B$5)^(($G$8+$B$8+AJ58*($B$8+$B$10))/4),0))</f>
        <v>814605.974747323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856754.007462651</v>
      </c>
      <c r="AQ58" s="14" t="n">
        <f aca="false">G58+O58+W58+AE58+AM58</f>
        <v>4020867.55676536</v>
      </c>
      <c r="AR58" s="14" t="n">
        <f aca="false">H58+P58+X58+AF58+AN58+IF($A58=$B$15,$B$14,0)</f>
        <v>487302.197013645</v>
      </c>
      <c r="AS58" s="21" t="n">
        <f aca="false">I58+Q58+Y58+AG58+AO58</f>
        <v>1000</v>
      </c>
      <c r="AT58" s="14" t="n">
        <f aca="false">AP58*(1-$B$12)-AS58*$B$13/4</f>
        <v>791598.767014892</v>
      </c>
      <c r="AU58" s="14" t="n">
        <f aca="false">0</f>
        <v>0</v>
      </c>
      <c r="AV58" s="14" t="n">
        <f aca="false">AT58-AR58-AU58</f>
        <v>304296.570001247</v>
      </c>
      <c r="AW58" s="21" t="n">
        <f aca="false">(1+$B$16)^(-$A58/4)</f>
        <v>0.582069346248305</v>
      </c>
      <c r="AX58" s="14" t="n">
        <f aca="false">AV58*AW58</f>
        <v>177121.705566227</v>
      </c>
      <c r="AY58" s="14" t="n">
        <f aca="false">AV58</f>
        <v>304296.570001247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370418.943726562</v>
      </c>
      <c r="G59" s="14" t="n">
        <f aca="false">IF($A59&lt;=$G$4,$E$4*$F$4,IF(C59&gt;=$B$8,E59*$B$4*(1+$B$5)^(($G$4+$B$8+D59*($B$8+$B$10))/4),0))</f>
        <v>1481675.77490625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282683.570049258</v>
      </c>
      <c r="O59" s="14" t="n">
        <f aca="false">IF($A59&lt;=$G$5,$E$5*$F$5,IF(K59&gt;=$B$8,M59*$B$4*(1+$B$5)^(($G$5+$B$8+L59*($B$8+$B$10))/4),0))</f>
        <v>1130734.28019703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593851.526914756</v>
      </c>
      <c r="X59" s="14" t="n">
        <f aca="false">IF($A59&lt;=$G$6,0,IF(S59=0,U59*$B$6*(1+$B$7)^(($G$6+T59*($B$8+$B$10))/4),0)+IF(S59=$B$8,$B$11*$B$4*(1+$B$5)^(($G$6+$B$8+T59*($B$8+$B$10))/4)*U59,0))</f>
        <v>0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1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7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203651.493686831</v>
      </c>
      <c r="AM59" s="14" t="n">
        <f aca="false">IF($A59&lt;=$G$8,$E$8*$F$8,IF(AI59&gt;=$B$8,AK59*$B$4*(1+$B$5)^(($G$8+$B$8+AJ59*($B$8+$B$10))/4),0))</f>
        <v>814605.974747323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856754.007462651</v>
      </c>
      <c r="AQ59" s="14" t="n">
        <f aca="false">G59+O59+W59+AE59+AM59</f>
        <v>4020867.55676536</v>
      </c>
      <c r="AR59" s="14" t="n">
        <f aca="false">H59+P59+X59+AF59+AN59+IF($A59=$B$15,$B$14,0)</f>
        <v>0</v>
      </c>
      <c r="AS59" s="21" t="n">
        <f aca="false">I59+Q59+Y59+AG59+AO59</f>
        <v>1000</v>
      </c>
      <c r="AT59" s="14" t="n">
        <f aca="false">AP59*(1-$B$12)-AS59*$B$13/4</f>
        <v>791598.767014892</v>
      </c>
      <c r="AU59" s="14" t="n">
        <f aca="false">0</f>
        <v>0</v>
      </c>
      <c r="AV59" s="14" t="n">
        <f aca="false">AT59-AR59-AU59</f>
        <v>791598.767014892</v>
      </c>
      <c r="AW59" s="21" t="n">
        <f aca="false">(1+$B$16)^(-$A59/4)</f>
        <v>0.571308135817531</v>
      </c>
      <c r="AX59" s="14" t="n">
        <f aca="false">AV59*AW59</f>
        <v>452246.815898734</v>
      </c>
      <c r="AY59" s="14" t="n">
        <f aca="false">AV59</f>
        <v>791598.767014892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370418.943726562</v>
      </c>
      <c r="G60" s="14" t="n">
        <f aca="false">IF($A60&lt;=$G$4,$E$4*$F$4,IF(C60&gt;=$B$8,E60*$B$4*(1+$B$5)^(($G$4+$B$8+D60*($B$8+$B$10))/4),0))</f>
        <v>1481675.77490625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282683.570049258</v>
      </c>
      <c r="O60" s="14" t="n">
        <f aca="false">IF($A60&lt;=$G$5,$E$5*$F$5,IF(K60&gt;=$B$8,M60*$B$4*(1+$B$5)^(($G$5+$B$8+L60*($B$8+$B$10))/4),0))</f>
        <v>1130734.28019703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148462.881728689</v>
      </c>
      <c r="W60" s="14" t="n">
        <f aca="false">IF($A60&lt;=$G$6,$E$6*$F$6,IF(S60&gt;=$B$8,U60*$B$4*(1+$B$5)^(($G$6+$B$8+T60*($B$8+$B$10))/4),0))</f>
        <v>593851.526914756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2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389931.944054368</v>
      </c>
      <c r="AF60" s="14" t="n">
        <f aca="false">IF($A60&lt;=$G$7,0,IF(AA60=0,AC60*$B$6*(1+$B$7)^(($G$7+AB60*($B$8+$B$10))/4),0)+IF(AA60=$B$8,$B$11*$B$4*(1+$B$5)^(($G$7+$B$8+AB60*($B$8+$B$10))/4)*AC60,0))</f>
        <v>46791.8332865241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8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203651.493686831</v>
      </c>
      <c r="AM60" s="14" t="n">
        <f aca="false">IF($A60&lt;=$G$8,$E$8*$F$8,IF(AI60&gt;=$B$8,AK60*$B$4*(1+$B$5)^(($G$8+$B$8+AJ60*($B$8+$B$10))/4),0))</f>
        <v>814605.974747323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1005216.88919134</v>
      </c>
      <c r="AQ60" s="14" t="n">
        <f aca="false">G60+O60+W60+AE60+AM60</f>
        <v>4410799.50081973</v>
      </c>
      <c r="AR60" s="14" t="n">
        <f aca="false">H60+P60+X60+AF60+AN60+IF($A60=$B$15,$B$14,0)</f>
        <v>46791.8332865241</v>
      </c>
      <c r="AS60" s="21" t="n">
        <f aca="false">I60+Q60+Y60+AG60+AO60</f>
        <v>0</v>
      </c>
      <c r="AT60" s="14" t="n">
        <f aca="false">AP60*(1-$B$12)-AS60*$B$13/4</f>
        <v>944903.875839859</v>
      </c>
      <c r="AU60" s="14" t="n">
        <f aca="false">0</f>
        <v>0</v>
      </c>
      <c r="AV60" s="14" t="n">
        <f aca="false">AT60-AR60-AU60</f>
        <v>898112.042553335</v>
      </c>
      <c r="AW60" s="21" t="n">
        <f aca="false">(1+$B$16)^(-$A60/4)</f>
        <v>0.560745877024877</v>
      </c>
      <c r="AX60" s="14" t="n">
        <f aca="false">AV60*AW60</f>
        <v>503612.624968173</v>
      </c>
      <c r="AY60" s="14" t="n">
        <f aca="false">AV60</f>
        <v>898112.042553335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370418.943726562</v>
      </c>
      <c r="G61" s="14" t="n">
        <f aca="false">IF($A61&lt;=$G$4,$E$4*$F$4,IF(C61&gt;=$B$8,E61*$B$4*(1+$B$5)^(($G$4+$B$8+D61*($B$8+$B$10))/4),0))</f>
        <v>1481675.77490625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282683.570049258</v>
      </c>
      <c r="O61" s="14" t="n">
        <f aca="false">IF($A61&lt;=$G$5,$E$5*$F$5,IF(K61&gt;=$B$8,M61*$B$4*(1+$B$5)^(($G$5+$B$8+L61*($B$8+$B$10))/4),0))</f>
        <v>1130734.28019703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148462.881728689</v>
      </c>
      <c r="W61" s="14" t="n">
        <f aca="false">IF($A61&lt;=$G$6,$E$6*$F$6,IF(S61&gt;=$B$8,U61*$B$4*(1+$B$5)^(($G$6+$B$8+T61*($B$8+$B$10))/4),0))</f>
        <v>593851.526914756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3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389931.944054368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0</v>
      </c>
      <c r="AH61" s="21" t="n">
        <f aca="false">$A61-$G$8-1</f>
        <v>31</v>
      </c>
      <c r="AI61" s="21" t="n">
        <f aca="false">IF(AH61&lt;0,-1,MOD(AH61,$B$8+$B$10))</f>
        <v>9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203651.493686831</v>
      </c>
      <c r="AM61" s="14" t="n">
        <f aca="false">IF($A61&lt;=$G$8,$E$8*$F$8,IF(AI61&gt;=$B$8,AK61*$B$4*(1+$B$5)^(($G$8+$B$8+AJ61*($B$8+$B$10))/4),0))</f>
        <v>814605.974747323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1005216.88919134</v>
      </c>
      <c r="AQ61" s="14" t="n">
        <f aca="false">G61+O61+W61+AE61+AM61</f>
        <v>4410799.50081973</v>
      </c>
      <c r="AR61" s="14" t="n">
        <f aca="false">H61+P61+X61+AF61+AN61+IF($A61=$B$15,$B$14,0)</f>
        <v>0</v>
      </c>
      <c r="AS61" s="21" t="n">
        <f aca="false">I61+Q61+Y61+AG61+AO61</f>
        <v>0</v>
      </c>
      <c r="AT61" s="14" t="n">
        <f aca="false">AP61*(1-$B$12)-AS61*$B$13/4</f>
        <v>944903.875839859</v>
      </c>
      <c r="AU61" s="14" t="n">
        <f aca="false">0</f>
        <v>0</v>
      </c>
      <c r="AV61" s="14" t="n">
        <f aca="false">AT61-AR61-AU61</f>
        <v>944903.875839859</v>
      </c>
      <c r="AW61" s="21" t="n">
        <f aca="false">(1+$B$16)^(-$A61/4)</f>
        <v>0.550378891682413</v>
      </c>
      <c r="AX61" s="14" t="n">
        <f aca="false">AV61*AW61</f>
        <v>520055.147931158</v>
      </c>
      <c r="AY61" s="14" t="n">
        <f aca="false">AV61</f>
        <v>944903.875839859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0</v>
      </c>
      <c r="D62" s="0" t="n">
        <f aca="false">IF(B62&lt;0,0,INT(B62/($B$8+$B$10)))</f>
        <v>1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0</v>
      </c>
      <c r="G62" s="14" t="n">
        <f aca="false">IF($A62&lt;=$G$4,$E$4*$F$4,IF(C62&gt;=$B$8,E62*$B$4*(1+$B$5)^(($G$4+$B$8+D62*($B$8+$B$10))/4),0))</f>
        <v>0</v>
      </c>
      <c r="H62" s="14" t="n">
        <f aca="false">IF($A62&lt;=$G$4,0,IF(C62=0,E62*$B$6*(1+$B$7)^(($G$4+D62*($B$8+$B$10))/4),0)+IF(C62=$B$8,$B$11*$B$4*(1+$B$5)^(($G$4+$B$8+D62*($B$8+$B$10))/4)*E62,0))</f>
        <v>1791052.25933958</v>
      </c>
      <c r="I62" s="21" t="n">
        <f aca="false">IF($A62&lt;=$G$4,0,IF(C62&lt;$B$8,E62,0))</f>
        <v>4200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282683.570049258</v>
      </c>
      <c r="O62" s="14" t="n">
        <f aca="false">IF($A62&lt;=$G$5,$E$5*$F$5,IF(K62&gt;=$B$8,M62*$B$4*(1+$B$5)^(($G$5+$B$8+L62*($B$8+$B$10))/4),0))</f>
        <v>1130734.28019703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148462.881728689</v>
      </c>
      <c r="W62" s="14" t="n">
        <f aca="false">IF($A62&lt;=$G$6,$E$6*$F$6,IF(S62&gt;=$B$8,U62*$B$4*(1+$B$5)^(($G$6+$B$8+T62*($B$8+$B$10))/4),0))</f>
        <v>593851.526914756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4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97482.9860135919</v>
      </c>
      <c r="AE62" s="14" t="n">
        <f aca="false">IF($A62&lt;=$G$7,$E$7*$F$7,IF(AA62&gt;=$B$8,AC62*$B$4*(1+$B$5)^(($G$7+$B$8+AB62*($B$8+$B$10))/4),0))</f>
        <v>389931.944054368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10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203651.493686831</v>
      </c>
      <c r="AM62" s="14" t="n">
        <f aca="false">IF($A62&lt;=$G$8,$E$8*$F$8,IF(AI62&gt;=$B$8,AK62*$B$4*(1+$B$5)^(($G$8+$B$8+AJ62*($B$8+$B$10))/4),0))</f>
        <v>814605.974747323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732280.931478369</v>
      </c>
      <c r="AQ62" s="14" t="n">
        <f aca="false">G62+O62+W62+AE62+AM62</f>
        <v>2929123.72591348</v>
      </c>
      <c r="AR62" s="14" t="n">
        <f aca="false">H62+P62+X62+AF62+AN62+IF($A62=$B$15,$B$14,0)</f>
        <v>1791052.25933958</v>
      </c>
      <c r="AS62" s="21" t="n">
        <f aca="false">I62+Q62+Y62+AG62+AO62</f>
        <v>4200</v>
      </c>
      <c r="AT62" s="14" t="n">
        <f aca="false">AP62*(1-$B$12)-AS62*$B$13/4</f>
        <v>630594.075589667</v>
      </c>
      <c r="AU62" s="14" t="n">
        <f aca="false">0</f>
        <v>0</v>
      </c>
      <c r="AV62" s="14" t="n">
        <f aca="false">AT62-AR62-AU62</f>
        <v>-1160458.18374991</v>
      </c>
      <c r="AW62" s="21" t="n">
        <f aca="false">(1+$B$16)^(-$A62/4)</f>
        <v>0.540203569603995</v>
      </c>
      <c r="AX62" s="14" t="n">
        <f aca="false">AV62*AW62</f>
        <v>-626883.653237871</v>
      </c>
      <c r="AY62" s="14" t="n">
        <f aca="false">AV62</f>
        <v>-1160458.18374991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1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282683.570049258</v>
      </c>
      <c r="O63" s="14" t="n">
        <f aca="false">IF($A63&lt;=$G$5,$E$5*$F$5,IF(K63&gt;=$B$8,M63*$B$4*(1+$B$5)^(($G$5+$B$8+L63*($B$8+$B$10))/4),0))</f>
        <v>1130734.28019703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148462.881728689</v>
      </c>
      <c r="W63" s="14" t="n">
        <f aca="false">IF($A63&lt;=$G$6,$E$6*$F$6,IF(S63&gt;=$B$8,U63*$B$4*(1+$B$5)^(($G$6+$B$8+T63*($B$8+$B$10))/4),0))</f>
        <v>593851.526914756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5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97482.9860135919</v>
      </c>
      <c r="AE63" s="14" t="n">
        <f aca="false">IF($A63&lt;=$G$7,$E$7*$F$7,IF(AA63&gt;=$B$8,AC63*$B$4*(1+$B$5)^(($G$7+$B$8+AB63*($B$8+$B$10))/4),0))</f>
        <v>389931.944054368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11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203651.493686831</v>
      </c>
      <c r="AM63" s="14" t="n">
        <f aca="false">IF($A63&lt;=$G$8,$E$8*$F$8,IF(AI63&gt;=$B$8,AK63*$B$4*(1+$B$5)^(($G$8+$B$8+AJ63*($B$8+$B$10))/4),0))</f>
        <v>814605.974747323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732280.931478369</v>
      </c>
      <c r="AQ63" s="14" t="n">
        <f aca="false">G63+O63+W63+AE63+AM63</f>
        <v>2929123.72591348</v>
      </c>
      <c r="AR63" s="14" t="n">
        <f aca="false">H63+P63+X63+AF63+AN63+IF($A63=$B$15,$B$14,0)</f>
        <v>0</v>
      </c>
      <c r="AS63" s="21" t="n">
        <f aca="false">I63+Q63+Y63+AG63+AO63</f>
        <v>4200</v>
      </c>
      <c r="AT63" s="14" t="n">
        <f aca="false">AP63*(1-$B$12)-AS63*$B$13/4</f>
        <v>630594.075589667</v>
      </c>
      <c r="AU63" s="14" t="n">
        <f aca="false">0</f>
        <v>0</v>
      </c>
      <c r="AV63" s="14" t="n">
        <f aca="false">AT63-AR63-AU63</f>
        <v>630594.075589667</v>
      </c>
      <c r="AW63" s="21" t="n">
        <f aca="false">(1+$B$16)^(-$A63/4)</f>
        <v>0.530216367348056</v>
      </c>
      <c r="AX63" s="14" t="n">
        <f aca="false">AV63*AW63</f>
        <v>334351.300030359</v>
      </c>
      <c r="AY63" s="14" t="n">
        <f aca="false">AV63</f>
        <v>630594.075589667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2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1674562.73374148</v>
      </c>
      <c r="H64" s="14" t="n">
        <f aca="false">IF($A64&lt;=$G$4,0,IF(C64=0,E64*$B$6*(1+$B$7)^(($G$4+D64*($B$8+$B$10))/4),0)+IF(C64=$B$8,$B$11*$B$4*(1+$B$5)^(($G$4+$B$8+D64*($B$8+$B$10))/4)*E64,0))</f>
        <v>200947.528048978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282683.570049258</v>
      </c>
      <c r="O64" s="14" t="n">
        <f aca="false">IF($A64&lt;=$G$5,$E$5*$F$5,IF(K64&gt;=$B$8,M64*$B$4*(1+$B$5)^(($G$5+$B$8+L64*($B$8+$B$10))/4),0))</f>
        <v>1130734.28019703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148462.881728689</v>
      </c>
      <c r="W64" s="14" t="n">
        <f aca="false">IF($A64&lt;=$G$6,$E$6*$F$6,IF(S64&gt;=$B$8,U64*$B$4*(1+$B$5)^(($G$6+$B$8+T64*($B$8+$B$10))/4),0))</f>
        <v>593851.526914756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6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97482.9860135919</v>
      </c>
      <c r="AE64" s="14" t="n">
        <f aca="false">IF($A64&lt;=$G$7,$E$7*$F$7,IF(AA64&gt;=$B$8,AC64*$B$4*(1+$B$5)^(($G$7+$B$8+AB64*($B$8+$B$10))/4),0))</f>
        <v>389931.944054368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12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203651.493686831</v>
      </c>
      <c r="AM64" s="14" t="n">
        <f aca="false">IF($A64&lt;=$G$8,$E$8*$F$8,IF(AI64&gt;=$B$8,AK64*$B$4*(1+$B$5)^(($G$8+$B$8+AJ64*($B$8+$B$10))/4),0))</f>
        <v>814605.974747323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732280.931478369</v>
      </c>
      <c r="AQ64" s="14" t="n">
        <f aca="false">G64+O64+W64+AE64+AM64</f>
        <v>4603686.45965496</v>
      </c>
      <c r="AR64" s="14" t="n">
        <f aca="false">H64+P64+X64+AF64+AN64+IF($A64=$B$15,$B$14,0)</f>
        <v>200947.528048978</v>
      </c>
      <c r="AS64" s="21" t="n">
        <f aca="false">I64+Q64+Y64+AG64+AO64</f>
        <v>0</v>
      </c>
      <c r="AT64" s="14" t="n">
        <f aca="false">AP64*(1-$B$12)-AS64*$B$13/4</f>
        <v>688344.075589667</v>
      </c>
      <c r="AU64" s="14" t="n">
        <f aca="false">0</f>
        <v>0</v>
      </c>
      <c r="AV64" s="14" t="n">
        <f aca="false">AT64-AR64-AU64</f>
        <v>487396.547540689</v>
      </c>
      <c r="AW64" s="21" t="n">
        <f aca="false">(1+$B$16)^(-$A64/4)</f>
        <v>0.520413806983644</v>
      </c>
      <c r="AX64" s="14" t="n">
        <f aca="false">AV64*AW64</f>
        <v>253647.892816335</v>
      </c>
      <c r="AY64" s="14" t="n">
        <f aca="false">AV64</f>
        <v>487396.547540689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3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1674562.73374148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282683.570049258</v>
      </c>
      <c r="O65" s="14" t="n">
        <f aca="false">IF($A65&lt;=$G$5,$E$5*$F$5,IF(K65&gt;=$B$8,M65*$B$4*(1+$B$5)^(($G$5+$B$8+L65*($B$8+$B$10))/4),0))</f>
        <v>1130734.28019703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148462.881728689</v>
      </c>
      <c r="W65" s="14" t="n">
        <f aca="false">IF($A65&lt;=$G$6,$E$6*$F$6,IF(S65&gt;=$B$8,U65*$B$4*(1+$B$5)^(($G$6+$B$8+T65*($B$8+$B$10))/4),0))</f>
        <v>593851.526914756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7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97482.9860135919</v>
      </c>
      <c r="AE65" s="14" t="n">
        <f aca="false">IF($A65&lt;=$G$7,$E$7*$F$7,IF(AA65&gt;=$B$8,AC65*$B$4*(1+$B$5)^(($G$7+$B$8+AB65*($B$8+$B$10))/4),0))</f>
        <v>389931.944054368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13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203651.493686831</v>
      </c>
      <c r="AM65" s="14" t="n">
        <f aca="false">IF($A65&lt;=$G$8,$E$8*$F$8,IF(AI65&gt;=$B$8,AK65*$B$4*(1+$B$5)^(($G$8+$B$8+AJ65*($B$8+$B$10))/4),0))</f>
        <v>814605.974747323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732280.931478369</v>
      </c>
      <c r="AQ65" s="14" t="n">
        <f aca="false">G65+O65+W65+AE65+AM65</f>
        <v>4603686.45965496</v>
      </c>
      <c r="AR65" s="14" t="n">
        <f aca="false">H65+P65+X65+AF65+AN65+IF($A65=$B$15,$B$14,0)</f>
        <v>0</v>
      </c>
      <c r="AS65" s="21" t="n">
        <f aca="false">I65+Q65+Y65+AG65+AO65</f>
        <v>0</v>
      </c>
      <c r="AT65" s="14" t="n">
        <f aca="false">AP65*(1-$B$12)-AS65*$B$13/4</f>
        <v>688344.075589667</v>
      </c>
      <c r="AU65" s="14" t="n">
        <f aca="false">0</f>
        <v>0</v>
      </c>
      <c r="AV65" s="14" t="n">
        <f aca="false">AT65-AR65-AU65</f>
        <v>688344.075589667</v>
      </c>
      <c r="AW65" s="21" t="n">
        <f aca="false">(1+$B$16)^(-$A65/4)</f>
        <v>0.51079247487927</v>
      </c>
      <c r="AX65" s="14" t="n">
        <f aca="false">AV65*AW65</f>
        <v>351600.973938929</v>
      </c>
      <c r="AY65" s="14" t="n">
        <f aca="false">AV65</f>
        <v>688344.075589667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4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418640.68343537</v>
      </c>
      <c r="G66" s="14" t="n">
        <f aca="false">IF($A66&lt;=$G$4,$E$4*$F$4,IF(C66&gt;=$B$8,E66*$B$4*(1+$B$5)^(($G$4+$B$8+D66*($B$8+$B$10))/4),0))</f>
        <v>1674562.73374148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282683.570049258</v>
      </c>
      <c r="O66" s="14" t="n">
        <f aca="false">IF($A66&lt;=$G$5,$E$5*$F$5,IF(K66&gt;=$B$8,M66*$B$4*(1+$B$5)^(($G$5+$B$8+L66*($B$8+$B$10))/4),0))</f>
        <v>1130734.28019703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148462.881728689</v>
      </c>
      <c r="W66" s="14" t="n">
        <f aca="false">IF($A66&lt;=$G$6,$E$6*$F$6,IF(S66&gt;=$B$8,U66*$B$4*(1+$B$5)^(($G$6+$B$8+T66*($B$8+$B$10))/4),0))</f>
        <v>593851.526914756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8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97482.9860135919</v>
      </c>
      <c r="AE66" s="14" t="n">
        <f aca="false">IF($A66&lt;=$G$7,$E$7*$F$7,IF(AA66&gt;=$B$8,AC66*$B$4*(1+$B$5)^(($G$7+$B$8+AB66*($B$8+$B$10))/4),0))</f>
        <v>389931.944054368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14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203651.493686831</v>
      </c>
      <c r="AM66" s="14" t="n">
        <f aca="false">IF($A66&lt;=$G$8,$E$8*$F$8,IF(AI66&gt;=$B$8,AK66*$B$4*(1+$B$5)^(($G$8+$B$8+AJ66*($B$8+$B$10))/4),0))</f>
        <v>814605.974747323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1150921.61491374</v>
      </c>
      <c r="AQ66" s="14" t="n">
        <f aca="false">G66+O66+W66+AE66+AM66</f>
        <v>4603686.45965496</v>
      </c>
      <c r="AR66" s="14" t="n">
        <f aca="false">H66+P66+X66+AF66+AN66+IF($A66=$B$15,$B$14,0)</f>
        <v>0</v>
      </c>
      <c r="AS66" s="21" t="n">
        <f aca="false">I66+Q66+Y66+AG66+AO66</f>
        <v>0</v>
      </c>
      <c r="AT66" s="14" t="n">
        <f aca="false">AP66*(1-$B$12)-AS66*$B$13/4</f>
        <v>1081866.31801892</v>
      </c>
      <c r="AU66" s="14" t="n">
        <f aca="false">0</f>
        <v>0</v>
      </c>
      <c r="AV66" s="14" t="n">
        <f aca="false">AT66-AR66-AU66</f>
        <v>1081866.31801892</v>
      </c>
      <c r="AW66" s="21" t="n">
        <f aca="false">(1+$B$16)^(-$A66/4)</f>
        <v>0.501349020514149</v>
      </c>
      <c r="AX66" s="14" t="n">
        <f aca="false">AV66*AW66</f>
        <v>542392.618866032</v>
      </c>
      <c r="AY66" s="14" t="n">
        <f aca="false">AV66</f>
        <v>1081866.31801892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5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418640.68343537</v>
      </c>
      <c r="G67" s="14" t="n">
        <f aca="false">IF($A67&lt;=$G$4,$E$4*$F$4,IF(C67&gt;=$B$8,E67*$B$4*(1+$B$5)^(($G$4+$B$8+D67*($B$8+$B$10))/4),0))</f>
        <v>1674562.73374148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282683.570049258</v>
      </c>
      <c r="O67" s="14" t="n">
        <f aca="false">IF($A67&lt;=$G$5,$E$5*$F$5,IF(K67&gt;=$B$8,M67*$B$4*(1+$B$5)^(($G$5+$B$8+L67*($B$8+$B$10))/4),0))</f>
        <v>1130734.28019703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148462.881728689</v>
      </c>
      <c r="W67" s="14" t="n">
        <f aca="false">IF($A67&lt;=$G$6,$E$6*$F$6,IF(S67&gt;=$B$8,U67*$B$4*(1+$B$5)^(($G$6+$B$8+T67*($B$8+$B$10))/4),0))</f>
        <v>593851.526914756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9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97482.9860135919</v>
      </c>
      <c r="AE67" s="14" t="n">
        <f aca="false">IF($A67&lt;=$G$7,$E$7*$F$7,IF(AA67&gt;=$B$8,AC67*$B$4*(1+$B$5)^(($G$7+$B$8+AB67*($B$8+$B$10))/4),0))</f>
        <v>389931.944054368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15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203651.493686831</v>
      </c>
      <c r="AM67" s="14" t="n">
        <f aca="false">IF($A67&lt;=$G$8,$E$8*$F$8,IF(AI67&gt;=$B$8,AK67*$B$4*(1+$B$5)^(($G$8+$B$8+AJ67*($B$8+$B$10))/4),0))</f>
        <v>814605.974747323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1150921.61491374</v>
      </c>
      <c r="AQ67" s="14" t="n">
        <f aca="false">G67+O67+W67+AE67+AM67</f>
        <v>4603686.45965496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1081866.31801892</v>
      </c>
      <c r="AU67" s="14" t="n">
        <f aca="false">0</f>
        <v>0</v>
      </c>
      <c r="AV67" s="14" t="n">
        <f aca="false">AT67-AR67-AU67</f>
        <v>1081866.31801892</v>
      </c>
      <c r="AW67" s="21" t="n">
        <f aca="false">(1+$B$16)^(-$A67/4)</f>
        <v>0.492080155311421</v>
      </c>
      <c r="AX67" s="14" t="n">
        <f aca="false">AV67*AW67</f>
        <v>532364.945796943</v>
      </c>
      <c r="AY67" s="14" t="n">
        <f aca="false">AV67</f>
        <v>1081866.31801892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6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418640.68343537</v>
      </c>
      <c r="G68" s="14" t="n">
        <f aca="false">IF($A68&lt;=$G$4,$E$4*$F$4,IF(C68&gt;=$B$8,E68*$B$4*(1+$B$5)^(($G$4+$B$8+D68*($B$8+$B$10))/4),0))</f>
        <v>1674562.73374148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0</v>
      </c>
      <c r="L68" s="21" t="n">
        <f aca="false">IF(J68&lt;0,0,INT(J68/($B$8+$B$10)))</f>
        <v>1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0</v>
      </c>
      <c r="O68" s="14" t="n">
        <f aca="false">IF($A68&lt;=$G$5,$E$5*$F$5,IF(K68&gt;=$B$8,M68*$B$4*(1+$B$5)^(($G$5+$B$8+L68*($B$8+$B$10))/4),0))</f>
        <v>0</v>
      </c>
      <c r="P68" s="14" t="n">
        <f aca="false">IF($A68&lt;=$G$5,0,IF(K68=0,M68*$B$6*(1+$B$7)^(($G$5+L68*($B$8+$B$10))/4),0)+IF(K68=$B$8,$B$11*$B$4*(1+$B$5)^(($G$5+$B$8+L68*($B$8+$B$10))/4)*M68,0))</f>
        <v>1371849.46871034</v>
      </c>
      <c r="Q68" s="21" t="n">
        <f aca="false">IF($A68&lt;=$G$5,0,IF(K68&lt;$B$8,M68,0))</f>
        <v>3100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148462.881728689</v>
      </c>
      <c r="W68" s="14" t="n">
        <f aca="false">IF($A68&lt;=$G$6,$E$6*$F$6,IF(S68&gt;=$B$8,U68*$B$4*(1+$B$5)^(($G$6+$B$8+T68*($B$8+$B$10))/4),0))</f>
        <v>593851.526914756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10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97482.9860135919</v>
      </c>
      <c r="AE68" s="14" t="n">
        <f aca="false">IF($A68&lt;=$G$7,$E$7*$F$7,IF(AA68&gt;=$B$8,AC68*$B$4*(1+$B$5)^(($G$7+$B$8+AB68*($B$8+$B$10))/4),0))</f>
        <v>389931.944054368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16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203651.493686831</v>
      </c>
      <c r="AM68" s="14" t="n">
        <f aca="false">IF($A68&lt;=$G$8,$E$8*$F$8,IF(AI68&gt;=$B$8,AK68*$B$4*(1+$B$5)^(($G$8+$B$8+AJ68*($B$8+$B$10))/4),0))</f>
        <v>814605.974747323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868238.044864482</v>
      </c>
      <c r="AQ68" s="14" t="n">
        <f aca="false">G68+O68+W68+AE68+AM68</f>
        <v>3472952.17945793</v>
      </c>
      <c r="AR68" s="14" t="n">
        <f aca="false">H68+P68+X68+AF68+AN68+IF($A68=$B$15,$B$14,0)</f>
        <v>1371849.46871034</v>
      </c>
      <c r="AS68" s="21" t="n">
        <f aca="false">I68+Q68+Y68+AG68+AO68</f>
        <v>3100</v>
      </c>
      <c r="AT68" s="14" t="n">
        <f aca="false">AP68*(1-$B$12)-AS68*$B$13/4</f>
        <v>773518.762172613</v>
      </c>
      <c r="AU68" s="14" t="n">
        <f aca="false">0</f>
        <v>0</v>
      </c>
      <c r="AV68" s="14" t="n">
        <f aca="false">AT68-AR68-AU68</f>
        <v>-598330.706537726</v>
      </c>
      <c r="AW68" s="21" t="n">
        <f aca="false">(1+$B$16)^(-$A68/4)</f>
        <v>0.482982651492941</v>
      </c>
      <c r="AX68" s="14" t="n">
        <f aca="false">AV68*AW68</f>
        <v>-288983.351113236</v>
      </c>
      <c r="AY68" s="14" t="n">
        <f aca="false">AV68</f>
        <v>-598330.706537726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7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418640.68343537</v>
      </c>
      <c r="G69" s="14" t="n">
        <f aca="false">IF($A69&lt;=$G$4,$E$4*$F$4,IF(C69&gt;=$B$8,E69*$B$4*(1+$B$5)^(($G$4+$B$8+D69*($B$8+$B$10))/4),0))</f>
        <v>1674562.73374148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1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148462.881728689</v>
      </c>
      <c r="W69" s="14" t="n">
        <f aca="false">IF($A69&lt;=$G$6,$E$6*$F$6,IF(S69&gt;=$B$8,U69*$B$4*(1+$B$5)^(($G$6+$B$8+T69*($B$8+$B$10))/4),0))</f>
        <v>593851.526914756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11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97482.9860135919</v>
      </c>
      <c r="AE69" s="14" t="n">
        <f aca="false">IF($A69&lt;=$G$7,$E$7*$F$7,IF(AA69&gt;=$B$8,AC69*$B$4*(1+$B$5)^(($G$7+$B$8+AB69*($B$8+$B$10))/4),0))</f>
        <v>389931.944054368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17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203651.493686831</v>
      </c>
      <c r="AM69" s="14" t="n">
        <f aca="false">IF($A69&lt;=$G$8,$E$8*$F$8,IF(AI69&gt;=$B$8,AK69*$B$4*(1+$B$5)^(($G$8+$B$8+AJ69*($B$8+$B$10))/4),0))</f>
        <v>814605.974747323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868238.044864482</v>
      </c>
      <c r="AQ69" s="14" t="n">
        <f aca="false">G69+O69+W69+AE69+AM69</f>
        <v>3472952.17945793</v>
      </c>
      <c r="AR69" s="14" t="n">
        <f aca="false">H69+P69+X69+AF69+AN69+IF($A69=$B$15,$B$14,0)</f>
        <v>0</v>
      </c>
      <c r="AS69" s="21" t="n">
        <f aca="false">I69+Q69+Y69+AG69+AO69</f>
        <v>3100</v>
      </c>
      <c r="AT69" s="14" t="n">
        <f aca="false">AP69*(1-$B$12)-AS69*$B$13/4</f>
        <v>773518.762172613</v>
      </c>
      <c r="AU69" s="14" t="n">
        <f aca="false">0</f>
        <v>0</v>
      </c>
      <c r="AV69" s="14" t="n">
        <f aca="false">AT69-AR69-AU69</f>
        <v>773518.762172613</v>
      </c>
      <c r="AW69" s="21" t="n">
        <f aca="false">(1+$B$16)^(-$A69/4)</f>
        <v>0.474053340955239</v>
      </c>
      <c r="AX69" s="14" t="n">
        <f aca="false">AV69*AW69</f>
        <v>366689.153499488</v>
      </c>
      <c r="AY69" s="14" t="n">
        <f aca="false">AV69+$J$9</f>
        <v>69690405.3293665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326</v>
      </c>
    </row>
    <row r="2" customFormat="false" ht="15" hidden="false" customHeight="false" outlineLevel="0" collapsed="false">
      <c r="A2" s="22" t="s">
        <v>327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26" t="n">
        <v>225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260.151557335969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3068531.08175466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0</v>
      </c>
    </row>
    <row r="8" customFormat="false" ht="15" hidden="false" customHeight="false" outlineLevel="0" collapsed="false">
      <c r="A8" s="0" t="s">
        <v>26</v>
      </c>
      <c r="B8" s="24" t="n">
        <v>5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2884419.21684938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35514411.6074579</v>
      </c>
    </row>
    <row r="10" customFormat="false" ht="15" hidden="false" customHeight="false" outlineLevel="0" collapsed="false">
      <c r="A10" s="0" t="s">
        <v>28</v>
      </c>
      <c r="B10" s="24" t="n">
        <v>12</v>
      </c>
      <c r="I10" s="21" t="s">
        <v>103</v>
      </c>
      <c r="J10" s="14" t="n">
        <f aca="false">SUM(AX29:AX69)</f>
        <v>4167908.74858295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16835725.4745749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21003634.2231579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19721722.2752656</v>
      </c>
    </row>
    <row r="14" customFormat="false" ht="15" hidden="false" customHeight="false" outlineLevel="0" collapsed="false">
      <c r="A14" s="0" t="s">
        <v>32</v>
      </c>
      <c r="B14" s="27" t="n">
        <v>0</v>
      </c>
      <c r="I14" s="21" t="s">
        <v>107</v>
      </c>
      <c r="J14" s="23" t="n">
        <f aca="false">J11/J12</f>
        <v>0.801562496075676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-0.014859027443314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16920668.8458195</v>
      </c>
    </row>
    <row r="17" customFormat="false" ht="15" hidden="false" customHeight="false" outlineLevel="0" collapsed="false">
      <c r="A17" s="0" t="s">
        <v>35</v>
      </c>
      <c r="B17" s="25" t="n">
        <v>0.08</v>
      </c>
      <c r="I17" s="21" t="s">
        <v>109</v>
      </c>
      <c r="J17" s="14" t="n">
        <f aca="false">SUM(AR30:AR69)</f>
        <v>12436268.0678738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-12829477.6197573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-0.394132248922686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0</v>
      </c>
      <c r="AN33" s="14" t="n">
        <f aca="false">IF($A33&lt;=$G$8,0,IF(AI33=0,AK33*$B$6*(1+$B$7)^(($G$8+AJ33*($B$8+$B$10))/4),0)+IF(AI33=$B$8,$B$11*$B$4*(1+$B$5)^(($G$8+$B$8+AJ33*($B$8+$B$10))/4)*AK33,0))</f>
        <v>0</v>
      </c>
      <c r="AO33" s="21" t="n">
        <f aca="false">IF($A33&lt;=$G$8,0,IF(AI33&lt;$B$8,AK33,0))</f>
        <v>2160</v>
      </c>
      <c r="AP33" s="14" t="n">
        <f aca="false">F33+N33+V33+AD33+AL33</f>
        <v>762235</v>
      </c>
      <c r="AQ33" s="14" t="n">
        <f aca="false">G33+O33+W33+AE33+AM33</f>
        <v>3048940</v>
      </c>
      <c r="AR33" s="14" t="n">
        <f aca="false">H33+P33+X33+AF33+AN33+IF($A33=$B$15,$B$14,0)</f>
        <v>0</v>
      </c>
      <c r="AS33" s="21" t="n">
        <f aca="false">I33+Q33+Y33+AG33+AO33</f>
        <v>2160</v>
      </c>
      <c r="AT33" s="14" t="n">
        <f aca="false">AP33*(1-$B$12)-AS33*$B$13/4</f>
        <v>686800.9</v>
      </c>
      <c r="AU33" s="14" t="n">
        <f aca="false">0</f>
        <v>0</v>
      </c>
      <c r="AV33" s="14" t="n">
        <f aca="false">AT33-AR33-AU33</f>
        <v>686800.9</v>
      </c>
      <c r="AW33" s="21" t="n">
        <f aca="false">(1+$B$16)^(-$A33/4)</f>
        <v>0.928074245939675</v>
      </c>
      <c r="AX33" s="14" t="n">
        <f aca="false">AV33*AW33</f>
        <v>637402.22737819</v>
      </c>
      <c r="AY33" s="14" t="n">
        <f aca="false">AV33</f>
        <v>686800.9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0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2160</v>
      </c>
      <c r="AP34" s="14" t="n">
        <f aca="false">F34+N34+V34+AD34+AL34</f>
        <v>762235</v>
      </c>
      <c r="AQ34" s="14" t="n">
        <f aca="false">G34+O34+W34+AE34+AM34</f>
        <v>3048940</v>
      </c>
      <c r="AR34" s="14" t="n">
        <f aca="false">H34+P34+X34+AF34+AN34+IF($A34=$B$15,$B$14,0)</f>
        <v>0</v>
      </c>
      <c r="AS34" s="21" t="n">
        <f aca="false">I34+Q34+Y34+AG34+AO34</f>
        <v>2160</v>
      </c>
      <c r="AT34" s="14" t="n">
        <f aca="false">AP34*(1-$B$12)-AS34*$B$13/4</f>
        <v>686800.9</v>
      </c>
      <c r="AU34" s="14" t="n">
        <f aca="false">0</f>
        <v>0</v>
      </c>
      <c r="AV34" s="14" t="n">
        <f aca="false">AT34-AR34-AU34</f>
        <v>686800.9</v>
      </c>
      <c r="AW34" s="21" t="n">
        <f aca="false">(1+$B$16)^(-$A34/4)</f>
        <v>0.910916149021652</v>
      </c>
      <c r="AX34" s="14" t="n">
        <f aca="false">AV34*AW34</f>
        <v>625618.030972605</v>
      </c>
      <c r="AY34" s="14" t="n">
        <f aca="false">AV34</f>
        <v>686800.9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495129.522282272</v>
      </c>
      <c r="AN35" s="14" t="n">
        <f aca="false">IF($A35&lt;=$G$8,0,IF(AI35=0,AK35*$B$6*(1+$B$7)^(($G$8+AJ35*($B$8+$B$10))/4),0)+IF(AI35=$B$8,$B$11*$B$4*(1+$B$5)^(($G$8+$B$8+AJ35*($B$8+$B$10))/4)*AK35,0))</f>
        <v>59415.5426738726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3544069.52228227</v>
      </c>
      <c r="AR35" s="14" t="n">
        <f aca="false">H35+P35+X35+AF35+AN35+IF($A35=$B$15,$B$14,0)</f>
        <v>59415.5426738726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657085.357326127</v>
      </c>
      <c r="AW35" s="21" t="n">
        <f aca="false">(1+$B$16)^(-$A35/4)</f>
        <v>0.894075268415941</v>
      </c>
      <c r="AX35" s="14" t="n">
        <f aca="false">AV35*AW35</f>
        <v>587483.767223542</v>
      </c>
      <c r="AY35" s="14" t="n">
        <f aca="false">AV35</f>
        <v>657085.357326127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0</v>
      </c>
      <c r="AM36" s="14" t="n">
        <f aca="false">IF($A36&lt;=$G$8,$E$8*$F$8,IF(AI36&gt;=$B$8,AK36*$B$4*(1+$B$5)^(($G$8+$B$8+AJ36*($B$8+$B$10))/4),0))</f>
        <v>495129.522282272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684235</v>
      </c>
      <c r="AQ36" s="14" t="n">
        <f aca="false">G36+O36+W36+AE36+AM36</f>
        <v>3232069.52228227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629430.9</v>
      </c>
      <c r="AU36" s="14" t="n">
        <f aca="false">0</f>
        <v>0</v>
      </c>
      <c r="AV36" s="14" t="n">
        <f aca="false">AT36-AR36-AU36</f>
        <v>193582.86885841</v>
      </c>
      <c r="AW36" s="21" t="n">
        <f aca="false">(1+$B$16)^(-$A36/4)</f>
        <v>0.877545739475122</v>
      </c>
      <c r="AX36" s="14" t="n">
        <f aca="false">AV36*AW36</f>
        <v>169877.821802069</v>
      </c>
      <c r="AY36" s="14" t="n">
        <f aca="false">AV36</f>
        <v>193582.86885841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0</v>
      </c>
      <c r="AM37" s="14" t="n">
        <f aca="false">IF($A37&lt;=$G$8,$E$8*$F$8,IF(AI37&gt;=$B$8,AK37*$B$4*(1+$B$5)^(($G$8+$B$8+AJ37*($B$8+$B$10))/4),0))</f>
        <v>495129.522282272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684235</v>
      </c>
      <c r="AQ37" s="14" t="n">
        <f aca="false">G37+O37+W37+AE37+AM37</f>
        <v>3232069.52228227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629430.9</v>
      </c>
      <c r="AU37" s="14" t="n">
        <f aca="false">0</f>
        <v>0</v>
      </c>
      <c r="AV37" s="14" t="n">
        <f aca="false">AT37-AR37-AU37</f>
        <v>629430.9</v>
      </c>
      <c r="AW37" s="21" t="n">
        <f aca="false">(1+$B$16)^(-$A37/4)</f>
        <v>0.861321805976497</v>
      </c>
      <c r="AX37" s="14" t="n">
        <f aca="false">AV37*AW37</f>
        <v>542142.559525412</v>
      </c>
      <c r="AY37" s="14" t="n">
        <f aca="false">AV37</f>
        <v>629430.9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123782.380570568</v>
      </c>
      <c r="AM38" s="14" t="n">
        <f aca="false">IF($A38&lt;=$G$8,$E$8*$F$8,IF(AI38&gt;=$B$8,AK38*$B$4*(1+$B$5)^(($G$8+$B$8+AJ38*($B$8+$B$10))/4),0))</f>
        <v>495129.522282272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808017.380570568</v>
      </c>
      <c r="AQ38" s="14" t="n">
        <f aca="false">G38+O38+W38+AE38+AM38</f>
        <v>3232069.52228227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745786.337736334</v>
      </c>
      <c r="AU38" s="14" t="n">
        <f aca="false">0</f>
        <v>0</v>
      </c>
      <c r="AV38" s="14" t="n">
        <f aca="false">AT38-AR38-AU38</f>
        <v>745786.337736334</v>
      </c>
      <c r="AW38" s="21" t="n">
        <f aca="false">(1+$B$16)^(-$A38/4)</f>
        <v>0.845397818117543</v>
      </c>
      <c r="AX38" s="14" t="n">
        <f aca="false">AV38*AW38</f>
        <v>630486.14270417</v>
      </c>
      <c r="AY38" s="14" t="n">
        <f aca="false">AV38</f>
        <v>745786.337736334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0</v>
      </c>
      <c r="AF39" s="14" t="n">
        <f aca="false">IF($A39&lt;=$G$7,0,IF(AA39=0,AC39*$B$6*(1+$B$7)^(($G$7+AB39*($B$8+$B$10))/4),0)+IF(AA39=$B$8,$B$11*$B$4*(1+$B$5)^(($G$7+$B$8+AB39*($B$8+$B$10))/4)*AC39,0))</f>
        <v>0</v>
      </c>
      <c r="AG39" s="21" t="n">
        <f aca="false">IF($A39&lt;=$G$7,0,IF(AA39&lt;$B$8,AC39,0))</f>
        <v>1000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123782.380570568</v>
      </c>
      <c r="AM39" s="14" t="n">
        <f aca="false">IF($A39&lt;=$G$8,$E$8*$F$8,IF(AI39&gt;=$B$8,AK39*$B$4*(1+$B$5)^(($G$8+$B$8+AJ39*($B$8+$B$10))/4),0))</f>
        <v>495129.522282272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808017.380570568</v>
      </c>
      <c r="AQ39" s="14" t="n">
        <f aca="false">G39+O39+W39+AE39+AM39</f>
        <v>3232069.52228227</v>
      </c>
      <c r="AR39" s="14" t="n">
        <f aca="false">H39+P39+X39+AF39+AN39+IF($A39=$B$15,$B$14,0)</f>
        <v>0</v>
      </c>
      <c r="AS39" s="21" t="n">
        <f aca="false">I39+Q39+Y39+AG39+AO39</f>
        <v>1000</v>
      </c>
      <c r="AT39" s="14" t="n">
        <f aca="false">AP39*(1-$B$12)-AS39*$B$13/4</f>
        <v>745786.337736334</v>
      </c>
      <c r="AU39" s="14" t="n">
        <f aca="false">0</f>
        <v>0</v>
      </c>
      <c r="AV39" s="14" t="n">
        <f aca="false">AT39-AR39-AU39</f>
        <v>745786.337736334</v>
      </c>
      <c r="AW39" s="21" t="n">
        <f aca="false">(1+$B$16)^(-$A39/4)</f>
        <v>0.829768230548437</v>
      </c>
      <c r="AX39" s="14" t="n">
        <f aca="false">AV39*AW39</f>
        <v>618829.809830677</v>
      </c>
      <c r="AY39" s="14" t="n">
        <f aca="false">AV39</f>
        <v>745786.337736334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0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1000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123782.380570568</v>
      </c>
      <c r="AM40" s="14" t="n">
        <f aca="false">IF($A40&lt;=$G$8,$E$8*$F$8,IF(AI40&gt;=$B$8,AK40*$B$4*(1+$B$5)^(($G$8+$B$8+AJ40*($B$8+$B$10))/4),0))</f>
        <v>495129.522282272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474117.380570568</v>
      </c>
      <c r="AQ40" s="14" t="n">
        <f aca="false">G40+O40+W40+AE40+AM40</f>
        <v>1896469.52228227</v>
      </c>
      <c r="AR40" s="14" t="n">
        <f aca="false">H40+P40+X40+AF40+AN40+IF($A40=$B$15,$B$14,0)</f>
        <v>1876325.77406454</v>
      </c>
      <c r="AS40" s="21" t="n">
        <f aca="false">I40+Q40+Y40+AG40+AO40</f>
        <v>5200</v>
      </c>
      <c r="AT40" s="14" t="n">
        <f aca="false">AP40*(1-$B$12)-AS40*$B$13/4</f>
        <v>374170.337736334</v>
      </c>
      <c r="AU40" s="14" t="n">
        <f aca="false">0</f>
        <v>0</v>
      </c>
      <c r="AV40" s="14" t="n">
        <f aca="false">AT40-AR40-AU40</f>
        <v>-1502155.43632821</v>
      </c>
      <c r="AW40" s="21" t="n">
        <f aca="false">(1+$B$16)^(-$A40/4)</f>
        <v>0.814427600440949</v>
      </c>
      <c r="AX40" s="14" t="n">
        <f aca="false">AV40*AW40</f>
        <v>-1223396.84749811</v>
      </c>
      <c r="AY40" s="14" t="n">
        <f aca="false">AV40</f>
        <v>-1502155.43632821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234403.52279111</v>
      </c>
      <c r="AF41" s="14" t="n">
        <f aca="false">IF($A41&lt;=$G$7,0,IF(AA41=0,AC41*$B$6*(1+$B$7)^(($G$7+AB41*($B$8+$B$10))/4),0)+IF(AA41=$B$8,$B$11*$B$4*(1+$B$5)^(($G$7+$B$8+AB41*($B$8+$B$10))/4)*AC41,0))</f>
        <v>28128.4227349332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123782.380570568</v>
      </c>
      <c r="AM41" s="14" t="n">
        <f aca="false">IF($A41&lt;=$G$8,$E$8*$F$8,IF(AI41&gt;=$B$8,AK41*$B$4*(1+$B$5)^(($G$8+$B$8+AJ41*($B$8+$B$10))/4),0))</f>
        <v>495129.522282272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474117.380570568</v>
      </c>
      <c r="AQ41" s="14" t="n">
        <f aca="false">G41+O41+W41+AE41+AM41</f>
        <v>2130873.04507338</v>
      </c>
      <c r="AR41" s="14" t="n">
        <f aca="false">H41+P41+X41+AF41+AN41+IF($A41=$B$15,$B$14,0)</f>
        <v>28128.4227349332</v>
      </c>
      <c r="AS41" s="21" t="n">
        <f aca="false">I41+Q41+Y41+AG41+AO41</f>
        <v>4200</v>
      </c>
      <c r="AT41" s="14" t="n">
        <f aca="false">AP41*(1-$B$12)-AS41*$B$13/4</f>
        <v>387920.337736334</v>
      </c>
      <c r="AU41" s="14" t="n">
        <f aca="false">0</f>
        <v>0</v>
      </c>
      <c r="AV41" s="14" t="n">
        <f aca="false">AT41-AR41-AU41</f>
        <v>359791.915001401</v>
      </c>
      <c r="AW41" s="21" t="n">
        <f aca="false">(1+$B$16)^(-$A41/4)</f>
        <v>0.799370585593037</v>
      </c>
      <c r="AX41" s="14" t="n">
        <f aca="false">AV41*AW41</f>
        <v>287607.07378631</v>
      </c>
      <c r="AY41" s="14" t="n">
        <f aca="false">AV41</f>
        <v>359791.915001401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0</v>
      </c>
      <c r="AE42" s="14" t="n">
        <f aca="false">IF($A42&lt;=$G$7,$E$7*$F$7,IF(AA42&gt;=$B$8,AC42*$B$4*(1+$B$5)^(($G$7+$B$8+AB42*($B$8+$B$10))/4),0))</f>
        <v>234403.52279111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123782.380570568</v>
      </c>
      <c r="AM42" s="14" t="n">
        <f aca="false">IF($A42&lt;=$G$8,$E$8*$F$8,IF(AI42&gt;=$B$8,AK42*$B$4*(1+$B$5)^(($G$8+$B$8+AJ42*($B$8+$B$10))/4),0))</f>
        <v>495129.522282272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474117.380570568</v>
      </c>
      <c r="AQ42" s="14" t="n">
        <f aca="false">G42+O42+W42+AE42+AM42</f>
        <v>2130873.04507338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387920.337736334</v>
      </c>
      <c r="AU42" s="14" t="n">
        <f aca="false">0</f>
        <v>0</v>
      </c>
      <c r="AV42" s="14" t="n">
        <f aca="false">AT42-AR42-AU42</f>
        <v>387920.337736334</v>
      </c>
      <c r="AW42" s="21" t="n">
        <f aca="false">(1+$B$16)^(-$A42/4)</f>
        <v>0.784591942568485</v>
      </c>
      <c r="AX42" s="14" t="n">
        <f aca="false">AV42*AW42</f>
        <v>304359.171346373</v>
      </c>
      <c r="AY42" s="14" t="n">
        <f aca="false">AV42</f>
        <v>387920.337736334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0</v>
      </c>
      <c r="H43" s="14" t="n">
        <f aca="false">IF($A43&lt;=$G$4,0,IF(C43=0,E43*$B$6*(1+$B$7)^(($G$4+D43*($B$8+$B$10))/4),0)+IF(C43=$B$8,$B$11*$B$4*(1+$B$5)^(($G$4+$B$8+D43*($B$8+$B$10))/4)*E43,0))</f>
        <v>0</v>
      </c>
      <c r="I43" s="21" t="n">
        <f aca="false">IF($A43&lt;=$G$4,0,IF(C43&lt;$B$8,E43,0))</f>
        <v>4200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0</v>
      </c>
      <c r="AE43" s="14" t="n">
        <f aca="false">IF($A43&lt;=$G$7,$E$7*$F$7,IF(AA43&gt;=$B$8,AC43*$B$4*(1+$B$5)^(($G$7+$B$8+AB43*($B$8+$B$10))/4),0))</f>
        <v>234403.52279111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123782.380570568</v>
      </c>
      <c r="AM43" s="14" t="n">
        <f aca="false">IF($A43&lt;=$G$8,$E$8*$F$8,IF(AI43&gt;=$B$8,AK43*$B$4*(1+$B$5)^(($G$8+$B$8+AJ43*($B$8+$B$10))/4),0))</f>
        <v>495129.522282272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474117.380570568</v>
      </c>
      <c r="AQ43" s="14" t="n">
        <f aca="false">G43+O43+W43+AE43+AM43</f>
        <v>2130873.04507338</v>
      </c>
      <c r="AR43" s="14" t="n">
        <f aca="false">H43+P43+X43+AF43+AN43+IF($A43=$B$15,$B$14,0)</f>
        <v>0</v>
      </c>
      <c r="AS43" s="21" t="n">
        <f aca="false">I43+Q43+Y43+AG43+AO43</f>
        <v>4200</v>
      </c>
      <c r="AT43" s="14" t="n">
        <f aca="false">AP43*(1-$B$12)-AS43*$B$13/4</f>
        <v>387920.337736334</v>
      </c>
      <c r="AU43" s="14" t="n">
        <f aca="false">0</f>
        <v>0</v>
      </c>
      <c r="AV43" s="14" t="n">
        <f aca="false">AT43-AR43-AU43</f>
        <v>387920.337736334</v>
      </c>
      <c r="AW43" s="21" t="n">
        <f aca="false">(1+$B$16)^(-$A43/4)</f>
        <v>0.770086524870939</v>
      </c>
      <c r="AX43" s="14" t="n">
        <f aca="false">AV43*AW43</f>
        <v>298732.224814135</v>
      </c>
      <c r="AY43" s="14" t="n">
        <f aca="false">AV43</f>
        <v>387920.337736334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0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4200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58600.8806977774</v>
      </c>
      <c r="AE44" s="14" t="n">
        <f aca="false">IF($A44&lt;=$G$7,$E$7*$F$7,IF(AA44&gt;=$B$8,AC44*$B$4*(1+$B$5)^(($G$7+$B$8+AB44*($B$8+$B$10))/4),0))</f>
        <v>234403.52279111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123782.380570568</v>
      </c>
      <c r="AM44" s="14" t="n">
        <f aca="false">IF($A44&lt;=$G$8,$E$8*$F$8,IF(AI44&gt;=$B$8,AK44*$B$4*(1+$B$5)^(($G$8+$B$8+AJ44*($B$8+$B$10))/4),0))</f>
        <v>495129.522282272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532718.261268345</v>
      </c>
      <c r="AQ44" s="14" t="n">
        <f aca="false">G44+O44+W44+AE44+AM44</f>
        <v>2130873.04507338</v>
      </c>
      <c r="AR44" s="14" t="n">
        <f aca="false">H44+P44+X44+AF44+AN44+IF($A44=$B$15,$B$14,0)</f>
        <v>0</v>
      </c>
      <c r="AS44" s="21" t="n">
        <f aca="false">I44+Q44+Y44+AG44+AO44</f>
        <v>4200</v>
      </c>
      <c r="AT44" s="14" t="n">
        <f aca="false">AP44*(1-$B$12)-AS44*$B$13/4</f>
        <v>443005.165592245</v>
      </c>
      <c r="AU44" s="14" t="n">
        <f aca="false">0</f>
        <v>0</v>
      </c>
      <c r="AV44" s="14" t="n">
        <f aca="false">AT44-AR44-AU44</f>
        <v>443005.165592245</v>
      </c>
      <c r="AW44" s="21" t="n">
        <f aca="false">(1+$B$16)^(-$A44/4)</f>
        <v>0.755849281151693</v>
      </c>
      <c r="AX44" s="14" t="n">
        <f aca="false">AV44*AW44</f>
        <v>334845.135959385</v>
      </c>
      <c r="AY44" s="14" t="n">
        <f aca="false">AV44</f>
        <v>443005.165592245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999262.2176585</v>
      </c>
      <c r="H45" s="14" t="n">
        <f aca="false">IF($A45&lt;=$G$4,0,IF(C45=0,E45*$B$6*(1+$B$7)^(($G$4+D45*($B$8+$B$10))/4),0)+IF(C45=$B$8,$B$11*$B$4*(1+$B$5)^(($G$4+$B$8+D45*($B$8+$B$10))/4)*E45,0))</f>
        <v>119911.46611902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58600.8806977774</v>
      </c>
      <c r="AE45" s="14" t="n">
        <f aca="false">IF($A45&lt;=$G$7,$E$7*$F$7,IF(AA45&gt;=$B$8,AC45*$B$4*(1+$B$5)^(($G$7+$B$8+AB45*($B$8+$B$10))/4),0))</f>
        <v>234403.52279111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123782.380570568</v>
      </c>
      <c r="AM45" s="14" t="n">
        <f aca="false">IF($A45&lt;=$G$8,$E$8*$F$8,IF(AI45&gt;=$B$8,AK45*$B$4*(1+$B$5)^(($G$8+$B$8+AJ45*($B$8+$B$10))/4),0))</f>
        <v>495129.522282272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532718.261268345</v>
      </c>
      <c r="AQ45" s="14" t="n">
        <f aca="false">G45+O45+W45+AE45+AM45</f>
        <v>3130135.26273188</v>
      </c>
      <c r="AR45" s="14" t="n">
        <f aca="false">H45+P45+X45+AF45+AN45+IF($A45=$B$15,$B$14,0)</f>
        <v>119911.46611902</v>
      </c>
      <c r="AS45" s="21" t="n">
        <f aca="false">I45+Q45+Y45+AG45+AO45</f>
        <v>0</v>
      </c>
      <c r="AT45" s="14" t="n">
        <f aca="false">AP45*(1-$B$12)-AS45*$B$13/4</f>
        <v>500755.165592245</v>
      </c>
      <c r="AU45" s="14" t="n">
        <f aca="false">0</f>
        <v>0</v>
      </c>
      <c r="AV45" s="14" t="n">
        <f aca="false">AT45-AR45-AU45</f>
        <v>380843.699473225</v>
      </c>
      <c r="AW45" s="21" t="n">
        <f aca="false">(1+$B$16)^(-$A45/4)</f>
        <v>0.741875253450614</v>
      </c>
      <c r="AX45" s="14" t="n">
        <f aca="false">AV45*AW45</f>
        <v>282538.516071768</v>
      </c>
      <c r="AY45" s="14" t="n">
        <f aca="false">AV45</f>
        <v>380843.699473225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0</v>
      </c>
      <c r="G46" s="14" t="n">
        <f aca="false">IF($A46&lt;=$G$4,$E$4*$F$4,IF(C46&gt;=$B$8,E46*$B$4*(1+$B$5)^(($G$4+$B$8+D46*($B$8+$B$10))/4),0))</f>
        <v>999262.2176585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58600.8806977774</v>
      </c>
      <c r="AE46" s="14" t="n">
        <f aca="false">IF($A46&lt;=$G$7,$E$7*$F$7,IF(AA46&gt;=$B$8,AC46*$B$4*(1+$B$5)^(($G$7+$B$8+AB46*($B$8+$B$10))/4),0))</f>
        <v>234403.52279111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123782.380570568</v>
      </c>
      <c r="AM46" s="14" t="n">
        <f aca="false">IF($A46&lt;=$G$8,$E$8*$F$8,IF(AI46&gt;=$B$8,AK46*$B$4*(1+$B$5)^(($G$8+$B$8+AJ46*($B$8+$B$10))/4),0))</f>
        <v>495129.522282272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296343.261268345</v>
      </c>
      <c r="AQ46" s="14" t="n">
        <f aca="false">G46+O46+W46+AE46+AM46</f>
        <v>2184635.26273188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235937.665592245</v>
      </c>
      <c r="AU46" s="14" t="n">
        <f aca="false">0</f>
        <v>0</v>
      </c>
      <c r="AV46" s="14" t="n">
        <f aca="false">AT46-AR46-AU46</f>
        <v>-1201226.71800151</v>
      </c>
      <c r="AW46" s="21" t="n">
        <f aca="false">(1+$B$16)^(-$A46/4)</f>
        <v>0.728159575469592</v>
      </c>
      <c r="AX46" s="14" t="n">
        <f aca="false">AV46*AW46</f>
        <v>-874684.737022707</v>
      </c>
      <c r="AY46" s="14" t="n">
        <f aca="false">AV46</f>
        <v>-1201226.71800151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0</v>
      </c>
      <c r="G47" s="14" t="n">
        <f aca="false">IF($A47&lt;=$G$4,$E$4*$F$4,IF(C47&gt;=$B$8,E47*$B$4*(1+$B$5)^(($G$4+$B$8+D47*($B$8+$B$10))/4),0))</f>
        <v>999262.2176585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58600.8806977774</v>
      </c>
      <c r="AE47" s="14" t="n">
        <f aca="false">IF($A47&lt;=$G$7,$E$7*$F$7,IF(AA47&gt;=$B$8,AC47*$B$4*(1+$B$5)^(($G$7+$B$8+AB47*($B$8+$B$10))/4),0))</f>
        <v>234403.52279111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0</v>
      </c>
      <c r="AJ47" s="21" t="n">
        <f aca="false">IF(AH47&lt;0,0,INT(AH47/($B$8+$B$10)))</f>
        <v>1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0</v>
      </c>
      <c r="AM47" s="14" t="n">
        <f aca="false">IF($A47&lt;=$G$8,$E$8*$F$8,IF(AI47&gt;=$B$8,AK47*$B$4*(1+$B$5)^(($G$8+$B$8+AJ47*($B$8+$B$10))/4),0))</f>
        <v>0</v>
      </c>
      <c r="AN47" s="14" t="n">
        <f aca="false">IF($A47&lt;=$G$8,0,IF(AI47=0,AK47*$B$6*(1+$B$7)^(($G$8+AJ47*($B$8+$B$10))/4),0)+IF(AI47=$B$8,$B$11*$B$4*(1+$B$5)^(($G$8+$B$8+AJ47*($B$8+$B$10))/4)*AK47,0))</f>
        <v>1007579.84014502</v>
      </c>
      <c r="AO47" s="21" t="n">
        <f aca="false">IF($A47&lt;=$G$8,0,IF(AI47&lt;$B$8,AK47,0))</f>
        <v>2160</v>
      </c>
      <c r="AP47" s="14" t="n">
        <f aca="false">F47+N47+V47+AD47+AL47</f>
        <v>172560.880697777</v>
      </c>
      <c r="AQ47" s="14" t="n">
        <f aca="false">G47+O47+W47+AE47+AM47</f>
        <v>1689505.74044961</v>
      </c>
      <c r="AR47" s="14" t="n">
        <f aca="false">H47+P47+X47+AF47+AN47+IF($A47=$B$15,$B$14,0)</f>
        <v>1007579.84014502</v>
      </c>
      <c r="AS47" s="21" t="n">
        <f aca="false">I47+Q47+Y47+AG47+AO47</f>
        <v>5260</v>
      </c>
      <c r="AT47" s="14" t="n">
        <f aca="false">AP47*(1-$B$12)-AS47*$B$13/4</f>
        <v>89882.2278559108</v>
      </c>
      <c r="AU47" s="14" t="n">
        <f aca="false">0</f>
        <v>0</v>
      </c>
      <c r="AV47" s="14" t="n">
        <f aca="false">AT47-AR47-AU47</f>
        <v>-917697.612289111</v>
      </c>
      <c r="AW47" s="21" t="n">
        <f aca="false">(1+$B$16)^(-$A47/4)</f>
        <v>0.714697470877902</v>
      </c>
      <c r="AX47" s="14" t="n">
        <f aca="false">AV47*AW47</f>
        <v>-655876.162533717</v>
      </c>
      <c r="AY47" s="14" t="n">
        <f aca="false">AV47</f>
        <v>-917697.612289111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249815.554414625</v>
      </c>
      <c r="G48" s="14" t="n">
        <f aca="false">IF($A48&lt;=$G$4,$E$4*$F$4,IF(C48&gt;=$B$8,E48*$B$4*(1+$B$5)^(($G$4+$B$8+D48*($B$8+$B$10))/4),0))</f>
        <v>999262.2176585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58600.8806977774</v>
      </c>
      <c r="AE48" s="14" t="n">
        <f aca="false">IF($A48&lt;=$G$7,$E$7*$F$7,IF(AA48&gt;=$B$8,AC48*$B$4*(1+$B$5)^(($G$7+$B$8+AB48*($B$8+$B$10))/4),0))</f>
        <v>234403.52279111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</v>
      </c>
      <c r="AJ48" s="21" t="n">
        <f aca="false">IF(AH48&lt;0,0,INT(AH48/($B$8+$B$10)))</f>
        <v>1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0</v>
      </c>
      <c r="AM48" s="14" t="n">
        <f aca="false">IF($A48&lt;=$G$8,$E$8*$F$8,IF(AI48&gt;=$B$8,AK48*$B$4*(1+$B$5)^(($G$8+$B$8+AJ48*($B$8+$B$10))/4),0))</f>
        <v>0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2160</v>
      </c>
      <c r="AP48" s="14" t="n">
        <f aca="false">F48+N48+V48+AD48+AL48</f>
        <v>422376.435112402</v>
      </c>
      <c r="AQ48" s="14" t="n">
        <f aca="false">G48+O48+W48+AE48+AM48</f>
        <v>1689505.74044961</v>
      </c>
      <c r="AR48" s="14" t="n">
        <f aca="false">H48+P48+X48+AF48+AN48+IF($A48=$B$15,$B$14,0)</f>
        <v>0</v>
      </c>
      <c r="AS48" s="21" t="n">
        <f aca="false">I48+Q48+Y48+AG48+AO48</f>
        <v>5260</v>
      </c>
      <c r="AT48" s="14" t="n">
        <f aca="false">AP48*(1-$B$12)-AS48*$B$13/4</f>
        <v>324708.849005658</v>
      </c>
      <c r="AU48" s="14" t="n">
        <f aca="false">0</f>
        <v>0</v>
      </c>
      <c r="AV48" s="14" t="n">
        <f aca="false">AT48-AR48-AU48</f>
        <v>324708.849005658</v>
      </c>
      <c r="AW48" s="21" t="n">
        <f aca="false">(1+$B$16)^(-$A48/4)</f>
        <v>0.701484251648903</v>
      </c>
      <c r="AX48" s="14" t="n">
        <f aca="false">AV48*AW48</f>
        <v>227778.143948511</v>
      </c>
      <c r="AY48" s="14" t="n">
        <f aca="false">AV48</f>
        <v>324708.849005658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249815.554414625</v>
      </c>
      <c r="G49" s="14" t="n">
        <f aca="false">IF($A49&lt;=$G$4,$E$4*$F$4,IF(C49&gt;=$B$8,E49*$B$4*(1+$B$5)^(($G$4+$B$8+D49*($B$8+$B$10))/4),0))</f>
        <v>999262.2176585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0</v>
      </c>
      <c r="P49" s="14" t="n">
        <f aca="false">IF($A49&lt;=$G$5,0,IF(K49=0,M49*$B$6*(1+$B$7)^(($G$5+L49*($B$8+$B$10))/4),0)+IF(K49=$B$8,$B$11*$B$4*(1+$B$5)^(($G$5+$B$8+L49*($B$8+$B$10))/4)*M49,0))</f>
        <v>0</v>
      </c>
      <c r="Q49" s="21" t="n">
        <f aca="false">IF($A49&lt;=$G$5,0,IF(K49&lt;$B$8,M49,0))</f>
        <v>3100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58600.8806977774</v>
      </c>
      <c r="AE49" s="14" t="n">
        <f aca="false">IF($A49&lt;=$G$7,$E$7*$F$7,IF(AA49&gt;=$B$8,AC49*$B$4*(1+$B$5)^(($G$7+$B$8+AB49*($B$8+$B$10))/4),0))</f>
        <v>234403.52279111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2</v>
      </c>
      <c r="AJ49" s="21" t="n">
        <f aca="false">IF(AH49&lt;0,0,INT(AH49/($B$8+$B$10)))</f>
        <v>1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0</v>
      </c>
      <c r="AM49" s="14" t="n">
        <f aca="false">IF($A49&lt;=$G$8,$E$8*$F$8,IF(AI49&gt;=$B$8,AK49*$B$4*(1+$B$5)^(($G$8+$B$8+AJ49*($B$8+$B$10))/4),0))</f>
        <v>0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2160</v>
      </c>
      <c r="AP49" s="14" t="n">
        <f aca="false">F49+N49+V49+AD49+AL49</f>
        <v>422376.435112402</v>
      </c>
      <c r="AQ49" s="14" t="n">
        <f aca="false">G49+O49+W49+AE49+AM49</f>
        <v>1689505.74044961</v>
      </c>
      <c r="AR49" s="14" t="n">
        <f aca="false">H49+P49+X49+AF49+AN49+IF($A49=$B$15,$B$14,0)</f>
        <v>0</v>
      </c>
      <c r="AS49" s="21" t="n">
        <f aca="false">I49+Q49+Y49+AG49+AO49</f>
        <v>5260</v>
      </c>
      <c r="AT49" s="14" t="n">
        <f aca="false">AP49*(1-$B$12)-AS49*$B$13/4</f>
        <v>324708.849005658</v>
      </c>
      <c r="AU49" s="14" t="n">
        <f aca="false">0</f>
        <v>0</v>
      </c>
      <c r="AV49" s="14" t="n">
        <f aca="false">AT49-AR49-AU49</f>
        <v>324708.849005658</v>
      </c>
      <c r="AW49" s="21" t="n">
        <f aca="false">(1+$B$16)^(-$A49/4)</f>
        <v>0.688515316427484</v>
      </c>
      <c r="AX49" s="14" t="n">
        <f aca="false">AV49*AW49</f>
        <v>223567.015919935</v>
      </c>
      <c r="AY49" s="14" t="n">
        <f aca="false">AV49</f>
        <v>324708.849005658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249815.554414625</v>
      </c>
      <c r="G50" s="14" t="n">
        <f aca="false">IF($A50&lt;=$G$4,$E$4*$F$4,IF(C50&gt;=$B$8,E50*$B$4*(1+$B$5)^(($G$4+$B$8+D50*($B$8+$B$10))/4),0))</f>
        <v>999262.2176585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0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3100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58600.8806977774</v>
      </c>
      <c r="AE50" s="14" t="n">
        <f aca="false">IF($A50&lt;=$G$7,$E$7*$F$7,IF(AA50&gt;=$B$8,AC50*$B$4*(1+$B$5)^(($G$7+$B$8+AB50*($B$8+$B$10))/4),0))</f>
        <v>234403.52279111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3</v>
      </c>
      <c r="AJ50" s="21" t="n">
        <f aca="false">IF(AH50&lt;0,0,INT(AH50/($B$8+$B$10)))</f>
        <v>1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0</v>
      </c>
      <c r="AM50" s="14" t="n">
        <f aca="false">IF($A50&lt;=$G$8,$E$8*$F$8,IF(AI50&gt;=$B$8,AK50*$B$4*(1+$B$5)^(($G$8+$B$8+AJ50*($B$8+$B$10))/4),0))</f>
        <v>0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2160</v>
      </c>
      <c r="AP50" s="14" t="n">
        <f aca="false">F50+N50+V50+AD50+AL50</f>
        <v>422376.435112402</v>
      </c>
      <c r="AQ50" s="14" t="n">
        <f aca="false">G50+O50+W50+AE50+AM50</f>
        <v>1689505.74044961</v>
      </c>
      <c r="AR50" s="14" t="n">
        <f aca="false">H50+P50+X50+AF50+AN50+IF($A50=$B$15,$B$14,0)</f>
        <v>0</v>
      </c>
      <c r="AS50" s="21" t="n">
        <f aca="false">I50+Q50+Y50+AG50+AO50</f>
        <v>5260</v>
      </c>
      <c r="AT50" s="14" t="n">
        <f aca="false">AP50*(1-$B$12)-AS50*$B$13/4</f>
        <v>324708.849005658</v>
      </c>
      <c r="AU50" s="14" t="n">
        <f aca="false">0</f>
        <v>0</v>
      </c>
      <c r="AV50" s="14" t="n">
        <f aca="false">AT50-AR50-AU50</f>
        <v>324708.849005658</v>
      </c>
      <c r="AW50" s="21" t="n">
        <f aca="false">(1+$B$16)^(-$A50/4)</f>
        <v>0.675786148927696</v>
      </c>
      <c r="AX50" s="14" t="n">
        <f aca="false">AV50*AW50</f>
        <v>219433.742592278</v>
      </c>
      <c r="AY50" s="14" t="n">
        <f aca="false">AV50</f>
        <v>324708.849005658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249815.554414625</v>
      </c>
      <c r="G51" s="14" t="n">
        <f aca="false">IF($A51&lt;=$G$4,$E$4*$F$4,IF(C51&gt;=$B$8,E51*$B$4*(1+$B$5)^(($G$4+$B$8+D51*($B$8+$B$10))/4),0))</f>
        <v>999262.2176585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754207.650993145</v>
      </c>
      <c r="P51" s="14" t="n">
        <f aca="false">IF($A51&lt;=$G$5,0,IF(K51=0,M51*$B$6*(1+$B$7)^(($G$5+L51*($B$8+$B$10))/4),0)+IF(K51=$B$8,$B$11*$B$4*(1+$B$5)^(($G$5+$B$8+L51*($B$8+$B$10))/4)*M51,0))</f>
        <v>90504.9181191774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58600.8806977774</v>
      </c>
      <c r="AE51" s="14" t="n">
        <f aca="false">IF($A51&lt;=$G$7,$E$7*$F$7,IF(AA51&gt;=$B$8,AC51*$B$4*(1+$B$5)^(($G$7+$B$8+AB51*($B$8+$B$10))/4),0))</f>
        <v>234403.52279111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4</v>
      </c>
      <c r="AJ51" s="21" t="n">
        <f aca="false">IF(AH51&lt;0,0,INT(AH51/($B$8+$B$10)))</f>
        <v>1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0</v>
      </c>
      <c r="AM51" s="14" t="n">
        <f aca="false">IF($A51&lt;=$G$8,$E$8*$F$8,IF(AI51&gt;=$B$8,AK51*$B$4*(1+$B$5)^(($G$8+$B$8+AJ51*($B$8+$B$10))/4),0))</f>
        <v>0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2160</v>
      </c>
      <c r="AP51" s="14" t="n">
        <f aca="false">F51+N51+V51+AD51+AL51</f>
        <v>422376.435112402</v>
      </c>
      <c r="AQ51" s="14" t="n">
        <f aca="false">G51+O51+W51+AE51+AM51</f>
        <v>2443713.39144275</v>
      </c>
      <c r="AR51" s="14" t="n">
        <f aca="false">H51+P51+X51+AF51+AN51+IF($A51=$B$15,$B$14,0)</f>
        <v>90504.9181191774</v>
      </c>
      <c r="AS51" s="21" t="n">
        <f aca="false">I51+Q51+Y51+AG51+AO51</f>
        <v>2160</v>
      </c>
      <c r="AT51" s="14" t="n">
        <f aca="false">AP51*(1-$B$12)-AS51*$B$13/4</f>
        <v>367333.849005658</v>
      </c>
      <c r="AU51" s="14" t="n">
        <f aca="false">0</f>
        <v>0</v>
      </c>
      <c r="AV51" s="14" t="n">
        <f aca="false">AT51-AR51-AU51</f>
        <v>276828.930886481</v>
      </c>
      <c r="AW51" s="21" t="n">
        <f aca="false">(1+$B$16)^(-$A51/4)</f>
        <v>0.663292316360002</v>
      </c>
      <c r="AX51" s="14" t="n">
        <f aca="false">AV51*AW51</f>
        <v>183618.502803157</v>
      </c>
      <c r="AY51" s="14" t="n">
        <f aca="false">AV51</f>
        <v>276828.930886481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249815.554414625</v>
      </c>
      <c r="G52" s="14" t="n">
        <f aca="false">IF($A52&lt;=$G$4,$E$4*$F$4,IF(C52&gt;=$B$8,E52*$B$4*(1+$B$5)^(($G$4+$B$8+D52*($B$8+$B$10))/4),0))</f>
        <v>999262.2176585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0</v>
      </c>
      <c r="O52" s="14" t="n">
        <f aca="false">IF($A52&lt;=$G$5,$E$5*$F$5,IF(K52&gt;=$B$8,M52*$B$4*(1+$B$5)^(($G$5+$B$8+L52*($B$8+$B$10))/4),0))</f>
        <v>754207.650993145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58600.8806977774</v>
      </c>
      <c r="AE52" s="14" t="n">
        <f aca="false">IF($A52&lt;=$G$7,$E$7*$F$7,IF(AA52&gt;=$B$8,AC52*$B$4*(1+$B$5)^(($G$7+$B$8+AB52*($B$8+$B$10))/4),0))</f>
        <v>234403.52279111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5</v>
      </c>
      <c r="AJ52" s="21" t="n">
        <f aca="false">IF(AH52&lt;0,0,INT(AH52/($B$8+$B$10)))</f>
        <v>1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0</v>
      </c>
      <c r="AM52" s="14" t="n">
        <f aca="false">IF($A52&lt;=$G$8,$E$8*$F$8,IF(AI52&gt;=$B$8,AK52*$B$4*(1+$B$5)^(($G$8+$B$8+AJ52*($B$8+$B$10))/4),0))</f>
        <v>527472.110370069</v>
      </c>
      <c r="AN52" s="14" t="n">
        <f aca="false">IF($A52&lt;=$G$8,0,IF(AI52=0,AK52*$B$6*(1+$B$7)^(($G$8+AJ52*($B$8+$B$10))/4),0)+IF(AI52=$B$8,$B$11*$B$4*(1+$B$5)^(($G$8+$B$8+AJ52*($B$8+$B$10))/4)*AK52,0))</f>
        <v>63296.6532444083</v>
      </c>
      <c r="AO52" s="21" t="n">
        <f aca="false">IF($A52&lt;=$G$8,0,IF(AI52&lt;$B$8,AK52,0))</f>
        <v>0</v>
      </c>
      <c r="AP52" s="14" t="n">
        <f aca="false">F52+N52+V52+AD52+AL52</f>
        <v>422376.435112402</v>
      </c>
      <c r="AQ52" s="14" t="n">
        <f aca="false">G52+O52+W52+AE52+AM52</f>
        <v>2971185.50181282</v>
      </c>
      <c r="AR52" s="14" t="n">
        <f aca="false">H52+P52+X52+AF52+AN52+IF($A52=$B$15,$B$14,0)</f>
        <v>63296.6532444083</v>
      </c>
      <c r="AS52" s="21" t="n">
        <f aca="false">I52+Q52+Y52+AG52+AO52</f>
        <v>0</v>
      </c>
      <c r="AT52" s="14" t="n">
        <f aca="false">AP52*(1-$B$12)-AS52*$B$13/4</f>
        <v>397033.849005658</v>
      </c>
      <c r="AU52" s="14" t="n">
        <f aca="false">0</f>
        <v>0</v>
      </c>
      <c r="AV52" s="14" t="n">
        <f aca="false">AT52-AR52-AU52</f>
        <v>333737.19576125</v>
      </c>
      <c r="AW52" s="21" t="n">
        <f aca="false">(1+$B$16)^(-$A52/4)</f>
        <v>0.651029467887613</v>
      </c>
      <c r="AX52" s="14" t="n">
        <f aca="false">AV52*AW52</f>
        <v>217272.748970751</v>
      </c>
      <c r="AY52" s="14" t="n">
        <f aca="false">AV52</f>
        <v>333737.19576125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249815.554414625</v>
      </c>
      <c r="G53" s="14" t="n">
        <f aca="false">IF($A53&lt;=$G$4,$E$4*$F$4,IF(C53&gt;=$B$8,E53*$B$4*(1+$B$5)^(($G$4+$B$8+D53*($B$8+$B$10))/4),0))</f>
        <v>999262.2176585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0</v>
      </c>
      <c r="O53" s="14" t="n">
        <f aca="false">IF($A53&lt;=$G$5,$E$5*$F$5,IF(K53&gt;=$B$8,M53*$B$4*(1+$B$5)^(($G$5+$B$8+L53*($B$8+$B$10))/4),0))</f>
        <v>754207.650993145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0</v>
      </c>
      <c r="AB53" s="21" t="n">
        <f aca="false">IF(Z53&lt;0,0,INT(Z53/($B$8+$B$10)))</f>
        <v>1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0</v>
      </c>
      <c r="AE53" s="14" t="n">
        <f aca="false">IF($A53&lt;=$G$7,$E$7*$F$7,IF(AA53&gt;=$B$8,AC53*$B$4*(1+$B$5)^(($G$7+$B$8+AB53*($B$8+$B$10))/4),0))</f>
        <v>0</v>
      </c>
      <c r="AF53" s="14" t="n">
        <f aca="false">IF($A53&lt;=$G$7,0,IF(AA53=0,AC53*$B$6*(1+$B$7)^(($G$7+AB53*($B$8+$B$10))/4),0)+IF(AA53=$B$8,$B$11*$B$4*(1+$B$5)^(($G$7+$B$8+AB53*($B$8+$B$10))/4)*AC53,0))</f>
        <v>484073.731861955</v>
      </c>
      <c r="AG53" s="21" t="n">
        <f aca="false">IF($A53&lt;=$G$7,0,IF(AA53&lt;$B$8,AC53,0))</f>
        <v>1000</v>
      </c>
      <c r="AH53" s="21" t="n">
        <f aca="false">$A53-$G$8-1</f>
        <v>23</v>
      </c>
      <c r="AI53" s="21" t="n">
        <f aca="false">IF(AH53&lt;0,-1,MOD(AH53,$B$8+$B$10))</f>
        <v>6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527472.110370069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0</v>
      </c>
      <c r="AP53" s="14" t="n">
        <f aca="false">F53+N53+V53+AD53+AL53</f>
        <v>363775.554414625</v>
      </c>
      <c r="AQ53" s="14" t="n">
        <f aca="false">G53+O53+W53+AE53+AM53</f>
        <v>2736781.97902171</v>
      </c>
      <c r="AR53" s="14" t="n">
        <f aca="false">H53+P53+X53+AF53+AN53+IF($A53=$B$15,$B$14,0)</f>
        <v>484073.731861955</v>
      </c>
      <c r="AS53" s="21" t="n">
        <f aca="false">I53+Q53+Y53+AG53+AO53</f>
        <v>1000</v>
      </c>
      <c r="AT53" s="14" t="n">
        <f aca="false">AP53*(1-$B$12)-AS53*$B$13/4</f>
        <v>328199.021149748</v>
      </c>
      <c r="AU53" s="14" t="n">
        <f aca="false">0</f>
        <v>0</v>
      </c>
      <c r="AV53" s="14" t="n">
        <f aca="false">AT53-AR53-AU53</f>
        <v>-155874.710712207</v>
      </c>
      <c r="AW53" s="21" t="n">
        <f aca="false">(1+$B$16)^(-$A53/4)</f>
        <v>0.638993333111354</v>
      </c>
      <c r="AX53" s="14" t="n">
        <f aca="false">AV53*AW53</f>
        <v>-99602.9009457614</v>
      </c>
      <c r="AY53" s="14" t="n">
        <f aca="false">AV53</f>
        <v>-155874.710712207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249815.554414625</v>
      </c>
      <c r="G54" s="14" t="n">
        <f aca="false">IF($A54&lt;=$G$4,$E$4*$F$4,IF(C54&gt;=$B$8,E54*$B$4*(1+$B$5)^(($G$4+$B$8+D54*($B$8+$B$10))/4),0))</f>
        <v>999262.2176585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188551.912748286</v>
      </c>
      <c r="O54" s="14" t="n">
        <f aca="false">IF($A54&lt;=$G$5,$E$5*$F$5,IF(K54&gt;=$B$8,M54*$B$4*(1+$B$5)^(($G$5+$B$8+L54*($B$8+$B$10))/4),0))</f>
        <v>754207.650993145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</v>
      </c>
      <c r="AB54" s="21" t="n">
        <f aca="false">IF(Z54&lt;0,0,INT(Z54/($B$8+$B$10)))</f>
        <v>1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0</v>
      </c>
      <c r="AE54" s="14" t="n">
        <f aca="false">IF($A54&lt;=$G$7,$E$7*$F$7,IF(AA54&gt;=$B$8,AC54*$B$4*(1+$B$5)^(($G$7+$B$8+AB54*($B$8+$B$10))/4),0))</f>
        <v>0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1000</v>
      </c>
      <c r="AH54" s="21" t="n">
        <f aca="false">$A54-$G$8-1</f>
        <v>24</v>
      </c>
      <c r="AI54" s="21" t="n">
        <f aca="false">IF(AH54&lt;0,-1,MOD(AH54,$B$8+$B$10))</f>
        <v>7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527472.110370069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0</v>
      </c>
      <c r="AP54" s="14" t="n">
        <f aca="false">F54+N54+V54+AD54+AL54</f>
        <v>552327.467162911</v>
      </c>
      <c r="AQ54" s="14" t="n">
        <f aca="false">G54+O54+W54+AE54+AM54</f>
        <v>2736781.97902171</v>
      </c>
      <c r="AR54" s="14" t="n">
        <f aca="false">H54+P54+X54+AF54+AN54+IF($A54=$B$15,$B$14,0)</f>
        <v>0</v>
      </c>
      <c r="AS54" s="21" t="n">
        <f aca="false">I54+Q54+Y54+AG54+AO54</f>
        <v>1000</v>
      </c>
      <c r="AT54" s="14" t="n">
        <f aca="false">AP54*(1-$B$12)-AS54*$B$13/4</f>
        <v>505437.819133137</v>
      </c>
      <c r="AU54" s="14" t="n">
        <f aca="false">0</f>
        <v>0</v>
      </c>
      <c r="AV54" s="14" t="n">
        <f aca="false">AT54-AR54-AU54</f>
        <v>505437.819133137</v>
      </c>
      <c r="AW54" s="21" t="n">
        <f aca="false">(1+$B$16)^(-$A54/4)</f>
        <v>0.627179720582548</v>
      </c>
      <c r="AX54" s="14" t="n">
        <f aca="false">AV54*AW54</f>
        <v>317000.350175773</v>
      </c>
      <c r="AY54" s="14" t="n">
        <f aca="false">AV54</f>
        <v>505437.819133137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249815.554414625</v>
      </c>
      <c r="G55" s="14" t="n">
        <f aca="false">IF($A55&lt;=$G$4,$E$4*$F$4,IF(C55&gt;=$B$8,E55*$B$4*(1+$B$5)^(($G$4+$B$8+D55*($B$8+$B$10))/4),0))</f>
        <v>999262.2176585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188551.912748286</v>
      </c>
      <c r="O55" s="14" t="n">
        <f aca="false">IF($A55&lt;=$G$5,$E$5*$F$5,IF(K55&gt;=$B$8,M55*$B$4*(1+$B$5)^(($G$5+$B$8+L55*($B$8+$B$10))/4),0))</f>
        <v>754207.650993145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2</v>
      </c>
      <c r="AB55" s="21" t="n">
        <f aca="false">IF(Z55&lt;0,0,INT(Z55/($B$8+$B$10)))</f>
        <v>1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0</v>
      </c>
      <c r="AE55" s="14" t="n">
        <f aca="false">IF($A55&lt;=$G$7,$E$7*$F$7,IF(AA55&gt;=$B$8,AC55*$B$4*(1+$B$5)^(($G$7+$B$8+AB55*($B$8+$B$10))/4),0))</f>
        <v>0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1000</v>
      </c>
      <c r="AH55" s="21" t="n">
        <f aca="false">$A55-$G$8-1</f>
        <v>25</v>
      </c>
      <c r="AI55" s="21" t="n">
        <f aca="false">IF(AH55&lt;0,-1,MOD(AH55,$B$8+$B$10))</f>
        <v>8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131868.027592517</v>
      </c>
      <c r="AM55" s="14" t="n">
        <f aca="false">IF($A55&lt;=$G$8,$E$8*$F$8,IF(AI55&gt;=$B$8,AK55*$B$4*(1+$B$5)^(($G$8+$B$8+AJ55*($B$8+$B$10))/4),0))</f>
        <v>527472.110370069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0</v>
      </c>
      <c r="AP55" s="14" t="n">
        <f aca="false">F55+N55+V55+AD55+AL55</f>
        <v>684195.494755429</v>
      </c>
      <c r="AQ55" s="14" t="n">
        <f aca="false">G55+O55+W55+AE55+AM55</f>
        <v>2736781.97902171</v>
      </c>
      <c r="AR55" s="14" t="n">
        <f aca="false">H55+P55+X55+AF55+AN55+IF($A55=$B$15,$B$14,0)</f>
        <v>0</v>
      </c>
      <c r="AS55" s="21" t="n">
        <f aca="false">I55+Q55+Y55+AG55+AO55</f>
        <v>1000</v>
      </c>
      <c r="AT55" s="14" t="n">
        <f aca="false">AP55*(1-$B$12)-AS55*$B$13/4</f>
        <v>629393.765070103</v>
      </c>
      <c r="AU55" s="14" t="n">
        <f aca="false">0</f>
        <v>0</v>
      </c>
      <c r="AV55" s="14" t="n">
        <f aca="false">AT55-AR55-AU55</f>
        <v>629393.765070103</v>
      </c>
      <c r="AW55" s="21" t="n">
        <f aca="false">(1+$B$16)^(-$A55/4)</f>
        <v>0.615584516343389</v>
      </c>
      <c r="AX55" s="14" t="n">
        <f aca="false">AV55*AW55</f>
        <v>387445.056460224</v>
      </c>
      <c r="AY55" s="14" t="n">
        <f aca="false">AV55</f>
        <v>629393.765070103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249815.554414625</v>
      </c>
      <c r="G56" s="14" t="n">
        <f aca="false">IF($A56&lt;=$G$4,$E$4*$F$4,IF(C56&gt;=$B$8,E56*$B$4*(1+$B$5)^(($G$4+$B$8+D56*($B$8+$B$10))/4),0))</f>
        <v>999262.2176585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188551.912748286</v>
      </c>
      <c r="O56" s="14" t="n">
        <f aca="false">IF($A56&lt;=$G$5,$E$5*$F$5,IF(K56&gt;=$B$8,M56*$B$4*(1+$B$5)^(($G$5+$B$8+L56*($B$8+$B$10))/4),0))</f>
        <v>754207.650993145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3</v>
      </c>
      <c r="AB56" s="21" t="n">
        <f aca="false">IF(Z56&lt;0,0,INT(Z56/($B$8+$B$10)))</f>
        <v>1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0</v>
      </c>
      <c r="AE56" s="14" t="n">
        <f aca="false">IF($A56&lt;=$G$7,$E$7*$F$7,IF(AA56&gt;=$B$8,AC56*$B$4*(1+$B$5)^(($G$7+$B$8+AB56*($B$8+$B$10))/4),0))</f>
        <v>0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1000</v>
      </c>
      <c r="AH56" s="21" t="n">
        <f aca="false">$A56-$G$8-1</f>
        <v>26</v>
      </c>
      <c r="AI56" s="21" t="n">
        <f aca="false">IF(AH56&lt;0,-1,MOD(AH56,$B$8+$B$10))</f>
        <v>9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131868.027592517</v>
      </c>
      <c r="AM56" s="14" t="n">
        <f aca="false">IF($A56&lt;=$G$8,$E$8*$F$8,IF(AI56&gt;=$B$8,AK56*$B$4*(1+$B$5)^(($G$8+$B$8+AJ56*($B$8+$B$10))/4),0))</f>
        <v>527472.110370069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0</v>
      </c>
      <c r="AP56" s="14" t="n">
        <f aca="false">F56+N56+V56+AD56+AL56</f>
        <v>570235.494755429</v>
      </c>
      <c r="AQ56" s="14" t="n">
        <f aca="false">G56+O56+W56+AE56+AM56</f>
        <v>2280941.97902171</v>
      </c>
      <c r="AR56" s="14" t="n">
        <f aca="false">H56+P56+X56+AF56+AN56+IF($A56=$B$15,$B$14,0)</f>
        <v>759407.944688937</v>
      </c>
      <c r="AS56" s="21" t="n">
        <f aca="false">I56+Q56+Y56+AG56+AO56</f>
        <v>2540</v>
      </c>
      <c r="AT56" s="14" t="n">
        <f aca="false">AP56*(1-$B$12)-AS56*$B$13/4</f>
        <v>501096.365070103</v>
      </c>
      <c r="AU56" s="14" t="n">
        <f aca="false">0</f>
        <v>0</v>
      </c>
      <c r="AV56" s="14" t="n">
        <f aca="false">AT56-AR56-AU56</f>
        <v>-258311.579618834</v>
      </c>
      <c r="AW56" s="21" t="n">
        <f aca="false">(1+$B$16)^(-$A56/4)</f>
        <v>0.604203682494304</v>
      </c>
      <c r="AX56" s="14" t="n">
        <f aca="false">AV56*AW56</f>
        <v>-156072.80763662</v>
      </c>
      <c r="AY56" s="14" t="n">
        <f aca="false">AV56</f>
        <v>-258311.579618834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0</v>
      </c>
      <c r="D57" s="0" t="n">
        <f aca="false">IF(B57&lt;0,0,INT(B57/($B$8+$B$10)))</f>
        <v>1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0</v>
      </c>
      <c r="G57" s="14" t="n">
        <f aca="false">IF($A57&lt;=$G$4,$E$4*$F$4,IF(C57&gt;=$B$8,E57*$B$4*(1+$B$5)^(($G$4+$B$8+D57*($B$8+$B$10))/4),0))</f>
        <v>0</v>
      </c>
      <c r="H57" s="14" t="n">
        <f aca="false">IF($A57&lt;=$G$4,0,IF(C57=0,E57*$B$6*(1+$B$7)^(($G$4+D57*($B$8+$B$10))/4),0)+IF(C57=$B$8,$B$11*$B$4*(1+$B$5)^(($G$4+$B$8+D57*($B$8+$B$10))/4)*E57,0))</f>
        <v>2083937.41566571</v>
      </c>
      <c r="I57" s="21" t="n">
        <f aca="false">IF($A57&lt;=$G$4,0,IF(C57&lt;$B$8,E57,0))</f>
        <v>4200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188551.912748286</v>
      </c>
      <c r="O57" s="14" t="n">
        <f aca="false">IF($A57&lt;=$G$5,$E$5*$F$5,IF(K57&gt;=$B$8,M57*$B$4*(1+$B$5)^(($G$5+$B$8+L57*($B$8+$B$10))/4),0))</f>
        <v>754207.650993145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4</v>
      </c>
      <c r="AB57" s="21" t="n">
        <f aca="false">IF(Z57&lt;0,0,INT(Z57/($B$8+$B$10)))</f>
        <v>1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0</v>
      </c>
      <c r="AE57" s="14" t="n">
        <f aca="false">IF($A57&lt;=$G$7,$E$7*$F$7,IF(AA57&gt;=$B$8,AC57*$B$4*(1+$B$5)^(($G$7+$B$8+AB57*($B$8+$B$10))/4),0))</f>
        <v>0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1000</v>
      </c>
      <c r="AH57" s="21" t="n">
        <f aca="false">$A57-$G$8-1</f>
        <v>27</v>
      </c>
      <c r="AI57" s="21" t="n">
        <f aca="false">IF(AH57&lt;0,-1,MOD(AH57,$B$8+$B$10))</f>
        <v>10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131868.027592517</v>
      </c>
      <c r="AM57" s="14" t="n">
        <f aca="false">IF($A57&lt;=$G$8,$E$8*$F$8,IF(AI57&gt;=$B$8,AK57*$B$4*(1+$B$5)^(($G$8+$B$8+AJ57*($B$8+$B$10))/4),0))</f>
        <v>527472.110370069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320419.940340804</v>
      </c>
      <c r="AQ57" s="14" t="n">
        <f aca="false">G57+O57+W57+AE57+AM57</f>
        <v>1281679.76136321</v>
      </c>
      <c r="AR57" s="14" t="n">
        <f aca="false">H57+P57+X57+AF57+AN57+IF($A57=$B$15,$B$14,0)</f>
        <v>2083937.41566571</v>
      </c>
      <c r="AS57" s="21" t="n">
        <f aca="false">I57+Q57+Y57+AG57+AO57</f>
        <v>6740</v>
      </c>
      <c r="AT57" s="14" t="n">
        <f aca="false">AP57*(1-$B$12)-AS57*$B$13/4</f>
        <v>208519.743920355</v>
      </c>
      <c r="AU57" s="14" t="n">
        <f aca="false">0</f>
        <v>0</v>
      </c>
      <c r="AV57" s="14" t="n">
        <f aca="false">AT57-AR57-AU57</f>
        <v>-1875417.67174536</v>
      </c>
      <c r="AW57" s="21" t="n">
        <f aca="false">(1+$B$16)^(-$A57/4)</f>
        <v>0.5930332557878</v>
      </c>
      <c r="AX57" s="14" t="n">
        <f aca="false">AV57*AW57</f>
        <v>-1112185.04783713</v>
      </c>
      <c r="AY57" s="14" t="n">
        <f aca="false">AV57</f>
        <v>-1875417.67174536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</v>
      </c>
      <c r="D58" s="0" t="n">
        <f aca="false">IF(B58&lt;0,0,INT(B58/($B$8+$B$10)))</f>
        <v>1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0</v>
      </c>
      <c r="G58" s="14" t="n">
        <f aca="false">IF($A58&lt;=$G$4,$E$4*$F$4,IF(C58&gt;=$B$8,E58*$B$4*(1+$B$5)^(($G$4+$B$8+D58*($B$8+$B$10))/4),0))</f>
        <v>0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4200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188551.912748286</v>
      </c>
      <c r="O58" s="14" t="n">
        <f aca="false">IF($A58&lt;=$G$5,$E$5*$F$5,IF(K58&gt;=$B$8,M58*$B$4*(1+$B$5)^(($G$5+$B$8+L58*($B$8+$B$10))/4),0))</f>
        <v>754207.650993145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5</v>
      </c>
      <c r="AB58" s="21" t="n">
        <f aca="false">IF(Z58&lt;0,0,INT(Z58/($B$8+$B$10)))</f>
        <v>1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0</v>
      </c>
      <c r="AE58" s="14" t="n">
        <f aca="false">IF($A58&lt;=$G$7,$E$7*$F$7,IF(AA58&gt;=$B$8,AC58*$B$4*(1+$B$5)^(($G$7+$B$8+AB58*($B$8+$B$10))/4),0))</f>
        <v>249715.1054029</v>
      </c>
      <c r="AF58" s="14" t="n">
        <f aca="false">IF($A58&lt;=$G$7,0,IF(AA58=0,AC58*$B$6*(1+$B$7)^(($G$7+AB58*($B$8+$B$10))/4),0)+IF(AA58=$B$8,$B$11*$B$4*(1+$B$5)^(($G$7+$B$8+AB58*($B$8+$B$10))/4)*AC58,0))</f>
        <v>29965.8126483481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11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131868.027592517</v>
      </c>
      <c r="AM58" s="14" t="n">
        <f aca="false">IF($A58&lt;=$G$8,$E$8*$F$8,IF(AI58&gt;=$B$8,AK58*$B$4*(1+$B$5)^(($G$8+$B$8+AJ58*($B$8+$B$10))/4),0))</f>
        <v>527472.110370069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320419.940340804</v>
      </c>
      <c r="AQ58" s="14" t="n">
        <f aca="false">G58+O58+W58+AE58+AM58</f>
        <v>1531394.86676611</v>
      </c>
      <c r="AR58" s="14" t="n">
        <f aca="false">H58+P58+X58+AF58+AN58+IF($A58=$B$15,$B$14,0)</f>
        <v>29965.8126483481</v>
      </c>
      <c r="AS58" s="21" t="n">
        <f aca="false">I58+Q58+Y58+AG58+AO58</f>
        <v>5740</v>
      </c>
      <c r="AT58" s="14" t="n">
        <f aca="false">AP58*(1-$B$12)-AS58*$B$13/4</f>
        <v>222269.743920355</v>
      </c>
      <c r="AU58" s="14" t="n">
        <f aca="false">0</f>
        <v>0</v>
      </c>
      <c r="AV58" s="14" t="n">
        <f aca="false">AT58-AR58-AU58</f>
        <v>192303.931272007</v>
      </c>
      <c r="AW58" s="21" t="n">
        <f aca="false">(1+$B$16)^(-$A58/4)</f>
        <v>0.582069346248305</v>
      </c>
      <c r="AX58" s="14" t="n">
        <f aca="false">AV58*AW58</f>
        <v>111934.223556476</v>
      </c>
      <c r="AY58" s="14" t="n">
        <f aca="false">AV58</f>
        <v>192303.931272007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2</v>
      </c>
      <c r="D59" s="0" t="n">
        <f aca="false">IF(B59&lt;0,0,INT(B59/($B$8+$B$10)))</f>
        <v>1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0</v>
      </c>
      <c r="G59" s="14" t="n">
        <f aca="false">IF($A59&lt;=$G$4,$E$4*$F$4,IF(C59&gt;=$B$8,E59*$B$4*(1+$B$5)^(($G$4+$B$8+D59*($B$8+$B$10))/4),0))</f>
        <v>0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4200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188551.912748286</v>
      </c>
      <c r="O59" s="14" t="n">
        <f aca="false">IF($A59&lt;=$G$5,$E$5*$F$5,IF(K59&gt;=$B$8,M59*$B$4*(1+$B$5)^(($G$5+$B$8+L59*($B$8+$B$10))/4),0))</f>
        <v>754207.650993145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0</v>
      </c>
      <c r="X59" s="14" t="n">
        <f aca="false">IF($A59&lt;=$G$6,0,IF(S59=0,U59*$B$6*(1+$B$7)^(($G$6+T59*($B$8+$B$10))/4),0)+IF(S59=$B$8,$B$11*$B$4*(1+$B$5)^(($G$6+$B$8+T59*($B$8+$B$10))/4)*U59,0))</f>
        <v>0</v>
      </c>
      <c r="Y59" s="21" t="n">
        <f aca="false">IF($A59&lt;=$G$6,0,IF(S59&lt;$B$8,U59,0))</f>
        <v>1540</v>
      </c>
      <c r="Z59" s="21" t="n">
        <f aca="false">$A59-$G$7-1</f>
        <v>23</v>
      </c>
      <c r="AA59" s="21" t="n">
        <f aca="false">IF(Z59&lt;0,-1,MOD(Z59,$B$8+$B$10))</f>
        <v>6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249715.1054029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0</v>
      </c>
      <c r="AH59" s="21" t="n">
        <f aca="false">$A59-$G$8-1</f>
        <v>29</v>
      </c>
      <c r="AI59" s="21" t="n">
        <f aca="false">IF(AH59&lt;0,-1,MOD(AH59,$B$8+$B$10))</f>
        <v>12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131868.027592517</v>
      </c>
      <c r="AM59" s="14" t="n">
        <f aca="false">IF($A59&lt;=$G$8,$E$8*$F$8,IF(AI59&gt;=$B$8,AK59*$B$4*(1+$B$5)^(($G$8+$B$8+AJ59*($B$8+$B$10))/4),0))</f>
        <v>527472.110370069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320419.940340804</v>
      </c>
      <c r="AQ59" s="14" t="n">
        <f aca="false">G59+O59+W59+AE59+AM59</f>
        <v>1531394.86676611</v>
      </c>
      <c r="AR59" s="14" t="n">
        <f aca="false">H59+P59+X59+AF59+AN59+IF($A59=$B$15,$B$14,0)</f>
        <v>0</v>
      </c>
      <c r="AS59" s="21" t="n">
        <f aca="false">I59+Q59+Y59+AG59+AO59</f>
        <v>5740</v>
      </c>
      <c r="AT59" s="14" t="n">
        <f aca="false">AP59*(1-$B$12)-AS59*$B$13/4</f>
        <v>222269.743920355</v>
      </c>
      <c r="AU59" s="14" t="n">
        <f aca="false">0</f>
        <v>0</v>
      </c>
      <c r="AV59" s="14" t="n">
        <f aca="false">AT59-AR59-AU59</f>
        <v>222269.743920355</v>
      </c>
      <c r="AW59" s="21" t="n">
        <f aca="false">(1+$B$16)^(-$A59/4)</f>
        <v>0.571308135817531</v>
      </c>
      <c r="AX59" s="14" t="n">
        <f aca="false">AV59*AW59</f>
        <v>126984.513047778</v>
      </c>
      <c r="AY59" s="14" t="n">
        <f aca="false">AV59</f>
        <v>222269.743920355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3</v>
      </c>
      <c r="D60" s="0" t="n">
        <f aca="false">IF(B60&lt;0,0,INT(B60/($B$8+$B$10)))</f>
        <v>1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0</v>
      </c>
      <c r="G60" s="14" t="n">
        <f aca="false">IF($A60&lt;=$G$4,$E$4*$F$4,IF(C60&gt;=$B$8,E60*$B$4*(1+$B$5)^(($G$4+$B$8+D60*($B$8+$B$10))/4),0))</f>
        <v>0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4200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188551.912748286</v>
      </c>
      <c r="O60" s="14" t="n">
        <f aca="false">IF($A60&lt;=$G$5,$E$5*$F$5,IF(K60&gt;=$B$8,M60*$B$4*(1+$B$5)^(($G$5+$B$8+L60*($B$8+$B$10))/4),0))</f>
        <v>754207.650993145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0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1540</v>
      </c>
      <c r="Z60" s="21" t="n">
        <f aca="false">$A60-$G$7-1</f>
        <v>24</v>
      </c>
      <c r="AA60" s="21" t="n">
        <f aca="false">IF(Z60&lt;0,-1,MOD(Z60,$B$8+$B$10))</f>
        <v>7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249715.1054029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13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131868.027592517</v>
      </c>
      <c r="AM60" s="14" t="n">
        <f aca="false">IF($A60&lt;=$G$8,$E$8*$F$8,IF(AI60&gt;=$B$8,AK60*$B$4*(1+$B$5)^(($G$8+$B$8+AJ60*($B$8+$B$10))/4),0))</f>
        <v>527472.110370069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320419.940340804</v>
      </c>
      <c r="AQ60" s="14" t="n">
        <f aca="false">G60+O60+W60+AE60+AM60</f>
        <v>1531394.86676611</v>
      </c>
      <c r="AR60" s="14" t="n">
        <f aca="false">H60+P60+X60+AF60+AN60+IF($A60=$B$15,$B$14,0)</f>
        <v>0</v>
      </c>
      <c r="AS60" s="21" t="n">
        <f aca="false">I60+Q60+Y60+AG60+AO60</f>
        <v>5740</v>
      </c>
      <c r="AT60" s="14" t="n">
        <f aca="false">AP60*(1-$B$12)-AS60*$B$13/4</f>
        <v>222269.743920355</v>
      </c>
      <c r="AU60" s="14" t="n">
        <f aca="false">0</f>
        <v>0</v>
      </c>
      <c r="AV60" s="14" t="n">
        <f aca="false">AT60-AR60-AU60</f>
        <v>222269.743920355</v>
      </c>
      <c r="AW60" s="21" t="n">
        <f aca="false">(1+$B$16)^(-$A60/4)</f>
        <v>0.560745877024877</v>
      </c>
      <c r="AX60" s="14" t="n">
        <f aca="false">AV60*AW60</f>
        <v>124636.842490714</v>
      </c>
      <c r="AY60" s="14" t="n">
        <f aca="false">AV60</f>
        <v>222269.743920355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4</v>
      </c>
      <c r="D61" s="0" t="n">
        <f aca="false">IF(B61&lt;0,0,INT(B61/($B$8+$B$10)))</f>
        <v>1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0</v>
      </c>
      <c r="G61" s="14" t="n">
        <f aca="false">IF($A61&lt;=$G$4,$E$4*$F$4,IF(C61&gt;=$B$8,E61*$B$4*(1+$B$5)^(($G$4+$B$8+D61*($B$8+$B$10))/4),0))</f>
        <v>0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4200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188551.912748286</v>
      </c>
      <c r="O61" s="14" t="n">
        <f aca="false">IF($A61&lt;=$G$5,$E$5*$F$5,IF(K61&gt;=$B$8,M61*$B$4*(1+$B$5)^(($G$5+$B$8+L61*($B$8+$B$10))/4),0))</f>
        <v>754207.650993145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388879.514957794</v>
      </c>
      <c r="X61" s="14" t="n">
        <f aca="false">IF($A61&lt;=$G$6,0,IF(S61=0,U61*$B$6*(1+$B$7)^(($G$6+T61*($B$8+$B$10))/4),0)+IF(S61=$B$8,$B$11*$B$4*(1+$B$5)^(($G$6+$B$8+T61*($B$8+$B$10))/4)*U61,0))</f>
        <v>46665.5417949352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8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62428.7763507251</v>
      </c>
      <c r="AE61" s="14" t="n">
        <f aca="false">IF($A61&lt;=$G$7,$E$7*$F$7,IF(AA61&gt;=$B$8,AC61*$B$4*(1+$B$5)^(($G$7+$B$8+AB61*($B$8+$B$10))/4),0))</f>
        <v>249715.1054029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0</v>
      </c>
      <c r="AH61" s="21" t="n">
        <f aca="false">$A61-$G$8-1</f>
        <v>31</v>
      </c>
      <c r="AI61" s="21" t="n">
        <f aca="false">IF(AH61&lt;0,-1,MOD(AH61,$B$8+$B$10))</f>
        <v>14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131868.027592517</v>
      </c>
      <c r="AM61" s="14" t="n">
        <f aca="false">IF($A61&lt;=$G$8,$E$8*$F$8,IF(AI61&gt;=$B$8,AK61*$B$4*(1+$B$5)^(($G$8+$B$8+AJ61*($B$8+$B$10))/4),0))</f>
        <v>527472.110370069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382848.716691529</v>
      </c>
      <c r="AQ61" s="14" t="n">
        <f aca="false">G61+O61+W61+AE61+AM61</f>
        <v>1920274.38172391</v>
      </c>
      <c r="AR61" s="14" t="n">
        <f aca="false">H61+P61+X61+AF61+AN61+IF($A61=$B$15,$B$14,0)</f>
        <v>46665.5417949352</v>
      </c>
      <c r="AS61" s="21" t="n">
        <f aca="false">I61+Q61+Y61+AG61+AO61</f>
        <v>4200</v>
      </c>
      <c r="AT61" s="14" t="n">
        <f aca="false">AP61*(1-$B$12)-AS61*$B$13/4</f>
        <v>302127.793690037</v>
      </c>
      <c r="AU61" s="14" t="n">
        <f aca="false">0</f>
        <v>0</v>
      </c>
      <c r="AV61" s="14" t="n">
        <f aca="false">AT61-AR61-AU61</f>
        <v>255462.251895102</v>
      </c>
      <c r="AW61" s="21" t="n">
        <f aca="false">(1+$B$16)^(-$A61/4)</f>
        <v>0.550378891682413</v>
      </c>
      <c r="AX61" s="14" t="n">
        <f aca="false">AV61*AW61</f>
        <v>140601.031064719</v>
      </c>
      <c r="AY61" s="14" t="n">
        <f aca="false">AV61</f>
        <v>255462.251895102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5</v>
      </c>
      <c r="D62" s="0" t="n">
        <f aca="false">IF(B62&lt;0,0,INT(B62/($B$8+$B$10)))</f>
        <v>1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0</v>
      </c>
      <c r="G62" s="14" t="n">
        <f aca="false">IF($A62&lt;=$G$4,$E$4*$F$4,IF(C62&gt;=$B$8,E62*$B$4*(1+$B$5)^(($G$4+$B$8+D62*($B$8+$B$10))/4),0))</f>
        <v>1064535.49433256</v>
      </c>
      <c r="H62" s="14" t="n">
        <f aca="false">IF($A62&lt;=$G$4,0,IF(C62=0,E62*$B$6*(1+$B$7)^(($G$4+D62*($B$8+$B$10))/4),0)+IF(C62=$B$8,$B$11*$B$4*(1+$B$5)^(($G$4+$B$8+D62*($B$8+$B$10))/4)*E62,0))</f>
        <v>127744.259319908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188551.912748286</v>
      </c>
      <c r="O62" s="14" t="n">
        <f aca="false">IF($A62&lt;=$G$5,$E$5*$F$5,IF(K62&gt;=$B$8,M62*$B$4*(1+$B$5)^(($G$5+$B$8+L62*($B$8+$B$10))/4),0))</f>
        <v>754207.650993145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0</v>
      </c>
      <c r="W62" s="14" t="n">
        <f aca="false">IF($A62&lt;=$G$6,$E$6*$F$6,IF(S62&gt;=$B$8,U62*$B$4*(1+$B$5)^(($G$6+$B$8+T62*($B$8+$B$10))/4),0))</f>
        <v>388879.514957794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9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62428.7763507251</v>
      </c>
      <c r="AE62" s="14" t="n">
        <f aca="false">IF($A62&lt;=$G$7,$E$7*$F$7,IF(AA62&gt;=$B$8,AC62*$B$4*(1+$B$5)^(($G$7+$B$8+AB62*($B$8+$B$10))/4),0))</f>
        <v>249715.1054029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15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131868.027592517</v>
      </c>
      <c r="AM62" s="14" t="n">
        <f aca="false">IF($A62&lt;=$G$8,$E$8*$F$8,IF(AI62&gt;=$B$8,AK62*$B$4*(1+$B$5)^(($G$8+$B$8+AJ62*($B$8+$B$10))/4),0))</f>
        <v>527472.110370069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382848.716691529</v>
      </c>
      <c r="AQ62" s="14" t="n">
        <f aca="false">G62+O62+W62+AE62+AM62</f>
        <v>2984809.87605647</v>
      </c>
      <c r="AR62" s="14" t="n">
        <f aca="false">H62+P62+X62+AF62+AN62+IF($A62=$B$15,$B$14,0)</f>
        <v>127744.259319908</v>
      </c>
      <c r="AS62" s="21" t="n">
        <f aca="false">I62+Q62+Y62+AG62+AO62</f>
        <v>0</v>
      </c>
      <c r="AT62" s="14" t="n">
        <f aca="false">AP62*(1-$B$12)-AS62*$B$13/4</f>
        <v>359877.793690037</v>
      </c>
      <c r="AU62" s="14" t="n">
        <f aca="false">0</f>
        <v>0</v>
      </c>
      <c r="AV62" s="14" t="n">
        <f aca="false">AT62-AR62-AU62</f>
        <v>232133.534370129</v>
      </c>
      <c r="AW62" s="21" t="n">
        <f aca="false">(1+$B$16)^(-$A62/4)</f>
        <v>0.540203569603995</v>
      </c>
      <c r="AX62" s="14" t="n">
        <f aca="false">AV62*AW62</f>
        <v>125399.363891535</v>
      </c>
      <c r="AY62" s="14" t="n">
        <f aca="false">AV62</f>
        <v>232133.534370129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6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1064535.49433256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0</v>
      </c>
      <c r="J63" s="21" t="n">
        <f aca="false">$A63-$G$5-1</f>
        <v>17</v>
      </c>
      <c r="K63" s="21" t="n">
        <f aca="false">IF(J63&lt;0,-1,MOD(J63,$B$8+$B$10))</f>
        <v>0</v>
      </c>
      <c r="L63" s="21" t="n">
        <f aca="false">IF(J63&lt;0,0,INT(J63/($B$8+$B$10)))</f>
        <v>1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0</v>
      </c>
      <c r="O63" s="14" t="n">
        <f aca="false">IF($A63&lt;=$G$5,$E$5*$F$5,IF(K63&gt;=$B$8,M63*$B$4*(1+$B$5)^(($G$5+$B$8+L63*($B$8+$B$10))/4),0))</f>
        <v>0</v>
      </c>
      <c r="P63" s="14" t="n">
        <f aca="false">IF($A63&lt;=$G$5,0,IF(K63=0,M63*$B$6*(1+$B$7)^(($G$5+L63*($B$8+$B$10))/4),0)+IF(K63=$B$8,$B$11*$B$4*(1+$B$5)^(($G$5+$B$8+L63*($B$8+$B$10))/4)*M63,0))</f>
        <v>1596183.70798447</v>
      </c>
      <c r="Q63" s="21" t="n">
        <f aca="false">IF($A63&lt;=$G$5,0,IF(K63&lt;$B$8,M63,0))</f>
        <v>3100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0</v>
      </c>
      <c r="W63" s="14" t="n">
        <f aca="false">IF($A63&lt;=$G$6,$E$6*$F$6,IF(S63&gt;=$B$8,U63*$B$4*(1+$B$5)^(($G$6+$B$8+T63*($B$8+$B$10))/4),0))</f>
        <v>388879.514957794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10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62428.7763507251</v>
      </c>
      <c r="AE63" s="14" t="n">
        <f aca="false">IF($A63&lt;=$G$7,$E$7*$F$7,IF(AA63&gt;=$B$8,AC63*$B$4*(1+$B$5)^(($G$7+$B$8+AB63*($B$8+$B$10))/4),0))</f>
        <v>249715.1054029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16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131868.027592517</v>
      </c>
      <c r="AM63" s="14" t="n">
        <f aca="false">IF($A63&lt;=$G$8,$E$8*$F$8,IF(AI63&gt;=$B$8,AK63*$B$4*(1+$B$5)^(($G$8+$B$8+AJ63*($B$8+$B$10))/4),0))</f>
        <v>527472.110370069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194296.803943242</v>
      </c>
      <c r="AQ63" s="14" t="n">
        <f aca="false">G63+O63+W63+AE63+AM63</f>
        <v>2230602.22506333</v>
      </c>
      <c r="AR63" s="14" t="n">
        <f aca="false">H63+P63+X63+AF63+AN63+IF($A63=$B$15,$B$14,0)</f>
        <v>1596183.70798447</v>
      </c>
      <c r="AS63" s="21" t="n">
        <f aca="false">I63+Q63+Y63+AG63+AO63</f>
        <v>3100</v>
      </c>
      <c r="AT63" s="14" t="n">
        <f aca="false">AP63*(1-$B$12)-AS63*$B$13/4</f>
        <v>140013.995706648</v>
      </c>
      <c r="AU63" s="14" t="n">
        <f aca="false">0</f>
        <v>0</v>
      </c>
      <c r="AV63" s="14" t="n">
        <f aca="false">AT63-AR63-AU63</f>
        <v>-1456169.71227782</v>
      </c>
      <c r="AW63" s="21" t="n">
        <f aca="false">(1+$B$16)^(-$A63/4)</f>
        <v>0.530216367348056</v>
      </c>
      <c r="AX63" s="14" t="n">
        <f aca="false">AV63*AW63</f>
        <v>-772085.01508621</v>
      </c>
      <c r="AY63" s="14" t="n">
        <f aca="false">AV63</f>
        <v>-1456169.71227782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7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1064535.49433256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</v>
      </c>
      <c r="L64" s="21" t="n">
        <f aca="false">IF(J64&lt;0,0,INT(J64/($B$8+$B$10)))</f>
        <v>1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0</v>
      </c>
      <c r="O64" s="14" t="n">
        <f aca="false">IF($A64&lt;=$G$5,$E$5*$F$5,IF(K64&gt;=$B$8,M64*$B$4*(1+$B$5)^(($G$5+$B$8+L64*($B$8+$B$10))/4),0))</f>
        <v>0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3100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97219.8787394484</v>
      </c>
      <c r="W64" s="14" t="n">
        <f aca="false">IF($A64&lt;=$G$6,$E$6*$F$6,IF(S64&gt;=$B$8,U64*$B$4*(1+$B$5)^(($G$6+$B$8+T64*($B$8+$B$10))/4),0))</f>
        <v>388879.514957794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11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62428.7763507251</v>
      </c>
      <c r="AE64" s="14" t="n">
        <f aca="false">IF($A64&lt;=$G$7,$E$7*$F$7,IF(AA64&gt;=$B$8,AC64*$B$4*(1+$B$5)^(($G$7+$B$8+AB64*($B$8+$B$10))/4),0))</f>
        <v>249715.1054029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0</v>
      </c>
      <c r="AJ64" s="21" t="n">
        <f aca="false">IF(AH64&lt;0,0,INT(AH64/($B$8+$B$10)))</f>
        <v>2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0</v>
      </c>
      <c r="AM64" s="14" t="n">
        <f aca="false">IF($A64&lt;=$G$8,$E$8*$F$8,IF(AI64&gt;=$B$8,AK64*$B$4*(1+$B$5)^(($G$8+$B$8+AJ64*($B$8+$B$10))/4),0))</f>
        <v>0</v>
      </c>
      <c r="AN64" s="14" t="n">
        <f aca="false">IF($A64&lt;=$G$8,0,IF(AI64=0,AK64*$B$6*(1+$B$7)^(($G$8+AJ64*($B$8+$B$10))/4),0)+IF(AI64=$B$8,$B$11*$B$4*(1+$B$5)^(($G$8+$B$8+AJ64*($B$8+$B$10))/4)*AK64,0))</f>
        <v>1119066.50602587</v>
      </c>
      <c r="AO64" s="21" t="n">
        <f aca="false">IF($A64&lt;=$G$8,0,IF(AI64&lt;$B$8,AK64,0))</f>
        <v>2160</v>
      </c>
      <c r="AP64" s="14" t="n">
        <f aca="false">F64+N64+V64+AD64+AL64</f>
        <v>159648.655090173</v>
      </c>
      <c r="AQ64" s="14" t="n">
        <f aca="false">G64+O64+W64+AE64+AM64</f>
        <v>1703130.11469326</v>
      </c>
      <c r="AR64" s="14" t="n">
        <f aca="false">H64+P64+X64+AF64+AN64+IF($A64=$B$15,$B$14,0)</f>
        <v>1119066.50602587</v>
      </c>
      <c r="AS64" s="21" t="n">
        <f aca="false">I64+Q64+Y64+AG64+AO64</f>
        <v>5260</v>
      </c>
      <c r="AT64" s="14" t="n">
        <f aca="false">AP64*(1-$B$12)-AS64*$B$13/4</f>
        <v>77744.7357847631</v>
      </c>
      <c r="AU64" s="14" t="n">
        <f aca="false">0</f>
        <v>0</v>
      </c>
      <c r="AV64" s="14" t="n">
        <f aca="false">AT64-AR64-AU64</f>
        <v>-1041321.77024111</v>
      </c>
      <c r="AW64" s="21" t="n">
        <f aca="false">(1+$B$16)^(-$A64/4)</f>
        <v>0.520413806983644</v>
      </c>
      <c r="AX64" s="14" t="n">
        <f aca="false">AV64*AW64</f>
        <v>-541918.226746122</v>
      </c>
      <c r="AY64" s="14" t="n">
        <f aca="false">AV64</f>
        <v>-1041321.77024111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8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266133.873583141</v>
      </c>
      <c r="G65" s="14" t="n">
        <f aca="false">IF($A65&lt;=$G$4,$E$4*$F$4,IF(C65&gt;=$B$8,E65*$B$4*(1+$B$5)^(($G$4+$B$8+D65*($B$8+$B$10))/4),0))</f>
        <v>1064535.49433256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0</v>
      </c>
      <c r="J65" s="21" t="n">
        <f aca="false">$A65-$G$5-1</f>
        <v>19</v>
      </c>
      <c r="K65" s="21" t="n">
        <f aca="false">IF(J65&lt;0,-1,MOD(J65,$B$8+$B$10))</f>
        <v>2</v>
      </c>
      <c r="L65" s="21" t="n">
        <f aca="false">IF(J65&lt;0,0,INT(J65/($B$8+$B$10)))</f>
        <v>1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0</v>
      </c>
      <c r="O65" s="14" t="n">
        <f aca="false">IF($A65&lt;=$G$5,$E$5*$F$5,IF(K65&gt;=$B$8,M65*$B$4*(1+$B$5)^(($G$5+$B$8+L65*($B$8+$B$10))/4),0))</f>
        <v>0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3100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97219.8787394484</v>
      </c>
      <c r="W65" s="14" t="n">
        <f aca="false">IF($A65&lt;=$G$6,$E$6*$F$6,IF(S65&gt;=$B$8,U65*$B$4*(1+$B$5)^(($G$6+$B$8+T65*($B$8+$B$10))/4),0))</f>
        <v>388879.514957794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12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62428.7763507251</v>
      </c>
      <c r="AE65" s="14" t="n">
        <f aca="false">IF($A65&lt;=$G$7,$E$7*$F$7,IF(AA65&gt;=$B$8,AC65*$B$4*(1+$B$5)^(($G$7+$B$8+AB65*($B$8+$B$10))/4),0))</f>
        <v>249715.1054029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</v>
      </c>
      <c r="AJ65" s="21" t="n">
        <f aca="false">IF(AH65&lt;0,0,INT(AH65/($B$8+$B$10)))</f>
        <v>2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0</v>
      </c>
      <c r="AM65" s="14" t="n">
        <f aca="false">IF($A65&lt;=$G$8,$E$8*$F$8,IF(AI65&gt;=$B$8,AK65*$B$4*(1+$B$5)^(($G$8+$B$8+AJ65*($B$8+$B$10))/4),0))</f>
        <v>0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2160</v>
      </c>
      <c r="AP65" s="14" t="n">
        <f aca="false">F65+N65+V65+AD65+AL65</f>
        <v>425782.528673315</v>
      </c>
      <c r="AQ65" s="14" t="n">
        <f aca="false">G65+O65+W65+AE65+AM65</f>
        <v>1703130.11469326</v>
      </c>
      <c r="AR65" s="14" t="n">
        <f aca="false">H65+P65+X65+AF65+AN65+IF($A65=$B$15,$B$14,0)</f>
        <v>0</v>
      </c>
      <c r="AS65" s="21" t="n">
        <f aca="false">I65+Q65+Y65+AG65+AO65</f>
        <v>5260</v>
      </c>
      <c r="AT65" s="14" t="n">
        <f aca="false">AP65*(1-$B$12)-AS65*$B$13/4</f>
        <v>327910.576952916</v>
      </c>
      <c r="AU65" s="14" t="n">
        <f aca="false">0</f>
        <v>0</v>
      </c>
      <c r="AV65" s="14" t="n">
        <f aca="false">AT65-AR65-AU65</f>
        <v>327910.576952916</v>
      </c>
      <c r="AW65" s="21" t="n">
        <f aca="false">(1+$B$16)^(-$A65/4)</f>
        <v>0.51079247487927</v>
      </c>
      <c r="AX65" s="14" t="n">
        <f aca="false">AV65*AW65</f>
        <v>167494.255140869</v>
      </c>
      <c r="AY65" s="14" t="n">
        <f aca="false">AV65</f>
        <v>327910.576952916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9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266133.873583141</v>
      </c>
      <c r="G66" s="14" t="n">
        <f aca="false">IF($A66&lt;=$G$4,$E$4*$F$4,IF(C66&gt;=$B$8,E66*$B$4*(1+$B$5)^(($G$4+$B$8+D66*($B$8+$B$10))/4),0))</f>
        <v>1064535.49433256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3</v>
      </c>
      <c r="L66" s="21" t="n">
        <f aca="false">IF(J66&lt;0,0,INT(J66/($B$8+$B$10)))</f>
        <v>1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0</v>
      </c>
      <c r="O66" s="14" t="n">
        <f aca="false">IF($A66&lt;=$G$5,$E$5*$F$5,IF(K66&gt;=$B$8,M66*$B$4*(1+$B$5)^(($G$5+$B$8+L66*($B$8+$B$10))/4),0))</f>
        <v>0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3100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97219.8787394484</v>
      </c>
      <c r="W66" s="14" t="n">
        <f aca="false">IF($A66&lt;=$G$6,$E$6*$F$6,IF(S66&gt;=$B$8,U66*$B$4*(1+$B$5)^(($G$6+$B$8+T66*($B$8+$B$10))/4),0))</f>
        <v>388879.514957794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13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62428.7763507251</v>
      </c>
      <c r="AE66" s="14" t="n">
        <f aca="false">IF($A66&lt;=$G$7,$E$7*$F$7,IF(AA66&gt;=$B$8,AC66*$B$4*(1+$B$5)^(($G$7+$B$8+AB66*($B$8+$B$10))/4),0))</f>
        <v>249715.1054029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2</v>
      </c>
      <c r="AJ66" s="21" t="n">
        <f aca="false">IF(AH66&lt;0,0,INT(AH66/($B$8+$B$10)))</f>
        <v>2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0</v>
      </c>
      <c r="AM66" s="14" t="n">
        <f aca="false">IF($A66&lt;=$G$8,$E$8*$F$8,IF(AI66&gt;=$B$8,AK66*$B$4*(1+$B$5)^(($G$8+$B$8+AJ66*($B$8+$B$10))/4),0))</f>
        <v>0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2160</v>
      </c>
      <c r="AP66" s="14" t="n">
        <f aca="false">F66+N66+V66+AD66+AL66</f>
        <v>425782.528673315</v>
      </c>
      <c r="AQ66" s="14" t="n">
        <f aca="false">G66+O66+W66+AE66+AM66</f>
        <v>1703130.11469326</v>
      </c>
      <c r="AR66" s="14" t="n">
        <f aca="false">H66+P66+X66+AF66+AN66+IF($A66=$B$15,$B$14,0)</f>
        <v>0</v>
      </c>
      <c r="AS66" s="21" t="n">
        <f aca="false">I66+Q66+Y66+AG66+AO66</f>
        <v>5260</v>
      </c>
      <c r="AT66" s="14" t="n">
        <f aca="false">AP66*(1-$B$12)-AS66*$B$13/4</f>
        <v>327910.576952916</v>
      </c>
      <c r="AU66" s="14" t="n">
        <f aca="false">0</f>
        <v>0</v>
      </c>
      <c r="AV66" s="14" t="n">
        <f aca="false">AT66-AR66-AU66</f>
        <v>327910.576952916</v>
      </c>
      <c r="AW66" s="21" t="n">
        <f aca="false">(1+$B$16)^(-$A66/4)</f>
        <v>0.501349020514149</v>
      </c>
      <c r="AX66" s="14" t="n">
        <f aca="false">AV66*AW66</f>
        <v>164397.646571574</v>
      </c>
      <c r="AY66" s="14" t="n">
        <f aca="false">AV66</f>
        <v>327910.576952916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10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266133.873583141</v>
      </c>
      <c r="G67" s="14" t="n">
        <f aca="false">IF($A67&lt;=$G$4,$E$4*$F$4,IF(C67&gt;=$B$8,E67*$B$4*(1+$B$5)^(($G$4+$B$8+D67*($B$8+$B$10))/4),0))</f>
        <v>1064535.49433256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4</v>
      </c>
      <c r="L67" s="21" t="n">
        <f aca="false">IF(J67&lt;0,0,INT(J67/($B$8+$B$10)))</f>
        <v>1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0</v>
      </c>
      <c r="O67" s="14" t="n">
        <f aca="false">IF($A67&lt;=$G$5,$E$5*$F$5,IF(K67&gt;=$B$8,M67*$B$4*(1+$B$5)^(($G$5+$B$8+L67*($B$8+$B$10))/4),0))</f>
        <v>0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3100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97219.8787394484</v>
      </c>
      <c r="W67" s="14" t="n">
        <f aca="false">IF($A67&lt;=$G$6,$E$6*$F$6,IF(S67&gt;=$B$8,U67*$B$4*(1+$B$5)^(($G$6+$B$8+T67*($B$8+$B$10))/4),0))</f>
        <v>388879.514957794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14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62428.7763507251</v>
      </c>
      <c r="AE67" s="14" t="n">
        <f aca="false">IF($A67&lt;=$G$7,$E$7*$F$7,IF(AA67&gt;=$B$8,AC67*$B$4*(1+$B$5)^(($G$7+$B$8+AB67*($B$8+$B$10))/4),0))</f>
        <v>249715.1054029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3</v>
      </c>
      <c r="AJ67" s="21" t="n">
        <f aca="false">IF(AH67&lt;0,0,INT(AH67/($B$8+$B$10)))</f>
        <v>2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0</v>
      </c>
      <c r="AM67" s="14" t="n">
        <f aca="false">IF($A67&lt;=$G$8,$E$8*$F$8,IF(AI67&gt;=$B$8,AK67*$B$4*(1+$B$5)^(($G$8+$B$8+AJ67*($B$8+$B$10))/4),0))</f>
        <v>0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2160</v>
      </c>
      <c r="AP67" s="14" t="n">
        <f aca="false">F67+N67+V67+AD67+AL67</f>
        <v>425782.528673315</v>
      </c>
      <c r="AQ67" s="14" t="n">
        <f aca="false">G67+O67+W67+AE67+AM67</f>
        <v>1703130.11469326</v>
      </c>
      <c r="AR67" s="14" t="n">
        <f aca="false">H67+P67+X67+AF67+AN67+IF($A67=$B$15,$B$14,0)</f>
        <v>0</v>
      </c>
      <c r="AS67" s="21" t="n">
        <f aca="false">I67+Q67+Y67+AG67+AO67</f>
        <v>5260</v>
      </c>
      <c r="AT67" s="14" t="n">
        <f aca="false">AP67*(1-$B$12)-AS67*$B$13/4</f>
        <v>327910.576952916</v>
      </c>
      <c r="AU67" s="14" t="n">
        <f aca="false">0</f>
        <v>0</v>
      </c>
      <c r="AV67" s="14" t="n">
        <f aca="false">AT67-AR67-AU67</f>
        <v>327910.576952916</v>
      </c>
      <c r="AW67" s="21" t="n">
        <f aca="false">(1+$B$16)^(-$A67/4)</f>
        <v>0.492080155311421</v>
      </c>
      <c r="AX67" s="14" t="n">
        <f aca="false">AV67*AW67</f>
        <v>161358.287635249</v>
      </c>
      <c r="AY67" s="14" t="n">
        <f aca="false">AV67</f>
        <v>327910.576952916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11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266133.873583141</v>
      </c>
      <c r="G68" s="14" t="n">
        <f aca="false">IF($A68&lt;=$G$4,$E$4*$F$4,IF(C68&gt;=$B$8,E68*$B$4*(1+$B$5)^(($G$4+$B$8+D68*($B$8+$B$10))/4),0))</f>
        <v>1064535.49433256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5</v>
      </c>
      <c r="L68" s="21" t="n">
        <f aca="false">IF(J68&lt;0,0,INT(J68/($B$8+$B$10)))</f>
        <v>1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0</v>
      </c>
      <c r="O68" s="14" t="n">
        <f aca="false">IF($A68&lt;=$G$5,$E$5*$F$5,IF(K68&gt;=$B$8,M68*$B$4*(1+$B$5)^(($G$5+$B$8+L68*($B$8+$B$10))/4),0))</f>
        <v>803473.603215703</v>
      </c>
      <c r="P68" s="14" t="n">
        <f aca="false">IF($A68&lt;=$G$5,0,IF(K68=0,M68*$B$6*(1+$B$7)^(($G$5+L68*($B$8+$B$10))/4),0)+IF(K68=$B$8,$B$11*$B$4*(1+$B$5)^(($G$5+$B$8+L68*($B$8+$B$10))/4)*M68,0))</f>
        <v>96416.8323858844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97219.8787394484</v>
      </c>
      <c r="W68" s="14" t="n">
        <f aca="false">IF($A68&lt;=$G$6,$E$6*$F$6,IF(S68&gt;=$B$8,U68*$B$4*(1+$B$5)^(($G$6+$B$8+T68*($B$8+$B$10))/4),0))</f>
        <v>388879.514957794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15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62428.7763507251</v>
      </c>
      <c r="AE68" s="14" t="n">
        <f aca="false">IF($A68&lt;=$G$7,$E$7*$F$7,IF(AA68&gt;=$B$8,AC68*$B$4*(1+$B$5)^(($G$7+$B$8+AB68*($B$8+$B$10))/4),0))</f>
        <v>249715.1054029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4</v>
      </c>
      <c r="AJ68" s="21" t="n">
        <f aca="false">IF(AH68&lt;0,0,INT(AH68/($B$8+$B$10)))</f>
        <v>2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0</v>
      </c>
      <c r="AM68" s="14" t="n">
        <f aca="false">IF($A68&lt;=$G$8,$E$8*$F$8,IF(AI68&gt;=$B$8,AK68*$B$4*(1+$B$5)^(($G$8+$B$8+AJ68*($B$8+$B$10))/4),0))</f>
        <v>0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2160</v>
      </c>
      <c r="AP68" s="14" t="n">
        <f aca="false">F68+N68+V68+AD68+AL68</f>
        <v>425782.528673315</v>
      </c>
      <c r="AQ68" s="14" t="n">
        <f aca="false">G68+O68+W68+AE68+AM68</f>
        <v>2506603.71790896</v>
      </c>
      <c r="AR68" s="14" t="n">
        <f aca="false">H68+P68+X68+AF68+AN68+IF($A68=$B$15,$B$14,0)</f>
        <v>96416.8323858844</v>
      </c>
      <c r="AS68" s="21" t="n">
        <f aca="false">I68+Q68+Y68+AG68+AO68</f>
        <v>2160</v>
      </c>
      <c r="AT68" s="14" t="n">
        <f aca="false">AP68*(1-$B$12)-AS68*$B$13/4</f>
        <v>370535.576952916</v>
      </c>
      <c r="AU68" s="14" t="n">
        <f aca="false">0</f>
        <v>0</v>
      </c>
      <c r="AV68" s="14" t="n">
        <f aca="false">AT68-AR68-AU68</f>
        <v>274118.744567031</v>
      </c>
      <c r="AW68" s="21" t="n">
        <f aca="false">(1+$B$16)^(-$A68/4)</f>
        <v>0.482982651492941</v>
      </c>
      <c r="AX68" s="14" t="n">
        <f aca="false">AV68*AW68</f>
        <v>132394.598074901</v>
      </c>
      <c r="AY68" s="14" t="n">
        <f aca="false">AV68</f>
        <v>274118.744567031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12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266133.873583141</v>
      </c>
      <c r="G69" s="14" t="n">
        <f aca="false">IF($A69&lt;=$G$4,$E$4*$F$4,IF(C69&gt;=$B$8,E69*$B$4*(1+$B$5)^(($G$4+$B$8+D69*($B$8+$B$10))/4),0))</f>
        <v>1064535.49433256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6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803473.603215703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97219.8787394484</v>
      </c>
      <c r="W69" s="14" t="n">
        <f aca="false">IF($A69&lt;=$G$6,$E$6*$F$6,IF(S69&gt;=$B$8,U69*$B$4*(1+$B$5)^(($G$6+$B$8+T69*($B$8+$B$10))/4),0))</f>
        <v>388879.514957794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16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62428.7763507251</v>
      </c>
      <c r="AE69" s="14" t="n">
        <f aca="false">IF($A69&lt;=$G$7,$E$7*$F$7,IF(AA69&gt;=$B$8,AC69*$B$4*(1+$B$5)^(($G$7+$B$8+AB69*($B$8+$B$10))/4),0))</f>
        <v>249715.1054029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5</v>
      </c>
      <c r="AJ69" s="21" t="n">
        <f aca="false">IF(AH69&lt;0,0,INT(AH69/($B$8+$B$10)))</f>
        <v>2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0</v>
      </c>
      <c r="AM69" s="14" t="n">
        <f aca="false">IF($A69&lt;=$G$8,$E$8*$F$8,IF(AI69&gt;=$B$8,AK69*$B$4*(1+$B$5)^(($G$8+$B$8+AJ69*($B$8+$B$10))/4),0))</f>
        <v>561927.363845694</v>
      </c>
      <c r="AN69" s="14" t="n">
        <f aca="false">IF($A69&lt;=$G$8,0,IF(AI69=0,AK69*$B$6*(1+$B$7)^(($G$8+AJ69*($B$8+$B$10))/4),0)+IF(AI69=$B$8,$B$11*$B$4*(1+$B$5)^(($G$8+$B$8+AJ69*($B$8+$B$10))/4)*AK69,0))</f>
        <v>67431.2836614832</v>
      </c>
      <c r="AO69" s="21" t="n">
        <f aca="false">IF($A69&lt;=$G$8,0,IF(AI69&lt;$B$8,AK69,0))</f>
        <v>0</v>
      </c>
      <c r="AP69" s="14" t="n">
        <f aca="false">F69+N69+V69+AD69+AL69</f>
        <v>425782.528673315</v>
      </c>
      <c r="AQ69" s="14" t="n">
        <f aca="false">G69+O69+W69+AE69+AM69</f>
        <v>3068531.08175466</v>
      </c>
      <c r="AR69" s="14" t="n">
        <f aca="false">H69+P69+X69+AF69+AN69+IF($A69=$B$15,$B$14,0)</f>
        <v>67431.2836614832</v>
      </c>
      <c r="AS69" s="21" t="n">
        <f aca="false">I69+Q69+Y69+AG69+AO69</f>
        <v>0</v>
      </c>
      <c r="AT69" s="14" t="n">
        <f aca="false">AP69*(1-$B$12)-AS69*$B$13/4</f>
        <v>400235.576952916</v>
      </c>
      <c r="AU69" s="14" t="n">
        <f aca="false">0</f>
        <v>0</v>
      </c>
      <c r="AV69" s="14" t="n">
        <f aca="false">AT69-AR69-AU69</f>
        <v>332804.293291432</v>
      </c>
      <c r="AW69" s="21" t="n">
        <f aca="false">(1+$B$16)^(-$A69/4)</f>
        <v>0.474053340955239</v>
      </c>
      <c r="AX69" s="14" t="n">
        <f aca="false">AV69*AW69</f>
        <v>157766.987119051</v>
      </c>
      <c r="AY69" s="14" t="n">
        <f aca="false">AV69+$J$9</f>
        <v>35847215.9007494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328</v>
      </c>
    </row>
    <row r="2" customFormat="false" ht="15" hidden="false" customHeight="false" outlineLevel="0" collapsed="false">
      <c r="A2" s="22" t="s">
        <v>329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26" t="n">
        <v>248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286.744827641424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114.498605409038</v>
      </c>
    </row>
    <row r="6" customFormat="false" ht="15" hidden="false" customHeight="false" outlineLevel="0" collapsed="false">
      <c r="A6" s="0" t="s">
        <v>24</v>
      </c>
      <c r="B6" s="26" t="n">
        <v>90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3382203.14788958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0</v>
      </c>
    </row>
    <row r="8" customFormat="false" ht="15" hidden="false" customHeight="false" outlineLevel="0" collapsed="false">
      <c r="A8" s="0" t="s">
        <v>26</v>
      </c>
      <c r="B8" s="24" t="n">
        <v>5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3179270.9590162</v>
      </c>
    </row>
    <row r="9" customFormat="false" ht="15" hidden="false" customHeight="false" outlineLevel="0" collapsed="false">
      <c r="A9" s="0" t="s">
        <v>27</v>
      </c>
      <c r="B9" s="24" t="n">
        <v>5</v>
      </c>
      <c r="I9" s="21" t="s">
        <v>102</v>
      </c>
      <c r="J9" s="14" t="n">
        <f aca="false">(J8/$B$17-J7*J5)*(1-$B$19)</f>
        <v>40407508.3178188</v>
      </c>
    </row>
    <row r="10" customFormat="false" ht="15" hidden="false" customHeight="false" outlineLevel="0" collapsed="false">
      <c r="A10" s="0" t="s">
        <v>28</v>
      </c>
      <c r="B10" s="24" t="n">
        <v>12</v>
      </c>
      <c r="I10" s="21" t="s">
        <v>103</v>
      </c>
      <c r="J10" s="14" t="n">
        <f aca="false">SUM(AX29:AX69)</f>
        <v>7899077.33552264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19155314.3177386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27054391.6532612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25403184.6509495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0.708029755879931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0.0114667303713112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15367578.0381603</v>
      </c>
    </row>
    <row r="17" customFormat="false" ht="15" hidden="false" customHeight="false" outlineLevel="0" collapsed="false">
      <c r="A17" s="0" t="s">
        <v>35</v>
      </c>
      <c r="B17" s="25" t="n">
        <v>0.0775</v>
      </c>
      <c r="I17" s="21" t="s">
        <v>109</v>
      </c>
      <c r="J17" s="14" t="n">
        <f aca="false">SUM(AR30:AR69)</f>
        <v>5212647.16037531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-7148015.24407338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-0.219592987881418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194400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194400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492400.9</v>
      </c>
      <c r="AW30" s="21" t="n">
        <f aca="false">(1+$B$16)^(-$A30/4)</f>
        <v>0.98151215057083</v>
      </c>
      <c r="AX30" s="14" t="n">
        <f aca="false">AV30*AW30</f>
        <v>483297.466302012</v>
      </c>
      <c r="AY30" s="14" t="n">
        <f aca="false">AV30</f>
        <v>492400.9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0</v>
      </c>
      <c r="AN33" s="14" t="n">
        <f aca="false">IF($A33&lt;=$G$8,0,IF(AI33=0,AK33*$B$6*(1+$B$7)^(($G$8+AJ33*($B$8+$B$10))/4),0)+IF(AI33=$B$8,$B$11*$B$4*(1+$B$5)^(($G$8+$B$8+AJ33*($B$8+$B$10))/4)*AK33,0))</f>
        <v>0</v>
      </c>
      <c r="AO33" s="21" t="n">
        <f aca="false">IF($A33&lt;=$G$8,0,IF(AI33&lt;$B$8,AK33,0))</f>
        <v>2160</v>
      </c>
      <c r="AP33" s="14" t="n">
        <f aca="false">F33+N33+V33+AD33+AL33</f>
        <v>762235</v>
      </c>
      <c r="AQ33" s="14" t="n">
        <f aca="false">G33+O33+W33+AE33+AM33</f>
        <v>3048940</v>
      </c>
      <c r="AR33" s="14" t="n">
        <f aca="false">H33+P33+X33+AF33+AN33+IF($A33=$B$15,$B$14,0)</f>
        <v>0</v>
      </c>
      <c r="AS33" s="21" t="n">
        <f aca="false">I33+Q33+Y33+AG33+AO33</f>
        <v>2160</v>
      </c>
      <c r="AT33" s="14" t="n">
        <f aca="false">AP33*(1-$B$12)-AS33*$B$13/4</f>
        <v>686800.9</v>
      </c>
      <c r="AU33" s="14" t="n">
        <f aca="false">0</f>
        <v>0</v>
      </c>
      <c r="AV33" s="14" t="n">
        <f aca="false">AT33-AR33-AU33</f>
        <v>686800.9</v>
      </c>
      <c r="AW33" s="21" t="n">
        <f aca="false">(1+$B$16)^(-$A33/4)</f>
        <v>0.928074245939675</v>
      </c>
      <c r="AX33" s="14" t="n">
        <f aca="false">AV33*AW33</f>
        <v>637402.22737819</v>
      </c>
      <c r="AY33" s="14" t="n">
        <f aca="false">AV33</f>
        <v>686800.9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0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2160</v>
      </c>
      <c r="AP34" s="14" t="n">
        <f aca="false">F34+N34+V34+AD34+AL34</f>
        <v>762235</v>
      </c>
      <c r="AQ34" s="14" t="n">
        <f aca="false">G34+O34+W34+AE34+AM34</f>
        <v>3048940</v>
      </c>
      <c r="AR34" s="14" t="n">
        <f aca="false">H34+P34+X34+AF34+AN34+IF($A34=$B$15,$B$14,0)</f>
        <v>0</v>
      </c>
      <c r="AS34" s="21" t="n">
        <f aca="false">I34+Q34+Y34+AG34+AO34</f>
        <v>2160</v>
      </c>
      <c r="AT34" s="14" t="n">
        <f aca="false">AP34*(1-$B$12)-AS34*$B$13/4</f>
        <v>686800.9</v>
      </c>
      <c r="AU34" s="14" t="n">
        <f aca="false">0</f>
        <v>0</v>
      </c>
      <c r="AV34" s="14" t="n">
        <f aca="false">AT34-AR34-AU34</f>
        <v>686800.9</v>
      </c>
      <c r="AW34" s="21" t="n">
        <f aca="false">(1+$B$16)^(-$A34/4)</f>
        <v>0.910916149021652</v>
      </c>
      <c r="AX34" s="14" t="n">
        <f aca="false">AV34*AW34</f>
        <v>625618.030972605</v>
      </c>
      <c r="AY34" s="14" t="n">
        <f aca="false">AV34</f>
        <v>686800.9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545742.762337793</v>
      </c>
      <c r="AN35" s="14" t="n">
        <f aca="false">IF($A35&lt;=$G$8,0,IF(AI35=0,AK35*$B$6*(1+$B$7)^(($G$8+AJ35*($B$8+$B$10))/4),0)+IF(AI35=$B$8,$B$11*$B$4*(1+$B$5)^(($G$8+$B$8+AJ35*($B$8+$B$10))/4)*AK35,0))</f>
        <v>65489.1314805351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3594682.76233779</v>
      </c>
      <c r="AR35" s="14" t="n">
        <f aca="false">H35+P35+X35+AF35+AN35+IF($A35=$B$15,$B$14,0)</f>
        <v>65489.1314805351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651011.768519465</v>
      </c>
      <c r="AW35" s="21" t="n">
        <f aca="false">(1+$B$16)^(-$A35/4)</f>
        <v>0.894075268415941</v>
      </c>
      <c r="AX35" s="14" t="n">
        <f aca="false">AV35*AW35</f>
        <v>582053.521680977</v>
      </c>
      <c r="AY35" s="14" t="n">
        <f aca="false">AV35</f>
        <v>651011.768519465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93396.0066731977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0</v>
      </c>
      <c r="AM36" s="14" t="n">
        <f aca="false">IF($A36&lt;=$G$8,$E$8*$F$8,IF(AI36&gt;=$B$8,AK36*$B$4*(1+$B$5)^(($G$8+$B$8+AJ36*($B$8+$B$10))/4),0))</f>
        <v>545742.762337793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684235</v>
      </c>
      <c r="AQ36" s="14" t="n">
        <f aca="false">G36+O36+W36+AE36+AM36</f>
        <v>3282682.76233779</v>
      </c>
      <c r="AR36" s="14" t="n">
        <f aca="false">H36+P36+X36+AF36+AN36+IF($A36=$B$15,$B$14,0)</f>
        <v>93396.0066731977</v>
      </c>
      <c r="AS36" s="21" t="n">
        <f aca="false">I36+Q36+Y36+AG36+AO36</f>
        <v>1000</v>
      </c>
      <c r="AT36" s="14" t="n">
        <f aca="false">AP36*(1-$B$12)-AS36*$B$13/4</f>
        <v>629430.9</v>
      </c>
      <c r="AU36" s="14" t="n">
        <f aca="false">0</f>
        <v>0</v>
      </c>
      <c r="AV36" s="14" t="n">
        <f aca="false">AT36-AR36-AU36</f>
        <v>536034.893326802</v>
      </c>
      <c r="AW36" s="21" t="n">
        <f aca="false">(1+$B$16)^(-$A36/4)</f>
        <v>0.877545739475122</v>
      </c>
      <c r="AX36" s="14" t="n">
        <f aca="false">AV36*AW36</f>
        <v>470395.136848937</v>
      </c>
      <c r="AY36" s="14" t="n">
        <f aca="false">AV36</f>
        <v>536034.893326802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0</v>
      </c>
      <c r="AM37" s="14" t="n">
        <f aca="false">IF($A37&lt;=$G$8,$E$8*$F$8,IF(AI37&gt;=$B$8,AK37*$B$4*(1+$B$5)^(($G$8+$B$8+AJ37*($B$8+$B$10))/4),0))</f>
        <v>545742.762337793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684235</v>
      </c>
      <c r="AQ37" s="14" t="n">
        <f aca="false">G37+O37+W37+AE37+AM37</f>
        <v>3282682.76233779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629430.9</v>
      </c>
      <c r="AU37" s="14" t="n">
        <f aca="false">0</f>
        <v>0</v>
      </c>
      <c r="AV37" s="14" t="n">
        <f aca="false">AT37-AR37-AU37</f>
        <v>629430.9</v>
      </c>
      <c r="AW37" s="21" t="n">
        <f aca="false">(1+$B$16)^(-$A37/4)</f>
        <v>0.861321805976497</v>
      </c>
      <c r="AX37" s="14" t="n">
        <f aca="false">AV37*AW37</f>
        <v>542142.559525412</v>
      </c>
      <c r="AY37" s="14" t="n">
        <f aca="false">AV37</f>
        <v>629430.9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0</v>
      </c>
      <c r="AM38" s="14" t="n">
        <f aca="false">IF($A38&lt;=$G$8,$E$8*$F$8,IF(AI38&gt;=$B$8,AK38*$B$4*(1+$B$5)^(($G$8+$B$8+AJ38*($B$8+$B$10))/4),0))</f>
        <v>545742.762337793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684235</v>
      </c>
      <c r="AQ38" s="14" t="n">
        <f aca="false">G38+O38+W38+AE38+AM38</f>
        <v>3282682.76233779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629430.9</v>
      </c>
      <c r="AU38" s="14" t="n">
        <f aca="false">0</f>
        <v>0</v>
      </c>
      <c r="AV38" s="14" t="n">
        <f aca="false">AT38-AR38-AU38</f>
        <v>629430.9</v>
      </c>
      <c r="AW38" s="21" t="n">
        <f aca="false">(1+$B$16)^(-$A38/4)</f>
        <v>0.845397818117543</v>
      </c>
      <c r="AX38" s="14" t="n">
        <f aca="false">AV38*AW38</f>
        <v>532119.509515761</v>
      </c>
      <c r="AY38" s="14" t="n">
        <f aca="false">AV38</f>
        <v>629430.9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0</v>
      </c>
      <c r="AF39" s="14" t="n">
        <f aca="false">IF($A39&lt;=$G$7,0,IF(AA39=0,AC39*$B$6*(1+$B$7)^(($G$7+AB39*($B$8+$B$10))/4),0)+IF(AA39=$B$8,$B$11*$B$4*(1+$B$5)^(($G$7+$B$8+AB39*($B$8+$B$10))/4)*AC39,0))</f>
        <v>0</v>
      </c>
      <c r="AG39" s="21" t="n">
        <f aca="false">IF($A39&lt;=$G$7,0,IF(AA39&lt;$B$8,AC39,0))</f>
        <v>1000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0</v>
      </c>
      <c r="AM39" s="14" t="n">
        <f aca="false">IF($A39&lt;=$G$8,$E$8*$F$8,IF(AI39&gt;=$B$8,AK39*$B$4*(1+$B$5)^(($G$8+$B$8+AJ39*($B$8+$B$10))/4),0))</f>
        <v>545742.762337793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684235</v>
      </c>
      <c r="AQ39" s="14" t="n">
        <f aca="false">G39+O39+W39+AE39+AM39</f>
        <v>3282682.76233779</v>
      </c>
      <c r="AR39" s="14" t="n">
        <f aca="false">H39+P39+X39+AF39+AN39+IF($A39=$B$15,$B$14,0)</f>
        <v>0</v>
      </c>
      <c r="AS39" s="21" t="n">
        <f aca="false">I39+Q39+Y39+AG39+AO39</f>
        <v>1000</v>
      </c>
      <c r="AT39" s="14" t="n">
        <f aca="false">AP39*(1-$B$12)-AS39*$B$13/4</f>
        <v>629430.9</v>
      </c>
      <c r="AU39" s="14" t="n">
        <f aca="false">0</f>
        <v>0</v>
      </c>
      <c r="AV39" s="14" t="n">
        <f aca="false">AT39-AR39-AU39</f>
        <v>629430.9</v>
      </c>
      <c r="AW39" s="21" t="n">
        <f aca="false">(1+$B$16)^(-$A39/4)</f>
        <v>0.829768230548437</v>
      </c>
      <c r="AX39" s="14" t="n">
        <f aca="false">AV39*AW39</f>
        <v>522281.76414551</v>
      </c>
      <c r="AY39" s="14" t="n">
        <f aca="false">AV39</f>
        <v>629430.9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402069.808728116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0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1000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136435.690584448</v>
      </c>
      <c r="AM40" s="14" t="n">
        <f aca="false">IF($A40&lt;=$G$8,$E$8*$F$8,IF(AI40&gt;=$B$8,AK40*$B$4*(1+$B$5)^(($G$8+$B$8+AJ40*($B$8+$B$10))/4),0))</f>
        <v>545742.762337793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486770.690584448</v>
      </c>
      <c r="AQ40" s="14" t="n">
        <f aca="false">G40+O40+W40+AE40+AM40</f>
        <v>1947082.76233779</v>
      </c>
      <c r="AR40" s="14" t="n">
        <f aca="false">H40+P40+X40+AF40+AN40+IF($A40=$B$15,$B$14,0)</f>
        <v>402069.808728116</v>
      </c>
      <c r="AS40" s="21" t="n">
        <f aca="false">I40+Q40+Y40+AG40+AO40</f>
        <v>5200</v>
      </c>
      <c r="AT40" s="14" t="n">
        <f aca="false">AP40*(1-$B$12)-AS40*$B$13/4</f>
        <v>386064.449149381</v>
      </c>
      <c r="AU40" s="14" t="n">
        <f aca="false">0</f>
        <v>0</v>
      </c>
      <c r="AV40" s="14" t="n">
        <f aca="false">AT40-AR40-AU40</f>
        <v>-16005.359578735</v>
      </c>
      <c r="AW40" s="21" t="n">
        <f aca="false">(1+$B$16)^(-$A40/4)</f>
        <v>0.814427600440949</v>
      </c>
      <c r="AX40" s="14" t="n">
        <f aca="false">AV40*AW40</f>
        <v>-13035.2065959037</v>
      </c>
      <c r="AY40" s="14" t="n">
        <f aca="false">AV40</f>
        <v>-16005.359578735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258364.771787534</v>
      </c>
      <c r="AF41" s="14" t="n">
        <f aca="false">IF($A41&lt;=$G$7,0,IF(AA41=0,AC41*$B$6*(1+$B$7)^(($G$7+AB41*($B$8+$B$10))/4),0)+IF(AA41=$B$8,$B$11*$B$4*(1+$B$5)^(($G$7+$B$8+AB41*($B$8+$B$10))/4)*AC41,0))</f>
        <v>31003.7726145041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136435.690584448</v>
      </c>
      <c r="AM41" s="14" t="n">
        <f aca="false">IF($A41&lt;=$G$8,$E$8*$F$8,IF(AI41&gt;=$B$8,AK41*$B$4*(1+$B$5)^(($G$8+$B$8+AJ41*($B$8+$B$10))/4),0))</f>
        <v>545742.762337793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486770.690584448</v>
      </c>
      <c r="AQ41" s="14" t="n">
        <f aca="false">G41+O41+W41+AE41+AM41</f>
        <v>2205447.53412533</v>
      </c>
      <c r="AR41" s="14" t="n">
        <f aca="false">H41+P41+X41+AF41+AN41+IF($A41=$B$15,$B$14,0)</f>
        <v>1931003.7726145</v>
      </c>
      <c r="AS41" s="21" t="n">
        <f aca="false">I41+Q41+Y41+AG41+AO41</f>
        <v>4200</v>
      </c>
      <c r="AT41" s="14" t="n">
        <f aca="false">AP41*(1-$B$12)-AS41*$B$13/4</f>
        <v>399814.449149381</v>
      </c>
      <c r="AU41" s="14" t="n">
        <f aca="false">0</f>
        <v>0</v>
      </c>
      <c r="AV41" s="14" t="n">
        <f aca="false">AT41-AR41-AU41</f>
        <v>-1531189.32346512</v>
      </c>
      <c r="AW41" s="21" t="n">
        <f aca="false">(1+$B$16)^(-$A41/4)</f>
        <v>0.799370585593037</v>
      </c>
      <c r="AX41" s="14" t="n">
        <f aca="false">AV41*AW41</f>
        <v>-1223987.70615212</v>
      </c>
      <c r="AY41" s="14" t="n">
        <f aca="false">AV41</f>
        <v>-1531189.32346512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0</v>
      </c>
      <c r="AE42" s="14" t="n">
        <f aca="false">IF($A42&lt;=$G$7,$E$7*$F$7,IF(AA42&gt;=$B$8,AC42*$B$4*(1+$B$5)^(($G$7+$B$8+AB42*($B$8+$B$10))/4),0))</f>
        <v>258364.771787534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136435.690584448</v>
      </c>
      <c r="AM42" s="14" t="n">
        <f aca="false">IF($A42&lt;=$G$8,$E$8*$F$8,IF(AI42&gt;=$B$8,AK42*$B$4*(1+$B$5)^(($G$8+$B$8+AJ42*($B$8+$B$10))/4),0))</f>
        <v>545742.762337793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486770.690584448</v>
      </c>
      <c r="AQ42" s="14" t="n">
        <f aca="false">G42+O42+W42+AE42+AM42</f>
        <v>2205447.53412533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399814.449149381</v>
      </c>
      <c r="AU42" s="14" t="n">
        <f aca="false">0</f>
        <v>0</v>
      </c>
      <c r="AV42" s="14" t="n">
        <f aca="false">AT42-AR42-AU42</f>
        <v>399814.449149381</v>
      </c>
      <c r="AW42" s="21" t="n">
        <f aca="false">(1+$B$16)^(-$A42/4)</f>
        <v>0.784591942568485</v>
      </c>
      <c r="AX42" s="14" t="n">
        <f aca="false">AV42*AW42</f>
        <v>313691.195325062</v>
      </c>
      <c r="AY42" s="14" t="n">
        <f aca="false">AV42</f>
        <v>399814.449149381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0</v>
      </c>
      <c r="H43" s="14" t="n">
        <f aca="false">IF($A43&lt;=$G$4,0,IF(C43=0,E43*$B$6*(1+$B$7)^(($G$4+D43*($B$8+$B$10))/4),0)+IF(C43=$B$8,$B$11*$B$4*(1+$B$5)^(($G$4+$B$8+D43*($B$8+$B$10))/4)*E43,0))</f>
        <v>0</v>
      </c>
      <c r="I43" s="21" t="n">
        <f aca="false">IF($A43&lt;=$G$4,0,IF(C43&lt;$B$8,E43,0))</f>
        <v>4200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0</v>
      </c>
      <c r="AE43" s="14" t="n">
        <f aca="false">IF($A43&lt;=$G$7,$E$7*$F$7,IF(AA43&gt;=$B$8,AC43*$B$4*(1+$B$5)^(($G$7+$B$8+AB43*($B$8+$B$10))/4),0))</f>
        <v>258364.771787534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136435.690584448</v>
      </c>
      <c r="AM43" s="14" t="n">
        <f aca="false">IF($A43&lt;=$G$8,$E$8*$F$8,IF(AI43&gt;=$B$8,AK43*$B$4*(1+$B$5)^(($G$8+$B$8+AJ43*($B$8+$B$10))/4),0))</f>
        <v>545742.762337793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486770.690584448</v>
      </c>
      <c r="AQ43" s="14" t="n">
        <f aca="false">G43+O43+W43+AE43+AM43</f>
        <v>2205447.53412533</v>
      </c>
      <c r="AR43" s="14" t="n">
        <f aca="false">H43+P43+X43+AF43+AN43+IF($A43=$B$15,$B$14,0)</f>
        <v>0</v>
      </c>
      <c r="AS43" s="21" t="n">
        <f aca="false">I43+Q43+Y43+AG43+AO43</f>
        <v>4200</v>
      </c>
      <c r="AT43" s="14" t="n">
        <f aca="false">AP43*(1-$B$12)-AS43*$B$13/4</f>
        <v>399814.449149381</v>
      </c>
      <c r="AU43" s="14" t="n">
        <f aca="false">0</f>
        <v>0</v>
      </c>
      <c r="AV43" s="14" t="n">
        <f aca="false">AT43-AR43-AU43</f>
        <v>399814.449149381</v>
      </c>
      <c r="AW43" s="21" t="n">
        <f aca="false">(1+$B$16)^(-$A43/4)</f>
        <v>0.770086524870939</v>
      </c>
      <c r="AX43" s="14" t="n">
        <f aca="false">AV43*AW43</f>
        <v>307891.719738636</v>
      </c>
      <c r="AY43" s="14" t="n">
        <f aca="false">AV43</f>
        <v>399814.449149381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0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4200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0</v>
      </c>
      <c r="AE44" s="14" t="n">
        <f aca="false">IF($A44&lt;=$G$7,$E$7*$F$7,IF(AA44&gt;=$B$8,AC44*$B$4*(1+$B$5)^(($G$7+$B$8+AB44*($B$8+$B$10))/4),0))</f>
        <v>258364.771787534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136435.690584448</v>
      </c>
      <c r="AM44" s="14" t="n">
        <f aca="false">IF($A44&lt;=$G$8,$E$8*$F$8,IF(AI44&gt;=$B$8,AK44*$B$4*(1+$B$5)^(($G$8+$B$8+AJ44*($B$8+$B$10))/4),0))</f>
        <v>545742.762337793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486770.690584448</v>
      </c>
      <c r="AQ44" s="14" t="n">
        <f aca="false">G44+O44+W44+AE44+AM44</f>
        <v>2205447.53412533</v>
      </c>
      <c r="AR44" s="14" t="n">
        <f aca="false">H44+P44+X44+AF44+AN44+IF($A44=$B$15,$B$14,0)</f>
        <v>0</v>
      </c>
      <c r="AS44" s="21" t="n">
        <f aca="false">I44+Q44+Y44+AG44+AO44</f>
        <v>4200</v>
      </c>
      <c r="AT44" s="14" t="n">
        <f aca="false">AP44*(1-$B$12)-AS44*$B$13/4</f>
        <v>399814.449149381</v>
      </c>
      <c r="AU44" s="14" t="n">
        <f aca="false">0</f>
        <v>0</v>
      </c>
      <c r="AV44" s="14" t="n">
        <f aca="false">AT44-AR44-AU44</f>
        <v>399814.449149381</v>
      </c>
      <c r="AW44" s="21" t="n">
        <f aca="false">(1+$B$16)^(-$A44/4)</f>
        <v>0.755849281151693</v>
      </c>
      <c r="AX44" s="14" t="n">
        <f aca="false">AV44*AW44</f>
        <v>302199.46398362</v>
      </c>
      <c r="AY44" s="14" t="n">
        <f aca="false">AV44</f>
        <v>399814.449149381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1101409.02213026</v>
      </c>
      <c r="H45" s="14" t="n">
        <f aca="false">IF($A45&lt;=$G$4,0,IF(C45=0,E45*$B$6*(1+$B$7)^(($G$4+D45*($B$8+$B$10))/4),0)+IF(C45=$B$8,$B$11*$B$4*(1+$B$5)^(($G$4+$B$8+D45*($B$8+$B$10))/4)*E45,0))</f>
        <v>132169.082655631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0</v>
      </c>
      <c r="AE45" s="14" t="n">
        <f aca="false">IF($A45&lt;=$G$7,$E$7*$F$7,IF(AA45&gt;=$B$8,AC45*$B$4*(1+$B$5)^(($G$7+$B$8+AB45*($B$8+$B$10))/4),0))</f>
        <v>258364.771787534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136435.690584448</v>
      </c>
      <c r="AM45" s="14" t="n">
        <f aca="false">IF($A45&lt;=$G$8,$E$8*$F$8,IF(AI45&gt;=$B$8,AK45*$B$4*(1+$B$5)^(($G$8+$B$8+AJ45*($B$8+$B$10))/4),0))</f>
        <v>545742.762337793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486770.690584448</v>
      </c>
      <c r="AQ45" s="14" t="n">
        <f aca="false">G45+O45+W45+AE45+AM45</f>
        <v>3306856.55625558</v>
      </c>
      <c r="AR45" s="14" t="n">
        <f aca="false">H45+P45+X45+AF45+AN45+IF($A45=$B$15,$B$14,0)</f>
        <v>132169.082655631</v>
      </c>
      <c r="AS45" s="21" t="n">
        <f aca="false">I45+Q45+Y45+AG45+AO45</f>
        <v>0</v>
      </c>
      <c r="AT45" s="14" t="n">
        <f aca="false">AP45*(1-$B$12)-AS45*$B$13/4</f>
        <v>457564.449149381</v>
      </c>
      <c r="AU45" s="14" t="n">
        <f aca="false">0</f>
        <v>0</v>
      </c>
      <c r="AV45" s="14" t="n">
        <f aca="false">AT45-AR45-AU45</f>
        <v>325395.36649375</v>
      </c>
      <c r="AW45" s="21" t="n">
        <f aca="false">(1+$B$16)^(-$A45/4)</f>
        <v>0.741875253450614</v>
      </c>
      <c r="AX45" s="14" t="n">
        <f aca="false">AV45*AW45</f>
        <v>241402.769989207</v>
      </c>
      <c r="AY45" s="14" t="n">
        <f aca="false">AV45</f>
        <v>325395.36649375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0</v>
      </c>
      <c r="G46" s="14" t="n">
        <f aca="false">IF($A46&lt;=$G$4,$E$4*$F$4,IF(C46&gt;=$B$8,E46*$B$4*(1+$B$5)^(($G$4+$B$8+D46*($B$8+$B$10))/4),0))</f>
        <v>1101409.02213026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307963.796484375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64591.1929468835</v>
      </c>
      <c r="AE46" s="14" t="n">
        <f aca="false">IF($A46&lt;=$G$7,$E$7*$F$7,IF(AA46&gt;=$B$8,AC46*$B$4*(1+$B$5)^(($G$7+$B$8+AB46*($B$8+$B$10))/4),0))</f>
        <v>258364.771787534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136435.690584448</v>
      </c>
      <c r="AM46" s="14" t="n">
        <f aca="false">IF($A46&lt;=$G$8,$E$8*$F$8,IF(AI46&gt;=$B$8,AK46*$B$4*(1+$B$5)^(($G$8+$B$8+AJ46*($B$8+$B$10))/4),0))</f>
        <v>545742.762337793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314986.883531332</v>
      </c>
      <c r="AQ46" s="14" t="n">
        <f aca="false">G46+O46+W46+AE46+AM46</f>
        <v>2361356.55625558</v>
      </c>
      <c r="AR46" s="14" t="n">
        <f aca="false">H46+P46+X46+AF46+AN46+IF($A46=$B$15,$B$14,0)</f>
        <v>307963.796484375</v>
      </c>
      <c r="AS46" s="21" t="n">
        <f aca="false">I46+Q46+Y46+AG46+AO46</f>
        <v>3100</v>
      </c>
      <c r="AT46" s="14" t="n">
        <f aca="false">AP46*(1-$B$12)-AS46*$B$13/4</f>
        <v>253462.670519452</v>
      </c>
      <c r="AU46" s="14" t="n">
        <f aca="false">0</f>
        <v>0</v>
      </c>
      <c r="AV46" s="14" t="n">
        <f aca="false">AT46-AR46-AU46</f>
        <v>-54501.125964923</v>
      </c>
      <c r="AW46" s="21" t="n">
        <f aca="false">(1+$B$16)^(-$A46/4)</f>
        <v>0.728159575469592</v>
      </c>
      <c r="AX46" s="14" t="n">
        <f aca="false">AV46*AW46</f>
        <v>-39685.5167452331</v>
      </c>
      <c r="AY46" s="14" t="n">
        <f aca="false">AV46</f>
        <v>-54501.125964923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0</v>
      </c>
      <c r="G47" s="14" t="n">
        <f aca="false">IF($A47&lt;=$G$4,$E$4*$F$4,IF(C47&gt;=$B$8,E47*$B$4*(1+$B$5)^(($G$4+$B$8+D47*($B$8+$B$10))/4),0))</f>
        <v>1101409.02213026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64591.1929468835</v>
      </c>
      <c r="AE47" s="14" t="n">
        <f aca="false">IF($A47&lt;=$G$7,$E$7*$F$7,IF(AA47&gt;=$B$8,AC47*$B$4*(1+$B$5)^(($G$7+$B$8+AB47*($B$8+$B$10))/4),0))</f>
        <v>258364.771787534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0</v>
      </c>
      <c r="AJ47" s="21" t="n">
        <f aca="false">IF(AH47&lt;0,0,INT(AH47/($B$8+$B$10)))</f>
        <v>1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0</v>
      </c>
      <c r="AM47" s="14" t="n">
        <f aca="false">IF($A47&lt;=$G$8,$E$8*$F$8,IF(AI47&gt;=$B$8,AK47*$B$4*(1+$B$5)^(($G$8+$B$8+AJ47*($B$8+$B$10))/4),0))</f>
        <v>0</v>
      </c>
      <c r="AN47" s="14" t="n">
        <f aca="false">IF($A47&lt;=$G$8,0,IF(AI47=0,AK47*$B$6*(1+$B$7)^(($G$8+AJ47*($B$8+$B$10))/4),0)+IF(AI47=$B$8,$B$11*$B$4*(1+$B$5)^(($G$8+$B$8+AJ47*($B$8+$B$10))/4)*AK47,0))</f>
        <v>215909.965745362</v>
      </c>
      <c r="AO47" s="21" t="n">
        <f aca="false">IF($A47&lt;=$G$8,0,IF(AI47&lt;$B$8,AK47,0))</f>
        <v>2160</v>
      </c>
      <c r="AP47" s="14" t="n">
        <f aca="false">F47+N47+V47+AD47+AL47</f>
        <v>178551.192946884</v>
      </c>
      <c r="AQ47" s="14" t="n">
        <f aca="false">G47+O47+W47+AE47+AM47</f>
        <v>1815613.79391779</v>
      </c>
      <c r="AR47" s="14" t="n">
        <f aca="false">H47+P47+X47+AF47+AN47+IF($A47=$B$15,$B$14,0)</f>
        <v>215909.965745362</v>
      </c>
      <c r="AS47" s="21" t="n">
        <f aca="false">I47+Q47+Y47+AG47+AO47</f>
        <v>5260</v>
      </c>
      <c r="AT47" s="14" t="n">
        <f aca="false">AP47*(1-$B$12)-AS47*$B$13/4</f>
        <v>95513.1213700705</v>
      </c>
      <c r="AU47" s="14" t="n">
        <f aca="false">0</f>
        <v>0</v>
      </c>
      <c r="AV47" s="14" t="n">
        <f aca="false">AT47-AR47-AU47</f>
        <v>-120396.844375291</v>
      </c>
      <c r="AW47" s="21" t="n">
        <f aca="false">(1+$B$16)^(-$A47/4)</f>
        <v>0.714697470877902</v>
      </c>
      <c r="AX47" s="14" t="n">
        <f aca="false">AV47*AW47</f>
        <v>-86047.3201767011</v>
      </c>
      <c r="AY47" s="14" t="n">
        <f aca="false">AV47</f>
        <v>-120396.844375291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0</v>
      </c>
      <c r="G48" s="14" t="n">
        <f aca="false">IF($A48&lt;=$G$4,$E$4*$F$4,IF(C48&gt;=$B$8,E48*$B$4*(1+$B$5)^(($G$4+$B$8+D48*($B$8+$B$10))/4),0))</f>
        <v>1101409.02213026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64591.1929468835</v>
      </c>
      <c r="AE48" s="14" t="n">
        <f aca="false">IF($A48&lt;=$G$7,$E$7*$F$7,IF(AA48&gt;=$B$8,AC48*$B$4*(1+$B$5)^(($G$7+$B$8+AB48*($B$8+$B$10))/4),0))</f>
        <v>258364.771787534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</v>
      </c>
      <c r="AJ48" s="21" t="n">
        <f aca="false">IF(AH48&lt;0,0,INT(AH48/($B$8+$B$10)))</f>
        <v>1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0</v>
      </c>
      <c r="AM48" s="14" t="n">
        <f aca="false">IF($A48&lt;=$G$8,$E$8*$F$8,IF(AI48&gt;=$B$8,AK48*$B$4*(1+$B$5)^(($G$8+$B$8+AJ48*($B$8+$B$10))/4),0))</f>
        <v>0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2160</v>
      </c>
      <c r="AP48" s="14" t="n">
        <f aca="false">F48+N48+V48+AD48+AL48</f>
        <v>178551.192946884</v>
      </c>
      <c r="AQ48" s="14" t="n">
        <f aca="false">G48+O48+W48+AE48+AM48</f>
        <v>1815613.79391779</v>
      </c>
      <c r="AR48" s="14" t="n">
        <f aca="false">H48+P48+X48+AF48+AN48+IF($A48=$B$15,$B$14,0)</f>
        <v>0</v>
      </c>
      <c r="AS48" s="21" t="n">
        <f aca="false">I48+Q48+Y48+AG48+AO48</f>
        <v>5260</v>
      </c>
      <c r="AT48" s="14" t="n">
        <f aca="false">AP48*(1-$B$12)-AS48*$B$13/4</f>
        <v>95513.1213700705</v>
      </c>
      <c r="AU48" s="14" t="n">
        <f aca="false">0</f>
        <v>0</v>
      </c>
      <c r="AV48" s="14" t="n">
        <f aca="false">AT48-AR48-AU48</f>
        <v>95513.1213700705</v>
      </c>
      <c r="AW48" s="21" t="n">
        <f aca="false">(1+$B$16)^(-$A48/4)</f>
        <v>0.701484251648903</v>
      </c>
      <c r="AX48" s="14" t="n">
        <f aca="false">AV48*AW48</f>
        <v>67000.9504669347</v>
      </c>
      <c r="AY48" s="14" t="n">
        <f aca="false">AV48</f>
        <v>95513.1213700705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0</v>
      </c>
      <c r="G49" s="14" t="n">
        <f aca="false">IF($A49&lt;=$G$4,$E$4*$F$4,IF(C49&gt;=$B$8,E49*$B$4*(1+$B$5)^(($G$4+$B$8+D49*($B$8+$B$10))/4),0))</f>
        <v>1101409.02213026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0</v>
      </c>
      <c r="P49" s="14" t="n">
        <f aca="false">IF($A49&lt;=$G$5,0,IF(K49=0,M49*$B$6*(1+$B$7)^(($G$5+L49*($B$8+$B$10))/4),0)+IF(K49=$B$8,$B$11*$B$4*(1+$B$5)^(($G$5+$B$8+L49*($B$8+$B$10))/4)*M49,0))</f>
        <v>0</v>
      </c>
      <c r="Q49" s="21" t="n">
        <f aca="false">IF($A49&lt;=$G$5,0,IF(K49&lt;$B$8,M49,0))</f>
        <v>3100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64591.1929468835</v>
      </c>
      <c r="AE49" s="14" t="n">
        <f aca="false">IF($A49&lt;=$G$7,$E$7*$F$7,IF(AA49&gt;=$B$8,AC49*$B$4*(1+$B$5)^(($G$7+$B$8+AB49*($B$8+$B$10))/4),0))</f>
        <v>258364.771787534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2</v>
      </c>
      <c r="AJ49" s="21" t="n">
        <f aca="false">IF(AH49&lt;0,0,INT(AH49/($B$8+$B$10)))</f>
        <v>1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0</v>
      </c>
      <c r="AM49" s="14" t="n">
        <f aca="false">IF($A49&lt;=$G$8,$E$8*$F$8,IF(AI49&gt;=$B$8,AK49*$B$4*(1+$B$5)^(($G$8+$B$8+AJ49*($B$8+$B$10))/4),0))</f>
        <v>0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2160</v>
      </c>
      <c r="AP49" s="14" t="n">
        <f aca="false">F49+N49+V49+AD49+AL49</f>
        <v>178551.192946884</v>
      </c>
      <c r="AQ49" s="14" t="n">
        <f aca="false">G49+O49+W49+AE49+AM49</f>
        <v>1815613.79391779</v>
      </c>
      <c r="AR49" s="14" t="n">
        <f aca="false">H49+P49+X49+AF49+AN49+IF($A49=$B$15,$B$14,0)</f>
        <v>0</v>
      </c>
      <c r="AS49" s="21" t="n">
        <f aca="false">I49+Q49+Y49+AG49+AO49</f>
        <v>5260</v>
      </c>
      <c r="AT49" s="14" t="n">
        <f aca="false">AP49*(1-$B$12)-AS49*$B$13/4</f>
        <v>95513.1213700705</v>
      </c>
      <c r="AU49" s="14" t="n">
        <f aca="false">0</f>
        <v>0</v>
      </c>
      <c r="AV49" s="14" t="n">
        <f aca="false">AT49-AR49-AU49</f>
        <v>95513.1213700705</v>
      </c>
      <c r="AW49" s="21" t="n">
        <f aca="false">(1+$B$16)^(-$A49/4)</f>
        <v>0.688515316427484</v>
      </c>
      <c r="AX49" s="14" t="n">
        <f aca="false">AV49*AW49</f>
        <v>65762.2469830908</v>
      </c>
      <c r="AY49" s="14" t="n">
        <f aca="false">AV49</f>
        <v>95513.1213700705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275352.255532564</v>
      </c>
      <c r="G50" s="14" t="n">
        <f aca="false">IF($A50&lt;=$G$4,$E$4*$F$4,IF(C50&gt;=$B$8,E50*$B$4*(1+$B$5)^(($G$4+$B$8+D50*($B$8+$B$10))/4),0))</f>
        <v>1101409.02213026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0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3100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64591.1929468835</v>
      </c>
      <c r="AE50" s="14" t="n">
        <f aca="false">IF($A50&lt;=$G$7,$E$7*$F$7,IF(AA50&gt;=$B$8,AC50*$B$4*(1+$B$5)^(($G$7+$B$8+AB50*($B$8+$B$10))/4),0))</f>
        <v>258364.771787534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3</v>
      </c>
      <c r="AJ50" s="21" t="n">
        <f aca="false">IF(AH50&lt;0,0,INT(AH50/($B$8+$B$10)))</f>
        <v>1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0</v>
      </c>
      <c r="AM50" s="14" t="n">
        <f aca="false">IF($A50&lt;=$G$8,$E$8*$F$8,IF(AI50&gt;=$B$8,AK50*$B$4*(1+$B$5)^(($G$8+$B$8+AJ50*($B$8+$B$10))/4),0))</f>
        <v>0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2160</v>
      </c>
      <c r="AP50" s="14" t="n">
        <f aca="false">F50+N50+V50+AD50+AL50</f>
        <v>453903.448479448</v>
      </c>
      <c r="AQ50" s="14" t="n">
        <f aca="false">G50+O50+W50+AE50+AM50</f>
        <v>1815613.79391779</v>
      </c>
      <c r="AR50" s="14" t="n">
        <f aca="false">H50+P50+X50+AF50+AN50+IF($A50=$B$15,$B$14,0)</f>
        <v>0</v>
      </c>
      <c r="AS50" s="21" t="n">
        <f aca="false">I50+Q50+Y50+AG50+AO50</f>
        <v>5260</v>
      </c>
      <c r="AT50" s="14" t="n">
        <f aca="false">AP50*(1-$B$12)-AS50*$B$13/4</f>
        <v>354344.241570681</v>
      </c>
      <c r="AU50" s="14" t="n">
        <f aca="false">0</f>
        <v>0</v>
      </c>
      <c r="AV50" s="14" t="n">
        <f aca="false">AT50-AR50-AU50</f>
        <v>354344.241570681</v>
      </c>
      <c r="AW50" s="21" t="n">
        <f aca="false">(1+$B$16)^(-$A50/4)</f>
        <v>0.675786148927696</v>
      </c>
      <c r="AX50" s="14" t="n">
        <f aca="false">AV50*AW50</f>
        <v>239460.930405756</v>
      </c>
      <c r="AY50" s="14" t="n">
        <f aca="false">AV50</f>
        <v>354344.241570681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275352.255532564</v>
      </c>
      <c r="G51" s="14" t="n">
        <f aca="false">IF($A51&lt;=$G$4,$E$4*$F$4,IF(C51&gt;=$B$8,E51*$B$4*(1+$B$5)^(($G$4+$B$8+D51*($B$8+$B$10))/4),0))</f>
        <v>1101409.02213026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831304.433094666</v>
      </c>
      <c r="P51" s="14" t="n">
        <f aca="false">IF($A51&lt;=$G$5,0,IF(K51=0,M51*$B$6*(1+$B$7)^(($G$5+L51*($B$8+$B$10))/4),0)+IF(K51=$B$8,$B$11*$B$4*(1+$B$5)^(($G$5+$B$8+L51*($B$8+$B$10))/4)*M51,0))</f>
        <v>99756.53197136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64591.1929468835</v>
      </c>
      <c r="AE51" s="14" t="n">
        <f aca="false">IF($A51&lt;=$G$7,$E$7*$F$7,IF(AA51&gt;=$B$8,AC51*$B$4*(1+$B$5)^(($G$7+$B$8+AB51*($B$8+$B$10))/4),0))</f>
        <v>258364.771787534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4</v>
      </c>
      <c r="AJ51" s="21" t="n">
        <f aca="false">IF(AH51&lt;0,0,INT(AH51/($B$8+$B$10)))</f>
        <v>1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0</v>
      </c>
      <c r="AM51" s="14" t="n">
        <f aca="false">IF($A51&lt;=$G$8,$E$8*$F$8,IF(AI51&gt;=$B$8,AK51*$B$4*(1+$B$5)^(($G$8+$B$8+AJ51*($B$8+$B$10))/4),0))</f>
        <v>0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2160</v>
      </c>
      <c r="AP51" s="14" t="n">
        <f aca="false">F51+N51+V51+AD51+AL51</f>
        <v>453903.448479448</v>
      </c>
      <c r="AQ51" s="14" t="n">
        <f aca="false">G51+O51+W51+AE51+AM51</f>
        <v>2646918.22701246</v>
      </c>
      <c r="AR51" s="14" t="n">
        <f aca="false">H51+P51+X51+AF51+AN51+IF($A51=$B$15,$B$14,0)</f>
        <v>99756.53197136</v>
      </c>
      <c r="AS51" s="21" t="n">
        <f aca="false">I51+Q51+Y51+AG51+AO51</f>
        <v>2160</v>
      </c>
      <c r="AT51" s="14" t="n">
        <f aca="false">AP51*(1-$B$12)-AS51*$B$13/4</f>
        <v>396969.241570681</v>
      </c>
      <c r="AU51" s="14" t="n">
        <f aca="false">0</f>
        <v>0</v>
      </c>
      <c r="AV51" s="14" t="n">
        <f aca="false">AT51-AR51-AU51</f>
        <v>297212.709599321</v>
      </c>
      <c r="AW51" s="21" t="n">
        <f aca="false">(1+$B$16)^(-$A51/4)</f>
        <v>0.663292316360002</v>
      </c>
      <c r="AX51" s="14" t="n">
        <f aca="false">AV51*AW51</f>
        <v>197138.906601766</v>
      </c>
      <c r="AY51" s="14" t="n">
        <f aca="false">AV51</f>
        <v>297212.709599321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275352.255532564</v>
      </c>
      <c r="G52" s="14" t="n">
        <f aca="false">IF($A52&lt;=$G$4,$E$4*$F$4,IF(C52&gt;=$B$8,E52*$B$4*(1+$B$5)^(($G$4+$B$8+D52*($B$8+$B$10))/4),0))</f>
        <v>1101409.02213026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0</v>
      </c>
      <c r="O52" s="14" t="n">
        <f aca="false">IF($A52&lt;=$G$5,$E$5*$F$5,IF(K52&gt;=$B$8,M52*$B$4*(1+$B$5)^(($G$5+$B$8+L52*($B$8+$B$10))/4),0))</f>
        <v>831304.433094666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64591.1929468835</v>
      </c>
      <c r="AE52" s="14" t="n">
        <f aca="false">IF($A52&lt;=$G$7,$E$7*$F$7,IF(AA52&gt;=$B$8,AC52*$B$4*(1+$B$5)^(($G$7+$B$8+AB52*($B$8+$B$10))/4),0))</f>
        <v>258364.771787534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5</v>
      </c>
      <c r="AJ52" s="21" t="n">
        <f aca="false">IF(AH52&lt;0,0,INT(AH52/($B$8+$B$10)))</f>
        <v>1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0</v>
      </c>
      <c r="AM52" s="14" t="n">
        <f aca="false">IF($A52&lt;=$G$8,$E$8*$F$8,IF(AI52&gt;=$B$8,AK52*$B$4*(1+$B$5)^(($G$8+$B$8+AJ52*($B$8+$B$10))/4),0))</f>
        <v>581391.481652343</v>
      </c>
      <c r="AN52" s="14" t="n">
        <f aca="false">IF($A52&lt;=$G$8,0,IF(AI52=0,AK52*$B$6*(1+$B$7)^(($G$8+AJ52*($B$8+$B$10))/4),0)+IF(AI52=$B$8,$B$11*$B$4*(1+$B$5)^(($G$8+$B$8+AJ52*($B$8+$B$10))/4)*AK52,0))</f>
        <v>69766.9777982812</v>
      </c>
      <c r="AO52" s="21" t="n">
        <f aca="false">IF($A52&lt;=$G$8,0,IF(AI52&lt;$B$8,AK52,0))</f>
        <v>0</v>
      </c>
      <c r="AP52" s="14" t="n">
        <f aca="false">F52+N52+V52+AD52+AL52</f>
        <v>453903.448479448</v>
      </c>
      <c r="AQ52" s="14" t="n">
        <f aca="false">G52+O52+W52+AE52+AM52</f>
        <v>3228309.7086648</v>
      </c>
      <c r="AR52" s="14" t="n">
        <f aca="false">H52+P52+X52+AF52+AN52+IF($A52=$B$15,$B$14,0)</f>
        <v>69766.9777982812</v>
      </c>
      <c r="AS52" s="21" t="n">
        <f aca="false">I52+Q52+Y52+AG52+AO52</f>
        <v>0</v>
      </c>
      <c r="AT52" s="14" t="n">
        <f aca="false">AP52*(1-$B$12)-AS52*$B$13/4</f>
        <v>426669.241570681</v>
      </c>
      <c r="AU52" s="14" t="n">
        <f aca="false">0</f>
        <v>0</v>
      </c>
      <c r="AV52" s="14" t="n">
        <f aca="false">AT52-AR52-AU52</f>
        <v>356902.2637724</v>
      </c>
      <c r="AW52" s="21" t="n">
        <f aca="false">(1+$B$16)^(-$A52/4)</f>
        <v>0.651029467887613</v>
      </c>
      <c r="AX52" s="14" t="n">
        <f aca="false">AV52*AW52</f>
        <v>232353.89087163</v>
      </c>
      <c r="AY52" s="14" t="n">
        <f aca="false">AV52</f>
        <v>356902.2637724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275352.255532564</v>
      </c>
      <c r="G53" s="14" t="n">
        <f aca="false">IF($A53&lt;=$G$4,$E$4*$F$4,IF(C53&gt;=$B$8,E53*$B$4*(1+$B$5)^(($G$4+$B$8+D53*($B$8+$B$10))/4),0))</f>
        <v>1101409.02213026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0</v>
      </c>
      <c r="O53" s="14" t="n">
        <f aca="false">IF($A53&lt;=$G$5,$E$5*$F$5,IF(K53&gt;=$B$8,M53*$B$4*(1+$B$5)^(($G$5+$B$8+L53*($B$8+$B$10))/4),0))</f>
        <v>831304.433094666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0</v>
      </c>
      <c r="AB53" s="21" t="n">
        <f aca="false">IF(Z53&lt;0,0,INT(Z53/($B$8+$B$10)))</f>
        <v>1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0</v>
      </c>
      <c r="AE53" s="14" t="n">
        <f aca="false">IF($A53&lt;=$G$7,$E$7*$F$7,IF(AA53&gt;=$B$8,AC53*$B$4*(1+$B$5)^(($G$7+$B$8+AB53*($B$8+$B$10))/4),0))</f>
        <v>0</v>
      </c>
      <c r="AF53" s="14" t="n">
        <f aca="false">IF($A53&lt;=$G$7,0,IF(AA53=0,AC53*$B$6*(1+$B$7)^(($G$7+AB53*($B$8+$B$10))/4),0)+IF(AA53=$B$8,$B$11*$B$4*(1+$B$5)^(($G$7+$B$8+AB53*($B$8+$B$10))/4)*AC53,0))</f>
        <v>103730.08539899</v>
      </c>
      <c r="AG53" s="21" t="n">
        <f aca="false">IF($A53&lt;=$G$7,0,IF(AA53&lt;$B$8,AC53,0))</f>
        <v>1000</v>
      </c>
      <c r="AH53" s="21" t="n">
        <f aca="false">$A53-$G$8-1</f>
        <v>23</v>
      </c>
      <c r="AI53" s="21" t="n">
        <f aca="false">IF(AH53&lt;0,-1,MOD(AH53,$B$8+$B$10))</f>
        <v>6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581391.481652343</v>
      </c>
      <c r="AN53" s="14" t="n">
        <f aca="false">IF($A53&lt;=$G$8,0,IF(AI53=0,AK53*$B$6*(1+$B$7)^(($G$8+AJ53*($B$8+$B$10))/4),0)+IF(AI53=$B$8,$B$11*$B$4*(1+$B$5)^(($G$8+$B$8+AJ53*($B$8+$B$10))/4)*AK53,0))</f>
        <v>0</v>
      </c>
      <c r="AO53" s="21" t="n">
        <f aca="false">IF($A53&lt;=$G$8,0,IF(AI53&lt;$B$8,AK53,0))</f>
        <v>0</v>
      </c>
      <c r="AP53" s="14" t="n">
        <f aca="false">F53+N53+V53+AD53+AL53</f>
        <v>389312.255532564</v>
      </c>
      <c r="AQ53" s="14" t="n">
        <f aca="false">G53+O53+W53+AE53+AM53</f>
        <v>2969944.93687727</v>
      </c>
      <c r="AR53" s="14" t="n">
        <f aca="false">H53+P53+X53+AF53+AN53+IF($A53=$B$15,$B$14,0)</f>
        <v>103730.08539899</v>
      </c>
      <c r="AS53" s="21" t="n">
        <f aca="false">I53+Q53+Y53+AG53+AO53</f>
        <v>1000</v>
      </c>
      <c r="AT53" s="14" t="n">
        <f aca="false">AP53*(1-$B$12)-AS53*$B$13/4</f>
        <v>352203.520200611</v>
      </c>
      <c r="AU53" s="14" t="n">
        <f aca="false">0</f>
        <v>0</v>
      </c>
      <c r="AV53" s="14" t="n">
        <f aca="false">AT53-AR53-AU53</f>
        <v>248473.43480162</v>
      </c>
      <c r="AW53" s="21" t="n">
        <f aca="false">(1+$B$16)^(-$A53/4)</f>
        <v>0.638993333111354</v>
      </c>
      <c r="AX53" s="14" t="n">
        <f aca="false">AV53*AW53</f>
        <v>158772.868293514</v>
      </c>
      <c r="AY53" s="14" t="n">
        <f aca="false">AV53</f>
        <v>248473.43480162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275352.255532564</v>
      </c>
      <c r="G54" s="14" t="n">
        <f aca="false">IF($A54&lt;=$G$4,$E$4*$F$4,IF(C54&gt;=$B$8,E54*$B$4*(1+$B$5)^(($G$4+$B$8+D54*($B$8+$B$10))/4),0))</f>
        <v>1101409.02213026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0</v>
      </c>
      <c r="O54" s="14" t="n">
        <f aca="false">IF($A54&lt;=$G$5,$E$5*$F$5,IF(K54&gt;=$B$8,M54*$B$4*(1+$B$5)^(($G$5+$B$8+L54*($B$8+$B$10))/4),0))</f>
        <v>831304.433094666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</v>
      </c>
      <c r="AB54" s="21" t="n">
        <f aca="false">IF(Z54&lt;0,0,INT(Z54/($B$8+$B$10)))</f>
        <v>1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0</v>
      </c>
      <c r="AE54" s="14" t="n">
        <f aca="false">IF($A54&lt;=$G$7,$E$7*$F$7,IF(AA54&gt;=$B$8,AC54*$B$4*(1+$B$5)^(($G$7+$B$8+AB54*($B$8+$B$10))/4),0))</f>
        <v>0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1000</v>
      </c>
      <c r="AH54" s="21" t="n">
        <f aca="false">$A54-$G$8-1</f>
        <v>24</v>
      </c>
      <c r="AI54" s="21" t="n">
        <f aca="false">IF(AH54&lt;0,-1,MOD(AH54,$B$8+$B$10))</f>
        <v>7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581391.481652343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0</v>
      </c>
      <c r="AP54" s="14" t="n">
        <f aca="false">F54+N54+V54+AD54+AL54</f>
        <v>389312.255532564</v>
      </c>
      <c r="AQ54" s="14" t="n">
        <f aca="false">G54+O54+W54+AE54+AM54</f>
        <v>2969944.93687727</v>
      </c>
      <c r="AR54" s="14" t="n">
        <f aca="false">H54+P54+X54+AF54+AN54+IF($A54=$B$15,$B$14,0)</f>
        <v>0</v>
      </c>
      <c r="AS54" s="21" t="n">
        <f aca="false">I54+Q54+Y54+AG54+AO54</f>
        <v>1000</v>
      </c>
      <c r="AT54" s="14" t="n">
        <f aca="false">AP54*(1-$B$12)-AS54*$B$13/4</f>
        <v>352203.520200611</v>
      </c>
      <c r="AU54" s="14" t="n">
        <f aca="false">0</f>
        <v>0</v>
      </c>
      <c r="AV54" s="14" t="n">
        <f aca="false">AT54-AR54-AU54</f>
        <v>352203.520200611</v>
      </c>
      <c r="AW54" s="21" t="n">
        <f aca="false">(1+$B$16)^(-$A54/4)</f>
        <v>0.627179720582548</v>
      </c>
      <c r="AX54" s="14" t="n">
        <f aca="false">AV54*AW54</f>
        <v>220894.905387609</v>
      </c>
      <c r="AY54" s="14" t="n">
        <f aca="false">AV54</f>
        <v>352203.520200611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275352.255532564</v>
      </c>
      <c r="G55" s="14" t="n">
        <f aca="false">IF($A55&lt;=$G$4,$E$4*$F$4,IF(C55&gt;=$B$8,E55*$B$4*(1+$B$5)^(($G$4+$B$8+D55*($B$8+$B$10))/4),0))</f>
        <v>1101409.02213026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0</v>
      </c>
      <c r="O55" s="14" t="n">
        <f aca="false">IF($A55&lt;=$G$5,$E$5*$F$5,IF(K55&gt;=$B$8,M55*$B$4*(1+$B$5)^(($G$5+$B$8+L55*($B$8+$B$10))/4),0))</f>
        <v>831304.433094666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2</v>
      </c>
      <c r="AB55" s="21" t="n">
        <f aca="false">IF(Z55&lt;0,0,INT(Z55/($B$8+$B$10)))</f>
        <v>1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0</v>
      </c>
      <c r="AE55" s="14" t="n">
        <f aca="false">IF($A55&lt;=$G$7,$E$7*$F$7,IF(AA55&gt;=$B$8,AC55*$B$4*(1+$B$5)^(($G$7+$B$8+AB55*($B$8+$B$10))/4),0))</f>
        <v>0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1000</v>
      </c>
      <c r="AH55" s="21" t="n">
        <f aca="false">$A55-$G$8-1</f>
        <v>25</v>
      </c>
      <c r="AI55" s="21" t="n">
        <f aca="false">IF(AH55&lt;0,-1,MOD(AH55,$B$8+$B$10))</f>
        <v>8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581391.481652343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0</v>
      </c>
      <c r="AP55" s="14" t="n">
        <f aca="false">F55+N55+V55+AD55+AL55</f>
        <v>389312.255532564</v>
      </c>
      <c r="AQ55" s="14" t="n">
        <f aca="false">G55+O55+W55+AE55+AM55</f>
        <v>2969944.93687727</v>
      </c>
      <c r="AR55" s="14" t="n">
        <f aca="false">H55+P55+X55+AF55+AN55+IF($A55=$B$15,$B$14,0)</f>
        <v>0</v>
      </c>
      <c r="AS55" s="21" t="n">
        <f aca="false">I55+Q55+Y55+AG55+AO55</f>
        <v>1000</v>
      </c>
      <c r="AT55" s="14" t="n">
        <f aca="false">AP55*(1-$B$12)-AS55*$B$13/4</f>
        <v>352203.520200611</v>
      </c>
      <c r="AU55" s="14" t="n">
        <f aca="false">0</f>
        <v>0</v>
      </c>
      <c r="AV55" s="14" t="n">
        <f aca="false">AT55-AR55-AU55</f>
        <v>352203.520200611</v>
      </c>
      <c r="AW55" s="21" t="n">
        <f aca="false">(1+$B$16)^(-$A55/4)</f>
        <v>0.615584516343389</v>
      </c>
      <c r="AX55" s="14" t="n">
        <f aca="false">AV55*AW55</f>
        <v>216811.033637132</v>
      </c>
      <c r="AY55" s="14" t="n">
        <f aca="false">AV55</f>
        <v>352203.520200611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275352.255532564</v>
      </c>
      <c r="G56" s="14" t="n">
        <f aca="false">IF($A56&lt;=$G$4,$E$4*$F$4,IF(C56&gt;=$B$8,E56*$B$4*(1+$B$5)^(($G$4+$B$8+D56*($B$8+$B$10))/4),0))</f>
        <v>1101409.02213026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207826.108273667</v>
      </c>
      <c r="O56" s="14" t="n">
        <f aca="false">IF($A56&lt;=$G$5,$E$5*$F$5,IF(K56&gt;=$B$8,M56*$B$4*(1+$B$5)^(($G$5+$B$8+L56*($B$8+$B$10))/4),0))</f>
        <v>831304.433094666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162730.273861915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3</v>
      </c>
      <c r="AB56" s="21" t="n">
        <f aca="false">IF(Z56&lt;0,0,INT(Z56/($B$8+$B$10)))</f>
        <v>1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0</v>
      </c>
      <c r="AE56" s="14" t="n">
        <f aca="false">IF($A56&lt;=$G$7,$E$7*$F$7,IF(AA56&gt;=$B$8,AC56*$B$4*(1+$B$5)^(($G$7+$B$8+AB56*($B$8+$B$10))/4),0))</f>
        <v>0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1000</v>
      </c>
      <c r="AH56" s="21" t="n">
        <f aca="false">$A56-$G$8-1</f>
        <v>26</v>
      </c>
      <c r="AI56" s="21" t="n">
        <f aca="false">IF(AH56&lt;0,-1,MOD(AH56,$B$8+$B$10))</f>
        <v>9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581391.481652343</v>
      </c>
      <c r="AN56" s="14" t="n">
        <f aca="false">IF($A56&lt;=$G$8,0,IF(AI56=0,AK56*$B$6*(1+$B$7)^(($G$8+AJ56*($B$8+$B$10))/4),0)+IF(AI56=$B$8,$B$11*$B$4*(1+$B$5)^(($G$8+$B$8+AJ56*($B$8+$B$10))/4)*AK56,0))</f>
        <v>0</v>
      </c>
      <c r="AO56" s="21" t="n">
        <f aca="false">IF($A56&lt;=$G$8,0,IF(AI56&lt;$B$8,AK56,0))</f>
        <v>0</v>
      </c>
      <c r="AP56" s="14" t="n">
        <f aca="false">F56+N56+V56+AD56+AL56</f>
        <v>483178.363806231</v>
      </c>
      <c r="AQ56" s="14" t="n">
        <f aca="false">G56+O56+W56+AE56+AM56</f>
        <v>2514104.93687727</v>
      </c>
      <c r="AR56" s="14" t="n">
        <f aca="false">H56+P56+X56+AF56+AN56+IF($A56=$B$15,$B$14,0)</f>
        <v>162730.273861915</v>
      </c>
      <c r="AS56" s="21" t="n">
        <f aca="false">I56+Q56+Y56+AG56+AO56</f>
        <v>2540</v>
      </c>
      <c r="AT56" s="14" t="n">
        <f aca="false">AP56*(1-$B$12)-AS56*$B$13/4</f>
        <v>419262.661977857</v>
      </c>
      <c r="AU56" s="14" t="n">
        <f aca="false">0</f>
        <v>0</v>
      </c>
      <c r="AV56" s="14" t="n">
        <f aca="false">AT56-AR56-AU56</f>
        <v>256532.388115942</v>
      </c>
      <c r="AW56" s="21" t="n">
        <f aca="false">(1+$B$16)^(-$A56/4)</f>
        <v>0.604203682494304</v>
      </c>
      <c r="AX56" s="14" t="n">
        <f aca="false">AV56*AW56</f>
        <v>154997.81357871</v>
      </c>
      <c r="AY56" s="14" t="n">
        <f aca="false">AV56</f>
        <v>256532.388115942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0</v>
      </c>
      <c r="D57" s="0" t="n">
        <f aca="false">IF(B57&lt;0,0,INT(B57/($B$8+$B$10)))</f>
        <v>1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0</v>
      </c>
      <c r="G57" s="14" t="n">
        <f aca="false">IF($A57&lt;=$G$4,$E$4*$F$4,IF(C57&gt;=$B$8,E57*$B$4*(1+$B$5)^(($G$4+$B$8+D57*($B$8+$B$10))/4),0))</f>
        <v>0</v>
      </c>
      <c r="H57" s="14" t="n">
        <f aca="false">IF($A57&lt;=$G$4,0,IF(C57=0,E57*$B$6*(1+$B$7)^(($G$4+D57*($B$8+$B$10))/4),0)+IF(C57=$B$8,$B$11*$B$4*(1+$B$5)^(($G$4+$B$8+D57*($B$8+$B$10))/4)*E57,0))</f>
        <v>446558.017642653</v>
      </c>
      <c r="I57" s="21" t="n">
        <f aca="false">IF($A57&lt;=$G$4,0,IF(C57&lt;$B$8,E57,0))</f>
        <v>4200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207826.108273667</v>
      </c>
      <c r="O57" s="14" t="n">
        <f aca="false">IF($A57&lt;=$G$5,$E$5*$F$5,IF(K57&gt;=$B$8,M57*$B$4*(1+$B$5)^(($G$5+$B$8+L57*($B$8+$B$10))/4),0))</f>
        <v>831304.433094666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4</v>
      </c>
      <c r="AB57" s="21" t="n">
        <f aca="false">IF(Z57&lt;0,0,INT(Z57/($B$8+$B$10)))</f>
        <v>1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0</v>
      </c>
      <c r="AE57" s="14" t="n">
        <f aca="false">IF($A57&lt;=$G$7,$E$7*$F$7,IF(AA57&gt;=$B$8,AC57*$B$4*(1+$B$5)^(($G$7+$B$8+AB57*($B$8+$B$10))/4),0))</f>
        <v>0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1000</v>
      </c>
      <c r="AH57" s="21" t="n">
        <f aca="false">$A57-$G$8-1</f>
        <v>27</v>
      </c>
      <c r="AI57" s="21" t="n">
        <f aca="false">IF(AH57&lt;0,-1,MOD(AH57,$B$8+$B$10))</f>
        <v>10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145347.870413086</v>
      </c>
      <c r="AM57" s="14" t="n">
        <f aca="false">IF($A57&lt;=$G$8,$E$8*$F$8,IF(AI57&gt;=$B$8,AK57*$B$4*(1+$B$5)^(($G$8+$B$8+AJ57*($B$8+$B$10))/4),0))</f>
        <v>581391.481652343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353173.978686752</v>
      </c>
      <c r="AQ57" s="14" t="n">
        <f aca="false">G57+O57+W57+AE57+AM57</f>
        <v>1412695.91474701</v>
      </c>
      <c r="AR57" s="14" t="n">
        <f aca="false">H57+P57+X57+AF57+AN57+IF($A57=$B$15,$B$14,0)</f>
        <v>446558.017642653</v>
      </c>
      <c r="AS57" s="21" t="n">
        <f aca="false">I57+Q57+Y57+AG57+AO57</f>
        <v>6740</v>
      </c>
      <c r="AT57" s="14" t="n">
        <f aca="false">AP57*(1-$B$12)-AS57*$B$13/4</f>
        <v>239308.539965547</v>
      </c>
      <c r="AU57" s="14" t="n">
        <f aca="false">0</f>
        <v>0</v>
      </c>
      <c r="AV57" s="14" t="n">
        <f aca="false">AT57-AR57-AU57</f>
        <v>-207249.477677106</v>
      </c>
      <c r="AW57" s="21" t="n">
        <f aca="false">(1+$B$16)^(-$A57/4)</f>
        <v>0.5930332557878</v>
      </c>
      <c r="AX57" s="14" t="n">
        <f aca="false">AV57*AW57</f>
        <v>-122905.832507175</v>
      </c>
      <c r="AY57" s="14" t="n">
        <f aca="false">AV57</f>
        <v>-207249.477677106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</v>
      </c>
      <c r="D58" s="0" t="n">
        <f aca="false">IF(B58&lt;0,0,INT(B58/($B$8+$B$10)))</f>
        <v>1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0</v>
      </c>
      <c r="G58" s="14" t="n">
        <f aca="false">IF($A58&lt;=$G$4,$E$4*$F$4,IF(C58&gt;=$B$8,E58*$B$4*(1+$B$5)^(($G$4+$B$8+D58*($B$8+$B$10))/4),0))</f>
        <v>0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4200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207826.108273667</v>
      </c>
      <c r="O58" s="14" t="n">
        <f aca="false">IF($A58&lt;=$G$5,$E$5*$F$5,IF(K58&gt;=$B$8,M58*$B$4*(1+$B$5)^(($G$5+$B$8+L58*($B$8+$B$10))/4),0))</f>
        <v>831304.433094666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5</v>
      </c>
      <c r="AB58" s="21" t="n">
        <f aca="false">IF(Z58&lt;0,0,INT(Z58/($B$8+$B$10)))</f>
        <v>1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0</v>
      </c>
      <c r="AE58" s="14" t="n">
        <f aca="false">IF($A58&lt;=$G$7,$E$7*$F$7,IF(AA58&gt;=$B$8,AC58*$B$4*(1+$B$5)^(($G$7+$B$8+AB58*($B$8+$B$10))/4),0))</f>
        <v>275241.538399641</v>
      </c>
      <c r="AF58" s="14" t="n">
        <f aca="false">IF($A58&lt;=$G$7,0,IF(AA58=0,AC58*$B$6*(1+$B$7)^(($G$7+AB58*($B$8+$B$10))/4),0)+IF(AA58=$B$8,$B$11*$B$4*(1+$B$5)^(($G$7+$B$8+AB58*($B$8+$B$10))/4)*AC58,0))</f>
        <v>33028.984607957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11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145347.870413086</v>
      </c>
      <c r="AM58" s="14" t="n">
        <f aca="false">IF($A58&lt;=$G$8,$E$8*$F$8,IF(AI58&gt;=$B$8,AK58*$B$4*(1+$B$5)^(($G$8+$B$8+AJ58*($B$8+$B$10))/4),0))</f>
        <v>581391.481652343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353173.978686752</v>
      </c>
      <c r="AQ58" s="14" t="n">
        <f aca="false">G58+O58+W58+AE58+AM58</f>
        <v>1687937.45314665</v>
      </c>
      <c r="AR58" s="14" t="n">
        <f aca="false">H58+P58+X58+AF58+AN58+IF($A58=$B$15,$B$14,0)</f>
        <v>33028.984607957</v>
      </c>
      <c r="AS58" s="21" t="n">
        <f aca="false">I58+Q58+Y58+AG58+AO58</f>
        <v>5740</v>
      </c>
      <c r="AT58" s="14" t="n">
        <f aca="false">AP58*(1-$B$12)-AS58*$B$13/4</f>
        <v>253058.539965547</v>
      </c>
      <c r="AU58" s="14" t="n">
        <f aca="false">0</f>
        <v>0</v>
      </c>
      <c r="AV58" s="14" t="n">
        <f aca="false">AT58-AR58-AU58</f>
        <v>220029.55535759</v>
      </c>
      <c r="AW58" s="21" t="n">
        <f aca="false">(1+$B$16)^(-$A58/4)</f>
        <v>0.582069346248305</v>
      </c>
      <c r="AX58" s="14" t="n">
        <f aca="false">AV58*AW58</f>
        <v>128072.459442298</v>
      </c>
      <c r="AY58" s="14" t="n">
        <f aca="false">AV58</f>
        <v>220029.55535759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2</v>
      </c>
      <c r="D59" s="0" t="n">
        <f aca="false">IF(B59&lt;0,0,INT(B59/($B$8+$B$10)))</f>
        <v>1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0</v>
      </c>
      <c r="G59" s="14" t="n">
        <f aca="false">IF($A59&lt;=$G$4,$E$4*$F$4,IF(C59&gt;=$B$8,E59*$B$4*(1+$B$5)^(($G$4+$B$8+D59*($B$8+$B$10))/4),0))</f>
        <v>0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4200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207826.108273667</v>
      </c>
      <c r="O59" s="14" t="n">
        <f aca="false">IF($A59&lt;=$G$5,$E$5*$F$5,IF(K59&gt;=$B$8,M59*$B$4*(1+$B$5)^(($G$5+$B$8+L59*($B$8+$B$10))/4),0))</f>
        <v>831304.433094666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0</v>
      </c>
      <c r="X59" s="14" t="n">
        <f aca="false">IF($A59&lt;=$G$6,0,IF(S59=0,U59*$B$6*(1+$B$7)^(($G$6+T59*($B$8+$B$10))/4),0)+IF(S59=$B$8,$B$11*$B$4*(1+$B$5)^(($G$6+$B$8+T59*($B$8+$B$10))/4)*U59,0))</f>
        <v>0</v>
      </c>
      <c r="Y59" s="21" t="n">
        <f aca="false">IF($A59&lt;=$G$6,0,IF(S59&lt;$B$8,U59,0))</f>
        <v>1540</v>
      </c>
      <c r="Z59" s="21" t="n">
        <f aca="false">$A59-$G$7-1</f>
        <v>23</v>
      </c>
      <c r="AA59" s="21" t="n">
        <f aca="false">IF(Z59&lt;0,-1,MOD(Z59,$B$8+$B$10))</f>
        <v>6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275241.538399641</v>
      </c>
      <c r="AF59" s="14" t="n">
        <f aca="false">IF($A59&lt;=$G$7,0,IF(AA59=0,AC59*$B$6*(1+$B$7)^(($G$7+AB59*($B$8+$B$10))/4),0)+IF(AA59=$B$8,$B$11*$B$4*(1+$B$5)^(($G$7+$B$8+AB59*($B$8+$B$10))/4)*AC59,0))</f>
        <v>0</v>
      </c>
      <c r="AG59" s="21" t="n">
        <f aca="false">IF($A59&lt;=$G$7,0,IF(AA59&lt;$B$8,AC59,0))</f>
        <v>0</v>
      </c>
      <c r="AH59" s="21" t="n">
        <f aca="false">$A59-$G$8-1</f>
        <v>29</v>
      </c>
      <c r="AI59" s="21" t="n">
        <f aca="false">IF(AH59&lt;0,-1,MOD(AH59,$B$8+$B$10))</f>
        <v>12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145347.870413086</v>
      </c>
      <c r="AM59" s="14" t="n">
        <f aca="false">IF($A59&lt;=$G$8,$E$8*$F$8,IF(AI59&gt;=$B$8,AK59*$B$4*(1+$B$5)^(($G$8+$B$8+AJ59*($B$8+$B$10))/4),0))</f>
        <v>581391.481652343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353173.978686752</v>
      </c>
      <c r="AQ59" s="14" t="n">
        <f aca="false">G59+O59+W59+AE59+AM59</f>
        <v>1687937.45314665</v>
      </c>
      <c r="AR59" s="14" t="n">
        <f aca="false">H59+P59+X59+AF59+AN59+IF($A59=$B$15,$B$14,0)</f>
        <v>0</v>
      </c>
      <c r="AS59" s="21" t="n">
        <f aca="false">I59+Q59+Y59+AG59+AO59</f>
        <v>5740</v>
      </c>
      <c r="AT59" s="14" t="n">
        <f aca="false">AP59*(1-$B$12)-AS59*$B$13/4</f>
        <v>253058.539965547</v>
      </c>
      <c r="AU59" s="14" t="n">
        <f aca="false">0</f>
        <v>0</v>
      </c>
      <c r="AV59" s="14" t="n">
        <f aca="false">AT59-AR59-AU59</f>
        <v>253058.539965547</v>
      </c>
      <c r="AW59" s="21" t="n">
        <f aca="false">(1+$B$16)^(-$A59/4)</f>
        <v>0.571308135817531</v>
      </c>
      <c r="AX59" s="14" t="n">
        <f aca="false">AV59*AW59</f>
        <v>144574.402720423</v>
      </c>
      <c r="AY59" s="14" t="n">
        <f aca="false">AV59</f>
        <v>253058.539965547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3</v>
      </c>
      <c r="D60" s="0" t="n">
        <f aca="false">IF(B60&lt;0,0,INT(B60/($B$8+$B$10)))</f>
        <v>1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0</v>
      </c>
      <c r="G60" s="14" t="n">
        <f aca="false">IF($A60&lt;=$G$4,$E$4*$F$4,IF(C60&gt;=$B$8,E60*$B$4*(1+$B$5)^(($G$4+$B$8+D60*($B$8+$B$10))/4),0))</f>
        <v>0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4200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207826.108273667</v>
      </c>
      <c r="O60" s="14" t="n">
        <f aca="false">IF($A60&lt;=$G$5,$E$5*$F$5,IF(K60&gt;=$B$8,M60*$B$4*(1+$B$5)^(($G$5+$B$8+L60*($B$8+$B$10))/4),0))</f>
        <v>831304.433094666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0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1540</v>
      </c>
      <c r="Z60" s="21" t="n">
        <f aca="false">$A60-$G$7-1</f>
        <v>24</v>
      </c>
      <c r="AA60" s="21" t="n">
        <f aca="false">IF(Z60&lt;0,-1,MOD(Z60,$B$8+$B$10))</f>
        <v>7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275241.538399641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0</v>
      </c>
      <c r="AH60" s="21" t="n">
        <f aca="false">$A60-$G$8-1</f>
        <v>30</v>
      </c>
      <c r="AI60" s="21" t="n">
        <f aca="false">IF(AH60&lt;0,-1,MOD(AH60,$B$8+$B$10))</f>
        <v>13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145347.870413086</v>
      </c>
      <c r="AM60" s="14" t="n">
        <f aca="false">IF($A60&lt;=$G$8,$E$8*$F$8,IF(AI60&gt;=$B$8,AK60*$B$4*(1+$B$5)^(($G$8+$B$8+AJ60*($B$8+$B$10))/4),0))</f>
        <v>581391.481652343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353173.978686752</v>
      </c>
      <c r="AQ60" s="14" t="n">
        <f aca="false">G60+O60+W60+AE60+AM60</f>
        <v>1687937.45314665</v>
      </c>
      <c r="AR60" s="14" t="n">
        <f aca="false">H60+P60+X60+AF60+AN60+IF($A60=$B$15,$B$14,0)</f>
        <v>0</v>
      </c>
      <c r="AS60" s="21" t="n">
        <f aca="false">I60+Q60+Y60+AG60+AO60</f>
        <v>5740</v>
      </c>
      <c r="AT60" s="14" t="n">
        <f aca="false">AP60*(1-$B$12)-AS60*$B$13/4</f>
        <v>253058.539965547</v>
      </c>
      <c r="AU60" s="14" t="n">
        <f aca="false">0</f>
        <v>0</v>
      </c>
      <c r="AV60" s="14" t="n">
        <f aca="false">AT60-AR60-AU60</f>
        <v>253058.539965547</v>
      </c>
      <c r="AW60" s="21" t="n">
        <f aca="false">(1+$B$16)^(-$A60/4)</f>
        <v>0.560745877024877</v>
      </c>
      <c r="AX60" s="14" t="n">
        <f aca="false">AV60*AW60</f>
        <v>141901.532931616</v>
      </c>
      <c r="AY60" s="14" t="n">
        <f aca="false">AV60</f>
        <v>253058.539965547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4</v>
      </c>
      <c r="D61" s="0" t="n">
        <f aca="false">IF(B61&lt;0,0,INT(B61/($B$8+$B$10)))</f>
        <v>1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0</v>
      </c>
      <c r="G61" s="14" t="n">
        <f aca="false">IF($A61&lt;=$G$4,$E$4*$F$4,IF(C61&gt;=$B$8,E61*$B$4*(1+$B$5)^(($G$4+$B$8+D61*($B$8+$B$10))/4),0))</f>
        <v>0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4200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207826.108273667</v>
      </c>
      <c r="O61" s="14" t="n">
        <f aca="false">IF($A61&lt;=$G$5,$E$5*$F$5,IF(K61&gt;=$B$8,M61*$B$4*(1+$B$5)^(($G$5+$B$8+L61*($B$8+$B$10))/4),0))</f>
        <v>831304.433094666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428631.643153479</v>
      </c>
      <c r="X61" s="14" t="n">
        <f aca="false">IF($A61&lt;=$G$6,0,IF(S61=0,U61*$B$6*(1+$B$7)^(($G$6+T61*($B$8+$B$10))/4),0)+IF(S61=$B$8,$B$11*$B$4*(1+$B$5)^(($G$6+$B$8+T61*($B$8+$B$10))/4)*U61,0))</f>
        <v>51435.7971784175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8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275241.538399641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0</v>
      </c>
      <c r="AH61" s="21" t="n">
        <f aca="false">$A61-$G$8-1</f>
        <v>31</v>
      </c>
      <c r="AI61" s="21" t="n">
        <f aca="false">IF(AH61&lt;0,-1,MOD(AH61,$B$8+$B$10))</f>
        <v>14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145347.870413086</v>
      </c>
      <c r="AM61" s="14" t="n">
        <f aca="false">IF($A61&lt;=$G$8,$E$8*$F$8,IF(AI61&gt;=$B$8,AK61*$B$4*(1+$B$5)^(($G$8+$B$8+AJ61*($B$8+$B$10))/4),0))</f>
        <v>581391.481652343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353173.978686752</v>
      </c>
      <c r="AQ61" s="14" t="n">
        <f aca="false">G61+O61+W61+AE61+AM61</f>
        <v>2116569.09630013</v>
      </c>
      <c r="AR61" s="14" t="n">
        <f aca="false">H61+P61+X61+AF61+AN61+IF($A61=$B$15,$B$14,0)</f>
        <v>51435.7971784175</v>
      </c>
      <c r="AS61" s="21" t="n">
        <f aca="false">I61+Q61+Y61+AG61+AO61</f>
        <v>4200</v>
      </c>
      <c r="AT61" s="14" t="n">
        <f aca="false">AP61*(1-$B$12)-AS61*$B$13/4</f>
        <v>274233.539965547</v>
      </c>
      <c r="AU61" s="14" t="n">
        <f aca="false">0</f>
        <v>0</v>
      </c>
      <c r="AV61" s="14" t="n">
        <f aca="false">AT61-AR61-AU61</f>
        <v>222797.74278713</v>
      </c>
      <c r="AW61" s="21" t="n">
        <f aca="false">(1+$B$16)^(-$A61/4)</f>
        <v>0.550378891682413</v>
      </c>
      <c r="AX61" s="14" t="n">
        <f aca="false">AV61*AW61</f>
        <v>122623.174744524</v>
      </c>
      <c r="AY61" s="14" t="n">
        <f aca="false">AV61</f>
        <v>222797.74278713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5</v>
      </c>
      <c r="D62" s="0" t="n">
        <f aca="false">IF(B62&lt;0,0,INT(B62/($B$8+$B$10)))</f>
        <v>1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0</v>
      </c>
      <c r="G62" s="14" t="n">
        <f aca="false">IF($A62&lt;=$G$4,$E$4*$F$4,IF(C62&gt;=$B$8,E62*$B$4*(1+$B$5)^(($G$4+$B$8+D62*($B$8+$B$10))/4),0))</f>
        <v>1173354.67819767</v>
      </c>
      <c r="H62" s="14" t="n">
        <f aca="false">IF($A62&lt;=$G$4,0,IF(C62=0,E62*$B$6*(1+$B$7)^(($G$4+D62*($B$8+$B$10))/4),0)+IF(C62=$B$8,$B$11*$B$4*(1+$B$5)^(($G$4+$B$8+D62*($B$8+$B$10))/4)*E62,0))</f>
        <v>140802.561383721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207826.108273667</v>
      </c>
      <c r="O62" s="14" t="n">
        <f aca="false">IF($A62&lt;=$G$5,$E$5*$F$5,IF(K62&gt;=$B$8,M62*$B$4*(1+$B$5)^(($G$5+$B$8+L62*($B$8+$B$10))/4),0))</f>
        <v>831304.433094666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0</v>
      </c>
      <c r="W62" s="14" t="n">
        <f aca="false">IF($A62&lt;=$G$6,$E$6*$F$6,IF(S62&gt;=$B$8,U62*$B$4*(1+$B$5)^(($G$6+$B$8+T62*($B$8+$B$10))/4),0))</f>
        <v>428631.643153479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9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275241.538399641</v>
      </c>
      <c r="AF62" s="14" t="n">
        <f aca="false">IF($A62&lt;=$G$7,0,IF(AA62=0,AC62*$B$6*(1+$B$7)^(($G$7+AB62*($B$8+$B$10))/4),0)+IF(AA62=$B$8,$B$11*$B$4*(1+$B$5)^(($G$7+$B$8+AB62*($B$8+$B$10))/4)*AC62,0))</f>
        <v>0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15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145347.870413086</v>
      </c>
      <c r="AM62" s="14" t="n">
        <f aca="false">IF($A62&lt;=$G$8,$E$8*$F$8,IF(AI62&gt;=$B$8,AK62*$B$4*(1+$B$5)^(($G$8+$B$8+AJ62*($B$8+$B$10))/4),0))</f>
        <v>581391.481652343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353173.978686752</v>
      </c>
      <c r="AQ62" s="14" t="n">
        <f aca="false">G62+O62+W62+AE62+AM62</f>
        <v>3289923.7744978</v>
      </c>
      <c r="AR62" s="14" t="n">
        <f aca="false">H62+P62+X62+AF62+AN62+IF($A62=$B$15,$B$14,0)</f>
        <v>140802.561383721</v>
      </c>
      <c r="AS62" s="21" t="n">
        <f aca="false">I62+Q62+Y62+AG62+AO62</f>
        <v>0</v>
      </c>
      <c r="AT62" s="14" t="n">
        <f aca="false">AP62*(1-$B$12)-AS62*$B$13/4</f>
        <v>331983.539965547</v>
      </c>
      <c r="AU62" s="14" t="n">
        <f aca="false">0</f>
        <v>0</v>
      </c>
      <c r="AV62" s="14" t="n">
        <f aca="false">AT62-AR62-AU62</f>
        <v>191180.978581827</v>
      </c>
      <c r="AW62" s="21" t="n">
        <f aca="false">(1+$B$16)^(-$A62/4)</f>
        <v>0.540203569603995</v>
      </c>
      <c r="AX62" s="14" t="n">
        <f aca="false">AV62*AW62</f>
        <v>103276.647070288</v>
      </c>
      <c r="AY62" s="14" t="n">
        <f aca="false">AV62</f>
        <v>191180.978581827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6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1173354.67819767</v>
      </c>
      <c r="H63" s="14" t="n">
        <f aca="false">IF($A63&lt;=$G$4,0,IF(C63=0,E63*$B$6*(1+$B$7)^(($G$4+D63*($B$8+$B$10))/4),0)+IF(C63=$B$8,$B$11*$B$4*(1+$B$5)^(($G$4+$B$8+D63*($B$8+$B$10))/4)*E63,0))</f>
        <v>0</v>
      </c>
      <c r="I63" s="21" t="n">
        <f aca="false">IF($A63&lt;=$G$4,0,IF(C63&lt;$B$8,E63,0))</f>
        <v>0</v>
      </c>
      <c r="J63" s="21" t="n">
        <f aca="false">$A63-$G$5-1</f>
        <v>17</v>
      </c>
      <c r="K63" s="21" t="n">
        <f aca="false">IF(J63&lt;0,-1,MOD(J63,$B$8+$B$10))</f>
        <v>0</v>
      </c>
      <c r="L63" s="21" t="n">
        <f aca="false">IF(J63&lt;0,0,INT(J63/($B$8+$B$10)))</f>
        <v>1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0</v>
      </c>
      <c r="O63" s="14" t="n">
        <f aca="false">IF($A63&lt;=$G$5,$E$5*$F$5,IF(K63&gt;=$B$8,M63*$B$4*(1+$B$5)^(($G$5+$B$8+L63*($B$8+$B$10))/4),0))</f>
        <v>0</v>
      </c>
      <c r="P63" s="14" t="n">
        <f aca="false">IF($A63&lt;=$G$5,0,IF(K63=0,M63*$B$6*(1+$B$7)^(($G$5+L63*($B$8+$B$10))/4),0)+IF(K63=$B$8,$B$11*$B$4*(1+$B$5)^(($G$5+$B$8+L63*($B$8+$B$10))/4)*M63,0))</f>
        <v>342039.365996672</v>
      </c>
      <c r="Q63" s="21" t="n">
        <f aca="false">IF($A63&lt;=$G$5,0,IF(K63&lt;$B$8,M63,0))</f>
        <v>3100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0</v>
      </c>
      <c r="W63" s="14" t="n">
        <f aca="false">IF($A63&lt;=$G$6,$E$6*$F$6,IF(S63&gt;=$B$8,U63*$B$4*(1+$B$5)^(($G$6+$B$8+T63*($B$8+$B$10))/4),0))</f>
        <v>428631.643153479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10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68810.3845999103</v>
      </c>
      <c r="AE63" s="14" t="n">
        <f aca="false">IF($A63&lt;=$G$7,$E$7*$F$7,IF(AA63&gt;=$B$8,AC63*$B$4*(1+$B$5)^(($G$7+$B$8+AB63*($B$8+$B$10))/4),0))</f>
        <v>275241.538399641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16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145347.870413086</v>
      </c>
      <c r="AM63" s="14" t="n">
        <f aca="false">IF($A63&lt;=$G$8,$E$8*$F$8,IF(AI63&gt;=$B$8,AK63*$B$4*(1+$B$5)^(($G$8+$B$8+AJ63*($B$8+$B$10))/4),0))</f>
        <v>581391.481652343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214158.255012996</v>
      </c>
      <c r="AQ63" s="14" t="n">
        <f aca="false">G63+O63+W63+AE63+AM63</f>
        <v>2458619.34140313</v>
      </c>
      <c r="AR63" s="14" t="n">
        <f aca="false">H63+P63+X63+AF63+AN63+IF($A63=$B$15,$B$14,0)</f>
        <v>342039.365996672</v>
      </c>
      <c r="AS63" s="21" t="n">
        <f aca="false">I63+Q63+Y63+AG63+AO63</f>
        <v>3100</v>
      </c>
      <c r="AT63" s="14" t="n">
        <f aca="false">AP63*(1-$B$12)-AS63*$B$13/4</f>
        <v>158683.759712216</v>
      </c>
      <c r="AU63" s="14" t="n">
        <f aca="false">0</f>
        <v>0</v>
      </c>
      <c r="AV63" s="14" t="n">
        <f aca="false">AT63-AR63-AU63</f>
        <v>-183355.606284455</v>
      </c>
      <c r="AW63" s="21" t="n">
        <f aca="false">(1+$B$16)^(-$A63/4)</f>
        <v>0.530216367348056</v>
      </c>
      <c r="AX63" s="14" t="n">
        <f aca="false">AV63*AW63</f>
        <v>-97218.1434970444</v>
      </c>
      <c r="AY63" s="14" t="n">
        <f aca="false">AV63</f>
        <v>-183355.606284455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7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1173354.67819767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0</v>
      </c>
      <c r="J64" s="21" t="n">
        <f aca="false">$A64-$G$5-1</f>
        <v>18</v>
      </c>
      <c r="K64" s="21" t="n">
        <f aca="false">IF(J64&lt;0,-1,MOD(J64,$B$8+$B$10))</f>
        <v>1</v>
      </c>
      <c r="L64" s="21" t="n">
        <f aca="false">IF(J64&lt;0,0,INT(J64/($B$8+$B$10)))</f>
        <v>1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0</v>
      </c>
      <c r="O64" s="14" t="n">
        <f aca="false">IF($A64&lt;=$G$5,$E$5*$F$5,IF(K64&gt;=$B$8,M64*$B$4*(1+$B$5)^(($G$5+$B$8+L64*($B$8+$B$10))/4),0))</f>
        <v>0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3100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0</v>
      </c>
      <c r="W64" s="14" t="n">
        <f aca="false">IF($A64&lt;=$G$6,$E$6*$F$6,IF(S64&gt;=$B$8,U64*$B$4*(1+$B$5)^(($G$6+$B$8+T64*($B$8+$B$10))/4),0))</f>
        <v>428631.643153479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11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68810.3845999103</v>
      </c>
      <c r="AE64" s="14" t="n">
        <f aca="false">IF($A64&lt;=$G$7,$E$7*$F$7,IF(AA64&gt;=$B$8,AC64*$B$4*(1+$B$5)^(($G$7+$B$8+AB64*($B$8+$B$10))/4),0))</f>
        <v>275241.538399641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0</v>
      </c>
      <c r="AJ64" s="21" t="n">
        <f aca="false">IF(AH64&lt;0,0,INT(AH64/($B$8+$B$10)))</f>
        <v>2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0</v>
      </c>
      <c r="AM64" s="14" t="n">
        <f aca="false">IF($A64&lt;=$G$8,$E$8*$F$8,IF(AI64&gt;=$B$8,AK64*$B$4*(1+$B$5)^(($G$8+$B$8+AJ64*($B$8+$B$10))/4),0))</f>
        <v>0</v>
      </c>
      <c r="AN64" s="14" t="n">
        <f aca="false">IF($A64&lt;=$G$8,0,IF(AI64=0,AK64*$B$6*(1+$B$7)^(($G$8+AJ64*($B$8+$B$10))/4),0)+IF(AI64=$B$8,$B$11*$B$4*(1+$B$5)^(($G$8+$B$8+AJ64*($B$8+$B$10))/4)*AK64,0))</f>
        <v>239799.965576972</v>
      </c>
      <c r="AO64" s="21" t="n">
        <f aca="false">IF($A64&lt;=$G$8,0,IF(AI64&lt;$B$8,AK64,0))</f>
        <v>2160</v>
      </c>
      <c r="AP64" s="14" t="n">
        <f aca="false">F64+N64+V64+AD64+AL64</f>
        <v>68810.3845999103</v>
      </c>
      <c r="AQ64" s="14" t="n">
        <f aca="false">G64+O64+W64+AE64+AM64</f>
        <v>1877227.85975079</v>
      </c>
      <c r="AR64" s="14" t="n">
        <f aca="false">H64+P64+X64+AF64+AN64+IF($A64=$B$15,$B$14,0)</f>
        <v>239799.965576972</v>
      </c>
      <c r="AS64" s="21" t="n">
        <f aca="false">I64+Q64+Y64+AG64+AO64</f>
        <v>5260</v>
      </c>
      <c r="AT64" s="14" t="n">
        <f aca="false">AP64*(1-$B$12)-AS64*$B$13/4</f>
        <v>-7643.23847608429</v>
      </c>
      <c r="AU64" s="14" t="n">
        <f aca="false">0</f>
        <v>0</v>
      </c>
      <c r="AV64" s="14" t="n">
        <f aca="false">AT64-AR64-AU64</f>
        <v>-247443.204053056</v>
      </c>
      <c r="AW64" s="21" t="n">
        <f aca="false">(1+$B$16)^(-$A64/4)</f>
        <v>0.520413806983644</v>
      </c>
      <c r="AX64" s="14" t="n">
        <f aca="false">AV64*AW64</f>
        <v>-128772.859833482</v>
      </c>
      <c r="AY64" s="14" t="n">
        <f aca="false">AV64</f>
        <v>-247443.204053056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8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1173354.67819767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0</v>
      </c>
      <c r="J65" s="21" t="n">
        <f aca="false">$A65-$G$5-1</f>
        <v>19</v>
      </c>
      <c r="K65" s="21" t="n">
        <f aca="false">IF(J65&lt;0,-1,MOD(J65,$B$8+$B$10))</f>
        <v>2</v>
      </c>
      <c r="L65" s="21" t="n">
        <f aca="false">IF(J65&lt;0,0,INT(J65/($B$8+$B$10)))</f>
        <v>1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0</v>
      </c>
      <c r="O65" s="14" t="n">
        <f aca="false">IF($A65&lt;=$G$5,$E$5*$F$5,IF(K65&gt;=$B$8,M65*$B$4*(1+$B$5)^(($G$5+$B$8+L65*($B$8+$B$10))/4),0))</f>
        <v>0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3100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0</v>
      </c>
      <c r="W65" s="14" t="n">
        <f aca="false">IF($A65&lt;=$G$6,$E$6*$F$6,IF(S65&gt;=$B$8,U65*$B$4*(1+$B$5)^(($G$6+$B$8+T65*($B$8+$B$10))/4),0))</f>
        <v>428631.643153479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12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68810.3845999103</v>
      </c>
      <c r="AE65" s="14" t="n">
        <f aca="false">IF($A65&lt;=$G$7,$E$7*$F$7,IF(AA65&gt;=$B$8,AC65*$B$4*(1+$B$5)^(($G$7+$B$8+AB65*($B$8+$B$10))/4),0))</f>
        <v>275241.538399641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</v>
      </c>
      <c r="AJ65" s="21" t="n">
        <f aca="false">IF(AH65&lt;0,0,INT(AH65/($B$8+$B$10)))</f>
        <v>2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0</v>
      </c>
      <c r="AM65" s="14" t="n">
        <f aca="false">IF($A65&lt;=$G$8,$E$8*$F$8,IF(AI65&gt;=$B$8,AK65*$B$4*(1+$B$5)^(($G$8+$B$8+AJ65*($B$8+$B$10))/4),0))</f>
        <v>0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2160</v>
      </c>
      <c r="AP65" s="14" t="n">
        <f aca="false">F65+N65+V65+AD65+AL65</f>
        <v>68810.3845999103</v>
      </c>
      <c r="AQ65" s="14" t="n">
        <f aca="false">G65+O65+W65+AE65+AM65</f>
        <v>1877227.85975079</v>
      </c>
      <c r="AR65" s="14" t="n">
        <f aca="false">H65+P65+X65+AF65+AN65+IF($A65=$B$15,$B$14,0)</f>
        <v>0</v>
      </c>
      <c r="AS65" s="21" t="n">
        <f aca="false">I65+Q65+Y65+AG65+AO65</f>
        <v>5260</v>
      </c>
      <c r="AT65" s="14" t="n">
        <f aca="false">AP65*(1-$B$12)-AS65*$B$13/4</f>
        <v>-7643.23847608429</v>
      </c>
      <c r="AU65" s="14" t="n">
        <f aca="false">0</f>
        <v>0</v>
      </c>
      <c r="AV65" s="14" t="n">
        <f aca="false">AT65-AR65-AU65</f>
        <v>-7643.23847608429</v>
      </c>
      <c r="AW65" s="21" t="n">
        <f aca="false">(1+$B$16)^(-$A65/4)</f>
        <v>0.51079247487927</v>
      </c>
      <c r="AX65" s="14" t="n">
        <f aca="false">AV65*AW65</f>
        <v>-3904.10869729155</v>
      </c>
      <c r="AY65" s="14" t="n">
        <f aca="false">AV65</f>
        <v>-7643.23847608429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9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1173354.67819767</v>
      </c>
      <c r="H66" s="14" t="n">
        <f aca="false">IF($A66&lt;=$G$4,0,IF(C66=0,E66*$B$6*(1+$B$7)^(($G$4+D66*($B$8+$B$10))/4),0)+IF(C66=$B$8,$B$11*$B$4*(1+$B$5)^(($G$4+$B$8+D66*($B$8+$B$10))/4)*E66,0))</f>
        <v>0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3</v>
      </c>
      <c r="L66" s="21" t="n">
        <f aca="false">IF(J66&lt;0,0,INT(J66/($B$8+$B$10)))</f>
        <v>1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0</v>
      </c>
      <c r="O66" s="14" t="n">
        <f aca="false">IF($A66&lt;=$G$5,$E$5*$F$5,IF(K66&gt;=$B$8,M66*$B$4*(1+$B$5)^(($G$5+$B$8+L66*($B$8+$B$10))/4),0))</f>
        <v>0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3100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107157.91078837</v>
      </c>
      <c r="W66" s="14" t="n">
        <f aca="false">IF($A66&lt;=$G$6,$E$6*$F$6,IF(S66&gt;=$B$8,U66*$B$4*(1+$B$5)^(($G$6+$B$8+T66*($B$8+$B$10))/4),0))</f>
        <v>428631.643153479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13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68810.3845999103</v>
      </c>
      <c r="AE66" s="14" t="n">
        <f aca="false">IF($A66&lt;=$G$7,$E$7*$F$7,IF(AA66&gt;=$B$8,AC66*$B$4*(1+$B$5)^(($G$7+$B$8+AB66*($B$8+$B$10))/4),0))</f>
        <v>275241.538399641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2</v>
      </c>
      <c r="AJ66" s="21" t="n">
        <f aca="false">IF(AH66&lt;0,0,INT(AH66/($B$8+$B$10)))</f>
        <v>2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0</v>
      </c>
      <c r="AM66" s="14" t="n">
        <f aca="false">IF($A66&lt;=$G$8,$E$8*$F$8,IF(AI66&gt;=$B$8,AK66*$B$4*(1+$B$5)^(($G$8+$B$8+AJ66*($B$8+$B$10))/4),0))</f>
        <v>0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2160</v>
      </c>
      <c r="AP66" s="14" t="n">
        <f aca="false">F66+N66+V66+AD66+AL66</f>
        <v>175968.29538828</v>
      </c>
      <c r="AQ66" s="14" t="n">
        <f aca="false">G66+O66+W66+AE66+AM66</f>
        <v>1877227.85975079</v>
      </c>
      <c r="AR66" s="14" t="n">
        <f aca="false">H66+P66+X66+AF66+AN66+IF($A66=$B$15,$B$14,0)</f>
        <v>0</v>
      </c>
      <c r="AS66" s="21" t="n">
        <f aca="false">I66+Q66+Y66+AG66+AO66</f>
        <v>5260</v>
      </c>
      <c r="AT66" s="14" t="n">
        <f aca="false">AP66*(1-$B$12)-AS66*$B$13/4</f>
        <v>93085.1976649833</v>
      </c>
      <c r="AU66" s="14" t="n">
        <f aca="false">0</f>
        <v>0</v>
      </c>
      <c r="AV66" s="14" t="n">
        <f aca="false">AT66-AR66-AU66</f>
        <v>93085.1976649833</v>
      </c>
      <c r="AW66" s="21" t="n">
        <f aca="false">(1+$B$16)^(-$A66/4)</f>
        <v>0.501349020514149</v>
      </c>
      <c r="AX66" s="14" t="n">
        <f aca="false">AV66*AW66</f>
        <v>46668.1726737053</v>
      </c>
      <c r="AY66" s="14" t="n">
        <f aca="false">AV66</f>
        <v>93085.1976649833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10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293338.669549418</v>
      </c>
      <c r="G67" s="14" t="n">
        <f aca="false">IF($A67&lt;=$G$4,$E$4*$F$4,IF(C67&gt;=$B$8,E67*$B$4*(1+$B$5)^(($G$4+$B$8+D67*($B$8+$B$10))/4),0))</f>
        <v>1173354.67819767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4</v>
      </c>
      <c r="L67" s="21" t="n">
        <f aca="false">IF(J67&lt;0,0,INT(J67/($B$8+$B$10)))</f>
        <v>1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0</v>
      </c>
      <c r="O67" s="14" t="n">
        <f aca="false">IF($A67&lt;=$G$5,$E$5*$F$5,IF(K67&gt;=$B$8,M67*$B$4*(1+$B$5)^(($G$5+$B$8+L67*($B$8+$B$10))/4),0))</f>
        <v>0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3100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107157.91078837</v>
      </c>
      <c r="W67" s="14" t="n">
        <f aca="false">IF($A67&lt;=$G$6,$E$6*$F$6,IF(S67&gt;=$B$8,U67*$B$4*(1+$B$5)^(($G$6+$B$8+T67*($B$8+$B$10))/4),0))</f>
        <v>428631.643153479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14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68810.3845999103</v>
      </c>
      <c r="AE67" s="14" t="n">
        <f aca="false">IF($A67&lt;=$G$7,$E$7*$F$7,IF(AA67&gt;=$B$8,AC67*$B$4*(1+$B$5)^(($G$7+$B$8+AB67*($B$8+$B$10))/4),0))</f>
        <v>275241.538399641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3</v>
      </c>
      <c r="AJ67" s="21" t="n">
        <f aca="false">IF(AH67&lt;0,0,INT(AH67/($B$8+$B$10)))</f>
        <v>2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0</v>
      </c>
      <c r="AM67" s="14" t="n">
        <f aca="false">IF($A67&lt;=$G$8,$E$8*$F$8,IF(AI67&gt;=$B$8,AK67*$B$4*(1+$B$5)^(($G$8+$B$8+AJ67*($B$8+$B$10))/4),0))</f>
        <v>0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2160</v>
      </c>
      <c r="AP67" s="14" t="n">
        <f aca="false">F67+N67+V67+AD67+AL67</f>
        <v>469306.964937698</v>
      </c>
      <c r="AQ67" s="14" t="n">
        <f aca="false">G67+O67+W67+AE67+AM67</f>
        <v>1877227.85975079</v>
      </c>
      <c r="AR67" s="14" t="n">
        <f aca="false">H67+P67+X67+AF67+AN67+IF($A67=$B$15,$B$14,0)</f>
        <v>0</v>
      </c>
      <c r="AS67" s="21" t="n">
        <f aca="false">I67+Q67+Y67+AG67+AO67</f>
        <v>5260</v>
      </c>
      <c r="AT67" s="14" t="n">
        <f aca="false">AP67*(1-$B$12)-AS67*$B$13/4</f>
        <v>368823.547041436</v>
      </c>
      <c r="AU67" s="14" t="n">
        <f aca="false">0</f>
        <v>0</v>
      </c>
      <c r="AV67" s="14" t="n">
        <f aca="false">AT67-AR67-AU67</f>
        <v>368823.547041436</v>
      </c>
      <c r="AW67" s="21" t="n">
        <f aca="false">(1+$B$16)^(-$A67/4)</f>
        <v>0.492080155311421</v>
      </c>
      <c r="AX67" s="14" t="n">
        <f aca="false">AV67*AW67</f>
        <v>181490.748310659</v>
      </c>
      <c r="AY67" s="14" t="n">
        <f aca="false">AV67</f>
        <v>368823.547041436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11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293338.669549418</v>
      </c>
      <c r="G68" s="14" t="n">
        <f aca="false">IF($A68&lt;=$G$4,$E$4*$F$4,IF(C68&gt;=$B$8,E68*$B$4*(1+$B$5)^(($G$4+$B$8+D68*($B$8+$B$10))/4),0))</f>
        <v>1173354.67819767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5</v>
      </c>
      <c r="L68" s="21" t="n">
        <f aca="false">IF(J68&lt;0,0,INT(J68/($B$8+$B$10)))</f>
        <v>1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0</v>
      </c>
      <c r="O68" s="14" t="n">
        <f aca="false">IF($A68&lt;=$G$5,$E$5*$F$5,IF(K68&gt;=$B$8,M68*$B$4*(1+$B$5)^(($G$5+$B$8+L68*($B$8+$B$10))/4),0))</f>
        <v>885606.460433309</v>
      </c>
      <c r="P68" s="14" t="n">
        <f aca="false">IF($A68&lt;=$G$5,0,IF(K68=0,M68*$B$6*(1+$B$7)^(($G$5+L68*($B$8+$B$10))/4),0)+IF(K68=$B$8,$B$11*$B$4*(1+$B$5)^(($G$5+$B$8+L68*($B$8+$B$10))/4)*M68,0))</f>
        <v>106272.775251997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107157.91078837</v>
      </c>
      <c r="W68" s="14" t="n">
        <f aca="false">IF($A68&lt;=$G$6,$E$6*$F$6,IF(S68&gt;=$B$8,U68*$B$4*(1+$B$5)^(($G$6+$B$8+T68*($B$8+$B$10))/4),0))</f>
        <v>428631.643153479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15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68810.3845999103</v>
      </c>
      <c r="AE68" s="14" t="n">
        <f aca="false">IF($A68&lt;=$G$7,$E$7*$F$7,IF(AA68&gt;=$B$8,AC68*$B$4*(1+$B$5)^(($G$7+$B$8+AB68*($B$8+$B$10))/4),0))</f>
        <v>275241.538399641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4</v>
      </c>
      <c r="AJ68" s="21" t="n">
        <f aca="false">IF(AH68&lt;0,0,INT(AH68/($B$8+$B$10)))</f>
        <v>2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0</v>
      </c>
      <c r="AM68" s="14" t="n">
        <f aca="false">IF($A68&lt;=$G$8,$E$8*$F$8,IF(AI68&gt;=$B$8,AK68*$B$4*(1+$B$5)^(($G$8+$B$8+AJ68*($B$8+$B$10))/4),0))</f>
        <v>0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2160</v>
      </c>
      <c r="AP68" s="14" t="n">
        <f aca="false">F68+N68+V68+AD68+AL68</f>
        <v>469306.964937698</v>
      </c>
      <c r="AQ68" s="14" t="n">
        <f aca="false">G68+O68+W68+AE68+AM68</f>
        <v>2762834.3201841</v>
      </c>
      <c r="AR68" s="14" t="n">
        <f aca="false">H68+P68+X68+AF68+AN68+IF($A68=$B$15,$B$14,0)</f>
        <v>106272.775251997</v>
      </c>
      <c r="AS68" s="21" t="n">
        <f aca="false">I68+Q68+Y68+AG68+AO68</f>
        <v>2160</v>
      </c>
      <c r="AT68" s="14" t="n">
        <f aca="false">AP68*(1-$B$12)-AS68*$B$13/4</f>
        <v>411448.547041436</v>
      </c>
      <c r="AU68" s="14" t="n">
        <f aca="false">0</f>
        <v>0</v>
      </c>
      <c r="AV68" s="14" t="n">
        <f aca="false">AT68-AR68-AU68</f>
        <v>305175.771789439</v>
      </c>
      <c r="AW68" s="21" t="n">
        <f aca="false">(1+$B$16)^(-$A68/4)</f>
        <v>0.482982651492941</v>
      </c>
      <c r="AX68" s="14" t="n">
        <f aca="false">AV68*AW68</f>
        <v>147394.603430268</v>
      </c>
      <c r="AY68" s="14" t="n">
        <f aca="false">AV68</f>
        <v>305175.771789439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12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293338.669549418</v>
      </c>
      <c r="G69" s="14" t="n">
        <f aca="false">IF($A69&lt;=$G$4,$E$4*$F$4,IF(C69&gt;=$B$8,E69*$B$4*(1+$B$5)^(($G$4+$B$8+D69*($B$8+$B$10))/4),0))</f>
        <v>1173354.67819767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6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885606.460433309</v>
      </c>
      <c r="P69" s="14" t="n">
        <f aca="false">IF($A69&lt;=$G$5,0,IF(K69=0,M69*$B$6*(1+$B$7)^(($G$5+L69*($B$8+$B$10))/4),0)+IF(K69=$B$8,$B$11*$B$4*(1+$B$5)^(($G$5+$B$8+L69*($B$8+$B$10))/4)*M69,0))</f>
        <v>0</v>
      </c>
      <c r="Q69" s="21" t="n">
        <f aca="false">IF($A69&lt;=$G$5,0,IF(K69&lt;$B$8,M69,0))</f>
        <v>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107157.91078837</v>
      </c>
      <c r="W69" s="14" t="n">
        <f aca="false">IF($A69&lt;=$G$6,$E$6*$F$6,IF(S69&gt;=$B$8,U69*$B$4*(1+$B$5)^(($G$6+$B$8+T69*($B$8+$B$10))/4),0))</f>
        <v>428631.643153479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16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68810.3845999103</v>
      </c>
      <c r="AE69" s="14" t="n">
        <f aca="false">IF($A69&lt;=$G$7,$E$7*$F$7,IF(AA69&gt;=$B$8,AC69*$B$4*(1+$B$5)^(($G$7+$B$8+AB69*($B$8+$B$10))/4),0))</f>
        <v>275241.538399641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5</v>
      </c>
      <c r="AJ69" s="21" t="n">
        <f aca="false">IF(AH69&lt;0,0,INT(AH69/($B$8+$B$10)))</f>
        <v>2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0</v>
      </c>
      <c r="AM69" s="14" t="n">
        <f aca="false">IF($A69&lt;=$G$8,$E$8*$F$8,IF(AI69&gt;=$B$8,AK69*$B$4*(1+$B$5)^(($G$8+$B$8+AJ69*($B$8+$B$10))/4),0))</f>
        <v>619368.827705476</v>
      </c>
      <c r="AN69" s="14" t="n">
        <f aca="false">IF($A69&lt;=$G$8,0,IF(AI69=0,AK69*$B$6*(1+$B$7)^(($G$8+AJ69*($B$8+$B$10))/4),0)+IF(AI69=$B$8,$B$11*$B$4*(1+$B$5)^(($G$8+$B$8+AJ69*($B$8+$B$10))/4)*AK69,0))</f>
        <v>74324.2593246571</v>
      </c>
      <c r="AO69" s="21" t="n">
        <f aca="false">IF($A69&lt;=$G$8,0,IF(AI69&lt;$B$8,AK69,0))</f>
        <v>0</v>
      </c>
      <c r="AP69" s="14" t="n">
        <f aca="false">F69+N69+V69+AD69+AL69</f>
        <v>469306.964937698</v>
      </c>
      <c r="AQ69" s="14" t="n">
        <f aca="false">G69+O69+W69+AE69+AM69</f>
        <v>3382203.14788958</v>
      </c>
      <c r="AR69" s="14" t="n">
        <f aca="false">H69+P69+X69+AF69+AN69+IF($A69=$B$15,$B$14,0)</f>
        <v>74324.2593246571</v>
      </c>
      <c r="AS69" s="21" t="n">
        <f aca="false">I69+Q69+Y69+AG69+AO69</f>
        <v>0</v>
      </c>
      <c r="AT69" s="14" t="n">
        <f aca="false">AP69*(1-$B$12)-AS69*$B$13/4</f>
        <v>441148.547041436</v>
      </c>
      <c r="AU69" s="14" t="n">
        <f aca="false">0</f>
        <v>0</v>
      </c>
      <c r="AV69" s="14" t="n">
        <f aca="false">AT69-AR69-AU69</f>
        <v>366824.287716779</v>
      </c>
      <c r="AW69" s="21" t="n">
        <f aca="false">(1+$B$16)^(-$A69/4)</f>
        <v>0.474053340955239</v>
      </c>
      <c r="AX69" s="14" t="n">
        <f aca="false">AV69*AW69</f>
        <v>173894.279135665</v>
      </c>
      <c r="AY69" s="14" t="n">
        <f aca="false">AV69+$J$9</f>
        <v>40774332.6055356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330</v>
      </c>
    </row>
    <row r="2" customFormat="false" ht="15" hidden="false" customHeight="false" outlineLevel="0" collapsed="false">
      <c r="A2" s="22" t="s">
        <v>331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1426.46179238759</v>
      </c>
    </row>
    <row r="6" customFormat="false" ht="15" hidden="false" customHeight="false" outlineLevel="0" collapsed="false">
      <c r="A6" s="0" t="s">
        <v>24</v>
      </c>
      <c r="B6" s="16" t="n">
        <f aca="false">'2. Inputs'!B3*(1-'2. Inputs'!B11)*('2. Inputs'!B9-'2. Inputs'!B8)/4-'2. Inputs'!B12*'2. Inputs'!B7/4-'2. Inputs'!B10*'2. Inputs'!B3</f>
        <v>1121.25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51642981.5540678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-3116191.28473692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24481527.9425956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21365336.6578587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20061348.9745152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1.14585266474566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0.000342595608621821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31441599.5597513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-12489850.9205077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-0.383698633561506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2421900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2421900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-1735099.1</v>
      </c>
      <c r="AW30" s="21" t="n">
        <f aca="false">(1+$B$16)^(-$A30/4)</f>
        <v>0.98151215057083</v>
      </c>
      <c r="AX30" s="14" t="n">
        <f aca="false">AV30*AW30</f>
        <v>-1703020.84909451</v>
      </c>
      <c r="AY30" s="14" t="n">
        <f aca="false">AV30</f>
        <v>-1735099.1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1163558.58313692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1163558.58313692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-380137.725384952</v>
      </c>
      <c r="AW36" s="21" t="n">
        <f aca="false">(1+$B$16)^(-$A36/4)</f>
        <v>0.877545739475122</v>
      </c>
      <c r="AX36" s="14" t="n">
        <f aca="false">AV36*AW36</f>
        <v>-333588.241325329</v>
      </c>
      <c r="AY36" s="14" t="n">
        <f aca="false">AV36</f>
        <v>-380137.725384952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5009119.70040445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5009119.70040445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-4583564.84265248</v>
      </c>
      <c r="AW40" s="21" t="n">
        <f aca="false">(1+$B$16)^(-$A40/4)</f>
        <v>0.814427600440949</v>
      </c>
      <c r="AX40" s="14" t="n">
        <f aca="false">AV40*AW40</f>
        <v>-3732981.71626695</v>
      </c>
      <c r="AY40" s="14" t="n">
        <f aca="false">AV40</f>
        <v>-4583564.84265248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3836715.63120117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3836715.63120117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-3234546.57663536</v>
      </c>
      <c r="AW46" s="21" t="n">
        <f aca="false">(1+$B$16)^(-$A46/4)</f>
        <v>0.728159575469592</v>
      </c>
      <c r="AX46" s="14" t="n">
        <f aca="false">AV46*AW46</f>
        <v>-2355266.06207943</v>
      </c>
      <c r="AY46" s="14" t="n">
        <f aca="false">AV46</f>
        <v>-3234546.57663536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2791376.59808683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2791376.59808683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-2095706.79859119</v>
      </c>
      <c r="AW53" s="21" t="n">
        <f aca="false">(1+$B$16)^(-$A53/4)</f>
        <v>0.638993333111354</v>
      </c>
      <c r="AX53" s="14" t="n">
        <f aca="false">AV53*AW53</f>
        <v>-1339142.67245591</v>
      </c>
      <c r="AY53" s="14" t="n">
        <f aca="false">AV53</f>
        <v>-2095706.79859119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2027347.99519636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2113009.46592046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-1515937.06642481</v>
      </c>
      <c r="AW56" s="21" t="n">
        <f aca="false">(1+$B$16)^(-$A56/4)</f>
        <v>0.604203682494304</v>
      </c>
      <c r="AX56" s="14" t="n">
        <f aca="false">AV56*AW56</f>
        <v>-915934.757963486</v>
      </c>
      <c r="AY56" s="14" t="n">
        <f aca="false">AV56</f>
        <v>-1515937.06642481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1341067.01328357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1402826.26535874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-703476.861807645</v>
      </c>
      <c r="AW59" s="21" t="n">
        <f aca="false">(1+$B$16)^(-$A59/4)</f>
        <v>0.571308135817531</v>
      </c>
      <c r="AX59" s="14" t="n">
        <f aca="false">AV59*AW59</f>
        <v>-401902.054510093</v>
      </c>
      <c r="AY59" s="14" t="n">
        <f aca="false">AV59</f>
        <v>-703476.861807645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5773293.49218576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5773293.49218576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-5307778.87402205</v>
      </c>
      <c r="AW63" s="21" t="n">
        <f aca="false">(1+$B$16)^(-$A63/4)</f>
        <v>0.530216367348056</v>
      </c>
      <c r="AX63" s="14" t="n">
        <f aca="false">AV63*AW63</f>
        <v>-2814271.23327073</v>
      </c>
      <c r="AY63" s="14" t="n">
        <f aca="false">AV63</f>
        <v>-5307778.87402205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4422031.55640154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4422031.55640154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-3757982.14185044</v>
      </c>
      <c r="AW69" s="21" t="n">
        <f aca="false">(1+$B$16)^(-$A69/4)</f>
        <v>0.474053340955239</v>
      </c>
      <c r="AX69" s="14" t="n">
        <f aca="false">AV69*AW69</f>
        <v>-1781483.98959432</v>
      </c>
      <c r="AY69" s="14" t="n">
        <f aca="false">AV69+$J$9</f>
        <v>47884999.4122173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332</v>
      </c>
    </row>
    <row r="2" customFormat="false" ht="15" hidden="false" customHeight="false" outlineLevel="0" collapsed="false">
      <c r="A2" s="22" t="s">
        <v>333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2506.24725173116</v>
      </c>
    </row>
    <row r="6" customFormat="false" ht="15" hidden="false" customHeight="false" outlineLevel="0" collapsed="false">
      <c r="A6" s="0" t="s">
        <v>24</v>
      </c>
      <c r="B6" s="26" t="n">
        <v>1970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48345856.6539622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-17652729.628123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22918514.8681538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5265785.24003086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4944399.28641395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4.35234515337347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-0.0558169410266501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53231981.6968302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-27606800.608609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-0.848103931579802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4255200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4255200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-3568399.1</v>
      </c>
      <c r="AW30" s="21" t="n">
        <f aca="false">(1+$B$16)^(-$A30/4)</f>
        <v>0.98151215057083</v>
      </c>
      <c r="AX30" s="14" t="n">
        <f aca="false">AV30*AW30</f>
        <v>-3502427.07473602</v>
      </c>
      <c r="AY30" s="14" t="n">
        <f aca="false">AV30</f>
        <v>-3568399.1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2044334.81273555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2044334.81273555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-1260913.95498358</v>
      </c>
      <c r="AW36" s="21" t="n">
        <f aca="false">(1+$B$16)^(-$A36/4)</f>
        <v>0.877545739475122</v>
      </c>
      <c r="AX36" s="14" t="n">
        <f aca="false">AV36*AW36</f>
        <v>-1106509.66904057</v>
      </c>
      <c r="AY36" s="14" t="n">
        <f aca="false">AV36</f>
        <v>-1260913.95498358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8800861.36882654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8800861.36882654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-8375306.51107458</v>
      </c>
      <c r="AW40" s="21" t="n">
        <f aca="false">(1+$B$16)^(-$A40/4)</f>
        <v>0.814427600440949</v>
      </c>
      <c r="AX40" s="14" t="n">
        <f aca="false">AV40*AW40</f>
        <v>-6821080.78477192</v>
      </c>
      <c r="AY40" s="14" t="n">
        <f aca="false">AV40</f>
        <v>-8375306.51107458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6740985.32304687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6740985.32304687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-6138816.26848106</v>
      </c>
      <c r="AW46" s="21" t="n">
        <f aca="false">(1+$B$16)^(-$A46/4)</f>
        <v>0.728159575469592</v>
      </c>
      <c r="AX46" s="14" t="n">
        <f aca="false">AV46*AW46</f>
        <v>-4470037.847943</v>
      </c>
      <c r="AY46" s="14" t="n">
        <f aca="false">AV46</f>
        <v>-6138816.26848106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4904358.43766426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4904358.43766426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-4208688.63816862</v>
      </c>
      <c r="AW53" s="21" t="n">
        <f aca="false">(1+$B$16)^(-$A53/4)</f>
        <v>0.638993333111354</v>
      </c>
      <c r="AX53" s="14" t="n">
        <f aca="false">AV53*AW53</f>
        <v>-2689323.98093125</v>
      </c>
      <c r="AY53" s="14" t="n">
        <f aca="false">AV53</f>
        <v>-4208688.63816862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3561984.88342192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3647646.35414602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-3050573.95465037</v>
      </c>
      <c r="AW56" s="21" t="n">
        <f aca="false">(1+$B$16)^(-$A56/4)</f>
        <v>0.604203682494304</v>
      </c>
      <c r="AX56" s="14" t="n">
        <f aca="false">AV56*AW56</f>
        <v>-1843168.01712097</v>
      </c>
      <c r="AY56" s="14" t="n">
        <f aca="false">AV56</f>
        <v>-3050573.95465037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2356211.38565764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2417970.63773281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-1718621.23418172</v>
      </c>
      <c r="AW59" s="21" t="n">
        <f aca="false">(1+$B$16)^(-$A59/4)</f>
        <v>0.571308135817531</v>
      </c>
      <c r="AX59" s="14" t="n">
        <f aca="false">AV59*AW59</f>
        <v>-981862.293476781</v>
      </c>
      <c r="AY59" s="14" t="n">
        <f aca="false">AV59</f>
        <v>-1718621.23418172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10143490.0152561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10143490.0152561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-9677975.39709243</v>
      </c>
      <c r="AW63" s="21" t="n">
        <f aca="false">(1+$B$16)^(-$A63/4)</f>
        <v>0.530216367348056</v>
      </c>
      <c r="AX63" s="14" t="n">
        <f aca="false">AV63*AW63</f>
        <v>-5131420.95833021</v>
      </c>
      <c r="AY63" s="14" t="n">
        <f aca="false">AV63</f>
        <v>-9677975.39709243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7769366.48036658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7769366.48036658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-7105317.06581548</v>
      </c>
      <c r="AW69" s="21" t="n">
        <f aca="false">(1+$B$16)^(-$A69/4)</f>
        <v>0.474053340955239</v>
      </c>
      <c r="AX69" s="14" t="n">
        <f aca="false">AV69*AW69</f>
        <v>-3368299.2935961</v>
      </c>
      <c r="AY69" s="14" t="n">
        <f aca="false">AV69+$J$9</f>
        <v>41240539.5881467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334</v>
      </c>
    </row>
    <row r="2" customFormat="false" ht="15" hidden="false" customHeight="false" outlineLevel="0" collapsed="false">
      <c r="A2" s="22" t="s">
        <v>335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26" t="n">
        <v>392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453.241824336444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3929310.21991535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5014298.28283683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71540045.0182974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11870212.2916773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33913797.3530121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45784009.6446894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42989680.4175487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0.740734540644276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0.0774700002278959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30868288.4228488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13669649.7912086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10438480.5225258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0.320678824626734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856227.850195349</v>
      </c>
      <c r="AN33" s="14" t="n">
        <f aca="false">IF($A33&lt;=$G$8,0,IF(AI33=0,AK33*$B$6*(1+$B$7)^(($G$8+AJ33*($B$8+$B$10))/4),0)+IF(AI33=$B$8,$B$11*$B$4*(1+$B$5)^(($G$8+$B$8+AJ33*($B$8+$B$10))/4)*AK33,0))</f>
        <v>102747.342023442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3905167.85019535</v>
      </c>
      <c r="AR33" s="14" t="n">
        <f aca="false">H33+P33+X33+AF33+AN33+IF($A33=$B$15,$B$14,0)</f>
        <v>102747.342023442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613753.557976558</v>
      </c>
      <c r="AW33" s="21" t="n">
        <f aca="false">(1+$B$16)^(-$A33/4)</f>
        <v>0.928074245939675</v>
      </c>
      <c r="AX33" s="14" t="n">
        <f aca="false">AV33*AW33</f>
        <v>569608.870511887</v>
      </c>
      <c r="AY33" s="14" t="n">
        <f aca="false">AV33</f>
        <v>613753.557976558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856227.850195349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3905167.85019535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856227.850195349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3905167.85019535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214056.962548837</v>
      </c>
      <c r="AM36" s="14" t="n">
        <f aca="false">IF($A36&lt;=$G$8,$E$8*$F$8,IF(AI36&gt;=$B$8,AK36*$B$4*(1+$B$5)^(($G$8+$B$8+AJ36*($B$8+$B$10))/4),0))</f>
        <v>856227.850195349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898291.962548837</v>
      </c>
      <c r="AQ36" s="14" t="n">
        <f aca="false">G36+O36+W36+AE36+AM36</f>
        <v>3593167.85019535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830644.444795907</v>
      </c>
      <c r="AU36" s="14" t="n">
        <f aca="false">0</f>
        <v>0</v>
      </c>
      <c r="AV36" s="14" t="n">
        <f aca="false">AT36-AR36-AU36</f>
        <v>394796.413654318</v>
      </c>
      <c r="AW36" s="21" t="n">
        <f aca="false">(1+$B$16)^(-$A36/4)</f>
        <v>0.877545739475122</v>
      </c>
      <c r="AX36" s="14" t="n">
        <f aca="false">AV36*AW36</f>
        <v>346451.910762404</v>
      </c>
      <c r="AY36" s="14" t="n">
        <f aca="false">AV36</f>
        <v>394796.413654318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214056.962548837</v>
      </c>
      <c r="AM37" s="14" t="n">
        <f aca="false">IF($A37&lt;=$G$8,$E$8*$F$8,IF(AI37&gt;=$B$8,AK37*$B$4*(1+$B$5)^(($G$8+$B$8+AJ37*($B$8+$B$10))/4),0))</f>
        <v>856227.850195349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898291.962548837</v>
      </c>
      <c r="AQ37" s="14" t="n">
        <f aca="false">G37+O37+W37+AE37+AM37</f>
        <v>3593167.85019535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830644.444795907</v>
      </c>
      <c r="AU37" s="14" t="n">
        <f aca="false">0</f>
        <v>0</v>
      </c>
      <c r="AV37" s="14" t="n">
        <f aca="false">AT37-AR37-AU37</f>
        <v>830644.444795907</v>
      </c>
      <c r="AW37" s="21" t="n">
        <f aca="false">(1+$B$16)^(-$A37/4)</f>
        <v>0.861321805976497</v>
      </c>
      <c r="AX37" s="14" t="n">
        <f aca="false">AV37*AW37</f>
        <v>715452.173315955</v>
      </c>
      <c r="AY37" s="14" t="n">
        <f aca="false">AV37</f>
        <v>830644.444795907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214056.962548837</v>
      </c>
      <c r="AM38" s="14" t="n">
        <f aca="false">IF($A38&lt;=$G$8,$E$8*$F$8,IF(AI38&gt;=$B$8,AK38*$B$4*(1+$B$5)^(($G$8+$B$8+AJ38*($B$8+$B$10))/4),0))</f>
        <v>856227.850195349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898291.962548837</v>
      </c>
      <c r="AQ38" s="14" t="n">
        <f aca="false">G38+O38+W38+AE38+AM38</f>
        <v>3593167.85019535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830644.444795907</v>
      </c>
      <c r="AU38" s="14" t="n">
        <f aca="false">0</f>
        <v>0</v>
      </c>
      <c r="AV38" s="14" t="n">
        <f aca="false">AT38-AR38-AU38</f>
        <v>830644.444795907</v>
      </c>
      <c r="AW38" s="21" t="n">
        <f aca="false">(1+$B$16)^(-$A38/4)</f>
        <v>0.845397818117543</v>
      </c>
      <c r="AX38" s="14" t="n">
        <f aca="false">AV38*AW38</f>
        <v>702225.001261918</v>
      </c>
      <c r="AY38" s="14" t="n">
        <f aca="false">AV38</f>
        <v>830644.444795907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405354.185855289</v>
      </c>
      <c r="AF39" s="14" t="n">
        <f aca="false">IF($A39&lt;=$G$7,0,IF(AA39=0,AC39*$B$6*(1+$B$7)^(($G$7+AB39*($B$8+$B$10))/4),0)+IF(AA39=$B$8,$B$11*$B$4*(1+$B$5)^(($G$7+$B$8+AB39*($B$8+$B$10))/4)*AC39,0))</f>
        <v>48642.5023026346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214056.962548837</v>
      </c>
      <c r="AM39" s="14" t="n">
        <f aca="false">IF($A39&lt;=$G$8,$E$8*$F$8,IF(AI39&gt;=$B$8,AK39*$B$4*(1+$B$5)^(($G$8+$B$8+AJ39*($B$8+$B$10))/4),0))</f>
        <v>856227.850195349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898291.962548837</v>
      </c>
      <c r="AQ39" s="14" t="n">
        <f aca="false">G39+O39+W39+AE39+AM39</f>
        <v>3998522.03605064</v>
      </c>
      <c r="AR39" s="14" t="n">
        <f aca="false">H39+P39+X39+AF39+AN39+IF($A39=$B$15,$B$14,0)</f>
        <v>48642.5023026346</v>
      </c>
      <c r="AS39" s="21" t="n">
        <f aca="false">I39+Q39+Y39+AG39+AO39</f>
        <v>0</v>
      </c>
      <c r="AT39" s="14" t="n">
        <f aca="false">AP39*(1-$B$12)-AS39*$B$13/4</f>
        <v>844394.444795907</v>
      </c>
      <c r="AU39" s="14" t="n">
        <f aca="false">0</f>
        <v>0</v>
      </c>
      <c r="AV39" s="14" t="n">
        <f aca="false">AT39-AR39-AU39</f>
        <v>795751.942493272</v>
      </c>
      <c r="AW39" s="21" t="n">
        <f aca="false">(1+$B$16)^(-$A39/4)</f>
        <v>0.829768230548437</v>
      </c>
      <c r="AX39" s="14" t="n">
        <f aca="false">AV39*AW39</f>
        <v>660289.681278124</v>
      </c>
      <c r="AY39" s="14" t="n">
        <f aca="false">AV39</f>
        <v>795751.942493272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405354.185855289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214056.962548837</v>
      </c>
      <c r="AM40" s="14" t="n">
        <f aca="false">IF($A40&lt;=$G$8,$E$8*$F$8,IF(AI40&gt;=$B$8,AK40*$B$4*(1+$B$5)^(($G$8+$B$8+AJ40*($B$8+$B$10))/4),0))</f>
        <v>856227.850195349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564391.962548837</v>
      </c>
      <c r="AQ40" s="14" t="n">
        <f aca="false">G40+O40+W40+AE40+AM40</f>
        <v>2662922.03605064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472778.444795907</v>
      </c>
      <c r="AU40" s="14" t="n">
        <f aca="false">0</f>
        <v>0</v>
      </c>
      <c r="AV40" s="14" t="n">
        <f aca="false">AT40-AR40-AU40</f>
        <v>-1403547.32926864</v>
      </c>
      <c r="AW40" s="21" t="n">
        <f aca="false">(1+$B$16)^(-$A40/4)</f>
        <v>0.814427600440949</v>
      </c>
      <c r="AX40" s="14" t="n">
        <f aca="false">AV40*AW40</f>
        <v>-1143087.68348156</v>
      </c>
      <c r="AY40" s="14" t="n">
        <f aca="false">AV40</f>
        <v>-1403547.32926864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405354.185855289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214056.962548837</v>
      </c>
      <c r="AM41" s="14" t="n">
        <f aca="false">IF($A41&lt;=$G$8,$E$8*$F$8,IF(AI41&gt;=$B$8,AK41*$B$4*(1+$B$5)^(($G$8+$B$8+AJ41*($B$8+$B$10))/4),0))</f>
        <v>856227.850195349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564391.962548837</v>
      </c>
      <c r="AQ41" s="14" t="n">
        <f aca="false">G41+O41+W41+AE41+AM41</f>
        <v>2662922.03605064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472778.444795907</v>
      </c>
      <c r="AU41" s="14" t="n">
        <f aca="false">0</f>
        <v>0</v>
      </c>
      <c r="AV41" s="14" t="n">
        <f aca="false">AT41-AR41-AU41</f>
        <v>-1427221.55520409</v>
      </c>
      <c r="AW41" s="21" t="n">
        <f aca="false">(1+$B$16)^(-$A41/4)</f>
        <v>0.799370585593037</v>
      </c>
      <c r="AX41" s="14" t="n">
        <f aca="false">AV41*AW41</f>
        <v>-1140878.9303545</v>
      </c>
      <c r="AY41" s="14" t="n">
        <f aca="false">AV41</f>
        <v>-1427221.55520409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101338.546463822</v>
      </c>
      <c r="AE42" s="14" t="n">
        <f aca="false">IF($A42&lt;=$G$7,$E$7*$F$7,IF(AA42&gt;=$B$8,AC42*$B$4*(1+$B$5)^(($G$7+$B$8+AB42*($B$8+$B$10))/4),0))</f>
        <v>405354.185855289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214056.962548837</v>
      </c>
      <c r="AM42" s="14" t="n">
        <f aca="false">IF($A42&lt;=$G$8,$E$8*$F$8,IF(AI42&gt;=$B$8,AK42*$B$4*(1+$B$5)^(($G$8+$B$8+AJ42*($B$8+$B$10))/4),0))</f>
        <v>856227.850195349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665730.509012659</v>
      </c>
      <c r="AQ42" s="14" t="n">
        <f aca="false">G42+O42+W42+AE42+AM42</f>
        <v>2662922.03605064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568036.6784719</v>
      </c>
      <c r="AU42" s="14" t="n">
        <f aca="false">0</f>
        <v>0</v>
      </c>
      <c r="AV42" s="14" t="n">
        <f aca="false">AT42-AR42-AU42</f>
        <v>568036.6784719</v>
      </c>
      <c r="AW42" s="21" t="n">
        <f aca="false">(1+$B$16)^(-$A42/4)</f>
        <v>0.784591942568485</v>
      </c>
      <c r="AX42" s="14" t="n">
        <f aca="false">AV42*AW42</f>
        <v>445677.001012418</v>
      </c>
      <c r="AY42" s="14" t="n">
        <f aca="false">AV42</f>
        <v>568036.6784719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1728024.8943011</v>
      </c>
      <c r="H43" s="14" t="n">
        <f aca="false">IF($A43&lt;=$G$4,0,IF(C43=0,E43*$B$6*(1+$B$7)^(($G$4+D43*($B$8+$B$10))/4),0)+IF(C43=$B$8,$B$11*$B$4*(1+$B$5)^(($G$4+$B$8+D43*($B$8+$B$10))/4)*E43,0))</f>
        <v>207362.987316131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101338.546463822</v>
      </c>
      <c r="AE43" s="14" t="n">
        <f aca="false">IF($A43&lt;=$G$7,$E$7*$F$7,IF(AA43&gt;=$B$8,AC43*$B$4*(1+$B$5)^(($G$7+$B$8+AB43*($B$8+$B$10))/4),0))</f>
        <v>405354.185855289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214056.962548837</v>
      </c>
      <c r="AM43" s="14" t="n">
        <f aca="false">IF($A43&lt;=$G$8,$E$8*$F$8,IF(AI43&gt;=$B$8,AK43*$B$4*(1+$B$5)^(($G$8+$B$8+AJ43*($B$8+$B$10))/4),0))</f>
        <v>856227.850195349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665730.509012659</v>
      </c>
      <c r="AQ43" s="14" t="n">
        <f aca="false">G43+O43+W43+AE43+AM43</f>
        <v>4390946.93035173</v>
      </c>
      <c r="AR43" s="14" t="n">
        <f aca="false">H43+P43+X43+AF43+AN43+IF($A43=$B$15,$B$14,0)</f>
        <v>207362.987316131</v>
      </c>
      <c r="AS43" s="21" t="n">
        <f aca="false">I43+Q43+Y43+AG43+AO43</f>
        <v>0</v>
      </c>
      <c r="AT43" s="14" t="n">
        <f aca="false">AP43*(1-$B$12)-AS43*$B$13/4</f>
        <v>625786.6784719</v>
      </c>
      <c r="AU43" s="14" t="n">
        <f aca="false">0</f>
        <v>0</v>
      </c>
      <c r="AV43" s="14" t="n">
        <f aca="false">AT43-AR43-AU43</f>
        <v>418423.691155768</v>
      </c>
      <c r="AW43" s="21" t="n">
        <f aca="false">(1+$B$16)^(-$A43/4)</f>
        <v>0.770086524870939</v>
      </c>
      <c r="AX43" s="14" t="n">
        <f aca="false">AV43*AW43</f>
        <v>322222.446245817</v>
      </c>
      <c r="AY43" s="14" t="n">
        <f aca="false">AV43</f>
        <v>418423.691155768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1728024.8943011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101338.546463822</v>
      </c>
      <c r="AE44" s="14" t="n">
        <f aca="false">IF($A44&lt;=$G$7,$E$7*$F$7,IF(AA44&gt;=$B$8,AC44*$B$4*(1+$B$5)^(($G$7+$B$8+AB44*($B$8+$B$10))/4),0))</f>
        <v>405354.185855289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214056.962548837</v>
      </c>
      <c r="AM44" s="14" t="n">
        <f aca="false">IF($A44&lt;=$G$8,$E$8*$F$8,IF(AI44&gt;=$B$8,AK44*$B$4*(1+$B$5)^(($G$8+$B$8+AJ44*($B$8+$B$10))/4),0))</f>
        <v>856227.850195349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665730.509012659</v>
      </c>
      <c r="AQ44" s="14" t="n">
        <f aca="false">G44+O44+W44+AE44+AM44</f>
        <v>4390946.93035173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625786.6784719</v>
      </c>
      <c r="AU44" s="14" t="n">
        <f aca="false">0</f>
        <v>0</v>
      </c>
      <c r="AV44" s="14" t="n">
        <f aca="false">AT44-AR44-AU44</f>
        <v>625786.6784719</v>
      </c>
      <c r="AW44" s="21" t="n">
        <f aca="false">(1+$B$16)^(-$A44/4)</f>
        <v>0.755849281151693</v>
      </c>
      <c r="AX44" s="14" t="n">
        <f aca="false">AV44*AW44</f>
        <v>473000.411077291</v>
      </c>
      <c r="AY44" s="14" t="n">
        <f aca="false">AV44</f>
        <v>625786.6784719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1728024.8943011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101338.546463822</v>
      </c>
      <c r="AE45" s="14" t="n">
        <f aca="false">IF($A45&lt;=$G$7,$E$7*$F$7,IF(AA45&gt;=$B$8,AC45*$B$4*(1+$B$5)^(($G$7+$B$8+AB45*($B$8+$B$10))/4),0))</f>
        <v>405354.185855289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214056.962548837</v>
      </c>
      <c r="AM45" s="14" t="n">
        <f aca="false">IF($A45&lt;=$G$8,$E$8*$F$8,IF(AI45&gt;=$B$8,AK45*$B$4*(1+$B$5)^(($G$8+$B$8+AJ45*($B$8+$B$10))/4),0))</f>
        <v>856227.850195349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665730.509012659</v>
      </c>
      <c r="AQ45" s="14" t="n">
        <f aca="false">G45+O45+W45+AE45+AM45</f>
        <v>4390946.93035173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625786.6784719</v>
      </c>
      <c r="AU45" s="14" t="n">
        <f aca="false">0</f>
        <v>0</v>
      </c>
      <c r="AV45" s="14" t="n">
        <f aca="false">AT45-AR45-AU45</f>
        <v>625786.6784719</v>
      </c>
      <c r="AW45" s="21" t="n">
        <f aca="false">(1+$B$16)^(-$A45/4)</f>
        <v>0.741875253450614</v>
      </c>
      <c r="AX45" s="14" t="n">
        <f aca="false">AV45*AW45</f>
        <v>464255.650697359</v>
      </c>
      <c r="AY45" s="14" t="n">
        <f aca="false">AV45</f>
        <v>625786.6784719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432006.223575274</v>
      </c>
      <c r="G46" s="14" t="n">
        <f aca="false">IF($A46&lt;=$G$4,$E$4*$F$4,IF(C46&gt;=$B$8,E46*$B$4*(1+$B$5)^(($G$4+$B$8+D46*($B$8+$B$10))/4),0))</f>
        <v>1728024.8943011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101338.546463822</v>
      </c>
      <c r="AE46" s="14" t="n">
        <f aca="false">IF($A46&lt;=$G$7,$E$7*$F$7,IF(AA46&gt;=$B$8,AC46*$B$4*(1+$B$5)^(($G$7+$B$8+AB46*($B$8+$B$10))/4),0))</f>
        <v>405354.185855289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214056.962548837</v>
      </c>
      <c r="AM46" s="14" t="n">
        <f aca="false">IF($A46&lt;=$G$8,$E$8*$F$8,IF(AI46&gt;=$B$8,AK46*$B$4*(1+$B$5)^(($G$8+$B$8+AJ46*($B$8+$B$10))/4),0))</f>
        <v>856227.850195349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861361.732587933</v>
      </c>
      <c r="AQ46" s="14" t="n">
        <f aca="false">G46+O46+W46+AE46+AM46</f>
        <v>3445446.93035173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767055.028632657</v>
      </c>
      <c r="AU46" s="14" t="n">
        <f aca="false">0</f>
        <v>0</v>
      </c>
      <c r="AV46" s="14" t="n">
        <f aca="false">AT46-AR46-AU46</f>
        <v>-670109.354961092</v>
      </c>
      <c r="AW46" s="21" t="n">
        <f aca="false">(1+$B$16)^(-$A46/4)</f>
        <v>0.728159575469592</v>
      </c>
      <c r="AX46" s="14" t="n">
        <f aca="false">AV46*AW46</f>
        <v>-487946.543426671</v>
      </c>
      <c r="AY46" s="14" t="n">
        <f aca="false">AV46</f>
        <v>-670109.354961092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432006.223575274</v>
      </c>
      <c r="G47" s="14" t="n">
        <f aca="false">IF($A47&lt;=$G$4,$E$4*$F$4,IF(C47&gt;=$B$8,E47*$B$4*(1+$B$5)^(($G$4+$B$8+D47*($B$8+$B$10))/4),0))</f>
        <v>1728024.8943011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101338.546463822</v>
      </c>
      <c r="AE47" s="14" t="n">
        <f aca="false">IF($A47&lt;=$G$7,$E$7*$F$7,IF(AA47&gt;=$B$8,AC47*$B$4*(1+$B$5)^(($G$7+$B$8+AB47*($B$8+$B$10))/4),0))</f>
        <v>405354.185855289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214056.962548837</v>
      </c>
      <c r="AM47" s="14" t="n">
        <f aca="false">IF($A47&lt;=$G$8,$E$8*$F$8,IF(AI47&gt;=$B$8,AK47*$B$4*(1+$B$5)^(($G$8+$B$8+AJ47*($B$8+$B$10))/4),0))</f>
        <v>856227.850195349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861361.732587933</v>
      </c>
      <c r="AQ47" s="14" t="n">
        <f aca="false">G47+O47+W47+AE47+AM47</f>
        <v>3445446.93035173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767055.028632657</v>
      </c>
      <c r="AU47" s="14" t="n">
        <f aca="false">0</f>
        <v>0</v>
      </c>
      <c r="AV47" s="14" t="n">
        <f aca="false">AT47-AR47-AU47</f>
        <v>767055.028632657</v>
      </c>
      <c r="AW47" s="21" t="n">
        <f aca="false">(1+$B$16)^(-$A47/4)</f>
        <v>0.714697470877902</v>
      </c>
      <c r="AX47" s="14" t="n">
        <f aca="false">AV47*AW47</f>
        <v>548212.288987937</v>
      </c>
      <c r="AY47" s="14" t="n">
        <f aca="false">AV47</f>
        <v>767055.028632657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432006.223575274</v>
      </c>
      <c r="G48" s="14" t="n">
        <f aca="false">IF($A48&lt;=$G$4,$E$4*$F$4,IF(C48&gt;=$B$8,E48*$B$4*(1+$B$5)^(($G$4+$B$8+D48*($B$8+$B$10))/4),0))</f>
        <v>1728024.8943011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101338.546463822</v>
      </c>
      <c r="AE48" s="14" t="n">
        <f aca="false">IF($A48&lt;=$G$7,$E$7*$F$7,IF(AA48&gt;=$B$8,AC48*$B$4*(1+$B$5)^(($G$7+$B$8+AB48*($B$8+$B$10))/4),0))</f>
        <v>405354.185855289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214056.962548837</v>
      </c>
      <c r="AM48" s="14" t="n">
        <f aca="false">IF($A48&lt;=$G$8,$E$8*$F$8,IF(AI48&gt;=$B$8,AK48*$B$4*(1+$B$5)^(($G$8+$B$8+AJ48*($B$8+$B$10))/4),0))</f>
        <v>856227.850195349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861361.732587933</v>
      </c>
      <c r="AQ48" s="14" t="n">
        <f aca="false">G48+O48+W48+AE48+AM48</f>
        <v>3445446.93035173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767055.028632657</v>
      </c>
      <c r="AU48" s="14" t="n">
        <f aca="false">0</f>
        <v>0</v>
      </c>
      <c r="AV48" s="14" t="n">
        <f aca="false">AT48-AR48-AU48</f>
        <v>767055.028632657</v>
      </c>
      <c r="AW48" s="21" t="n">
        <f aca="false">(1+$B$16)^(-$A48/4)</f>
        <v>0.701484251648903</v>
      </c>
      <c r="AX48" s="14" t="n">
        <f aca="false">AV48*AW48</f>
        <v>538077.022733907</v>
      </c>
      <c r="AY48" s="14" t="n">
        <f aca="false">AV48</f>
        <v>767055.028632657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432006.223575274</v>
      </c>
      <c r="G49" s="14" t="n">
        <f aca="false">IF($A49&lt;=$G$4,$E$4*$F$4,IF(C49&gt;=$B$8,E49*$B$4*(1+$B$5)^(($G$4+$B$8+D49*($B$8+$B$10))/4),0))</f>
        <v>1728024.8943011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1304251.85037258</v>
      </c>
      <c r="P49" s="14" t="n">
        <f aca="false">IF($A49&lt;=$G$5,0,IF(K49=0,M49*$B$6*(1+$B$7)^(($G$5+L49*($B$8+$B$10))/4),0)+IF(K49=$B$8,$B$11*$B$4*(1+$B$5)^(($G$5+$B$8+L49*($B$8+$B$10))/4)*M49,0))</f>
        <v>156510.22204471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101338.546463822</v>
      </c>
      <c r="AE49" s="14" t="n">
        <f aca="false">IF($A49&lt;=$G$7,$E$7*$F$7,IF(AA49&gt;=$B$8,AC49*$B$4*(1+$B$5)^(($G$7+$B$8+AB49*($B$8+$B$10))/4),0))</f>
        <v>405354.185855289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214056.962548837</v>
      </c>
      <c r="AM49" s="14" t="n">
        <f aca="false">IF($A49&lt;=$G$8,$E$8*$F$8,IF(AI49&gt;=$B$8,AK49*$B$4*(1+$B$5)^(($G$8+$B$8+AJ49*($B$8+$B$10))/4),0))</f>
        <v>856227.850195349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861361.732587933</v>
      </c>
      <c r="AQ49" s="14" t="n">
        <f aca="false">G49+O49+W49+AE49+AM49</f>
        <v>4749698.78072431</v>
      </c>
      <c r="AR49" s="14" t="n">
        <f aca="false">H49+P49+X49+AF49+AN49+IF($A49=$B$15,$B$14,0)</f>
        <v>156510.22204471</v>
      </c>
      <c r="AS49" s="21" t="n">
        <f aca="false">I49+Q49+Y49+AG49+AO49</f>
        <v>0</v>
      </c>
      <c r="AT49" s="14" t="n">
        <f aca="false">AP49*(1-$B$12)-AS49*$B$13/4</f>
        <v>809680.028632657</v>
      </c>
      <c r="AU49" s="14" t="n">
        <f aca="false">0</f>
        <v>0</v>
      </c>
      <c r="AV49" s="14" t="n">
        <f aca="false">AT49-AR49-AU49</f>
        <v>653169.806587948</v>
      </c>
      <c r="AW49" s="21" t="n">
        <f aca="false">(1+$B$16)^(-$A49/4)</f>
        <v>0.688515316427484</v>
      </c>
      <c r="AX49" s="14" t="n">
        <f aca="false">AV49*AW49</f>
        <v>449717.416063779</v>
      </c>
      <c r="AY49" s="14" t="n">
        <f aca="false">AV49</f>
        <v>653169.806587948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432006.223575274</v>
      </c>
      <c r="G50" s="14" t="n">
        <f aca="false">IF($A50&lt;=$G$4,$E$4*$F$4,IF(C50&gt;=$B$8,E50*$B$4*(1+$B$5)^(($G$4+$B$8+D50*($B$8+$B$10))/4),0))</f>
        <v>1728024.8943011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1304251.85037258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101338.546463822</v>
      </c>
      <c r="AE50" s="14" t="n">
        <f aca="false">IF($A50&lt;=$G$7,$E$7*$F$7,IF(AA50&gt;=$B$8,AC50*$B$4*(1+$B$5)^(($G$7+$B$8+AB50*($B$8+$B$10))/4),0))</f>
        <v>405354.185855289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214056.962548837</v>
      </c>
      <c r="AM50" s="14" t="n">
        <f aca="false">IF($A50&lt;=$G$8,$E$8*$F$8,IF(AI50&gt;=$B$8,AK50*$B$4*(1+$B$5)^(($G$8+$B$8+AJ50*($B$8+$B$10))/4),0))</f>
        <v>856227.850195349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861361.732587933</v>
      </c>
      <c r="AQ50" s="14" t="n">
        <f aca="false">G50+O50+W50+AE50+AM50</f>
        <v>4749698.78072431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809680.028632657</v>
      </c>
      <c r="AU50" s="14" t="n">
        <f aca="false">0</f>
        <v>0</v>
      </c>
      <c r="AV50" s="14" t="n">
        <f aca="false">AT50-AR50-AU50</f>
        <v>809680.028632657</v>
      </c>
      <c r="AW50" s="21" t="n">
        <f aca="false">(1+$B$16)^(-$A50/4)</f>
        <v>0.675786148927696</v>
      </c>
      <c r="AX50" s="14" t="n">
        <f aca="false">AV50*AW50</f>
        <v>547170.54841333</v>
      </c>
      <c r="AY50" s="14" t="n">
        <f aca="false">AV50</f>
        <v>809680.028632657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432006.223575274</v>
      </c>
      <c r="G51" s="14" t="n">
        <f aca="false">IF($A51&lt;=$G$4,$E$4*$F$4,IF(C51&gt;=$B$8,E51*$B$4*(1+$B$5)^(($G$4+$B$8+D51*($B$8+$B$10))/4),0))</f>
        <v>1728024.8943011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1304251.85037258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101338.546463822</v>
      </c>
      <c r="AE51" s="14" t="n">
        <f aca="false">IF($A51&lt;=$G$7,$E$7*$F$7,IF(AA51&gt;=$B$8,AC51*$B$4*(1+$B$5)^(($G$7+$B$8+AB51*($B$8+$B$10))/4),0))</f>
        <v>405354.185855289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214056.962548837</v>
      </c>
      <c r="AM51" s="14" t="n">
        <f aca="false">IF($A51&lt;=$G$8,$E$8*$F$8,IF(AI51&gt;=$B$8,AK51*$B$4*(1+$B$5)^(($G$8+$B$8+AJ51*($B$8+$B$10))/4),0))</f>
        <v>856227.850195349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861361.732587933</v>
      </c>
      <c r="AQ51" s="14" t="n">
        <f aca="false">G51+O51+W51+AE51+AM51</f>
        <v>4749698.78072431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809680.028632657</v>
      </c>
      <c r="AU51" s="14" t="n">
        <f aca="false">0</f>
        <v>0</v>
      </c>
      <c r="AV51" s="14" t="n">
        <f aca="false">AT51-AR51-AU51</f>
        <v>809680.028632657</v>
      </c>
      <c r="AW51" s="21" t="n">
        <f aca="false">(1+$B$16)^(-$A51/4)</f>
        <v>0.663292316360002</v>
      </c>
      <c r="AX51" s="14" t="n">
        <f aca="false">AV51*AW51</f>
        <v>537054.541702188</v>
      </c>
      <c r="AY51" s="14" t="n">
        <f aca="false">AV51</f>
        <v>809680.028632657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432006.223575274</v>
      </c>
      <c r="G52" s="14" t="n">
        <f aca="false">IF($A52&lt;=$G$4,$E$4*$F$4,IF(C52&gt;=$B$8,E52*$B$4*(1+$B$5)^(($G$4+$B$8+D52*($B$8+$B$10))/4),0))</f>
        <v>1728024.8943011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326062.962593145</v>
      </c>
      <c r="O52" s="14" t="n">
        <f aca="false">IF($A52&lt;=$G$5,$E$5*$F$5,IF(K52&gt;=$B$8,M52*$B$4*(1+$B$5)^(($G$5+$B$8+L52*($B$8+$B$10))/4),0))</f>
        <v>1304251.85037258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101338.546463822</v>
      </c>
      <c r="AE52" s="14" t="n">
        <f aca="false">IF($A52&lt;=$G$7,$E$7*$F$7,IF(AA52&gt;=$B$8,AC52*$B$4*(1+$B$5)^(($G$7+$B$8+AB52*($B$8+$B$10))/4),0))</f>
        <v>405354.185855289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214056.962548837</v>
      </c>
      <c r="AM52" s="14" t="n">
        <f aca="false">IF($A52&lt;=$G$8,$E$8*$F$8,IF(AI52&gt;=$B$8,AK52*$B$4*(1+$B$5)^(($G$8+$B$8+AJ52*($B$8+$B$10))/4),0))</f>
        <v>856227.850195349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1187424.69518108</v>
      </c>
      <c r="AQ52" s="14" t="n">
        <f aca="false">G52+O52+W52+AE52+AM52</f>
        <v>4749698.78072431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1116179.21347021</v>
      </c>
      <c r="AU52" s="14" t="n">
        <f aca="false">0</f>
        <v>0</v>
      </c>
      <c r="AV52" s="14" t="n">
        <f aca="false">AT52-AR52-AU52</f>
        <v>1116179.21347021</v>
      </c>
      <c r="AW52" s="21" t="n">
        <f aca="false">(1+$B$16)^(-$A52/4)</f>
        <v>0.651029467887613</v>
      </c>
      <c r="AX52" s="14" t="n">
        <f aca="false">AV52*AW52</f>
        <v>726665.559412728</v>
      </c>
      <c r="AY52" s="14" t="n">
        <f aca="false">AV52</f>
        <v>1116179.21347021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432006.223575274</v>
      </c>
      <c r="G53" s="14" t="n">
        <f aca="false">IF($A53&lt;=$G$4,$E$4*$F$4,IF(C53&gt;=$B$8,E53*$B$4*(1+$B$5)^(($G$4+$B$8+D53*($B$8+$B$10))/4),0))</f>
        <v>1728024.8943011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326062.962593145</v>
      </c>
      <c r="O53" s="14" t="n">
        <f aca="false">IF($A53&lt;=$G$5,$E$5*$F$5,IF(K53&gt;=$B$8,M53*$B$4*(1+$B$5)^(($G$5+$B$8+L53*($B$8+$B$10))/4),0))</f>
        <v>1304251.85037258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101338.546463822</v>
      </c>
      <c r="AE53" s="14" t="n">
        <f aca="false">IF($A53&lt;=$G$7,$E$7*$F$7,IF(AA53&gt;=$B$8,AC53*$B$4*(1+$B$5)^(($G$7+$B$8+AB53*($B$8+$B$10))/4),0))</f>
        <v>405354.185855289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973367.732632241</v>
      </c>
      <c r="AQ53" s="14" t="n">
        <f aca="false">G53+O53+W53+AE53+AM53</f>
        <v>3893470.93052896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885265.668674307</v>
      </c>
      <c r="AU53" s="14" t="n">
        <f aca="false">0</f>
        <v>0</v>
      </c>
      <c r="AV53" s="14" t="n">
        <f aca="false">AT53-AR53-AU53</f>
        <v>-160333.592147516</v>
      </c>
      <c r="AW53" s="21" t="n">
        <f aca="false">(1+$B$16)^(-$A53/4)</f>
        <v>0.638993333111354</v>
      </c>
      <c r="AX53" s="14" t="n">
        <f aca="false">AV53*AW53</f>
        <v>-102452.096456057</v>
      </c>
      <c r="AY53" s="14" t="n">
        <f aca="false">AV53</f>
        <v>-160333.592147516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432006.223575274</v>
      </c>
      <c r="G54" s="14" t="n">
        <f aca="false">IF($A54&lt;=$G$4,$E$4*$F$4,IF(C54&gt;=$B$8,E54*$B$4*(1+$B$5)^(($G$4+$B$8+D54*($B$8+$B$10))/4),0))</f>
        <v>1728024.8943011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326062.962593145</v>
      </c>
      <c r="O54" s="14" t="n">
        <f aca="false">IF($A54&lt;=$G$5,$E$5*$F$5,IF(K54&gt;=$B$8,M54*$B$4*(1+$B$5)^(($G$5+$B$8+L54*($B$8+$B$10))/4),0))</f>
        <v>1304251.85037258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101338.546463822</v>
      </c>
      <c r="AE54" s="14" t="n">
        <f aca="false">IF($A54&lt;=$G$7,$E$7*$F$7,IF(AA54&gt;=$B$8,AC54*$B$4*(1+$B$5)^(($G$7+$B$8+AB54*($B$8+$B$10))/4),0))</f>
        <v>405354.185855289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973367.732632241</v>
      </c>
      <c r="AQ54" s="14" t="n">
        <f aca="false">G54+O54+W54+AE54+AM54</f>
        <v>3893470.93052896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885265.668674307</v>
      </c>
      <c r="AU54" s="14" t="n">
        <f aca="false">0</f>
        <v>0</v>
      </c>
      <c r="AV54" s="14" t="n">
        <f aca="false">AT54-AR54-AU54</f>
        <v>885265.668674307</v>
      </c>
      <c r="AW54" s="21" t="n">
        <f aca="false">(1+$B$16)^(-$A54/4)</f>
        <v>0.627179720582548</v>
      </c>
      <c r="AX54" s="14" t="n">
        <f aca="false">AV54*AW54</f>
        <v>555220.674720474</v>
      </c>
      <c r="AY54" s="14" t="n">
        <f aca="false">AV54</f>
        <v>885265.668674307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432006.223575274</v>
      </c>
      <c r="G55" s="14" t="n">
        <f aca="false">IF($A55&lt;=$G$4,$E$4*$F$4,IF(C55&gt;=$B$8,E55*$B$4*(1+$B$5)^(($G$4+$B$8+D55*($B$8+$B$10))/4),0))</f>
        <v>1728024.8943011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326062.962593145</v>
      </c>
      <c r="O55" s="14" t="n">
        <f aca="false">IF($A55&lt;=$G$5,$E$5*$F$5,IF(K55&gt;=$B$8,M55*$B$4*(1+$B$5)^(($G$5+$B$8+L55*($B$8+$B$10))/4),0))</f>
        <v>1304251.85037258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101338.546463822</v>
      </c>
      <c r="AE55" s="14" t="n">
        <f aca="false">IF($A55&lt;=$G$7,$E$7*$F$7,IF(AA55&gt;=$B$8,AC55*$B$4*(1+$B$5)^(($G$7+$B$8+AB55*($B$8+$B$10))/4),0))</f>
        <v>405354.185855289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973367.732632241</v>
      </c>
      <c r="AQ55" s="14" t="n">
        <f aca="false">G55+O55+W55+AE55+AM55</f>
        <v>3893470.93052896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885265.668674307</v>
      </c>
      <c r="AU55" s="14" t="n">
        <f aca="false">0</f>
        <v>0</v>
      </c>
      <c r="AV55" s="14" t="n">
        <f aca="false">AT55-AR55-AU55</f>
        <v>885265.668674307</v>
      </c>
      <c r="AW55" s="21" t="n">
        <f aca="false">(1+$B$16)^(-$A55/4)</f>
        <v>0.615584516343389</v>
      </c>
      <c r="AX55" s="14" t="n">
        <f aca="false">AV55*AW55</f>
        <v>544955.83848628</v>
      </c>
      <c r="AY55" s="14" t="n">
        <f aca="false">AV55</f>
        <v>885265.668674307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432006.223575274</v>
      </c>
      <c r="G56" s="14" t="n">
        <f aca="false">IF($A56&lt;=$G$4,$E$4*$F$4,IF(C56&gt;=$B$8,E56*$B$4*(1+$B$5)^(($G$4+$B$8+D56*($B$8+$B$10))/4),0))</f>
        <v>1728024.8943011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326062.962593145</v>
      </c>
      <c r="O56" s="14" t="n">
        <f aca="false">IF($A56&lt;=$G$5,$E$5*$F$5,IF(K56&gt;=$B$8,M56*$B$4*(1+$B$5)^(($G$5+$B$8+L56*($B$8+$B$10))/4),0))</f>
        <v>1304251.85037258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101338.546463822</v>
      </c>
      <c r="AE56" s="14" t="n">
        <f aca="false">IF($A56&lt;=$G$7,$E$7*$F$7,IF(AA56&gt;=$B$8,AC56*$B$4*(1+$B$5)^(($G$7+$B$8+AB56*($B$8+$B$10))/4),0))</f>
        <v>405354.185855289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932758.236773525</v>
      </c>
      <c r="AN56" s="14" t="n">
        <f aca="false">IF($A56&lt;=$G$8,0,IF(AI56=0,AK56*$B$6*(1+$B$7)^(($G$8+AJ56*($B$8+$B$10))/4),0)+IF(AI56=$B$8,$B$11*$B$4*(1+$B$5)^(($G$8+$B$8+AJ56*($B$8+$B$10))/4)*AK56,0))</f>
        <v>111930.988412823</v>
      </c>
      <c r="AO56" s="21" t="n">
        <f aca="false">IF($A56&lt;=$G$8,0,IF(AI56&lt;$B$8,AK56,0))</f>
        <v>0</v>
      </c>
      <c r="AP56" s="14" t="n">
        <f aca="false">F56+N56+V56+AD56+AL56</f>
        <v>859407.732632241</v>
      </c>
      <c r="AQ56" s="14" t="n">
        <f aca="false">G56+O56+W56+AE56+AM56</f>
        <v>4370389.16730249</v>
      </c>
      <c r="AR56" s="14" t="n">
        <f aca="false">H56+P56+X56+AF56+AN56+IF($A56=$B$15,$B$14,0)</f>
        <v>871338.93310176</v>
      </c>
      <c r="AS56" s="21" t="n">
        <f aca="false">I56+Q56+Y56+AG56+AO56</f>
        <v>1540</v>
      </c>
      <c r="AT56" s="14" t="n">
        <f aca="false">AP56*(1-$B$12)-AS56*$B$13/4</f>
        <v>786668.268674307</v>
      </c>
      <c r="AU56" s="14" t="n">
        <f aca="false">0</f>
        <v>0</v>
      </c>
      <c r="AV56" s="14" t="n">
        <f aca="false">AT56-AR56-AU56</f>
        <v>-84670.6644274532</v>
      </c>
      <c r="AW56" s="21" t="n">
        <f aca="false">(1+$B$16)^(-$A56/4)</f>
        <v>0.604203682494304</v>
      </c>
      <c r="AX56" s="14" t="n">
        <f aca="false">AV56*AW56</f>
        <v>-51158.3272463067</v>
      </c>
      <c r="AY56" s="14" t="n">
        <f aca="false">AV56</f>
        <v>-84670.6644274532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432006.223575274</v>
      </c>
      <c r="G57" s="14" t="n">
        <f aca="false">IF($A57&lt;=$G$4,$E$4*$F$4,IF(C57&gt;=$B$8,E57*$B$4*(1+$B$5)^(($G$4+$B$8+D57*($B$8+$B$10))/4),0))</f>
        <v>1728024.8943011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326062.962593145</v>
      </c>
      <c r="O57" s="14" t="n">
        <f aca="false">IF($A57&lt;=$G$5,$E$5*$F$5,IF(K57&gt;=$B$8,M57*$B$4*(1+$B$5)^(($G$5+$B$8+L57*($B$8+$B$10))/4),0))</f>
        <v>1304251.85037258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101338.546463822</v>
      </c>
      <c r="AE57" s="14" t="n">
        <f aca="false">IF($A57&lt;=$G$7,$E$7*$F$7,IF(AA57&gt;=$B$8,AC57*$B$4*(1+$B$5)^(($G$7+$B$8+AB57*($B$8+$B$10))/4),0))</f>
        <v>405354.185855289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932758.236773525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859407.732632241</v>
      </c>
      <c r="AQ57" s="14" t="n">
        <f aca="false">G57+O57+W57+AE57+AM57</f>
        <v>4370389.16730249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786668.268674307</v>
      </c>
      <c r="AU57" s="14" t="n">
        <f aca="false">0</f>
        <v>0</v>
      </c>
      <c r="AV57" s="14" t="n">
        <f aca="false">AT57-AR57-AU57</f>
        <v>786668.268674307</v>
      </c>
      <c r="AW57" s="21" t="n">
        <f aca="false">(1+$B$16)^(-$A57/4)</f>
        <v>0.5930332557878</v>
      </c>
      <c r="AX57" s="14" t="n">
        <f aca="false">AV57*AW57</f>
        <v>466520.444596876</v>
      </c>
      <c r="AY57" s="14" t="n">
        <f aca="false">AV57</f>
        <v>786668.268674307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432006.223575274</v>
      </c>
      <c r="G58" s="14" t="n">
        <f aca="false">IF($A58&lt;=$G$4,$E$4*$F$4,IF(C58&gt;=$B$8,E58*$B$4*(1+$B$5)^(($G$4+$B$8+D58*($B$8+$B$10))/4),0))</f>
        <v>1728024.8943011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326062.962593145</v>
      </c>
      <c r="O58" s="14" t="n">
        <f aca="false">IF($A58&lt;=$G$5,$E$5*$F$5,IF(K58&gt;=$B$8,M58*$B$4*(1+$B$5)^(($G$5+$B$8+L58*($B$8+$B$10))/4),0))</f>
        <v>1304251.85037258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101338.546463822</v>
      </c>
      <c r="AE58" s="14" t="n">
        <f aca="false">IF($A58&lt;=$G$7,$E$7*$F$7,IF(AA58&gt;=$B$8,AC58*$B$4*(1+$B$5)^(($G$7+$B$8+AB58*($B$8+$B$10))/4),0))</f>
        <v>405354.185855289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932758.236773525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859407.732632241</v>
      </c>
      <c r="AQ58" s="14" t="n">
        <f aca="false">G58+O58+W58+AE58+AM58</f>
        <v>4370389.16730249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786668.268674307</v>
      </c>
      <c r="AU58" s="14" t="n">
        <f aca="false">0</f>
        <v>0</v>
      </c>
      <c r="AV58" s="14" t="n">
        <f aca="false">AT58-AR58-AU58</f>
        <v>786668.268674307</v>
      </c>
      <c r="AW58" s="21" t="n">
        <f aca="false">(1+$B$16)^(-$A58/4)</f>
        <v>0.582069346248305</v>
      </c>
      <c r="AX58" s="14" t="n">
        <f aca="false">AV58*AW58</f>
        <v>457895.484861539</v>
      </c>
      <c r="AY58" s="14" t="n">
        <f aca="false">AV58</f>
        <v>786668.268674307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432006.223575274</v>
      </c>
      <c r="G59" s="14" t="n">
        <f aca="false">IF($A59&lt;=$G$4,$E$4*$F$4,IF(C59&gt;=$B$8,E59*$B$4*(1+$B$5)^(($G$4+$B$8+D59*($B$8+$B$10))/4),0))</f>
        <v>1728024.8943011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326062.962593145</v>
      </c>
      <c r="O59" s="14" t="n">
        <f aca="false">IF($A59&lt;=$G$5,$E$5*$F$5,IF(K59&gt;=$B$8,M59*$B$4*(1+$B$5)^(($G$5+$B$8+L59*($B$8+$B$10))/4),0))</f>
        <v>1304251.85037258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672489.633707393</v>
      </c>
      <c r="X59" s="14" t="n">
        <f aca="false">IF($A59&lt;=$G$6,0,IF(S59=0,U59*$B$6*(1+$B$7)^(($G$6+T59*($B$8+$B$10))/4),0)+IF(S59=$B$8,$B$11*$B$4*(1+$B$5)^(($G$6+$B$8+T59*($B$8+$B$10))/4)*U59,0))</f>
        <v>80698.7560448872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233189.559193381</v>
      </c>
      <c r="AM59" s="14" t="n">
        <f aca="false">IF($A59&lt;=$G$8,$E$8*$F$8,IF(AI59&gt;=$B$8,AK59*$B$4*(1+$B$5)^(($G$8+$B$8+AJ59*($B$8+$B$10))/4),0))</f>
        <v>932758.236773525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991258.7453618</v>
      </c>
      <c r="AQ59" s="14" t="n">
        <f aca="false">G59+O59+W59+AE59+AM59</f>
        <v>4637524.61515459</v>
      </c>
      <c r="AR59" s="14" t="n">
        <f aca="false">H59+P59+X59+AF59+AN59+IF($A59=$B$15,$B$14,0)</f>
        <v>583038.239281541</v>
      </c>
      <c r="AS59" s="21" t="n">
        <f aca="false">I59+Q59+Y59+AG59+AO59</f>
        <v>1000</v>
      </c>
      <c r="AT59" s="14" t="n">
        <f aca="false">AP59*(1-$B$12)-AS59*$B$13/4</f>
        <v>918033.220640092</v>
      </c>
      <c r="AU59" s="14" t="n">
        <f aca="false">0</f>
        <v>0</v>
      </c>
      <c r="AV59" s="14" t="n">
        <f aca="false">AT59-AR59-AU59</f>
        <v>334994.981358551</v>
      </c>
      <c r="AW59" s="21" t="n">
        <f aca="false">(1+$B$16)^(-$A59/4)</f>
        <v>0.571308135817531</v>
      </c>
      <c r="AX59" s="14" t="n">
        <f aca="false">AV59*AW59</f>
        <v>191385.358308182</v>
      </c>
      <c r="AY59" s="14" t="n">
        <f aca="false">AV59</f>
        <v>334994.981358551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432006.223575274</v>
      </c>
      <c r="G60" s="14" t="n">
        <f aca="false">IF($A60&lt;=$G$4,$E$4*$F$4,IF(C60&gt;=$B$8,E60*$B$4*(1+$B$5)^(($G$4+$B$8+D60*($B$8+$B$10))/4),0))</f>
        <v>1728024.8943011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326062.962593145</v>
      </c>
      <c r="O60" s="14" t="n">
        <f aca="false">IF($A60&lt;=$G$5,$E$5*$F$5,IF(K60&gt;=$B$8,M60*$B$4*(1+$B$5)^(($G$5+$B$8+L60*($B$8+$B$10))/4),0))</f>
        <v>1304251.85037258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672489.633707393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233189.559193381</v>
      </c>
      <c r="AM60" s="14" t="n">
        <f aca="false">IF($A60&lt;=$G$8,$E$8*$F$8,IF(AI60&gt;=$B$8,AK60*$B$4*(1+$B$5)^(($G$8+$B$8+AJ60*($B$8+$B$10))/4),0))</f>
        <v>932758.236773525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991258.7453618</v>
      </c>
      <c r="AQ60" s="14" t="n">
        <f aca="false">G60+O60+W60+AE60+AM60</f>
        <v>4637524.61515459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918033.220640092</v>
      </c>
      <c r="AU60" s="14" t="n">
        <f aca="false">0</f>
        <v>0</v>
      </c>
      <c r="AV60" s="14" t="n">
        <f aca="false">AT60-AR60-AU60</f>
        <v>918033.220640092</v>
      </c>
      <c r="AW60" s="21" t="n">
        <f aca="false">(1+$B$16)^(-$A60/4)</f>
        <v>0.560745877024877</v>
      </c>
      <c r="AX60" s="14" t="n">
        <f aca="false">AV60*AW60</f>
        <v>514783.343445801</v>
      </c>
      <c r="AY60" s="14" t="n">
        <f aca="false">AV60</f>
        <v>918033.220640092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432006.223575274</v>
      </c>
      <c r="G61" s="14" t="n">
        <f aca="false">IF($A61&lt;=$G$4,$E$4*$F$4,IF(C61&gt;=$B$8,E61*$B$4*(1+$B$5)^(($G$4+$B$8+D61*($B$8+$B$10))/4),0))</f>
        <v>1728024.8943011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326062.962593145</v>
      </c>
      <c r="O61" s="14" t="n">
        <f aca="false">IF($A61&lt;=$G$5,$E$5*$F$5,IF(K61&gt;=$B$8,M61*$B$4*(1+$B$5)^(($G$5+$B$8+L61*($B$8+$B$10))/4),0))</f>
        <v>1304251.85037258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672489.633707393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233189.559193381</v>
      </c>
      <c r="AM61" s="14" t="n">
        <f aca="false">IF($A61&lt;=$G$8,$E$8*$F$8,IF(AI61&gt;=$B$8,AK61*$B$4*(1+$B$5)^(($G$8+$B$8+AJ61*($B$8+$B$10))/4),0))</f>
        <v>932758.236773525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991258.7453618</v>
      </c>
      <c r="AQ61" s="14" t="n">
        <f aca="false">G61+O61+W61+AE61+AM61</f>
        <v>4637524.61515459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918033.220640092</v>
      </c>
      <c r="AU61" s="14" t="n">
        <f aca="false">0</f>
        <v>0</v>
      </c>
      <c r="AV61" s="14" t="n">
        <f aca="false">AT61-AR61-AU61</f>
        <v>918033.220640092</v>
      </c>
      <c r="AW61" s="21" t="n">
        <f aca="false">(1+$B$16)^(-$A61/4)</f>
        <v>0.550378891682413</v>
      </c>
      <c r="AX61" s="14" t="n">
        <f aca="false">AV61*AW61</f>
        <v>505266.10650353</v>
      </c>
      <c r="AY61" s="14" t="n">
        <f aca="false">AV61</f>
        <v>918033.220640092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432006.223575274</v>
      </c>
      <c r="G62" s="14" t="n">
        <f aca="false">IF($A62&lt;=$G$4,$E$4*$F$4,IF(C62&gt;=$B$8,E62*$B$4*(1+$B$5)^(($G$4+$B$8+D62*($B$8+$B$10))/4),0))</f>
        <v>1728024.8943011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326062.962593145</v>
      </c>
      <c r="O62" s="14" t="n">
        <f aca="false">IF($A62&lt;=$G$5,$E$5*$F$5,IF(K62&gt;=$B$8,M62*$B$4*(1+$B$5)^(($G$5+$B$8+L62*($B$8+$B$10))/4),0))</f>
        <v>1304251.85037258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168122.408426848</v>
      </c>
      <c r="W62" s="14" t="n">
        <f aca="false">IF($A62&lt;=$G$6,$E$6*$F$6,IF(S62&gt;=$B$8,U62*$B$4*(1+$B$5)^(($G$6+$B$8+T62*($B$8+$B$10))/4),0))</f>
        <v>672489.633707393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441585.09394536</v>
      </c>
      <c r="AF62" s="14" t="n">
        <f aca="false">IF($A62&lt;=$G$7,0,IF(AA62=0,AC62*$B$6*(1+$B$7)^(($G$7+AB62*($B$8+$B$10))/4),0)+IF(AA62=$B$8,$B$11*$B$4*(1+$B$5)^(($G$7+$B$8+AB62*($B$8+$B$10))/4)*AC62,0))</f>
        <v>52990.2112734432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233189.559193381</v>
      </c>
      <c r="AM62" s="14" t="n">
        <f aca="false">IF($A62&lt;=$G$8,$E$8*$F$8,IF(AI62&gt;=$B$8,AK62*$B$4*(1+$B$5)^(($G$8+$B$8+AJ62*($B$8+$B$10))/4),0))</f>
        <v>932758.236773525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1159381.15378865</v>
      </c>
      <c r="AQ62" s="14" t="n">
        <f aca="false">G62+O62+W62+AE62+AM62</f>
        <v>5079109.70909995</v>
      </c>
      <c r="AR62" s="14" t="n">
        <f aca="false">H62+P62+X62+AF62+AN62+IF($A62=$B$15,$B$14,0)</f>
        <v>52990.2112734432</v>
      </c>
      <c r="AS62" s="21" t="n">
        <f aca="false">I62+Q62+Y62+AG62+AO62</f>
        <v>0</v>
      </c>
      <c r="AT62" s="14" t="n">
        <f aca="false">AP62*(1-$B$12)-AS62*$B$13/4</f>
        <v>1089818.28456133</v>
      </c>
      <c r="AU62" s="14" t="n">
        <f aca="false">0</f>
        <v>0</v>
      </c>
      <c r="AV62" s="14" t="n">
        <f aca="false">AT62-AR62-AU62</f>
        <v>1036828.07328789</v>
      </c>
      <c r="AW62" s="21" t="n">
        <f aca="false">(1+$B$16)^(-$A62/4)</f>
        <v>0.540203569603995</v>
      </c>
      <c r="AX62" s="14" t="n">
        <f aca="false">AV62*AW62</f>
        <v>560098.226255749</v>
      </c>
      <c r="AY62" s="14" t="n">
        <f aca="false">AV62</f>
        <v>1036828.07328789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326062.962593145</v>
      </c>
      <c r="O63" s="14" t="n">
        <f aca="false">IF($A63&lt;=$G$5,$E$5*$F$5,IF(K63&gt;=$B$8,M63*$B$4*(1+$B$5)^(($G$5+$B$8+L63*($B$8+$B$10))/4),0))</f>
        <v>1304251.85037258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168122.408426848</v>
      </c>
      <c r="W63" s="14" t="n">
        <f aca="false">IF($A63&lt;=$G$6,$E$6*$F$6,IF(S63&gt;=$B$8,U63*$B$4*(1+$B$5)^(($G$6+$B$8+T63*($B$8+$B$10))/4),0))</f>
        <v>672489.633707393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441585.09394536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233189.559193381</v>
      </c>
      <c r="AM63" s="14" t="n">
        <f aca="false">IF($A63&lt;=$G$8,$E$8*$F$8,IF(AI63&gt;=$B$8,AK63*$B$4*(1+$B$5)^(($G$8+$B$8+AJ63*($B$8+$B$10))/4),0))</f>
        <v>932758.236773525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727374.930213375</v>
      </c>
      <c r="AQ63" s="14" t="n">
        <f aca="false">G63+O63+W63+AE63+AM63</f>
        <v>3351084.81479886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625982.434400572</v>
      </c>
      <c r="AU63" s="14" t="n">
        <f aca="false">0</f>
        <v>0</v>
      </c>
      <c r="AV63" s="14" t="n">
        <f aca="false">AT63-AR63-AU63</f>
        <v>-1536589.04093322</v>
      </c>
      <c r="AW63" s="21" t="n">
        <f aca="false">(1+$B$16)^(-$A63/4)</f>
        <v>0.530216367348056</v>
      </c>
      <c r="AX63" s="14" t="n">
        <f aca="false">AV63*AW63</f>
        <v>-814724.659390448</v>
      </c>
      <c r="AY63" s="14" t="n">
        <f aca="false">AV63</f>
        <v>-1536589.04093322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326062.962593145</v>
      </c>
      <c r="O64" s="14" t="n">
        <f aca="false">IF($A64&lt;=$G$5,$E$5*$F$5,IF(K64&gt;=$B$8,M64*$B$4*(1+$B$5)^(($G$5+$B$8+L64*($B$8+$B$10))/4),0))</f>
        <v>1304251.85037258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168122.408426848</v>
      </c>
      <c r="W64" s="14" t="n">
        <f aca="false">IF($A64&lt;=$G$6,$E$6*$F$6,IF(S64&gt;=$B$8,U64*$B$4*(1+$B$5)^(($G$6+$B$8+T64*($B$8+$B$10))/4),0))</f>
        <v>672489.633707393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441585.09394536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233189.559193381</v>
      </c>
      <c r="AM64" s="14" t="n">
        <f aca="false">IF($A64&lt;=$G$8,$E$8*$F$8,IF(AI64&gt;=$B$8,AK64*$B$4*(1+$B$5)^(($G$8+$B$8+AJ64*($B$8+$B$10))/4),0))</f>
        <v>932758.236773525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727374.930213375</v>
      </c>
      <c r="AQ64" s="14" t="n">
        <f aca="false">G64+O64+W64+AE64+AM64</f>
        <v>3351084.81479886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625982.434400572</v>
      </c>
      <c r="AU64" s="14" t="n">
        <f aca="false">0</f>
        <v>0</v>
      </c>
      <c r="AV64" s="14" t="n">
        <f aca="false">AT64-AR64-AU64</f>
        <v>625982.434400572</v>
      </c>
      <c r="AW64" s="21" t="n">
        <f aca="false">(1+$B$16)^(-$A64/4)</f>
        <v>0.520413806983644</v>
      </c>
      <c r="AX64" s="14" t="n">
        <f aca="false">AV64*AW64</f>
        <v>325769.901791291</v>
      </c>
      <c r="AY64" s="14" t="n">
        <f aca="false">AV64</f>
        <v>625982.434400572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326062.962593145</v>
      </c>
      <c r="O65" s="14" t="n">
        <f aca="false">IF($A65&lt;=$G$5,$E$5*$F$5,IF(K65&gt;=$B$8,M65*$B$4*(1+$B$5)^(($G$5+$B$8+L65*($B$8+$B$10))/4),0))</f>
        <v>1304251.85037258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168122.408426848</v>
      </c>
      <c r="W65" s="14" t="n">
        <f aca="false">IF($A65&lt;=$G$6,$E$6*$F$6,IF(S65&gt;=$B$8,U65*$B$4*(1+$B$5)^(($G$6+$B$8+T65*($B$8+$B$10))/4),0))</f>
        <v>672489.633707393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110396.27348634</v>
      </c>
      <c r="AE65" s="14" t="n">
        <f aca="false">IF($A65&lt;=$G$7,$E$7*$F$7,IF(AA65&gt;=$B$8,AC65*$B$4*(1+$B$5)^(($G$7+$B$8+AB65*($B$8+$B$10))/4),0))</f>
        <v>441585.09394536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233189.559193381</v>
      </c>
      <c r="AM65" s="14" t="n">
        <f aca="false">IF($A65&lt;=$G$8,$E$8*$F$8,IF(AI65&gt;=$B$8,AK65*$B$4*(1+$B$5)^(($G$8+$B$8+AJ65*($B$8+$B$10))/4),0))</f>
        <v>932758.236773525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837771.203699715</v>
      </c>
      <c r="AQ65" s="14" t="n">
        <f aca="false">G65+O65+W65+AE65+AM65</f>
        <v>3351084.81479886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729754.931477732</v>
      </c>
      <c r="AU65" s="14" t="n">
        <f aca="false">0</f>
        <v>0</v>
      </c>
      <c r="AV65" s="14" t="n">
        <f aca="false">AT65-AR65-AU65</f>
        <v>729754.931477732</v>
      </c>
      <c r="AW65" s="21" t="n">
        <f aca="false">(1+$B$16)^(-$A65/4)</f>
        <v>0.51079247487927</v>
      </c>
      <c r="AX65" s="14" t="n">
        <f aca="false">AV65*AW65</f>
        <v>372753.327504862</v>
      </c>
      <c r="AY65" s="14" t="n">
        <f aca="false">AV65</f>
        <v>729754.931477732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1882477.25548907</v>
      </c>
      <c r="H66" s="14" t="n">
        <f aca="false">IF($A66&lt;=$G$4,0,IF(C66=0,E66*$B$6*(1+$B$7)^(($G$4+D66*($B$8+$B$10))/4),0)+IF(C66=$B$8,$B$11*$B$4*(1+$B$5)^(($G$4+$B$8+D66*($B$8+$B$10))/4)*E66,0))</f>
        <v>225897.270658688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326062.962593145</v>
      </c>
      <c r="O66" s="14" t="n">
        <f aca="false">IF($A66&lt;=$G$5,$E$5*$F$5,IF(K66&gt;=$B$8,M66*$B$4*(1+$B$5)^(($G$5+$B$8+L66*($B$8+$B$10))/4),0))</f>
        <v>1304251.85037258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168122.408426848</v>
      </c>
      <c r="W66" s="14" t="n">
        <f aca="false">IF($A66&lt;=$G$6,$E$6*$F$6,IF(S66&gt;=$B$8,U66*$B$4*(1+$B$5)^(($G$6+$B$8+T66*($B$8+$B$10))/4),0))</f>
        <v>672489.633707393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110396.27348634</v>
      </c>
      <c r="AE66" s="14" t="n">
        <f aca="false">IF($A66&lt;=$G$7,$E$7*$F$7,IF(AA66&gt;=$B$8,AC66*$B$4*(1+$B$5)^(($G$7+$B$8+AB66*($B$8+$B$10))/4),0))</f>
        <v>441585.09394536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233189.559193381</v>
      </c>
      <c r="AM66" s="14" t="n">
        <f aca="false">IF($A66&lt;=$G$8,$E$8*$F$8,IF(AI66&gt;=$B$8,AK66*$B$4*(1+$B$5)^(($G$8+$B$8+AJ66*($B$8+$B$10))/4),0))</f>
        <v>932758.236773525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837771.203699715</v>
      </c>
      <c r="AQ66" s="14" t="n">
        <f aca="false">G66+O66+W66+AE66+AM66</f>
        <v>5233562.07028793</v>
      </c>
      <c r="AR66" s="14" t="n">
        <f aca="false">H66+P66+X66+AF66+AN66+IF($A66=$B$15,$B$14,0)</f>
        <v>225897.270658688</v>
      </c>
      <c r="AS66" s="21" t="n">
        <f aca="false">I66+Q66+Y66+AG66+AO66</f>
        <v>0</v>
      </c>
      <c r="AT66" s="14" t="n">
        <f aca="false">AP66*(1-$B$12)-AS66*$B$13/4</f>
        <v>787504.931477732</v>
      </c>
      <c r="AU66" s="14" t="n">
        <f aca="false">0</f>
        <v>0</v>
      </c>
      <c r="AV66" s="14" t="n">
        <f aca="false">AT66-AR66-AU66</f>
        <v>561607.660819043</v>
      </c>
      <c r="AW66" s="21" t="n">
        <f aca="false">(1+$B$16)^(-$A66/4)</f>
        <v>0.501349020514149</v>
      </c>
      <c r="AX66" s="14" t="n">
        <f aca="false">AV66*AW66</f>
        <v>281561.45066487</v>
      </c>
      <c r="AY66" s="14" t="n">
        <f aca="false">AV66</f>
        <v>561607.660819043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1882477.25548907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326062.962593145</v>
      </c>
      <c r="O67" s="14" t="n">
        <f aca="false">IF($A67&lt;=$G$5,$E$5*$F$5,IF(K67&gt;=$B$8,M67*$B$4*(1+$B$5)^(($G$5+$B$8+L67*($B$8+$B$10))/4),0))</f>
        <v>1304251.85037258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168122.408426848</v>
      </c>
      <c r="W67" s="14" t="n">
        <f aca="false">IF($A67&lt;=$G$6,$E$6*$F$6,IF(S67&gt;=$B$8,U67*$B$4*(1+$B$5)^(($G$6+$B$8+T67*($B$8+$B$10))/4),0))</f>
        <v>672489.633707393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110396.27348634</v>
      </c>
      <c r="AE67" s="14" t="n">
        <f aca="false">IF($A67&lt;=$G$7,$E$7*$F$7,IF(AA67&gt;=$B$8,AC67*$B$4*(1+$B$5)^(($G$7+$B$8+AB67*($B$8+$B$10))/4),0))</f>
        <v>441585.09394536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233189.559193381</v>
      </c>
      <c r="AM67" s="14" t="n">
        <f aca="false">IF($A67&lt;=$G$8,$E$8*$F$8,IF(AI67&gt;=$B$8,AK67*$B$4*(1+$B$5)^(($G$8+$B$8+AJ67*($B$8+$B$10))/4),0))</f>
        <v>932758.236773525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837771.203699715</v>
      </c>
      <c r="AQ67" s="14" t="n">
        <f aca="false">G67+O67+W67+AE67+AM67</f>
        <v>5233562.07028793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787504.931477732</v>
      </c>
      <c r="AU67" s="14" t="n">
        <f aca="false">0</f>
        <v>0</v>
      </c>
      <c r="AV67" s="14" t="n">
        <f aca="false">AT67-AR67-AU67</f>
        <v>787504.931477732</v>
      </c>
      <c r="AW67" s="21" t="n">
        <f aca="false">(1+$B$16)^(-$A67/4)</f>
        <v>0.492080155311421</v>
      </c>
      <c r="AX67" s="14" t="n">
        <f aca="false">AV67*AW67</f>
        <v>387515.548990072</v>
      </c>
      <c r="AY67" s="14" t="n">
        <f aca="false">AV67</f>
        <v>787504.931477732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1882477.25548907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326062.962593145</v>
      </c>
      <c r="O68" s="14" t="n">
        <f aca="false">IF($A68&lt;=$G$5,$E$5*$F$5,IF(K68&gt;=$B$8,M68*$B$4*(1+$B$5)^(($G$5+$B$8+L68*($B$8+$B$10))/4),0))</f>
        <v>1304251.85037258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168122.408426848</v>
      </c>
      <c r="W68" s="14" t="n">
        <f aca="false">IF($A68&lt;=$G$6,$E$6*$F$6,IF(S68&gt;=$B$8,U68*$B$4*(1+$B$5)^(($G$6+$B$8+T68*($B$8+$B$10))/4),0))</f>
        <v>672489.633707393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110396.27348634</v>
      </c>
      <c r="AE68" s="14" t="n">
        <f aca="false">IF($A68&lt;=$G$7,$E$7*$F$7,IF(AA68&gt;=$B$8,AC68*$B$4*(1+$B$5)^(($G$7+$B$8+AB68*($B$8+$B$10))/4),0))</f>
        <v>441585.09394536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233189.559193381</v>
      </c>
      <c r="AM68" s="14" t="n">
        <f aca="false">IF($A68&lt;=$G$8,$E$8*$F$8,IF(AI68&gt;=$B$8,AK68*$B$4*(1+$B$5)^(($G$8+$B$8+AJ68*($B$8+$B$10))/4),0))</f>
        <v>932758.236773525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837771.203699715</v>
      </c>
      <c r="AQ68" s="14" t="n">
        <f aca="false">G68+O68+W68+AE68+AM68</f>
        <v>5233562.07028793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787504.931477732</v>
      </c>
      <c r="AU68" s="14" t="n">
        <f aca="false">0</f>
        <v>0</v>
      </c>
      <c r="AV68" s="14" t="n">
        <f aca="false">AT68-AR68-AU68</f>
        <v>787504.931477732</v>
      </c>
      <c r="AW68" s="21" t="n">
        <f aca="false">(1+$B$16)^(-$A68/4)</f>
        <v>0.482982651492941</v>
      </c>
      <c r="AX68" s="14" t="n">
        <f aca="false">AV68*AW68</f>
        <v>380351.219868882</v>
      </c>
      <c r="AY68" s="14" t="n">
        <f aca="false">AV68</f>
        <v>787504.931477732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470619.313872267</v>
      </c>
      <c r="G69" s="14" t="n">
        <f aca="false">IF($A69&lt;=$G$4,$E$4*$F$4,IF(C69&gt;=$B$8,E69*$B$4*(1+$B$5)^(($G$4+$B$8+D69*($B$8+$B$10))/4),0))</f>
        <v>1882477.25548907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168122.408426848</v>
      </c>
      <c r="W69" s="14" t="n">
        <f aca="false">IF($A69&lt;=$G$6,$E$6*$F$6,IF(S69&gt;=$B$8,U69*$B$4*(1+$B$5)^(($G$6+$B$8+T69*($B$8+$B$10))/4),0))</f>
        <v>672489.633707393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110396.27348634</v>
      </c>
      <c r="AE69" s="14" t="n">
        <f aca="false">IF($A69&lt;=$G$7,$E$7*$F$7,IF(AA69&gt;=$B$8,AC69*$B$4*(1+$B$5)^(($G$7+$B$8+AB69*($B$8+$B$10))/4),0))</f>
        <v>441585.09394536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233189.559193381</v>
      </c>
      <c r="AM69" s="14" t="n">
        <f aca="false">IF($A69&lt;=$G$8,$E$8*$F$8,IF(AI69&gt;=$B$8,AK69*$B$4*(1+$B$5)^(($G$8+$B$8+AJ69*($B$8+$B$10))/4),0))</f>
        <v>932758.236773525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982327.554978837</v>
      </c>
      <c r="AQ69" s="14" t="n">
        <f aca="false">G69+O69+W69+AE69+AM69</f>
        <v>3929310.21991535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880762.901680107</v>
      </c>
      <c r="AU69" s="14" t="n">
        <f aca="false">0</f>
        <v>0</v>
      </c>
      <c r="AV69" s="14" t="n">
        <f aca="false">AT69-AR69-AU69</f>
        <v>-775650.256570636</v>
      </c>
      <c r="AW69" s="21" t="n">
        <f aca="false">(1+$B$16)^(-$A69/4)</f>
        <v>0.474053340955239</v>
      </c>
      <c r="AX69" s="14" t="n">
        <f aca="false">AV69*AW69</f>
        <v>-367699.595540098</v>
      </c>
      <c r="AY69" s="14" t="n">
        <f aca="false">AV69+$J$9</f>
        <v>70764394.7617268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336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77778329.635884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8894115.06377498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36871077.0178086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45765192.0815836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42972011.34421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0.805657648111258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0.0774207246513552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25" t="n">
        <v>0.0476</v>
      </c>
      <c r="I17" s="21" t="s">
        <v>109</v>
      </c>
      <c r="J17" s="14" t="n">
        <f aca="false">SUM(AR30:AR69)</f>
        <v>13438058.5009865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10420811.4491871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0.320136015962361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347572.82661038</v>
      </c>
      <c r="AW36" s="21" t="n">
        <f aca="false">(1+$B$16)^(-$A36/4)</f>
        <v>0.877545739475122</v>
      </c>
      <c r="AX36" s="14" t="n">
        <f aca="false">AV36*AW36</f>
        <v>305011.053149265</v>
      </c>
      <c r="AY36" s="14" t="n">
        <f aca="false">AV36</f>
        <v>347572.82661038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-1450770.91631257</v>
      </c>
      <c r="AW40" s="21" t="n">
        <f aca="false">(1+$B$16)^(-$A40/4)</f>
        <v>0.814427600440949</v>
      </c>
      <c r="AX40" s="14" t="n">
        <f aca="false">AV40*AW40</f>
        <v>-1181547.87616197</v>
      </c>
      <c r="AY40" s="14" t="n">
        <f aca="false">AV40</f>
        <v>-1450770.91631257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-834995.32902794</v>
      </c>
      <c r="AW46" s="21" t="n">
        <f aca="false">(1+$B$16)^(-$A46/4)</f>
        <v>0.728159575469592</v>
      </c>
      <c r="AX46" s="14" t="n">
        <f aca="false">AV46*AW46</f>
        <v>-608009.844304077</v>
      </c>
      <c r="AY46" s="14" t="n">
        <f aca="false">AV46</f>
        <v>-834995.32902794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-349929.46132618</v>
      </c>
      <c r="AW53" s="21" t="n">
        <f aca="false">(1+$B$16)^(-$A53/4)</f>
        <v>0.638993333111354</v>
      </c>
      <c r="AX53" s="14" t="n">
        <f aca="false">AV53*AW53</f>
        <v>-223602.592846676</v>
      </c>
      <c r="AY53" s="14" t="n">
        <f aca="false">AV53</f>
        <v>-349929.46132618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845069.415413036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-247997.015917393</v>
      </c>
      <c r="AW56" s="21" t="n">
        <f aca="false">(1+$B$16)^(-$A56/4)</f>
        <v>0.604203682494304</v>
      </c>
      <c r="AX56" s="14" t="n">
        <f aca="false">AV56*AW56</f>
        <v>-149840.710264888</v>
      </c>
      <c r="AY56" s="14" t="n">
        <f aca="false">AV56</f>
        <v>-247997.015917393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564098.735311823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135250.668239268</v>
      </c>
      <c r="AW59" s="21" t="n">
        <f aca="false">(1+$B$16)^(-$A59/4)</f>
        <v>0.571308135817531</v>
      </c>
      <c r="AX59" s="14" t="n">
        <f aca="false">AV59*AW59</f>
        <v>77269.8071398515</v>
      </c>
      <c r="AY59" s="14" t="n">
        <f aca="false">AV59</f>
        <v>135250.668239268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-1697056.85717009</v>
      </c>
      <c r="AW63" s="21" t="n">
        <f aca="false">(1+$B$16)^(-$A63/4)</f>
        <v>0.530216367348056</v>
      </c>
      <c r="AX63" s="14" t="n">
        <f aca="false">AV63*AW63</f>
        <v>-899807.321991836</v>
      </c>
      <c r="AY63" s="14" t="n">
        <f aca="false">AV63</f>
        <v>-1697056.85717009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-992363.743699641</v>
      </c>
      <c r="AW69" s="21" t="n">
        <f aca="false">(1+$B$16)^(-$A69/4)</f>
        <v>0.474053340955239</v>
      </c>
      <c r="AX69" s="14" t="n">
        <f aca="false">AV69*AW69</f>
        <v>-470433.348143663</v>
      </c>
      <c r="AY69" s="14" t="n">
        <f aca="false">AV69+$J$9</f>
        <v>76785965.8921843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337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346.868743114626</v>
      </c>
    </row>
    <row r="5" customFormat="false" ht="15" hidden="false" customHeight="false" outlineLevel="0" collapsed="false">
      <c r="A5" s="0" t="s">
        <v>23</v>
      </c>
      <c r="B5" s="18" t="n">
        <f aca="false">'2. Inputs'!B4</f>
        <v>0.015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-212.458523370103</v>
      </c>
    </row>
    <row r="6" customFormat="false" ht="15" hidden="false" customHeight="false" outlineLevel="0" collapsed="false">
      <c r="A6" s="0" t="s">
        <v>24</v>
      </c>
      <c r="B6" s="26" t="n">
        <v>-167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3007125.16830256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3837473.17564043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56647424.7382339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18947662.0535454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26853900.9536702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45801563.0072156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43006162.4480897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0.586309706274427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0.0775198835135333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25754151.3460578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-1632285.31576204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10454962.5530668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0.321185166346676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-360720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-360720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1047520.9</v>
      </c>
      <c r="AW30" s="21" t="n">
        <f aca="false">(1+$B$16)^(-$A30/4)</f>
        <v>0.98151215057083</v>
      </c>
      <c r="AX30" s="14" t="n">
        <f aca="false">AV30*AW30</f>
        <v>1028154.49132689</v>
      </c>
      <c r="AY30" s="14" t="n">
        <f aca="false">AV30</f>
        <v>1047520.9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655276.415965829</v>
      </c>
      <c r="AN33" s="14" t="n">
        <f aca="false">IF($A33&lt;=$G$8,0,IF(AI33=0,AK33*$B$6*(1+$B$7)^(($G$8+AJ33*($B$8+$B$10))/4),0)+IF(AI33=$B$8,$B$11*$B$4*(1+$B$5)^(($G$8+$B$8+AJ33*($B$8+$B$10))/4)*AK33,0))</f>
        <v>78633.1699158994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3704216.41596583</v>
      </c>
      <c r="AR33" s="14" t="n">
        <f aca="false">H33+P33+X33+AF33+AN33+IF($A33=$B$15,$B$14,0)</f>
        <v>78633.1699158994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637867.730084101</v>
      </c>
      <c r="AW33" s="21" t="n">
        <f aca="false">(1+$B$16)^(-$A33/4)</f>
        <v>0.928074245939675</v>
      </c>
      <c r="AX33" s="14" t="n">
        <f aca="false">AV33*AW33</f>
        <v>591988.612607054</v>
      </c>
      <c r="AY33" s="14" t="n">
        <f aca="false">AV33</f>
        <v>637867.730084101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655276.415965829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3704216.41596583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655276.415965829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3704216.41596583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-173301.479049156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163819.103991457</v>
      </c>
      <c r="AM36" s="14" t="n">
        <f aca="false">IF($A36&lt;=$G$8,$E$8*$F$8,IF(AI36&gt;=$B$8,AK36*$B$4*(1+$B$5)^(($G$8+$B$8+AJ36*($B$8+$B$10))/4),0))</f>
        <v>655276.415965829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848054.103991457</v>
      </c>
      <c r="AQ36" s="14" t="n">
        <f aca="false">G36+O36+W36+AE36+AM36</f>
        <v>3392216.41596583</v>
      </c>
      <c r="AR36" s="14" t="n">
        <f aca="false">H36+P36+X36+AF36+AN36+IF($A36=$B$15,$B$14,0)</f>
        <v>-173301.479049156</v>
      </c>
      <c r="AS36" s="21" t="n">
        <f aca="false">I36+Q36+Y36+AG36+AO36</f>
        <v>1000</v>
      </c>
      <c r="AT36" s="14" t="n">
        <f aca="false">AP36*(1-$B$12)-AS36*$B$13/4</f>
        <v>783420.85775197</v>
      </c>
      <c r="AU36" s="14" t="n">
        <f aca="false">0</f>
        <v>0</v>
      </c>
      <c r="AV36" s="14" t="n">
        <f aca="false">AT36-AR36-AU36</f>
        <v>956722.336801126</v>
      </c>
      <c r="AW36" s="21" t="n">
        <f aca="false">(1+$B$16)^(-$A36/4)</f>
        <v>0.877545739475122</v>
      </c>
      <c r="AX36" s="14" t="n">
        <f aca="false">AV36*AW36</f>
        <v>839567.610520511</v>
      </c>
      <c r="AY36" s="14" t="n">
        <f aca="false">AV36</f>
        <v>956722.336801126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163819.103991457</v>
      </c>
      <c r="AM37" s="14" t="n">
        <f aca="false">IF($A37&lt;=$G$8,$E$8*$F$8,IF(AI37&gt;=$B$8,AK37*$B$4*(1+$B$5)^(($G$8+$B$8+AJ37*($B$8+$B$10))/4),0))</f>
        <v>655276.415965829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848054.103991457</v>
      </c>
      <c r="AQ37" s="14" t="n">
        <f aca="false">G37+O37+W37+AE37+AM37</f>
        <v>3392216.41596583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783420.85775197</v>
      </c>
      <c r="AU37" s="14" t="n">
        <f aca="false">0</f>
        <v>0</v>
      </c>
      <c r="AV37" s="14" t="n">
        <f aca="false">AT37-AR37-AU37</f>
        <v>783420.85775197</v>
      </c>
      <c r="AW37" s="21" t="n">
        <f aca="false">(1+$B$16)^(-$A37/4)</f>
        <v>0.861321805976497</v>
      </c>
      <c r="AX37" s="14" t="n">
        <f aca="false">AV37*AW37</f>
        <v>674777.468038583</v>
      </c>
      <c r="AY37" s="14" t="n">
        <f aca="false">AV37</f>
        <v>783420.85775197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163819.103991457</v>
      </c>
      <c r="AM38" s="14" t="n">
        <f aca="false">IF($A38&lt;=$G$8,$E$8*$F$8,IF(AI38&gt;=$B$8,AK38*$B$4*(1+$B$5)^(($G$8+$B$8+AJ38*($B$8+$B$10))/4),0))</f>
        <v>655276.415965829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848054.103991457</v>
      </c>
      <c r="AQ38" s="14" t="n">
        <f aca="false">G38+O38+W38+AE38+AM38</f>
        <v>3392216.41596583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783420.85775197</v>
      </c>
      <c r="AU38" s="14" t="n">
        <f aca="false">0</f>
        <v>0</v>
      </c>
      <c r="AV38" s="14" t="n">
        <f aca="false">AT38-AR38-AU38</f>
        <v>783420.85775197</v>
      </c>
      <c r="AW38" s="21" t="n">
        <f aca="false">(1+$B$16)^(-$A38/4)</f>
        <v>0.845397818117543</v>
      </c>
      <c r="AX38" s="14" t="n">
        <f aca="false">AV38*AW38</f>
        <v>662302.283811289</v>
      </c>
      <c r="AY38" s="14" t="n">
        <f aca="false">AV38</f>
        <v>783420.85775197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310220.040195374</v>
      </c>
      <c r="AF39" s="14" t="n">
        <f aca="false">IF($A39&lt;=$G$7,0,IF(AA39=0,AC39*$B$6*(1+$B$7)^(($G$7+AB39*($B$8+$B$10))/4),0)+IF(AA39=$B$8,$B$11*$B$4*(1+$B$5)^(($G$7+$B$8+AB39*($B$8+$B$10))/4)*AC39,0))</f>
        <v>37226.4048234449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163819.103991457</v>
      </c>
      <c r="AM39" s="14" t="n">
        <f aca="false">IF($A39&lt;=$G$8,$E$8*$F$8,IF(AI39&gt;=$B$8,AK39*$B$4*(1+$B$5)^(($G$8+$B$8+AJ39*($B$8+$B$10))/4),0))</f>
        <v>655276.415965829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848054.103991457</v>
      </c>
      <c r="AQ39" s="14" t="n">
        <f aca="false">G39+O39+W39+AE39+AM39</f>
        <v>3702436.4561612</v>
      </c>
      <c r="AR39" s="14" t="n">
        <f aca="false">H39+P39+X39+AF39+AN39+IF($A39=$B$15,$B$14,0)</f>
        <v>37226.4048234449</v>
      </c>
      <c r="AS39" s="21" t="n">
        <f aca="false">I39+Q39+Y39+AG39+AO39</f>
        <v>0</v>
      </c>
      <c r="AT39" s="14" t="n">
        <f aca="false">AP39*(1-$B$12)-AS39*$B$13/4</f>
        <v>797170.85775197</v>
      </c>
      <c r="AU39" s="14" t="n">
        <f aca="false">0</f>
        <v>0</v>
      </c>
      <c r="AV39" s="14" t="n">
        <f aca="false">AT39-AR39-AU39</f>
        <v>759944.452928525</v>
      </c>
      <c r="AW39" s="21" t="n">
        <f aca="false">(1+$B$16)^(-$A39/4)</f>
        <v>0.829768230548437</v>
      </c>
      <c r="AX39" s="14" t="n">
        <f aca="false">AV39*AW39</f>
        <v>630577.764021602</v>
      </c>
      <c r="AY39" s="14" t="n">
        <f aca="false">AV39</f>
        <v>759944.452928525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-746062.867306616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310220.040195374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163819.103991457</v>
      </c>
      <c r="AM40" s="14" t="n">
        <f aca="false">IF($A40&lt;=$G$8,$E$8*$F$8,IF(AI40&gt;=$B$8,AK40*$B$4*(1+$B$5)^(($G$8+$B$8+AJ40*($B$8+$B$10))/4),0))</f>
        <v>655276.415965829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514154.103991457</v>
      </c>
      <c r="AQ40" s="14" t="n">
        <f aca="false">G40+O40+W40+AE40+AM40</f>
        <v>2366836.4561612</v>
      </c>
      <c r="AR40" s="14" t="n">
        <f aca="false">H40+P40+X40+AF40+AN40+IF($A40=$B$15,$B$14,0)</f>
        <v>-746062.867306616</v>
      </c>
      <c r="AS40" s="21" t="n">
        <f aca="false">I40+Q40+Y40+AG40+AO40</f>
        <v>4200</v>
      </c>
      <c r="AT40" s="14" t="n">
        <f aca="false">AP40*(1-$B$12)-AS40*$B$13/4</f>
        <v>425554.85775197</v>
      </c>
      <c r="AU40" s="14" t="n">
        <f aca="false">0</f>
        <v>0</v>
      </c>
      <c r="AV40" s="14" t="n">
        <f aca="false">AT40-AR40-AU40</f>
        <v>1171617.72505859</v>
      </c>
      <c r="AW40" s="21" t="n">
        <f aca="false">(1+$B$16)^(-$A40/4)</f>
        <v>0.814427600440949</v>
      </c>
      <c r="AX40" s="14" t="n">
        <f aca="false">AV40*AW40</f>
        <v>954197.812453547</v>
      </c>
      <c r="AY40" s="14" t="n">
        <f aca="false">AV40</f>
        <v>1171617.72505859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310220.040195374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163819.103991457</v>
      </c>
      <c r="AM41" s="14" t="n">
        <f aca="false">IF($A41&lt;=$G$8,$E$8*$F$8,IF(AI41&gt;=$B$8,AK41*$B$4*(1+$B$5)^(($G$8+$B$8+AJ41*($B$8+$B$10))/4),0))</f>
        <v>655276.415965829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514154.103991457</v>
      </c>
      <c r="AQ41" s="14" t="n">
        <f aca="false">G41+O41+W41+AE41+AM41</f>
        <v>2366836.4561612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425554.85775197</v>
      </c>
      <c r="AU41" s="14" t="n">
        <f aca="false">0</f>
        <v>0</v>
      </c>
      <c r="AV41" s="14" t="n">
        <f aca="false">AT41-AR41-AU41</f>
        <v>-1474445.14224803</v>
      </c>
      <c r="AW41" s="21" t="n">
        <f aca="false">(1+$B$16)^(-$A41/4)</f>
        <v>0.799370585593037</v>
      </c>
      <c r="AX41" s="14" t="n">
        <f aca="false">AV41*AW41</f>
        <v>-1178628.07678362</v>
      </c>
      <c r="AY41" s="14" t="n">
        <f aca="false">AV41</f>
        <v>-1474445.14224803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77555.0100488435</v>
      </c>
      <c r="AE42" s="14" t="n">
        <f aca="false">IF($A42&lt;=$G$7,$E$7*$F$7,IF(AA42&gt;=$B$8,AC42*$B$4*(1+$B$5)^(($G$7+$B$8+AB42*($B$8+$B$10))/4),0))</f>
        <v>310220.040195374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163819.103991457</v>
      </c>
      <c r="AM42" s="14" t="n">
        <f aca="false">IF($A42&lt;=$G$8,$E$8*$F$8,IF(AI42&gt;=$B$8,AK42*$B$4*(1+$B$5)^(($G$8+$B$8+AJ42*($B$8+$B$10))/4),0))</f>
        <v>655276.415965829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591709.114040301</v>
      </c>
      <c r="AQ42" s="14" t="n">
        <f aca="false">G42+O42+W42+AE42+AM42</f>
        <v>2366836.4561612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498456.567197883</v>
      </c>
      <c r="AU42" s="14" t="n">
        <f aca="false">0</f>
        <v>0</v>
      </c>
      <c r="AV42" s="14" t="n">
        <f aca="false">AT42-AR42-AU42</f>
        <v>498456.567197883</v>
      </c>
      <c r="AW42" s="21" t="n">
        <f aca="false">(1+$B$16)^(-$A42/4)</f>
        <v>0.784591942568485</v>
      </c>
      <c r="AX42" s="14" t="n">
        <f aca="false">AV42*AW42</f>
        <v>391085.006343806</v>
      </c>
      <c r="AY42" s="14" t="n">
        <f aca="false">AV42</f>
        <v>498456.567197883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1322468.03135288</v>
      </c>
      <c r="H43" s="14" t="n">
        <f aca="false">IF($A43&lt;=$G$4,0,IF(C43=0,E43*$B$6*(1+$B$7)^(($G$4+D43*($B$8+$B$10))/4),0)+IF(C43=$B$8,$B$11*$B$4*(1+$B$5)^(($G$4+$B$8+D43*($B$8+$B$10))/4)*E43,0))</f>
        <v>158696.163762346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77555.0100488435</v>
      </c>
      <c r="AE43" s="14" t="n">
        <f aca="false">IF($A43&lt;=$G$7,$E$7*$F$7,IF(AA43&gt;=$B$8,AC43*$B$4*(1+$B$5)^(($G$7+$B$8+AB43*($B$8+$B$10))/4),0))</f>
        <v>310220.040195374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163819.103991457</v>
      </c>
      <c r="AM43" s="14" t="n">
        <f aca="false">IF($A43&lt;=$G$8,$E$8*$F$8,IF(AI43&gt;=$B$8,AK43*$B$4*(1+$B$5)^(($G$8+$B$8+AJ43*($B$8+$B$10))/4),0))</f>
        <v>655276.415965829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591709.114040301</v>
      </c>
      <c r="AQ43" s="14" t="n">
        <f aca="false">G43+O43+W43+AE43+AM43</f>
        <v>3689304.48751408</v>
      </c>
      <c r="AR43" s="14" t="n">
        <f aca="false">H43+P43+X43+AF43+AN43+IF($A43=$B$15,$B$14,0)</f>
        <v>158696.163762346</v>
      </c>
      <c r="AS43" s="21" t="n">
        <f aca="false">I43+Q43+Y43+AG43+AO43</f>
        <v>0</v>
      </c>
      <c r="AT43" s="14" t="n">
        <f aca="false">AP43*(1-$B$12)-AS43*$B$13/4</f>
        <v>556206.567197883</v>
      </c>
      <c r="AU43" s="14" t="n">
        <f aca="false">0</f>
        <v>0</v>
      </c>
      <c r="AV43" s="14" t="n">
        <f aca="false">AT43-AR43-AU43</f>
        <v>397510.403435537</v>
      </c>
      <c r="AW43" s="21" t="n">
        <f aca="false">(1+$B$16)^(-$A43/4)</f>
        <v>0.770086524870939</v>
      </c>
      <c r="AX43" s="14" t="n">
        <f aca="false">AV43*AW43</f>
        <v>306117.405181718</v>
      </c>
      <c r="AY43" s="14" t="n">
        <f aca="false">AV43</f>
        <v>397510.403435537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1322468.03135288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77555.0100488435</v>
      </c>
      <c r="AE44" s="14" t="n">
        <f aca="false">IF($A44&lt;=$G$7,$E$7*$F$7,IF(AA44&gt;=$B$8,AC44*$B$4*(1+$B$5)^(($G$7+$B$8+AB44*($B$8+$B$10))/4),0))</f>
        <v>310220.040195374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163819.103991457</v>
      </c>
      <c r="AM44" s="14" t="n">
        <f aca="false">IF($A44&lt;=$G$8,$E$8*$F$8,IF(AI44&gt;=$B$8,AK44*$B$4*(1+$B$5)^(($G$8+$B$8+AJ44*($B$8+$B$10))/4),0))</f>
        <v>655276.415965829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591709.114040301</v>
      </c>
      <c r="AQ44" s="14" t="n">
        <f aca="false">G44+O44+W44+AE44+AM44</f>
        <v>3689304.48751408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556206.567197883</v>
      </c>
      <c r="AU44" s="14" t="n">
        <f aca="false">0</f>
        <v>0</v>
      </c>
      <c r="AV44" s="14" t="n">
        <f aca="false">AT44-AR44-AU44</f>
        <v>556206.567197883</v>
      </c>
      <c r="AW44" s="21" t="n">
        <f aca="false">(1+$B$16)^(-$A44/4)</f>
        <v>0.755849281151693</v>
      </c>
      <c r="AX44" s="14" t="n">
        <f aca="false">AV44*AW44</f>
        <v>420408.33398837</v>
      </c>
      <c r="AY44" s="14" t="n">
        <f aca="false">AV44</f>
        <v>556206.567197883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1322468.03135288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77555.0100488435</v>
      </c>
      <c r="AE45" s="14" t="n">
        <f aca="false">IF($A45&lt;=$G$7,$E$7*$F$7,IF(AA45&gt;=$B$8,AC45*$B$4*(1+$B$5)^(($G$7+$B$8+AB45*($B$8+$B$10))/4),0))</f>
        <v>310220.040195374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163819.103991457</v>
      </c>
      <c r="AM45" s="14" t="n">
        <f aca="false">IF($A45&lt;=$G$8,$E$8*$F$8,IF(AI45&gt;=$B$8,AK45*$B$4*(1+$B$5)^(($G$8+$B$8+AJ45*($B$8+$B$10))/4),0))</f>
        <v>655276.415965829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591709.114040301</v>
      </c>
      <c r="AQ45" s="14" t="n">
        <f aca="false">G45+O45+W45+AE45+AM45</f>
        <v>3689304.48751408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556206.567197883</v>
      </c>
      <c r="AU45" s="14" t="n">
        <f aca="false">0</f>
        <v>0</v>
      </c>
      <c r="AV45" s="14" t="n">
        <f aca="false">AT45-AR45-AU45</f>
        <v>556206.567197883</v>
      </c>
      <c r="AW45" s="21" t="n">
        <f aca="false">(1+$B$16)^(-$A45/4)</f>
        <v>0.741875253450614</v>
      </c>
      <c r="AX45" s="14" t="n">
        <f aca="false">AV45*AW45</f>
        <v>412635.888010825</v>
      </c>
      <c r="AY45" s="14" t="n">
        <f aca="false">AV45</f>
        <v>556206.567197883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330617.00783822</v>
      </c>
      <c r="G46" s="14" t="n">
        <f aca="false">IF($A46&lt;=$G$4,$E$4*$F$4,IF(C46&gt;=$B$8,E46*$B$4*(1+$B$5)^(($G$4+$B$8+D46*($B$8+$B$10))/4),0))</f>
        <v>1322468.03135288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-571443.933476562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77555.0100488435</v>
      </c>
      <c r="AE46" s="14" t="n">
        <f aca="false">IF($A46&lt;=$G$7,$E$7*$F$7,IF(AA46&gt;=$B$8,AC46*$B$4*(1+$B$5)^(($G$7+$B$8+AB46*($B$8+$B$10))/4),0))</f>
        <v>310220.040195374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163819.103991457</v>
      </c>
      <c r="AM46" s="14" t="n">
        <f aca="false">IF($A46&lt;=$G$8,$E$8*$F$8,IF(AI46&gt;=$B$8,AK46*$B$4*(1+$B$5)^(($G$8+$B$8+AJ46*($B$8+$B$10))/4),0))</f>
        <v>655276.415965829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685951.121878521</v>
      </c>
      <c r="AQ46" s="14" t="n">
        <f aca="false">G46+O46+W46+AE46+AM46</f>
        <v>2743804.48751408</v>
      </c>
      <c r="AR46" s="14" t="n">
        <f aca="false">H46+P46+X46+AF46+AN46+IF($A46=$B$15,$B$14,0)</f>
        <v>-571443.933476562</v>
      </c>
      <c r="AS46" s="21" t="n">
        <f aca="false">I46+Q46+Y46+AG46+AO46</f>
        <v>3100</v>
      </c>
      <c r="AT46" s="14" t="n">
        <f aca="false">AP46*(1-$B$12)-AS46*$B$13/4</f>
        <v>602169.054565809</v>
      </c>
      <c r="AU46" s="14" t="n">
        <f aca="false">0</f>
        <v>0</v>
      </c>
      <c r="AV46" s="14" t="n">
        <f aca="false">AT46-AR46-AU46</f>
        <v>1173612.98804237</v>
      </c>
      <c r="AW46" s="21" t="n">
        <f aca="false">(1+$B$16)^(-$A46/4)</f>
        <v>0.728159575469592</v>
      </c>
      <c r="AX46" s="14" t="n">
        <f aca="false">AV46*AW46</f>
        <v>854577.535138532</v>
      </c>
      <c r="AY46" s="14" t="n">
        <f aca="false">AV46</f>
        <v>1173612.98804237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330617.00783822</v>
      </c>
      <c r="G47" s="14" t="n">
        <f aca="false">IF($A47&lt;=$G$4,$E$4*$F$4,IF(C47&gt;=$B$8,E47*$B$4*(1+$B$5)^(($G$4+$B$8+D47*($B$8+$B$10))/4),0))</f>
        <v>1322468.03135288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77555.0100488435</v>
      </c>
      <c r="AE47" s="14" t="n">
        <f aca="false">IF($A47&lt;=$G$7,$E$7*$F$7,IF(AA47&gt;=$B$8,AC47*$B$4*(1+$B$5)^(($G$7+$B$8+AB47*($B$8+$B$10))/4),0))</f>
        <v>310220.040195374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163819.103991457</v>
      </c>
      <c r="AM47" s="14" t="n">
        <f aca="false">IF($A47&lt;=$G$8,$E$8*$F$8,IF(AI47&gt;=$B$8,AK47*$B$4*(1+$B$5)^(($G$8+$B$8+AJ47*($B$8+$B$10))/4),0))</f>
        <v>655276.415965829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685951.121878521</v>
      </c>
      <c r="AQ47" s="14" t="n">
        <f aca="false">G47+O47+W47+AE47+AM47</f>
        <v>2743804.48751408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602169.054565809</v>
      </c>
      <c r="AU47" s="14" t="n">
        <f aca="false">0</f>
        <v>0</v>
      </c>
      <c r="AV47" s="14" t="n">
        <f aca="false">AT47-AR47-AU47</f>
        <v>602169.054565809</v>
      </c>
      <c r="AW47" s="21" t="n">
        <f aca="false">(1+$B$16)^(-$A47/4)</f>
        <v>0.714697470877902</v>
      </c>
      <c r="AX47" s="14" t="n">
        <f aca="false">AV47*AW47</f>
        <v>430368.700339121</v>
      </c>
      <c r="AY47" s="14" t="n">
        <f aca="false">AV47</f>
        <v>602169.054565809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330617.00783822</v>
      </c>
      <c r="G48" s="14" t="n">
        <f aca="false">IF($A48&lt;=$G$4,$E$4*$F$4,IF(C48&gt;=$B$8,E48*$B$4*(1+$B$5)^(($G$4+$B$8+D48*($B$8+$B$10))/4),0))</f>
        <v>1322468.03135288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77555.0100488435</v>
      </c>
      <c r="AE48" s="14" t="n">
        <f aca="false">IF($A48&lt;=$G$7,$E$7*$F$7,IF(AA48&gt;=$B$8,AC48*$B$4*(1+$B$5)^(($G$7+$B$8+AB48*($B$8+$B$10))/4),0))</f>
        <v>310220.040195374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163819.103991457</v>
      </c>
      <c r="AM48" s="14" t="n">
        <f aca="false">IF($A48&lt;=$G$8,$E$8*$F$8,IF(AI48&gt;=$B$8,AK48*$B$4*(1+$B$5)^(($G$8+$B$8+AJ48*($B$8+$B$10))/4),0))</f>
        <v>655276.415965829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685951.121878521</v>
      </c>
      <c r="AQ48" s="14" t="n">
        <f aca="false">G48+O48+W48+AE48+AM48</f>
        <v>2743804.48751408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602169.054565809</v>
      </c>
      <c r="AU48" s="14" t="n">
        <f aca="false">0</f>
        <v>0</v>
      </c>
      <c r="AV48" s="14" t="n">
        <f aca="false">AT48-AR48-AU48</f>
        <v>602169.054565809</v>
      </c>
      <c r="AW48" s="21" t="n">
        <f aca="false">(1+$B$16)^(-$A48/4)</f>
        <v>0.701484251648903</v>
      </c>
      <c r="AX48" s="14" t="n">
        <f aca="false">AV48*AW48</f>
        <v>422412.108608224</v>
      </c>
      <c r="AY48" s="14" t="n">
        <f aca="false">AV48</f>
        <v>602169.054565809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330617.00783822</v>
      </c>
      <c r="G49" s="14" t="n">
        <f aca="false">IF($A49&lt;=$G$4,$E$4*$F$4,IF(C49&gt;=$B$8,E49*$B$4*(1+$B$5)^(($G$4+$B$8+D49*($B$8+$B$10))/4),0))</f>
        <v>1322468.03135288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998151.926305546</v>
      </c>
      <c r="P49" s="14" t="n">
        <f aca="false">IF($A49&lt;=$G$5,0,IF(K49=0,M49*$B$6*(1+$B$7)^(($G$5+L49*($B$8+$B$10))/4),0)+IF(K49=$B$8,$B$11*$B$4*(1+$B$5)^(($G$5+$B$8+L49*($B$8+$B$10))/4)*M49,0))</f>
        <v>119778.231156666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77555.0100488435</v>
      </c>
      <c r="AE49" s="14" t="n">
        <f aca="false">IF($A49&lt;=$G$7,$E$7*$F$7,IF(AA49&gt;=$B$8,AC49*$B$4*(1+$B$5)^(($G$7+$B$8+AB49*($B$8+$B$10))/4),0))</f>
        <v>310220.040195374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163819.103991457</v>
      </c>
      <c r="AM49" s="14" t="n">
        <f aca="false">IF($A49&lt;=$G$8,$E$8*$F$8,IF(AI49&gt;=$B$8,AK49*$B$4*(1+$B$5)^(($G$8+$B$8+AJ49*($B$8+$B$10))/4),0))</f>
        <v>655276.415965829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685951.121878521</v>
      </c>
      <c r="AQ49" s="14" t="n">
        <f aca="false">G49+O49+W49+AE49+AM49</f>
        <v>3741956.41381963</v>
      </c>
      <c r="AR49" s="14" t="n">
        <f aca="false">H49+P49+X49+AF49+AN49+IF($A49=$B$15,$B$14,0)</f>
        <v>119778.231156666</v>
      </c>
      <c r="AS49" s="21" t="n">
        <f aca="false">I49+Q49+Y49+AG49+AO49</f>
        <v>0</v>
      </c>
      <c r="AT49" s="14" t="n">
        <f aca="false">AP49*(1-$B$12)-AS49*$B$13/4</f>
        <v>644794.054565809</v>
      </c>
      <c r="AU49" s="14" t="n">
        <f aca="false">0</f>
        <v>0</v>
      </c>
      <c r="AV49" s="14" t="n">
        <f aca="false">AT49-AR49-AU49</f>
        <v>525015.823409144</v>
      </c>
      <c r="AW49" s="21" t="n">
        <f aca="false">(1+$B$16)^(-$A49/4)</f>
        <v>0.688515316427484</v>
      </c>
      <c r="AX49" s="14" t="n">
        <f aca="false">AV49*AW49</f>
        <v>361481.435783983</v>
      </c>
      <c r="AY49" s="14" t="n">
        <f aca="false">AV49</f>
        <v>525015.823409144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330617.00783822</v>
      </c>
      <c r="G50" s="14" t="n">
        <f aca="false">IF($A50&lt;=$G$4,$E$4*$F$4,IF(C50&gt;=$B$8,E50*$B$4*(1+$B$5)^(($G$4+$B$8+D50*($B$8+$B$10))/4),0))</f>
        <v>1322468.03135288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998151.926305546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77555.0100488435</v>
      </c>
      <c r="AE50" s="14" t="n">
        <f aca="false">IF($A50&lt;=$G$7,$E$7*$F$7,IF(AA50&gt;=$B$8,AC50*$B$4*(1+$B$5)^(($G$7+$B$8+AB50*($B$8+$B$10))/4),0))</f>
        <v>310220.040195374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163819.103991457</v>
      </c>
      <c r="AM50" s="14" t="n">
        <f aca="false">IF($A50&lt;=$G$8,$E$8*$F$8,IF(AI50&gt;=$B$8,AK50*$B$4*(1+$B$5)^(($G$8+$B$8+AJ50*($B$8+$B$10))/4),0))</f>
        <v>655276.415965829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685951.121878521</v>
      </c>
      <c r="AQ50" s="14" t="n">
        <f aca="false">G50+O50+W50+AE50+AM50</f>
        <v>3741956.41381963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644794.054565809</v>
      </c>
      <c r="AU50" s="14" t="n">
        <f aca="false">0</f>
        <v>0</v>
      </c>
      <c r="AV50" s="14" t="n">
        <f aca="false">AT50-AR50-AU50</f>
        <v>644794.054565809</v>
      </c>
      <c r="AW50" s="21" t="n">
        <f aca="false">(1+$B$16)^(-$A50/4)</f>
        <v>0.675786148927696</v>
      </c>
      <c r="AX50" s="14" t="n">
        <f aca="false">AV50*AW50</f>
        <v>435742.890986503</v>
      </c>
      <c r="AY50" s="14" t="n">
        <f aca="false">AV50</f>
        <v>644794.054565809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330617.00783822</v>
      </c>
      <c r="G51" s="14" t="n">
        <f aca="false">IF($A51&lt;=$G$4,$E$4*$F$4,IF(C51&gt;=$B$8,E51*$B$4*(1+$B$5)^(($G$4+$B$8+D51*($B$8+$B$10))/4),0))</f>
        <v>1322468.03135288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998151.926305546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77555.0100488435</v>
      </c>
      <c r="AE51" s="14" t="n">
        <f aca="false">IF($A51&lt;=$G$7,$E$7*$F$7,IF(AA51&gt;=$B$8,AC51*$B$4*(1+$B$5)^(($G$7+$B$8+AB51*($B$8+$B$10))/4),0))</f>
        <v>310220.040195374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163819.103991457</v>
      </c>
      <c r="AM51" s="14" t="n">
        <f aca="false">IF($A51&lt;=$G$8,$E$8*$F$8,IF(AI51&gt;=$B$8,AK51*$B$4*(1+$B$5)^(($G$8+$B$8+AJ51*($B$8+$B$10))/4),0))</f>
        <v>655276.415965829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685951.121878521</v>
      </c>
      <c r="AQ51" s="14" t="n">
        <f aca="false">G51+O51+W51+AE51+AM51</f>
        <v>3741956.41381963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644794.054565809</v>
      </c>
      <c r="AU51" s="14" t="n">
        <f aca="false">0</f>
        <v>0</v>
      </c>
      <c r="AV51" s="14" t="n">
        <f aca="false">AT51-AR51-AU51</f>
        <v>644794.054565809</v>
      </c>
      <c r="AW51" s="21" t="n">
        <f aca="false">(1+$B$16)^(-$A51/4)</f>
        <v>0.663292316360002</v>
      </c>
      <c r="AX51" s="14" t="n">
        <f aca="false">AV51*AW51</f>
        <v>427686.942028113</v>
      </c>
      <c r="AY51" s="14" t="n">
        <f aca="false">AV51</f>
        <v>644794.054565809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330617.00783822</v>
      </c>
      <c r="G52" s="14" t="n">
        <f aca="false">IF($A52&lt;=$G$4,$E$4*$F$4,IF(C52&gt;=$B$8,E52*$B$4*(1+$B$5)^(($G$4+$B$8+D52*($B$8+$B$10))/4),0))</f>
        <v>1322468.03135288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249537.981576387</v>
      </c>
      <c r="O52" s="14" t="n">
        <f aca="false">IF($A52&lt;=$G$5,$E$5*$F$5,IF(K52&gt;=$B$8,M52*$B$4*(1+$B$5)^(($G$5+$B$8+L52*($B$8+$B$10))/4),0))</f>
        <v>998151.926305546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77555.0100488435</v>
      </c>
      <c r="AE52" s="14" t="n">
        <f aca="false">IF($A52&lt;=$G$7,$E$7*$F$7,IF(AA52&gt;=$B$8,AC52*$B$4*(1+$B$5)^(($G$7+$B$8+AB52*($B$8+$B$10))/4),0))</f>
        <v>310220.040195374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163819.103991457</v>
      </c>
      <c r="AM52" s="14" t="n">
        <f aca="false">IF($A52&lt;=$G$8,$E$8*$F$8,IF(AI52&gt;=$B$8,AK52*$B$4*(1+$B$5)^(($G$8+$B$8+AJ52*($B$8+$B$10))/4),0))</f>
        <v>655276.415965829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935489.103454907</v>
      </c>
      <c r="AQ52" s="14" t="n">
        <f aca="false">G52+O52+W52+AE52+AM52</f>
        <v>3741956.41381963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879359.757247612</v>
      </c>
      <c r="AU52" s="14" t="n">
        <f aca="false">0</f>
        <v>0</v>
      </c>
      <c r="AV52" s="14" t="n">
        <f aca="false">AT52-AR52-AU52</f>
        <v>879359.757247612</v>
      </c>
      <c r="AW52" s="21" t="n">
        <f aca="false">(1+$B$16)^(-$A52/4)</f>
        <v>0.651029467887613</v>
      </c>
      <c r="AX52" s="14" t="n">
        <f aca="false">AV52*AW52</f>
        <v>572489.114842694</v>
      </c>
      <c r="AY52" s="14" t="n">
        <f aca="false">AV52</f>
        <v>879359.757247612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330617.00783822</v>
      </c>
      <c r="G53" s="14" t="n">
        <f aca="false">IF($A53&lt;=$G$4,$E$4*$F$4,IF(C53&gt;=$B$8,E53*$B$4*(1+$B$5)^(($G$4+$B$8+D53*($B$8+$B$10))/4),0))</f>
        <v>1322468.03135288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249537.981576387</v>
      </c>
      <c r="O53" s="14" t="n">
        <f aca="false">IF($A53&lt;=$G$5,$E$5*$F$5,IF(K53&gt;=$B$8,M53*$B$4*(1+$B$5)^(($G$5+$B$8+L53*($B$8+$B$10))/4),0))</f>
        <v>998151.926305546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77555.0100488435</v>
      </c>
      <c r="AE53" s="14" t="n">
        <f aca="false">IF($A53&lt;=$G$7,$E$7*$F$7,IF(AA53&gt;=$B$8,AC53*$B$4*(1+$B$5)^(($G$7+$B$8+AB53*($B$8+$B$10))/4),0))</f>
        <v>310220.040195374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-415750.182279153</v>
      </c>
      <c r="AO53" s="21" t="n">
        <f aca="false">IF($A53&lt;=$G$8,0,IF(AI53&lt;$B$8,AK53,0))</f>
        <v>2160</v>
      </c>
      <c r="AP53" s="14" t="n">
        <f aca="false">F53+N53+V53+AD53+AL53</f>
        <v>771669.99946345</v>
      </c>
      <c r="AQ53" s="14" t="n">
        <f aca="false">G53+O53+W53+AE53+AM53</f>
        <v>3086679.9978538</v>
      </c>
      <c r="AR53" s="14" t="n">
        <f aca="false">H53+P53+X53+AF53+AN53+IF($A53=$B$15,$B$14,0)</f>
        <v>-415750.182279153</v>
      </c>
      <c r="AS53" s="21" t="n">
        <f aca="false">I53+Q53+Y53+AG53+AO53</f>
        <v>2160</v>
      </c>
      <c r="AT53" s="14" t="n">
        <f aca="false">AP53*(1-$B$12)-AS53*$B$13/4</f>
        <v>695669.799495643</v>
      </c>
      <c r="AU53" s="14" t="n">
        <f aca="false">0</f>
        <v>0</v>
      </c>
      <c r="AV53" s="14" t="n">
        <f aca="false">AT53-AR53-AU53</f>
        <v>1111419.9817748</v>
      </c>
      <c r="AW53" s="21" t="n">
        <f aca="false">(1+$B$16)^(-$A53/4)</f>
        <v>0.638993333111354</v>
      </c>
      <c r="AX53" s="14" t="n">
        <f aca="false">AV53*AW53</f>
        <v>710189.958640837</v>
      </c>
      <c r="AY53" s="14" t="n">
        <f aca="false">AV53</f>
        <v>1111419.9817748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330617.00783822</v>
      </c>
      <c r="G54" s="14" t="n">
        <f aca="false">IF($A54&lt;=$G$4,$E$4*$F$4,IF(C54&gt;=$B$8,E54*$B$4*(1+$B$5)^(($G$4+$B$8+D54*($B$8+$B$10))/4),0))</f>
        <v>1322468.03135288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249537.981576387</v>
      </c>
      <c r="O54" s="14" t="n">
        <f aca="false">IF($A54&lt;=$G$5,$E$5*$F$5,IF(K54&gt;=$B$8,M54*$B$4*(1+$B$5)^(($G$5+$B$8+L54*($B$8+$B$10))/4),0))</f>
        <v>998151.926305546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77555.0100488435</v>
      </c>
      <c r="AE54" s="14" t="n">
        <f aca="false">IF($A54&lt;=$G$7,$E$7*$F$7,IF(AA54&gt;=$B$8,AC54*$B$4*(1+$B$5)^(($G$7+$B$8+AB54*($B$8+$B$10))/4),0))</f>
        <v>310220.040195374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771669.99946345</v>
      </c>
      <c r="AQ54" s="14" t="n">
        <f aca="false">G54+O54+W54+AE54+AM54</f>
        <v>3086679.9978538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695669.799495643</v>
      </c>
      <c r="AU54" s="14" t="n">
        <f aca="false">0</f>
        <v>0</v>
      </c>
      <c r="AV54" s="14" t="n">
        <f aca="false">AT54-AR54-AU54</f>
        <v>695669.799495643</v>
      </c>
      <c r="AW54" s="21" t="n">
        <f aca="false">(1+$B$16)^(-$A54/4)</f>
        <v>0.627179720582548</v>
      </c>
      <c r="AX54" s="14" t="n">
        <f aca="false">AV54*AW54</f>
        <v>436309.990465395</v>
      </c>
      <c r="AY54" s="14" t="n">
        <f aca="false">AV54</f>
        <v>695669.799495643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330617.00783822</v>
      </c>
      <c r="G55" s="14" t="n">
        <f aca="false">IF($A55&lt;=$G$4,$E$4*$F$4,IF(C55&gt;=$B$8,E55*$B$4*(1+$B$5)^(($G$4+$B$8+D55*($B$8+$B$10))/4),0))</f>
        <v>1322468.03135288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249537.981576387</v>
      </c>
      <c r="O55" s="14" t="n">
        <f aca="false">IF($A55&lt;=$G$5,$E$5*$F$5,IF(K55&gt;=$B$8,M55*$B$4*(1+$B$5)^(($G$5+$B$8+L55*($B$8+$B$10))/4),0))</f>
        <v>998151.926305546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77555.0100488435</v>
      </c>
      <c r="AE55" s="14" t="n">
        <f aca="false">IF($A55&lt;=$G$7,$E$7*$F$7,IF(AA55&gt;=$B$8,AC55*$B$4*(1+$B$5)^(($G$7+$B$8+AB55*($B$8+$B$10))/4),0))</f>
        <v>310220.040195374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771669.99946345</v>
      </c>
      <c r="AQ55" s="14" t="n">
        <f aca="false">G55+O55+W55+AE55+AM55</f>
        <v>3086679.9978538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695669.799495643</v>
      </c>
      <c r="AU55" s="14" t="n">
        <f aca="false">0</f>
        <v>0</v>
      </c>
      <c r="AV55" s="14" t="n">
        <f aca="false">AT55-AR55-AU55</f>
        <v>695669.799495643</v>
      </c>
      <c r="AW55" s="21" t="n">
        <f aca="false">(1+$B$16)^(-$A55/4)</f>
        <v>0.615584516343389</v>
      </c>
      <c r="AX55" s="14" t="n">
        <f aca="false">AV55*AW55</f>
        <v>428243.557057228</v>
      </c>
      <c r="AY55" s="14" t="n">
        <f aca="false">AV55</f>
        <v>695669.799495643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330617.00783822</v>
      </c>
      <c r="G56" s="14" t="n">
        <f aca="false">IF($A56&lt;=$G$4,$E$4*$F$4,IF(C56&gt;=$B$8,E56*$B$4*(1+$B$5)^(($G$4+$B$8+D56*($B$8+$B$10))/4),0))</f>
        <v>1322468.03135288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249537.981576387</v>
      </c>
      <c r="O56" s="14" t="n">
        <f aca="false">IF($A56&lt;=$G$5,$E$5*$F$5,IF(K56&gt;=$B$8,M56*$B$4*(1+$B$5)^(($G$5+$B$8+L56*($B$8+$B$10))/4),0))</f>
        <v>998151.926305546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-301955.063721553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77555.0100488435</v>
      </c>
      <c r="AE56" s="14" t="n">
        <f aca="false">IF($A56&lt;=$G$7,$E$7*$F$7,IF(AA56&gt;=$B$8,AC56*$B$4*(1+$B$5)^(($G$7+$B$8+AB56*($B$8+$B$10))/4),0))</f>
        <v>310220.040195374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713845.589367494</v>
      </c>
      <c r="AN56" s="14" t="n">
        <f aca="false">IF($A56&lt;=$G$8,0,IF(AI56=0,AK56*$B$6*(1+$B$7)^(($G$8+AJ56*($B$8+$B$10))/4),0)+IF(AI56=$B$8,$B$11*$B$4*(1+$B$5)^(($G$8+$B$8+AJ56*($B$8+$B$10))/4)*AK56,0))</f>
        <v>85661.4707240993</v>
      </c>
      <c r="AO56" s="21" t="n">
        <f aca="false">IF($A56&lt;=$G$8,0,IF(AI56&lt;$B$8,AK56,0))</f>
        <v>0</v>
      </c>
      <c r="AP56" s="14" t="n">
        <f aca="false">F56+N56+V56+AD56+AL56</f>
        <v>657709.99946345</v>
      </c>
      <c r="AQ56" s="14" t="n">
        <f aca="false">G56+O56+W56+AE56+AM56</f>
        <v>3344685.58722129</v>
      </c>
      <c r="AR56" s="14" t="n">
        <f aca="false">H56+P56+X56+AF56+AN56+IF($A56=$B$15,$B$14,0)</f>
        <v>-216293.592997454</v>
      </c>
      <c r="AS56" s="21" t="n">
        <f aca="false">I56+Q56+Y56+AG56+AO56</f>
        <v>1540</v>
      </c>
      <c r="AT56" s="14" t="n">
        <f aca="false">AP56*(1-$B$12)-AS56*$B$13/4</f>
        <v>597072.399495643</v>
      </c>
      <c r="AU56" s="14" t="n">
        <f aca="false">0</f>
        <v>0</v>
      </c>
      <c r="AV56" s="14" t="n">
        <f aca="false">AT56-AR56-AU56</f>
        <v>813365.992493097</v>
      </c>
      <c r="AW56" s="21" t="n">
        <f aca="false">(1+$B$16)^(-$A56/4)</f>
        <v>0.604203682494304</v>
      </c>
      <c r="AX56" s="14" t="n">
        <f aca="false">AV56*AW56</f>
        <v>491438.727879964</v>
      </c>
      <c r="AY56" s="14" t="n">
        <f aca="false">AV56</f>
        <v>813365.992493097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330617.00783822</v>
      </c>
      <c r="G57" s="14" t="n">
        <f aca="false">IF($A57&lt;=$G$4,$E$4*$F$4,IF(C57&gt;=$B$8,E57*$B$4*(1+$B$5)^(($G$4+$B$8+D57*($B$8+$B$10))/4),0))</f>
        <v>1322468.03135288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249537.981576387</v>
      </c>
      <c r="O57" s="14" t="n">
        <f aca="false">IF($A57&lt;=$G$5,$E$5*$F$5,IF(K57&gt;=$B$8,M57*$B$4*(1+$B$5)^(($G$5+$B$8+L57*($B$8+$B$10))/4),0))</f>
        <v>998151.926305546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77555.0100488435</v>
      </c>
      <c r="AE57" s="14" t="n">
        <f aca="false">IF($A57&lt;=$G$7,$E$7*$F$7,IF(AA57&gt;=$B$8,AC57*$B$4*(1+$B$5)^(($G$7+$B$8+AB57*($B$8+$B$10))/4),0))</f>
        <v>310220.040195374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713845.589367494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657709.99946345</v>
      </c>
      <c r="AQ57" s="14" t="n">
        <f aca="false">G57+O57+W57+AE57+AM57</f>
        <v>3344685.58722129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597072.399495643</v>
      </c>
      <c r="AU57" s="14" t="n">
        <f aca="false">0</f>
        <v>0</v>
      </c>
      <c r="AV57" s="14" t="n">
        <f aca="false">AT57-AR57-AU57</f>
        <v>597072.399495643</v>
      </c>
      <c r="AW57" s="21" t="n">
        <f aca="false">(1+$B$16)^(-$A57/4)</f>
        <v>0.5930332557878</v>
      </c>
      <c r="AX57" s="14" t="n">
        <f aca="false">AV57*AW57</f>
        <v>354083.789013935</v>
      </c>
      <c r="AY57" s="14" t="n">
        <f aca="false">AV57</f>
        <v>597072.399495643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330617.00783822</v>
      </c>
      <c r="G58" s="14" t="n">
        <f aca="false">IF($A58&lt;=$G$4,$E$4*$F$4,IF(C58&gt;=$B$8,E58*$B$4*(1+$B$5)^(($G$4+$B$8+D58*($B$8+$B$10))/4),0))</f>
        <v>1322468.03135288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249537.981576387</v>
      </c>
      <c r="O58" s="14" t="n">
        <f aca="false">IF($A58&lt;=$G$5,$E$5*$F$5,IF(K58&gt;=$B$8,M58*$B$4*(1+$B$5)^(($G$5+$B$8+L58*($B$8+$B$10))/4),0))</f>
        <v>998151.926305546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77555.0100488435</v>
      </c>
      <c r="AE58" s="14" t="n">
        <f aca="false">IF($A58&lt;=$G$7,$E$7*$F$7,IF(AA58&gt;=$B$8,AC58*$B$4*(1+$B$5)^(($G$7+$B$8+AB58*($B$8+$B$10))/4),0))</f>
        <v>310220.040195374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713845.589367494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657709.99946345</v>
      </c>
      <c r="AQ58" s="14" t="n">
        <f aca="false">G58+O58+W58+AE58+AM58</f>
        <v>3344685.58722129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597072.399495643</v>
      </c>
      <c r="AU58" s="14" t="n">
        <f aca="false">0</f>
        <v>0</v>
      </c>
      <c r="AV58" s="14" t="n">
        <f aca="false">AT58-AR58-AU58</f>
        <v>597072.399495643</v>
      </c>
      <c r="AW58" s="21" t="n">
        <f aca="false">(1+$B$16)^(-$A58/4)</f>
        <v>0.582069346248305</v>
      </c>
      <c r="AX58" s="14" t="n">
        <f aca="false">AV58*AW58</f>
        <v>347537.541237335</v>
      </c>
      <c r="AY58" s="14" t="n">
        <f aca="false">AV58</f>
        <v>597072.399495643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330617.00783822</v>
      </c>
      <c r="G59" s="14" t="n">
        <f aca="false">IF($A59&lt;=$G$4,$E$4*$F$4,IF(C59&gt;=$B$8,E59*$B$4*(1+$B$5)^(($G$4+$B$8+D59*($B$8+$B$10))/4),0))</f>
        <v>1322468.03135288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249537.981576387</v>
      </c>
      <c r="O59" s="14" t="n">
        <f aca="false">IF($A59&lt;=$G$5,$E$5*$F$5,IF(K59&gt;=$B$8,M59*$B$4*(1+$B$5)^(($G$5+$B$8+L59*($B$8+$B$10))/4),0))</f>
        <v>998151.926305546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514660.43395974</v>
      </c>
      <c r="X59" s="14" t="n">
        <f aca="false">IF($A59&lt;=$G$6,0,IF(S59=0,U59*$B$6*(1+$B$7)^(($G$6+T59*($B$8+$B$10))/4),0)+IF(S59=$B$8,$B$11*$B$4*(1+$B$5)^(($G$6+$B$8+T59*($B$8+$B$10))/4)*U59,0))</f>
        <v>61759.2520751688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-199739.746906003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178461.397341873</v>
      </c>
      <c r="AM59" s="14" t="n">
        <f aca="false">IF($A59&lt;=$G$8,$E$8*$F$8,IF(AI59&gt;=$B$8,AK59*$B$4*(1+$B$5)^(($G$8+$B$8+AJ59*($B$8+$B$10))/4),0))</f>
        <v>713845.589367494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758616.38675648</v>
      </c>
      <c r="AQ59" s="14" t="n">
        <f aca="false">G59+O59+W59+AE59+AM59</f>
        <v>3549125.98098566</v>
      </c>
      <c r="AR59" s="14" t="n">
        <f aca="false">H59+P59+X59+AF59+AN59+IF($A59=$B$15,$B$14,0)</f>
        <v>-137980.494830834</v>
      </c>
      <c r="AS59" s="21" t="n">
        <f aca="false">I59+Q59+Y59+AG59+AO59</f>
        <v>1000</v>
      </c>
      <c r="AT59" s="14" t="n">
        <f aca="false">AP59*(1-$B$12)-AS59*$B$13/4</f>
        <v>699349.403551091</v>
      </c>
      <c r="AU59" s="14" t="n">
        <f aca="false">0</f>
        <v>0</v>
      </c>
      <c r="AV59" s="14" t="n">
        <f aca="false">AT59-AR59-AU59</f>
        <v>837329.898381925</v>
      </c>
      <c r="AW59" s="21" t="n">
        <f aca="false">(1+$B$16)^(-$A59/4)</f>
        <v>0.571308135817531</v>
      </c>
      <c r="AX59" s="14" t="n">
        <f aca="false">AV59*AW59</f>
        <v>478373.38330886</v>
      </c>
      <c r="AY59" s="14" t="n">
        <f aca="false">AV59</f>
        <v>837329.898381925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330617.00783822</v>
      </c>
      <c r="G60" s="14" t="n">
        <f aca="false">IF($A60&lt;=$G$4,$E$4*$F$4,IF(C60&gt;=$B$8,E60*$B$4*(1+$B$5)^(($G$4+$B$8+D60*($B$8+$B$10))/4),0))</f>
        <v>1322468.03135288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249537.981576387</v>
      </c>
      <c r="O60" s="14" t="n">
        <f aca="false">IF($A60&lt;=$G$5,$E$5*$F$5,IF(K60&gt;=$B$8,M60*$B$4*(1+$B$5)^(($G$5+$B$8+L60*($B$8+$B$10))/4),0))</f>
        <v>998151.926305546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514660.43395974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178461.397341873</v>
      </c>
      <c r="AM60" s="14" t="n">
        <f aca="false">IF($A60&lt;=$G$8,$E$8*$F$8,IF(AI60&gt;=$B$8,AK60*$B$4*(1+$B$5)^(($G$8+$B$8+AJ60*($B$8+$B$10))/4),0))</f>
        <v>713845.589367494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758616.38675648</v>
      </c>
      <c r="AQ60" s="14" t="n">
        <f aca="false">G60+O60+W60+AE60+AM60</f>
        <v>3549125.98098566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699349.403551091</v>
      </c>
      <c r="AU60" s="14" t="n">
        <f aca="false">0</f>
        <v>0</v>
      </c>
      <c r="AV60" s="14" t="n">
        <f aca="false">AT60-AR60-AU60</f>
        <v>699349.403551091</v>
      </c>
      <c r="AW60" s="21" t="n">
        <f aca="false">(1+$B$16)^(-$A60/4)</f>
        <v>0.560745877024877</v>
      </c>
      <c r="AX60" s="14" t="n">
        <f aca="false">AV60*AW60</f>
        <v>392157.294641081</v>
      </c>
      <c r="AY60" s="14" t="n">
        <f aca="false">AV60</f>
        <v>699349.403551091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330617.00783822</v>
      </c>
      <c r="G61" s="14" t="n">
        <f aca="false">IF($A61&lt;=$G$4,$E$4*$F$4,IF(C61&gt;=$B$8,E61*$B$4*(1+$B$5)^(($G$4+$B$8+D61*($B$8+$B$10))/4),0))</f>
        <v>1322468.03135288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249537.981576387</v>
      </c>
      <c r="O61" s="14" t="n">
        <f aca="false">IF($A61&lt;=$G$5,$E$5*$F$5,IF(K61&gt;=$B$8,M61*$B$4*(1+$B$5)^(($G$5+$B$8+L61*($B$8+$B$10))/4),0))</f>
        <v>998151.926305546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514660.43395974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178461.397341873</v>
      </c>
      <c r="AM61" s="14" t="n">
        <f aca="false">IF($A61&lt;=$G$8,$E$8*$F$8,IF(AI61&gt;=$B$8,AK61*$B$4*(1+$B$5)^(($G$8+$B$8+AJ61*($B$8+$B$10))/4),0))</f>
        <v>713845.589367494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758616.38675648</v>
      </c>
      <c r="AQ61" s="14" t="n">
        <f aca="false">G61+O61+W61+AE61+AM61</f>
        <v>3549125.98098566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699349.403551091</v>
      </c>
      <c r="AU61" s="14" t="n">
        <f aca="false">0</f>
        <v>0</v>
      </c>
      <c r="AV61" s="14" t="n">
        <f aca="false">AT61-AR61-AU61</f>
        <v>699349.403551091</v>
      </c>
      <c r="AW61" s="21" t="n">
        <f aca="false">(1+$B$16)^(-$A61/4)</f>
        <v>0.550378891682413</v>
      </c>
      <c r="AX61" s="14" t="n">
        <f aca="false">AV61*AW61</f>
        <v>384907.149625206</v>
      </c>
      <c r="AY61" s="14" t="n">
        <f aca="false">AV61</f>
        <v>699349.403551091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330617.00783822</v>
      </c>
      <c r="G62" s="14" t="n">
        <f aca="false">IF($A62&lt;=$G$4,$E$4*$F$4,IF(C62&gt;=$B$8,E62*$B$4*(1+$B$5)^(($G$4+$B$8+D62*($B$8+$B$10))/4),0))</f>
        <v>1322468.03135288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249537.981576387</v>
      </c>
      <c r="O62" s="14" t="n">
        <f aca="false">IF($A62&lt;=$G$5,$E$5*$F$5,IF(K62&gt;=$B$8,M62*$B$4*(1+$B$5)^(($G$5+$B$8+L62*($B$8+$B$10))/4),0))</f>
        <v>998151.926305546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128665.108489935</v>
      </c>
      <c r="W62" s="14" t="n">
        <f aca="false">IF($A62&lt;=$G$6,$E$6*$F$6,IF(S62&gt;=$B$8,U62*$B$4*(1+$B$5)^(($G$6+$B$8+T62*($B$8+$B$10))/4),0))</f>
        <v>514660.43395974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337947.775978592</v>
      </c>
      <c r="AF62" s="14" t="n">
        <f aca="false">IF($A62&lt;=$G$7,0,IF(AA62=0,AC62*$B$6*(1+$B$7)^(($G$7+AB62*($B$8+$B$10))/4),0)+IF(AA62=$B$8,$B$11*$B$4*(1+$B$5)^(($G$7+$B$8+AB62*($B$8+$B$10))/4)*AC62,0))</f>
        <v>40553.733117431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178461.397341873</v>
      </c>
      <c r="AM62" s="14" t="n">
        <f aca="false">IF($A62&lt;=$G$8,$E$8*$F$8,IF(AI62&gt;=$B$8,AK62*$B$4*(1+$B$5)^(($G$8+$B$8+AJ62*($B$8+$B$10))/4),0))</f>
        <v>713845.589367494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887281.495246415</v>
      </c>
      <c r="AQ62" s="14" t="n">
        <f aca="false">G62+O62+W62+AE62+AM62</f>
        <v>3887073.75696425</v>
      </c>
      <c r="AR62" s="14" t="n">
        <f aca="false">H62+P62+X62+AF62+AN62+IF($A62=$B$15,$B$14,0)</f>
        <v>40553.733117431</v>
      </c>
      <c r="AS62" s="21" t="n">
        <f aca="false">I62+Q62+Y62+AG62+AO62</f>
        <v>0</v>
      </c>
      <c r="AT62" s="14" t="n">
        <f aca="false">AP62*(1-$B$12)-AS62*$B$13/4</f>
        <v>834044.60553163</v>
      </c>
      <c r="AU62" s="14" t="n">
        <f aca="false">0</f>
        <v>0</v>
      </c>
      <c r="AV62" s="14" t="n">
        <f aca="false">AT62-AR62-AU62</f>
        <v>793490.872414199</v>
      </c>
      <c r="AW62" s="21" t="n">
        <f aca="false">(1+$B$16)^(-$A62/4)</f>
        <v>0.540203569603995</v>
      </c>
      <c r="AX62" s="14" t="n">
        <f aca="false">AV62*AW62</f>
        <v>428646.601726338</v>
      </c>
      <c r="AY62" s="14" t="n">
        <f aca="false">AV62</f>
        <v>793490.872414199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-859879.610430342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249537.981576387</v>
      </c>
      <c r="O63" s="14" t="n">
        <f aca="false">IF($A63&lt;=$G$5,$E$5*$F$5,IF(K63&gt;=$B$8,M63*$B$4*(1+$B$5)^(($G$5+$B$8+L63*($B$8+$B$10))/4),0))</f>
        <v>998151.926305546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128665.108489935</v>
      </c>
      <c r="W63" s="14" t="n">
        <f aca="false">IF($A63&lt;=$G$6,$E$6*$F$6,IF(S63&gt;=$B$8,U63*$B$4*(1+$B$5)^(($G$6+$B$8+T63*($B$8+$B$10))/4),0))</f>
        <v>514660.43395974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337947.775978592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178461.397341873</v>
      </c>
      <c r="AM63" s="14" t="n">
        <f aca="false">IF($A63&lt;=$G$8,$E$8*$F$8,IF(AI63&gt;=$B$8,AK63*$B$4*(1+$B$5)^(($G$8+$B$8+AJ63*($B$8+$B$10))/4),0))</f>
        <v>713845.589367494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556664.487408195</v>
      </c>
      <c r="AQ63" s="14" t="n">
        <f aca="false">G63+O63+W63+AE63+AM63</f>
        <v>2564605.72561137</v>
      </c>
      <c r="AR63" s="14" t="n">
        <f aca="false">H63+P63+X63+AF63+AN63+IF($A63=$B$15,$B$14,0)</f>
        <v>-859879.610430342</v>
      </c>
      <c r="AS63" s="21" t="n">
        <f aca="false">I63+Q63+Y63+AG63+AO63</f>
        <v>4200</v>
      </c>
      <c r="AT63" s="14" t="n">
        <f aca="false">AP63*(1-$B$12)-AS63*$B$13/4</f>
        <v>465514.618163703</v>
      </c>
      <c r="AU63" s="14" t="n">
        <f aca="false">0</f>
        <v>0</v>
      </c>
      <c r="AV63" s="14" t="n">
        <f aca="false">AT63-AR63-AU63</f>
        <v>1325394.22859405</v>
      </c>
      <c r="AW63" s="21" t="n">
        <f aca="false">(1+$B$16)^(-$A63/4)</f>
        <v>0.530216367348056</v>
      </c>
      <c r="AX63" s="14" t="n">
        <f aca="false">AV63*AW63</f>
        <v>702745.713189214</v>
      </c>
      <c r="AY63" s="14" t="n">
        <f aca="false">AV63</f>
        <v>1325394.22859405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249537.981576387</v>
      </c>
      <c r="O64" s="14" t="n">
        <f aca="false">IF($A64&lt;=$G$5,$E$5*$F$5,IF(K64&gt;=$B$8,M64*$B$4*(1+$B$5)^(($G$5+$B$8+L64*($B$8+$B$10))/4),0))</f>
        <v>998151.926305546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128665.108489935</v>
      </c>
      <c r="W64" s="14" t="n">
        <f aca="false">IF($A64&lt;=$G$6,$E$6*$F$6,IF(S64&gt;=$B$8,U64*$B$4*(1+$B$5)^(($G$6+$B$8+T64*($B$8+$B$10))/4),0))</f>
        <v>514660.43395974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337947.775978592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178461.397341873</v>
      </c>
      <c r="AM64" s="14" t="n">
        <f aca="false">IF($A64&lt;=$G$8,$E$8*$F$8,IF(AI64&gt;=$B$8,AK64*$B$4*(1+$B$5)^(($G$8+$B$8+AJ64*($B$8+$B$10))/4),0))</f>
        <v>713845.589367494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556664.487408195</v>
      </c>
      <c r="AQ64" s="14" t="n">
        <f aca="false">G64+O64+W64+AE64+AM64</f>
        <v>2564605.72561137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465514.618163703</v>
      </c>
      <c r="AU64" s="14" t="n">
        <f aca="false">0</f>
        <v>0</v>
      </c>
      <c r="AV64" s="14" t="n">
        <f aca="false">AT64-AR64-AU64</f>
        <v>465514.618163703</v>
      </c>
      <c r="AW64" s="21" t="n">
        <f aca="false">(1+$B$16)^(-$A64/4)</f>
        <v>0.520413806983644</v>
      </c>
      <c r="AX64" s="14" t="n">
        <f aca="false">AV64*AW64</f>
        <v>242260.23464511</v>
      </c>
      <c r="AY64" s="14" t="n">
        <f aca="false">AV64</f>
        <v>465514.618163703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249537.981576387</v>
      </c>
      <c r="O65" s="14" t="n">
        <f aca="false">IF($A65&lt;=$G$5,$E$5*$F$5,IF(K65&gt;=$B$8,M65*$B$4*(1+$B$5)^(($G$5+$B$8+L65*($B$8+$B$10))/4),0))</f>
        <v>998151.926305546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128665.108489935</v>
      </c>
      <c r="W65" s="14" t="n">
        <f aca="false">IF($A65&lt;=$G$6,$E$6*$F$6,IF(S65&gt;=$B$8,U65*$B$4*(1+$B$5)^(($G$6+$B$8+T65*($B$8+$B$10))/4),0))</f>
        <v>514660.43395974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84486.943994648</v>
      </c>
      <c r="AE65" s="14" t="n">
        <f aca="false">IF($A65&lt;=$G$7,$E$7*$F$7,IF(AA65&gt;=$B$8,AC65*$B$4*(1+$B$5)^(($G$7+$B$8+AB65*($B$8+$B$10))/4),0))</f>
        <v>337947.775978592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178461.397341873</v>
      </c>
      <c r="AM65" s="14" t="n">
        <f aca="false">IF($A65&lt;=$G$8,$E$8*$F$8,IF(AI65&gt;=$B$8,AK65*$B$4*(1+$B$5)^(($G$8+$B$8+AJ65*($B$8+$B$10))/4),0))</f>
        <v>713845.589367494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641151.431402843</v>
      </c>
      <c r="AQ65" s="14" t="n">
        <f aca="false">G65+O65+W65+AE65+AM65</f>
        <v>2564605.72561137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544932.345518672</v>
      </c>
      <c r="AU65" s="14" t="n">
        <f aca="false">0</f>
        <v>0</v>
      </c>
      <c r="AV65" s="14" t="n">
        <f aca="false">AT65-AR65-AU65</f>
        <v>544932.345518672</v>
      </c>
      <c r="AW65" s="21" t="n">
        <f aca="false">(1+$B$16)^(-$A65/4)</f>
        <v>0.51079247487927</v>
      </c>
      <c r="AX65" s="14" t="n">
        <f aca="false">AV65*AW65</f>
        <v>278347.341409248</v>
      </c>
      <c r="AY65" s="14" t="n">
        <f aca="false">AV65</f>
        <v>544932.345518672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1440671.36899674</v>
      </c>
      <c r="H66" s="14" t="n">
        <f aca="false">IF($A66&lt;=$G$4,0,IF(C66=0,E66*$B$6*(1+$B$7)^(($G$4+D66*($B$8+$B$10))/4),0)+IF(C66=$B$8,$B$11*$B$4*(1+$B$5)^(($G$4+$B$8+D66*($B$8+$B$10))/4)*E66,0))</f>
        <v>172880.564279608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249537.981576387</v>
      </c>
      <c r="O66" s="14" t="n">
        <f aca="false">IF($A66&lt;=$G$5,$E$5*$F$5,IF(K66&gt;=$B$8,M66*$B$4*(1+$B$5)^(($G$5+$B$8+L66*($B$8+$B$10))/4),0))</f>
        <v>998151.926305546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128665.108489935</v>
      </c>
      <c r="W66" s="14" t="n">
        <f aca="false">IF($A66&lt;=$G$6,$E$6*$F$6,IF(S66&gt;=$B$8,U66*$B$4*(1+$B$5)^(($G$6+$B$8+T66*($B$8+$B$10))/4),0))</f>
        <v>514660.43395974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84486.943994648</v>
      </c>
      <c r="AE66" s="14" t="n">
        <f aca="false">IF($A66&lt;=$G$7,$E$7*$F$7,IF(AA66&gt;=$B$8,AC66*$B$4*(1+$B$5)^(($G$7+$B$8+AB66*($B$8+$B$10))/4),0))</f>
        <v>337947.775978592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178461.397341873</v>
      </c>
      <c r="AM66" s="14" t="n">
        <f aca="false">IF($A66&lt;=$G$8,$E$8*$F$8,IF(AI66&gt;=$B$8,AK66*$B$4*(1+$B$5)^(($G$8+$B$8+AJ66*($B$8+$B$10))/4),0))</f>
        <v>713845.589367494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641151.431402843</v>
      </c>
      <c r="AQ66" s="14" t="n">
        <f aca="false">G66+O66+W66+AE66+AM66</f>
        <v>4005277.09460811</v>
      </c>
      <c r="AR66" s="14" t="n">
        <f aca="false">H66+P66+X66+AF66+AN66+IF($A66=$B$15,$B$14,0)</f>
        <v>172880.564279608</v>
      </c>
      <c r="AS66" s="21" t="n">
        <f aca="false">I66+Q66+Y66+AG66+AO66</f>
        <v>0</v>
      </c>
      <c r="AT66" s="14" t="n">
        <f aca="false">AP66*(1-$B$12)-AS66*$B$13/4</f>
        <v>602682.345518672</v>
      </c>
      <c r="AU66" s="14" t="n">
        <f aca="false">0</f>
        <v>0</v>
      </c>
      <c r="AV66" s="14" t="n">
        <f aca="false">AT66-AR66-AU66</f>
        <v>429801.781239064</v>
      </c>
      <c r="AW66" s="21" t="n">
        <f aca="false">(1+$B$16)^(-$A66/4)</f>
        <v>0.501349020514149</v>
      </c>
      <c r="AX66" s="14" t="n">
        <f aca="false">AV66*AW66</f>
        <v>215480.702039441</v>
      </c>
      <c r="AY66" s="14" t="n">
        <f aca="false">AV66</f>
        <v>429801.781239064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1440671.36899674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249537.981576387</v>
      </c>
      <c r="O67" s="14" t="n">
        <f aca="false">IF($A67&lt;=$G$5,$E$5*$F$5,IF(K67&gt;=$B$8,M67*$B$4*(1+$B$5)^(($G$5+$B$8+L67*($B$8+$B$10))/4),0))</f>
        <v>998151.926305546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128665.108489935</v>
      </c>
      <c r="W67" s="14" t="n">
        <f aca="false">IF($A67&lt;=$G$6,$E$6*$F$6,IF(S67&gt;=$B$8,U67*$B$4*(1+$B$5)^(($G$6+$B$8+T67*($B$8+$B$10))/4),0))</f>
        <v>514660.43395974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84486.943994648</v>
      </c>
      <c r="AE67" s="14" t="n">
        <f aca="false">IF($A67&lt;=$G$7,$E$7*$F$7,IF(AA67&gt;=$B$8,AC67*$B$4*(1+$B$5)^(($G$7+$B$8+AB67*($B$8+$B$10))/4),0))</f>
        <v>337947.775978592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178461.397341873</v>
      </c>
      <c r="AM67" s="14" t="n">
        <f aca="false">IF($A67&lt;=$G$8,$E$8*$F$8,IF(AI67&gt;=$B$8,AK67*$B$4*(1+$B$5)^(($G$8+$B$8+AJ67*($B$8+$B$10))/4),0))</f>
        <v>713845.589367494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641151.431402843</v>
      </c>
      <c r="AQ67" s="14" t="n">
        <f aca="false">G67+O67+W67+AE67+AM67</f>
        <v>4005277.09460811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602682.345518672</v>
      </c>
      <c r="AU67" s="14" t="n">
        <f aca="false">0</f>
        <v>0</v>
      </c>
      <c r="AV67" s="14" t="n">
        <f aca="false">AT67-AR67-AU67</f>
        <v>602682.345518672</v>
      </c>
      <c r="AW67" s="21" t="n">
        <f aca="false">(1+$B$16)^(-$A67/4)</f>
        <v>0.492080155311421</v>
      </c>
      <c r="AX67" s="14" t="n">
        <f aca="false">AV67*AW67</f>
        <v>296568.02218628</v>
      </c>
      <c r="AY67" s="14" t="n">
        <f aca="false">AV67</f>
        <v>602682.345518672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1440671.36899674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249537.981576387</v>
      </c>
      <c r="O68" s="14" t="n">
        <f aca="false">IF($A68&lt;=$G$5,$E$5*$F$5,IF(K68&gt;=$B$8,M68*$B$4*(1+$B$5)^(($G$5+$B$8+L68*($B$8+$B$10))/4),0))</f>
        <v>998151.926305546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128665.108489935</v>
      </c>
      <c r="W68" s="14" t="n">
        <f aca="false">IF($A68&lt;=$G$6,$E$6*$F$6,IF(S68&gt;=$B$8,U68*$B$4*(1+$B$5)^(($G$6+$B$8+T68*($B$8+$B$10))/4),0))</f>
        <v>514660.43395974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84486.943994648</v>
      </c>
      <c r="AE68" s="14" t="n">
        <f aca="false">IF($A68&lt;=$G$7,$E$7*$F$7,IF(AA68&gt;=$B$8,AC68*$B$4*(1+$B$5)^(($G$7+$B$8+AB68*($B$8+$B$10))/4),0))</f>
        <v>337947.775978592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178461.397341873</v>
      </c>
      <c r="AM68" s="14" t="n">
        <f aca="false">IF($A68&lt;=$G$8,$E$8*$F$8,IF(AI68&gt;=$B$8,AK68*$B$4*(1+$B$5)^(($G$8+$B$8+AJ68*($B$8+$B$10))/4),0))</f>
        <v>713845.589367494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641151.431402843</v>
      </c>
      <c r="AQ68" s="14" t="n">
        <f aca="false">G68+O68+W68+AE68+AM68</f>
        <v>4005277.09460811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602682.345518672</v>
      </c>
      <c r="AU68" s="14" t="n">
        <f aca="false">0</f>
        <v>0</v>
      </c>
      <c r="AV68" s="14" t="n">
        <f aca="false">AT68-AR68-AU68</f>
        <v>602682.345518672</v>
      </c>
      <c r="AW68" s="21" t="n">
        <f aca="false">(1+$B$16)^(-$A68/4)</f>
        <v>0.482982651492941</v>
      </c>
      <c r="AX68" s="14" t="n">
        <f aca="false">AV68*AW68</f>
        <v>291085.117246593</v>
      </c>
      <c r="AY68" s="14" t="n">
        <f aca="false">AV68</f>
        <v>602682.345518672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360167.842249184</v>
      </c>
      <c r="G69" s="14" t="n">
        <f aca="false">IF($A69&lt;=$G$4,$E$4*$F$4,IF(C69&gt;=$B$8,E69*$B$4*(1+$B$5)^(($G$4+$B$8+D69*($B$8+$B$10))/4),0))</f>
        <v>1440671.36899674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-658621.422447319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128665.108489935</v>
      </c>
      <c r="W69" s="14" t="n">
        <f aca="false">IF($A69&lt;=$G$6,$E$6*$F$6,IF(S69&gt;=$B$8,U69*$B$4*(1+$B$5)^(($G$6+$B$8+T69*($B$8+$B$10))/4),0))</f>
        <v>514660.43395974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84486.943994648</v>
      </c>
      <c r="AE69" s="14" t="n">
        <f aca="false">IF($A69&lt;=$G$7,$E$7*$F$7,IF(AA69&gt;=$B$8,AC69*$B$4*(1+$B$5)^(($G$7+$B$8+AB69*($B$8+$B$10))/4),0))</f>
        <v>337947.775978592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178461.397341873</v>
      </c>
      <c r="AM69" s="14" t="n">
        <f aca="false">IF($A69&lt;=$G$8,$E$8*$F$8,IF(AI69&gt;=$B$8,AK69*$B$4*(1+$B$5)^(($G$8+$B$8+AJ69*($B$8+$B$10))/4),0))</f>
        <v>713845.589367494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751781.292075641</v>
      </c>
      <c r="AQ69" s="14" t="n">
        <f aca="false">G69+O69+W69+AE69+AM69</f>
        <v>3007125.16830256</v>
      </c>
      <c r="AR69" s="14" t="n">
        <f aca="false">H69+P69+X69+AF69+AN69+IF($A69=$B$15,$B$14,0)</f>
        <v>-658621.422447319</v>
      </c>
      <c r="AS69" s="21" t="n">
        <f aca="false">I69+Q69+Y69+AG69+AO69</f>
        <v>3100</v>
      </c>
      <c r="AT69" s="14" t="n">
        <f aca="false">AP69*(1-$B$12)-AS69*$B$13/4</f>
        <v>664049.414551102</v>
      </c>
      <c r="AU69" s="14" t="n">
        <f aca="false">0</f>
        <v>0</v>
      </c>
      <c r="AV69" s="14" t="n">
        <f aca="false">AT69-AR69-AU69</f>
        <v>1322670.83699842</v>
      </c>
      <c r="AW69" s="21" t="n">
        <f aca="false">(1+$B$16)^(-$A69/4)</f>
        <v>0.474053340955239</v>
      </c>
      <c r="AX69" s="14" t="n">
        <f aca="false">AV69*AW69</f>
        <v>627016.529263164</v>
      </c>
      <c r="AY69" s="14" t="n">
        <f aca="false">AV69+$J$9</f>
        <v>57970095.5752323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7" min="4" style="0" width="13"/>
    <col collapsed="false" customWidth="true" hidden="false" outlineLevel="0" max="8" min="8" style="0" width="12"/>
    <col collapsed="false" customWidth="true" hidden="false" outlineLevel="0" max="9" min="9" style="0" width="44"/>
    <col collapsed="false" customWidth="true" hidden="false" outlineLevel="0" max="10" min="10" style="0" width="16"/>
  </cols>
  <sheetData>
    <row r="1" customFormat="false" ht="16.15" hidden="false" customHeight="false" outlineLevel="0" collapsed="false">
      <c r="A1" s="5" t="s">
        <v>338</v>
      </c>
    </row>
    <row r="2" customFormat="false" ht="15" hidden="false" customHeight="false" outlineLevel="0" collapsed="false">
      <c r="A2" s="22" t="s">
        <v>310</v>
      </c>
    </row>
    <row r="3" customFormat="false" ht="15" hidden="false" customHeight="false" outlineLevel="0" collapsed="false">
      <c r="A3" s="20" t="s">
        <v>259</v>
      </c>
      <c r="B3" s="20" t="s">
        <v>260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261</v>
      </c>
      <c r="I3" s="20" t="s">
        <v>262</v>
      </c>
      <c r="J3" s="20" t="s">
        <v>260</v>
      </c>
    </row>
    <row r="4" customFormat="false" ht="15" hidden="false" customHeight="false" outlineLevel="0" collapsed="false">
      <c r="A4" s="0" t="s">
        <v>22</v>
      </c>
      <c r="B4" s="16" t="n">
        <f aca="false">'2. Inputs'!B3</f>
        <v>300</v>
      </c>
      <c r="D4" s="0" t="str">
        <f aca="false">'3. Leases'!A3</f>
        <v>Tenant A</v>
      </c>
      <c r="E4" s="14" t="n">
        <f aca="false">'3. Leases'!B3</f>
        <v>4200</v>
      </c>
      <c r="F4" s="16" t="n">
        <f aca="false">'3. Leases'!C3</f>
        <v>318</v>
      </c>
      <c r="G4" s="13" t="n">
        <f aca="false">'3. Leases'!D3</f>
        <v>10</v>
      </c>
      <c r="H4" s="23" t="n">
        <f aca="false">$B$21</f>
        <v>0</v>
      </c>
      <c r="I4" s="21" t="s">
        <v>99</v>
      </c>
      <c r="J4" s="16" t="n">
        <f aca="false">$B$4*(1+$B$5)^(39/4)</f>
        <v>496.361254789841</v>
      </c>
    </row>
    <row r="5" customFormat="false" ht="15" hidden="false" customHeight="false" outlineLevel="0" collapsed="false">
      <c r="A5" s="0" t="s">
        <v>23</v>
      </c>
      <c r="B5" s="25" t="n">
        <v>0.053</v>
      </c>
      <c r="D5" s="0" t="str">
        <f aca="false">'3. Leases'!A4</f>
        <v>Tenant B</v>
      </c>
      <c r="E5" s="14" t="n">
        <f aca="false">'3. Leases'!B4</f>
        <v>3100</v>
      </c>
      <c r="F5" s="16" t="n">
        <f aca="false">'3. Leases'!C4</f>
        <v>305</v>
      </c>
      <c r="G5" s="13" t="n">
        <f aca="false">'3. Leases'!D4</f>
        <v>16</v>
      </c>
      <c r="H5" s="23" t="n">
        <f aca="false">$B$21</f>
        <v>0</v>
      </c>
      <c r="I5" s="21" t="s">
        <v>100</v>
      </c>
      <c r="J5" s="16" t="n">
        <f aca="false">$B$6*(1+$B$7)^(39/4)</f>
        <v>534.326825242175</v>
      </c>
    </row>
    <row r="6" customFormat="false" ht="15" hidden="false" customHeight="false" outlineLevel="0" collapsed="false">
      <c r="A6" s="0" t="s">
        <v>24</v>
      </c>
      <c r="B6" s="16" t="n">
        <f aca="false">'2. Inputs'!B5</f>
        <v>420</v>
      </c>
      <c r="D6" s="0" t="str">
        <f aca="false">'3. Leases'!A5</f>
        <v>Tenant C</v>
      </c>
      <c r="E6" s="14" t="n">
        <f aca="false">'3. Leases'!B5</f>
        <v>1540</v>
      </c>
      <c r="F6" s="16" t="n">
        <f aca="false">'3. Leases'!C5</f>
        <v>296</v>
      </c>
      <c r="G6" s="13" t="n">
        <f aca="false">'3. Leases'!D5</f>
        <v>26</v>
      </c>
      <c r="H6" s="23" t="n">
        <f aca="false">$B$21</f>
        <v>0</v>
      </c>
      <c r="I6" s="21" t="s">
        <v>263</v>
      </c>
      <c r="J6" s="14" t="n">
        <f aca="false">AQ69</f>
        <v>4037278.8637475</v>
      </c>
    </row>
    <row r="7" customFormat="false" ht="15" hidden="false" customHeight="false" outlineLevel="0" collapsed="false">
      <c r="A7" s="0" t="s">
        <v>25</v>
      </c>
      <c r="B7" s="18" t="n">
        <f aca="false">'2. Inputs'!B6</f>
        <v>0.025</v>
      </c>
      <c r="D7" s="0" t="str">
        <f aca="false">'3. Leases'!A6</f>
        <v>Tenant D</v>
      </c>
      <c r="E7" s="14" t="n">
        <f aca="false">'3. Leases'!B6</f>
        <v>1000</v>
      </c>
      <c r="F7" s="16" t="n">
        <f aca="false">'3. Leases'!C6</f>
        <v>312</v>
      </c>
      <c r="G7" s="13" t="n">
        <f aca="false">'3. Leases'!D6</f>
        <v>6</v>
      </c>
      <c r="H7" s="23" t="n">
        <f aca="false">$B$21</f>
        <v>0</v>
      </c>
      <c r="I7" s="21" t="s">
        <v>98</v>
      </c>
      <c r="J7" s="14" t="n">
        <f aca="false">AS69</f>
        <v>3100</v>
      </c>
    </row>
    <row r="8" customFormat="false" ht="15" hidden="false" customHeight="false" outlineLevel="0" collapsed="false">
      <c r="A8" s="0" t="s">
        <v>26</v>
      </c>
      <c r="B8" s="13" t="n">
        <f aca="false">'2. Inputs'!B7</f>
        <v>3</v>
      </c>
      <c r="D8" s="0" t="str">
        <f aca="false">'3. Leases'!A7</f>
        <v>Vacant</v>
      </c>
      <c r="E8" s="14" t="n">
        <f aca="false">'3. Leases'!B7</f>
        <v>2160</v>
      </c>
      <c r="F8" s="16" t="n">
        <f aca="false">'3. Leases'!C7</f>
        <v>0</v>
      </c>
      <c r="G8" s="13" t="n">
        <f aca="false">'3. Leases'!D7</f>
        <v>0</v>
      </c>
      <c r="H8" s="23" t="n">
        <f aca="false">$B$21</f>
        <v>0</v>
      </c>
      <c r="I8" s="21" t="s">
        <v>101</v>
      </c>
      <c r="J8" s="14" t="n">
        <f aca="false">(J6+J7*J4)*(1-$B$12)</f>
        <v>5241438.82838024</v>
      </c>
    </row>
    <row r="9" customFormat="false" ht="15" hidden="false" customHeight="false" outlineLevel="0" collapsed="false">
      <c r="A9" s="0" t="s">
        <v>27</v>
      </c>
      <c r="B9" s="13" t="n">
        <f aca="false">'2. Inputs'!B8</f>
        <v>3</v>
      </c>
      <c r="I9" s="21" t="s">
        <v>102</v>
      </c>
      <c r="J9" s="14" t="n">
        <f aca="false">(J8/$B$17-J7*J5)*(1-$B$19)</f>
        <v>74854614.4606718</v>
      </c>
    </row>
    <row r="10" customFormat="false" ht="15" hidden="false" customHeight="false" outlineLevel="0" collapsed="false">
      <c r="A10" s="0" t="s">
        <v>28</v>
      </c>
      <c r="B10" s="13" t="n">
        <f aca="false">'2. Inputs'!B9</f>
        <v>20</v>
      </c>
      <c r="I10" s="21" t="s">
        <v>103</v>
      </c>
      <c r="J10" s="14" t="n">
        <f aca="false">SUM(AX29:AX69)</f>
        <v>10309488.379934</v>
      </c>
    </row>
    <row r="11" customFormat="false" ht="15" hidden="false" customHeight="false" outlineLevel="0" collapsed="false">
      <c r="A11" s="0" t="s">
        <v>29</v>
      </c>
      <c r="B11" s="18" t="n">
        <f aca="false">'2. Inputs'!B10</f>
        <v>0.12</v>
      </c>
      <c r="I11" s="21" t="s">
        <v>104</v>
      </c>
      <c r="J11" s="14" t="n">
        <f aca="false">J9*AW69</f>
        <v>35485080.0709978</v>
      </c>
    </row>
    <row r="12" customFormat="false" ht="15" hidden="false" customHeight="false" outlineLevel="0" collapsed="false">
      <c r="A12" s="0" t="s">
        <v>30</v>
      </c>
      <c r="B12" s="18" t="n">
        <f aca="false">'2. Inputs'!B11</f>
        <v>0.06</v>
      </c>
      <c r="I12" s="21" t="s">
        <v>105</v>
      </c>
      <c r="J12" s="14" t="n">
        <f aca="false">J10+J11</f>
        <v>45794568.4509318</v>
      </c>
    </row>
    <row r="13" customFormat="false" ht="15" hidden="false" customHeight="false" outlineLevel="0" collapsed="false">
      <c r="A13" s="0" t="s">
        <v>31</v>
      </c>
      <c r="B13" s="16" t="n">
        <f aca="false">'2. Inputs'!B12</f>
        <v>55</v>
      </c>
      <c r="I13" s="21" t="s">
        <v>106</v>
      </c>
      <c r="J13" s="17" t="n">
        <f aca="false">J12/(1+$B$18)</f>
        <v>42999594.7896073</v>
      </c>
    </row>
    <row r="14" customFormat="false" ht="15" hidden="false" customHeight="false" outlineLevel="0" collapsed="false">
      <c r="A14" s="0" t="s">
        <v>32</v>
      </c>
      <c r="B14" s="14" t="n">
        <f aca="false">'2. Inputs'!B13</f>
        <v>1900000</v>
      </c>
      <c r="I14" s="21" t="s">
        <v>107</v>
      </c>
      <c r="J14" s="23" t="n">
        <f aca="false">J11/J12</f>
        <v>0.774875302275629</v>
      </c>
    </row>
    <row r="15" customFormat="false" ht="15" hidden="false" customHeight="false" outlineLevel="0" collapsed="false">
      <c r="A15" s="0" t="s">
        <v>33</v>
      </c>
      <c r="B15" s="13" t="n">
        <f aca="false">'2. Inputs'!B14</f>
        <v>12</v>
      </c>
      <c r="I15" s="21" t="s">
        <v>113</v>
      </c>
      <c r="J15" s="18" t="n">
        <f aca="false">(1+IRR(AY29:AY69,0.01))^4-1</f>
        <v>0.0774988426028878</v>
      </c>
    </row>
    <row r="16" customFormat="false" ht="15" hidden="false" customHeight="false" outlineLevel="0" collapsed="false">
      <c r="A16" s="0" t="s">
        <v>34</v>
      </c>
      <c r="B16" s="18" t="n">
        <f aca="false">'2. Inputs'!B15</f>
        <v>0.0775</v>
      </c>
      <c r="I16" s="21" t="s">
        <v>108</v>
      </c>
      <c r="J16" s="14" t="n">
        <f aca="false">SUM(AT30:AT69)</f>
        <v>28427034.3795091</v>
      </c>
    </row>
    <row r="17" customFormat="false" ht="15" hidden="false" customHeight="false" outlineLevel="0" collapsed="false">
      <c r="A17" s="0" t="s">
        <v>35</v>
      </c>
      <c r="B17" s="18" t="n">
        <f aca="false">'2. Inputs'!B16</f>
        <v>0.0675</v>
      </c>
      <c r="I17" s="21" t="s">
        <v>109</v>
      </c>
      <c r="J17" s="14" t="n">
        <f aca="false">SUM(AR30:AR69)</f>
        <v>13610067.2987853</v>
      </c>
    </row>
    <row r="18" customFormat="false" ht="15" hidden="false" customHeight="false" outlineLevel="0" collapsed="false">
      <c r="A18" s="0" t="s">
        <v>36</v>
      </c>
      <c r="B18" s="18" t="n">
        <f aca="false">'2. Inputs'!B17</f>
        <v>0.065</v>
      </c>
      <c r="I18" s="21" t="s">
        <v>264</v>
      </c>
      <c r="J18" s="14" t="n">
        <f aca="false">J13-'5. Value'!$B$12</f>
        <v>10448394.8945844</v>
      </c>
    </row>
    <row r="19" customFormat="false" ht="15" hidden="false" customHeight="false" outlineLevel="0" collapsed="false">
      <c r="A19" s="0" t="s">
        <v>37</v>
      </c>
      <c r="B19" s="18" t="n">
        <f aca="false">'2. Inputs'!B18</f>
        <v>0.015</v>
      </c>
      <c r="I19" s="21" t="s">
        <v>265</v>
      </c>
      <c r="J19" s="23" t="n">
        <f aca="false">J13/'5. Value'!$B$12-1</f>
        <v>0.320983402402379</v>
      </c>
    </row>
    <row r="20" customFormat="false" ht="15" hidden="false" customHeight="false" outlineLevel="0" collapsed="false">
      <c r="A20" s="0" t="s">
        <v>38</v>
      </c>
      <c r="B20" s="14" t="n">
        <f aca="false">'2. Inputs'!B19</f>
        <v>43000000</v>
      </c>
    </row>
    <row r="21" customFormat="false" ht="15" hidden="false" customHeight="false" outlineLevel="0" collapsed="false">
      <c r="A21" s="0" t="s">
        <v>266</v>
      </c>
      <c r="B21" s="7" t="n">
        <v>0</v>
      </c>
    </row>
    <row r="28" customFormat="false" ht="15" hidden="false" customHeight="false" outlineLevel="0" collapsed="false">
      <c r="A28" s="20" t="s">
        <v>50</v>
      </c>
      <c r="B28" s="20" t="s">
        <v>267</v>
      </c>
      <c r="C28" s="20" t="s">
        <v>268</v>
      </c>
      <c r="D28" s="20" t="s">
        <v>269</v>
      </c>
      <c r="E28" s="20" t="s">
        <v>270</v>
      </c>
      <c r="F28" s="20" t="s">
        <v>271</v>
      </c>
      <c r="G28" s="20" t="s">
        <v>272</v>
      </c>
      <c r="H28" s="20" t="s">
        <v>273</v>
      </c>
      <c r="I28" s="20" t="s">
        <v>274</v>
      </c>
      <c r="J28" s="20" t="s">
        <v>275</v>
      </c>
      <c r="K28" s="20" t="s">
        <v>276</v>
      </c>
      <c r="L28" s="20" t="s">
        <v>277</v>
      </c>
      <c r="M28" s="20" t="s">
        <v>278</v>
      </c>
      <c r="N28" s="20" t="s">
        <v>279</v>
      </c>
      <c r="O28" s="20" t="s">
        <v>280</v>
      </c>
      <c r="P28" s="20" t="s">
        <v>281</v>
      </c>
      <c r="Q28" s="20" t="s">
        <v>282</v>
      </c>
      <c r="R28" s="20" t="s">
        <v>283</v>
      </c>
      <c r="S28" s="20" t="s">
        <v>284</v>
      </c>
      <c r="T28" s="20" t="s">
        <v>285</v>
      </c>
      <c r="U28" s="20" t="s">
        <v>286</v>
      </c>
      <c r="V28" s="20" t="s">
        <v>287</v>
      </c>
      <c r="W28" s="20" t="s">
        <v>288</v>
      </c>
      <c r="X28" s="20" t="s">
        <v>289</v>
      </c>
      <c r="Y28" s="20" t="s">
        <v>290</v>
      </c>
      <c r="Z28" s="20" t="s">
        <v>291</v>
      </c>
      <c r="AA28" s="20" t="s">
        <v>292</v>
      </c>
      <c r="AB28" s="20" t="s">
        <v>293</v>
      </c>
      <c r="AC28" s="20" t="s">
        <v>294</v>
      </c>
      <c r="AD28" s="20" t="s">
        <v>295</v>
      </c>
      <c r="AE28" s="20" t="s">
        <v>296</v>
      </c>
      <c r="AF28" s="20" t="s">
        <v>297</v>
      </c>
      <c r="AG28" s="20" t="s">
        <v>298</v>
      </c>
      <c r="AH28" s="20" t="s">
        <v>299</v>
      </c>
      <c r="AI28" s="20" t="s">
        <v>300</v>
      </c>
      <c r="AJ28" s="20" t="s">
        <v>301</v>
      </c>
      <c r="AK28" s="20" t="s">
        <v>302</v>
      </c>
      <c r="AL28" s="20" t="s">
        <v>303</v>
      </c>
      <c r="AM28" s="20" t="s">
        <v>304</v>
      </c>
      <c r="AN28" s="20" t="s">
        <v>305</v>
      </c>
      <c r="AO28" s="20" t="s">
        <v>306</v>
      </c>
      <c r="AP28" s="20" t="s">
        <v>87</v>
      </c>
      <c r="AQ28" s="20" t="s">
        <v>88</v>
      </c>
      <c r="AR28" s="20" t="s">
        <v>89</v>
      </c>
      <c r="AS28" s="20" t="s">
        <v>90</v>
      </c>
      <c r="AT28" s="20" t="s">
        <v>91</v>
      </c>
      <c r="AU28" s="20" t="s">
        <v>307</v>
      </c>
      <c r="AV28" s="20" t="s">
        <v>92</v>
      </c>
      <c r="AW28" s="20" t="s">
        <v>93</v>
      </c>
      <c r="AX28" s="20" t="s">
        <v>94</v>
      </c>
      <c r="AY28" s="20" t="s">
        <v>308</v>
      </c>
    </row>
    <row r="29" customFormat="false" ht="15" hidden="false" customHeight="false" outlineLevel="0" collapsed="false">
      <c r="A29" s="0" t="n">
        <v>0</v>
      </c>
      <c r="AU29" s="0" t="n">
        <f aca="false">0</f>
        <v>0</v>
      </c>
      <c r="AV29" s="0" t="n">
        <f aca="false">-AU29</f>
        <v>-0</v>
      </c>
      <c r="AW29" s="0" t="n">
        <v>1</v>
      </c>
      <c r="AX29" s="0" t="n">
        <f aca="false">AV29</f>
        <v>-0</v>
      </c>
      <c r="AY29" s="0" t="n">
        <f aca="false">-$B$20*(1+$B$18)-AU29</f>
        <v>-45795000</v>
      </c>
    </row>
    <row r="30" customFormat="false" ht="15" hidden="false" customHeight="false" outlineLevel="0" collapsed="false">
      <c r="A30" s="0" t="n">
        <v>1</v>
      </c>
      <c r="B30" s="0" t="n">
        <f aca="false">$A30-$G$4-1</f>
        <v>-10</v>
      </c>
      <c r="C30" s="0" t="n">
        <f aca="false">IF(B30&lt;0,-1,MOD(B30,$B$8+$B$10))</f>
        <v>-1</v>
      </c>
      <c r="D30" s="0" t="n">
        <f aca="false">IF(B30&lt;0,0,INT(B30/($B$8+$B$10)))</f>
        <v>0</v>
      </c>
      <c r="E30" s="14" t="n">
        <f aca="false">IF($A30&lt;=$G$4,$E$4,$E$4*(1-$H$4)^(D30+1))</f>
        <v>4200</v>
      </c>
      <c r="F30" s="14" t="n">
        <f aca="false">IF($A30&lt;=$G$4,$E$4*$F$4/4,IF(C30&gt;=$B$8+$B$9,E30*$B$4*(1+$B$5)^(($G$4+$B$8+D30*($B$8+$B$10))/4)/4,0))</f>
        <v>333900</v>
      </c>
      <c r="G30" s="14" t="n">
        <f aca="false">IF($A30&lt;=$G$4,$E$4*$F$4,IF(C30&gt;=$B$8,E30*$B$4*(1+$B$5)^(($G$4+$B$8+D30*($B$8+$B$10))/4),0))</f>
        <v>1335600</v>
      </c>
      <c r="H30" s="14" t="n">
        <f aca="false">IF($A30&lt;=$G$4,0,IF(C30=0,E30*$B$6*(1+$B$7)^(($G$4+D30*($B$8+$B$10))/4),0)+IF(C30=$B$8,$B$11*$B$4*(1+$B$5)^(($G$4+$B$8+D30*($B$8+$B$10))/4)*E30,0))</f>
        <v>0</v>
      </c>
      <c r="I30" s="21" t="n">
        <f aca="false">IF($A30&lt;=$G$4,0,IF(C30&lt;$B$8,E30,0))</f>
        <v>0</v>
      </c>
      <c r="J30" s="21" t="n">
        <f aca="false">$A30-$G$5-1</f>
        <v>-16</v>
      </c>
      <c r="K30" s="21" t="n">
        <f aca="false">IF(J30&lt;0,-1,MOD(J30,$B$8+$B$10))</f>
        <v>-1</v>
      </c>
      <c r="L30" s="21" t="n">
        <f aca="false">IF(J30&lt;0,0,INT(J30/($B$8+$B$10)))</f>
        <v>0</v>
      </c>
      <c r="M30" s="14" t="n">
        <f aca="false">IF($A30&lt;=$G$5,$E$5,$E$5*(1-$H$5)^(L30+1))</f>
        <v>3100</v>
      </c>
      <c r="N30" s="14" t="n">
        <f aca="false">IF($A30&lt;=$G$5,$E$5*$F$5/4,IF(K30&gt;=$B$8+$B$9,M30*$B$4*(1+$B$5)^(($G$5+$B$8+L30*($B$8+$B$10))/4)/4,0))</f>
        <v>236375</v>
      </c>
      <c r="O30" s="14" t="n">
        <f aca="false">IF($A30&lt;=$G$5,$E$5*$F$5,IF(K30&gt;=$B$8,M30*$B$4*(1+$B$5)^(($G$5+$B$8+L30*($B$8+$B$10))/4),0))</f>
        <v>945500</v>
      </c>
      <c r="P30" s="14" t="n">
        <f aca="false">IF($A30&lt;=$G$5,0,IF(K30=0,M30*$B$6*(1+$B$7)^(($G$5+L30*($B$8+$B$10))/4),0)+IF(K30=$B$8,$B$11*$B$4*(1+$B$5)^(($G$5+$B$8+L30*($B$8+$B$10))/4)*M30,0))</f>
        <v>0</v>
      </c>
      <c r="Q30" s="21" t="n">
        <f aca="false">IF($A30&lt;=$G$5,0,IF(K30&lt;$B$8,M30,0))</f>
        <v>0</v>
      </c>
      <c r="R30" s="21" t="n">
        <f aca="false">$A30-$G$6-1</f>
        <v>-26</v>
      </c>
      <c r="S30" s="21" t="n">
        <f aca="false">IF(R30&lt;0,-1,MOD(R30,$B$8+$B$10))</f>
        <v>-1</v>
      </c>
      <c r="T30" s="21" t="n">
        <f aca="false">IF(R30&lt;0,0,INT(R30/($B$8+$B$10)))</f>
        <v>0</v>
      </c>
      <c r="U30" s="14" t="n">
        <f aca="false">IF($A30&lt;=$G$6,$E$6,$E$6*(1-$H$6)^(T30+1))</f>
        <v>1540</v>
      </c>
      <c r="V30" s="14" t="n">
        <f aca="false">IF($A30&lt;=$G$6,$E$6*$F$6/4,IF(S30&gt;=$B$8+$B$9,U30*$B$4*(1+$B$5)^(($G$6+$B$8+T30*($B$8+$B$10))/4)/4,0))</f>
        <v>113960</v>
      </c>
      <c r="W30" s="14" t="n">
        <f aca="false">IF($A30&lt;=$G$6,$E$6*$F$6,IF(S30&gt;=$B$8,U30*$B$4*(1+$B$5)^(($G$6+$B$8+T30*($B$8+$B$10))/4),0))</f>
        <v>455840</v>
      </c>
      <c r="X30" s="14" t="n">
        <f aca="false">IF($A30&lt;=$G$6,0,IF(S30=0,U30*$B$6*(1+$B$7)^(($G$6+T30*($B$8+$B$10))/4),0)+IF(S30=$B$8,$B$11*$B$4*(1+$B$5)^(($G$6+$B$8+T30*($B$8+$B$10))/4)*U30,0))</f>
        <v>0</v>
      </c>
      <c r="Y30" s="21" t="n">
        <f aca="false">IF($A30&lt;=$G$6,0,IF(S30&lt;$B$8,U30,0))</f>
        <v>0</v>
      </c>
      <c r="Z30" s="21" t="n">
        <f aca="false">$A30-$G$7-1</f>
        <v>-6</v>
      </c>
      <c r="AA30" s="21" t="n">
        <f aca="false">IF(Z30&lt;0,-1,MOD(Z30,$B$8+$B$10))</f>
        <v>-1</v>
      </c>
      <c r="AB30" s="21" t="n">
        <f aca="false">IF(Z30&lt;0,0,INT(Z30/($B$8+$B$10)))</f>
        <v>0</v>
      </c>
      <c r="AC30" s="14" t="n">
        <f aca="false">IF($A30&lt;=$G$7,$E$7,$E$7*(1-$H$7)^(AB30+1))</f>
        <v>1000</v>
      </c>
      <c r="AD30" s="14" t="n">
        <f aca="false">IF($A30&lt;=$G$7,$E$7*$F$7/4,IF(AA30&gt;=$B$8+$B$9,AC30*$B$4*(1+$B$5)^(($G$7+$B$8+AB30*($B$8+$B$10))/4)/4,0))</f>
        <v>78000</v>
      </c>
      <c r="AE30" s="14" t="n">
        <f aca="false">IF($A30&lt;=$G$7,$E$7*$F$7,IF(AA30&gt;=$B$8,AC30*$B$4*(1+$B$5)^(($G$7+$B$8+AB30*($B$8+$B$10))/4),0))</f>
        <v>312000</v>
      </c>
      <c r="AF30" s="14" t="n">
        <f aca="false">IF($A30&lt;=$G$7,0,IF(AA30=0,AC30*$B$6*(1+$B$7)^(($G$7+AB30*($B$8+$B$10))/4),0)+IF(AA30=$B$8,$B$11*$B$4*(1+$B$5)^(($G$7+$B$8+AB30*($B$8+$B$10))/4)*AC30,0))</f>
        <v>0</v>
      </c>
      <c r="AG30" s="21" t="n">
        <f aca="false">IF($A30&lt;=$G$7,0,IF(AA30&lt;$B$8,AC30,0))</f>
        <v>0</v>
      </c>
      <c r="AH30" s="21" t="n">
        <f aca="false">$A30-$G$8-1</f>
        <v>0</v>
      </c>
      <c r="AI30" s="21" t="n">
        <f aca="false">IF(AH30&lt;0,-1,MOD(AH30,$B$8+$B$10))</f>
        <v>0</v>
      </c>
      <c r="AJ30" s="21" t="n">
        <f aca="false">IF(AH30&lt;0,0,INT(AH30/($B$8+$B$10)))</f>
        <v>0</v>
      </c>
      <c r="AK30" s="21" t="n">
        <f aca="false">IF($A30&lt;=$G$8,$E$8,$E$8*(1-$H$8)^(AJ30+1))</f>
        <v>2160</v>
      </c>
      <c r="AL30" s="14" t="n">
        <f aca="false">IF($A30&lt;=$G$8,$E$8*$F$8/4,IF(AI30&gt;=$B$8+$B$9,AK30*$B$4*(1+$B$5)^(($G$8+$B$8+AJ30*($B$8+$B$10))/4)/4,0))</f>
        <v>0</v>
      </c>
      <c r="AM30" s="14" t="n">
        <f aca="false">IF($A30&lt;=$G$8,$E$8*$F$8,IF(AI30&gt;=$B$8,AK30*$B$4*(1+$B$5)^(($G$8+$B$8+AJ30*($B$8+$B$10))/4),0))</f>
        <v>0</v>
      </c>
      <c r="AN30" s="14" t="n">
        <f aca="false">IF($A30&lt;=$G$8,0,IF(AI30=0,AK30*$B$6*(1+$B$7)^(($G$8+AJ30*($B$8+$B$10))/4),0)+IF(AI30=$B$8,$B$11*$B$4*(1+$B$5)^(($G$8+$B$8+AJ30*($B$8+$B$10))/4)*AK30,0))</f>
        <v>907200</v>
      </c>
      <c r="AO30" s="21" t="n">
        <f aca="false">IF($A30&lt;=$G$8,0,IF(AI30&lt;$B$8,AK30,0))</f>
        <v>2160</v>
      </c>
      <c r="AP30" s="14" t="n">
        <f aca="false">F30+N30+V30+AD30+AL30</f>
        <v>762235</v>
      </c>
      <c r="AQ30" s="14" t="n">
        <f aca="false">G30+O30+W30+AE30+AM30</f>
        <v>3048940</v>
      </c>
      <c r="AR30" s="14" t="n">
        <f aca="false">H30+P30+X30+AF30+AN30+IF($A30=$B$15,$B$14,0)</f>
        <v>907200</v>
      </c>
      <c r="AS30" s="21" t="n">
        <f aca="false">I30+Q30+Y30+AG30+AO30</f>
        <v>2160</v>
      </c>
      <c r="AT30" s="14" t="n">
        <f aca="false">AP30*(1-$B$12)-AS30*$B$13/4</f>
        <v>686800.9</v>
      </c>
      <c r="AU30" s="14" t="n">
        <f aca="false">0</f>
        <v>0</v>
      </c>
      <c r="AV30" s="14" t="n">
        <f aca="false">AT30-AR30-AU30</f>
        <v>-220399.1</v>
      </c>
      <c r="AW30" s="21" t="n">
        <f aca="false">(1+$B$16)^(-$A30/4)</f>
        <v>0.98151215057083</v>
      </c>
      <c r="AX30" s="14" t="n">
        <f aca="false">AV30*AW30</f>
        <v>-216324.394624876</v>
      </c>
      <c r="AY30" s="14" t="n">
        <f aca="false">AV30</f>
        <v>-220399.1</v>
      </c>
    </row>
    <row r="31" customFormat="false" ht="15" hidden="false" customHeight="false" outlineLevel="0" collapsed="false">
      <c r="A31" s="0" t="n">
        <v>2</v>
      </c>
      <c r="B31" s="0" t="n">
        <f aca="false">$A31-$G$4-1</f>
        <v>-9</v>
      </c>
      <c r="C31" s="0" t="n">
        <f aca="false">IF(B31&lt;0,-1,MOD(B31,$B$8+$B$10))</f>
        <v>-1</v>
      </c>
      <c r="D31" s="0" t="n">
        <f aca="false">IF(B31&lt;0,0,INT(B31/($B$8+$B$10)))</f>
        <v>0</v>
      </c>
      <c r="E31" s="14" t="n">
        <f aca="false">IF($A31&lt;=$G$4,$E$4,$E$4*(1-$H$4)^(D31+1))</f>
        <v>4200</v>
      </c>
      <c r="F31" s="14" t="n">
        <f aca="false">IF($A31&lt;=$G$4,$E$4*$F$4/4,IF(C31&gt;=$B$8+$B$9,E31*$B$4*(1+$B$5)^(($G$4+$B$8+D31*($B$8+$B$10))/4)/4,0))</f>
        <v>333900</v>
      </c>
      <c r="G31" s="14" t="n">
        <f aca="false">IF($A31&lt;=$G$4,$E$4*$F$4,IF(C31&gt;=$B$8,E31*$B$4*(1+$B$5)^(($G$4+$B$8+D31*($B$8+$B$10))/4),0))</f>
        <v>1335600</v>
      </c>
      <c r="H31" s="14" t="n">
        <f aca="false">IF($A31&lt;=$G$4,0,IF(C31=0,E31*$B$6*(1+$B$7)^(($G$4+D31*($B$8+$B$10))/4),0)+IF(C31=$B$8,$B$11*$B$4*(1+$B$5)^(($G$4+$B$8+D31*($B$8+$B$10))/4)*E31,0))</f>
        <v>0</v>
      </c>
      <c r="I31" s="21" t="n">
        <f aca="false">IF($A31&lt;=$G$4,0,IF(C31&lt;$B$8,E31,0))</f>
        <v>0</v>
      </c>
      <c r="J31" s="21" t="n">
        <f aca="false">$A31-$G$5-1</f>
        <v>-15</v>
      </c>
      <c r="K31" s="21" t="n">
        <f aca="false">IF(J31&lt;0,-1,MOD(J31,$B$8+$B$10))</f>
        <v>-1</v>
      </c>
      <c r="L31" s="21" t="n">
        <f aca="false">IF(J31&lt;0,0,INT(J31/($B$8+$B$10)))</f>
        <v>0</v>
      </c>
      <c r="M31" s="14" t="n">
        <f aca="false">IF($A31&lt;=$G$5,$E$5,$E$5*(1-$H$5)^(L31+1))</f>
        <v>3100</v>
      </c>
      <c r="N31" s="14" t="n">
        <f aca="false">IF($A31&lt;=$G$5,$E$5*$F$5/4,IF(K31&gt;=$B$8+$B$9,M31*$B$4*(1+$B$5)^(($G$5+$B$8+L31*($B$8+$B$10))/4)/4,0))</f>
        <v>236375</v>
      </c>
      <c r="O31" s="14" t="n">
        <f aca="false">IF($A31&lt;=$G$5,$E$5*$F$5,IF(K31&gt;=$B$8,M31*$B$4*(1+$B$5)^(($G$5+$B$8+L31*($B$8+$B$10))/4),0))</f>
        <v>945500</v>
      </c>
      <c r="P31" s="14" t="n">
        <f aca="false">IF($A31&lt;=$G$5,0,IF(K31=0,M31*$B$6*(1+$B$7)^(($G$5+L31*($B$8+$B$10))/4),0)+IF(K31=$B$8,$B$11*$B$4*(1+$B$5)^(($G$5+$B$8+L31*($B$8+$B$10))/4)*M31,0))</f>
        <v>0</v>
      </c>
      <c r="Q31" s="21" t="n">
        <f aca="false">IF($A31&lt;=$G$5,0,IF(K31&lt;$B$8,M31,0))</f>
        <v>0</v>
      </c>
      <c r="R31" s="21" t="n">
        <f aca="false">$A31-$G$6-1</f>
        <v>-25</v>
      </c>
      <c r="S31" s="21" t="n">
        <f aca="false">IF(R31&lt;0,-1,MOD(R31,$B$8+$B$10))</f>
        <v>-1</v>
      </c>
      <c r="T31" s="21" t="n">
        <f aca="false">IF(R31&lt;0,0,INT(R31/($B$8+$B$10)))</f>
        <v>0</v>
      </c>
      <c r="U31" s="14" t="n">
        <f aca="false">IF($A31&lt;=$G$6,$E$6,$E$6*(1-$H$6)^(T31+1))</f>
        <v>1540</v>
      </c>
      <c r="V31" s="14" t="n">
        <f aca="false">IF($A31&lt;=$G$6,$E$6*$F$6/4,IF(S31&gt;=$B$8+$B$9,U31*$B$4*(1+$B$5)^(($G$6+$B$8+T31*($B$8+$B$10))/4)/4,0))</f>
        <v>113960</v>
      </c>
      <c r="W31" s="14" t="n">
        <f aca="false">IF($A31&lt;=$G$6,$E$6*$F$6,IF(S31&gt;=$B$8,U31*$B$4*(1+$B$5)^(($G$6+$B$8+T31*($B$8+$B$10))/4),0))</f>
        <v>455840</v>
      </c>
      <c r="X31" s="14" t="n">
        <f aca="false">IF($A31&lt;=$G$6,0,IF(S31=0,U31*$B$6*(1+$B$7)^(($G$6+T31*($B$8+$B$10))/4),0)+IF(S31=$B$8,$B$11*$B$4*(1+$B$5)^(($G$6+$B$8+T31*($B$8+$B$10))/4)*U31,0))</f>
        <v>0</v>
      </c>
      <c r="Y31" s="21" t="n">
        <f aca="false">IF($A31&lt;=$G$6,0,IF(S31&lt;$B$8,U31,0))</f>
        <v>0</v>
      </c>
      <c r="Z31" s="21" t="n">
        <f aca="false">$A31-$G$7-1</f>
        <v>-5</v>
      </c>
      <c r="AA31" s="21" t="n">
        <f aca="false">IF(Z31&lt;0,-1,MOD(Z31,$B$8+$B$10))</f>
        <v>-1</v>
      </c>
      <c r="AB31" s="21" t="n">
        <f aca="false">IF(Z31&lt;0,0,INT(Z31/($B$8+$B$10)))</f>
        <v>0</v>
      </c>
      <c r="AC31" s="14" t="n">
        <f aca="false">IF($A31&lt;=$G$7,$E$7,$E$7*(1-$H$7)^(AB31+1))</f>
        <v>1000</v>
      </c>
      <c r="AD31" s="14" t="n">
        <f aca="false">IF($A31&lt;=$G$7,$E$7*$F$7/4,IF(AA31&gt;=$B$8+$B$9,AC31*$B$4*(1+$B$5)^(($G$7+$B$8+AB31*($B$8+$B$10))/4)/4,0))</f>
        <v>78000</v>
      </c>
      <c r="AE31" s="14" t="n">
        <f aca="false">IF($A31&lt;=$G$7,$E$7*$F$7,IF(AA31&gt;=$B$8,AC31*$B$4*(1+$B$5)^(($G$7+$B$8+AB31*($B$8+$B$10))/4),0))</f>
        <v>312000</v>
      </c>
      <c r="AF31" s="14" t="n">
        <f aca="false">IF($A31&lt;=$G$7,0,IF(AA31=0,AC31*$B$6*(1+$B$7)^(($G$7+AB31*($B$8+$B$10))/4),0)+IF(AA31=$B$8,$B$11*$B$4*(1+$B$5)^(($G$7+$B$8+AB31*($B$8+$B$10))/4)*AC31,0))</f>
        <v>0</v>
      </c>
      <c r="AG31" s="21" t="n">
        <f aca="false">IF($A31&lt;=$G$7,0,IF(AA31&lt;$B$8,AC31,0))</f>
        <v>0</v>
      </c>
      <c r="AH31" s="21" t="n">
        <f aca="false">$A31-$G$8-1</f>
        <v>1</v>
      </c>
      <c r="AI31" s="21" t="n">
        <f aca="false">IF(AH31&lt;0,-1,MOD(AH31,$B$8+$B$10))</f>
        <v>1</v>
      </c>
      <c r="AJ31" s="21" t="n">
        <f aca="false">IF(AH31&lt;0,0,INT(AH31/($B$8+$B$10)))</f>
        <v>0</v>
      </c>
      <c r="AK31" s="21" t="n">
        <f aca="false">IF($A31&lt;=$G$8,$E$8,$E$8*(1-$H$8)^(AJ31+1))</f>
        <v>2160</v>
      </c>
      <c r="AL31" s="14" t="n">
        <f aca="false">IF($A31&lt;=$G$8,$E$8*$F$8/4,IF(AI31&gt;=$B$8+$B$9,AK31*$B$4*(1+$B$5)^(($G$8+$B$8+AJ31*($B$8+$B$10))/4)/4,0))</f>
        <v>0</v>
      </c>
      <c r="AM31" s="14" t="n">
        <f aca="false">IF($A31&lt;=$G$8,$E$8*$F$8,IF(AI31&gt;=$B$8,AK31*$B$4*(1+$B$5)^(($G$8+$B$8+AJ31*($B$8+$B$10))/4),0))</f>
        <v>0</v>
      </c>
      <c r="AN31" s="14" t="n">
        <f aca="false">IF($A31&lt;=$G$8,0,IF(AI31=0,AK31*$B$6*(1+$B$7)^(($G$8+AJ31*($B$8+$B$10))/4),0)+IF(AI31=$B$8,$B$11*$B$4*(1+$B$5)^(($G$8+$B$8+AJ31*($B$8+$B$10))/4)*AK31,0))</f>
        <v>0</v>
      </c>
      <c r="AO31" s="21" t="n">
        <f aca="false">IF($A31&lt;=$G$8,0,IF(AI31&lt;$B$8,AK31,0))</f>
        <v>2160</v>
      </c>
      <c r="AP31" s="14" t="n">
        <f aca="false">F31+N31+V31+AD31+AL31</f>
        <v>762235</v>
      </c>
      <c r="AQ31" s="14" t="n">
        <f aca="false">G31+O31+W31+AE31+AM31</f>
        <v>3048940</v>
      </c>
      <c r="AR31" s="14" t="n">
        <f aca="false">H31+P31+X31+AF31+AN31+IF($A31=$B$15,$B$14,0)</f>
        <v>0</v>
      </c>
      <c r="AS31" s="21" t="n">
        <f aca="false">I31+Q31+Y31+AG31+AO31</f>
        <v>2160</v>
      </c>
      <c r="AT31" s="14" t="n">
        <f aca="false">AP31*(1-$B$12)-AS31*$B$13/4</f>
        <v>686800.9</v>
      </c>
      <c r="AU31" s="14" t="n">
        <f aca="false">0</f>
        <v>0</v>
      </c>
      <c r="AV31" s="14" t="n">
        <f aca="false">AT31-AR31-AU31</f>
        <v>686800.9</v>
      </c>
      <c r="AW31" s="21" t="n">
        <f aca="false">(1+$B$16)^(-$A31/4)</f>
        <v>0.963366101718176</v>
      </c>
      <c r="AX31" s="14" t="n">
        <f aca="false">AV31*AW31</f>
        <v>661640.705689535</v>
      </c>
      <c r="AY31" s="14" t="n">
        <f aca="false">AV31</f>
        <v>686800.9</v>
      </c>
    </row>
    <row r="32" customFormat="false" ht="15" hidden="false" customHeight="false" outlineLevel="0" collapsed="false">
      <c r="A32" s="0" t="n">
        <v>3</v>
      </c>
      <c r="B32" s="0" t="n">
        <f aca="false">$A32-$G$4-1</f>
        <v>-8</v>
      </c>
      <c r="C32" s="0" t="n">
        <f aca="false">IF(B32&lt;0,-1,MOD(B32,$B$8+$B$10))</f>
        <v>-1</v>
      </c>
      <c r="D32" s="0" t="n">
        <f aca="false">IF(B32&lt;0,0,INT(B32/($B$8+$B$10)))</f>
        <v>0</v>
      </c>
      <c r="E32" s="14" t="n">
        <f aca="false">IF($A32&lt;=$G$4,$E$4,$E$4*(1-$H$4)^(D32+1))</f>
        <v>4200</v>
      </c>
      <c r="F32" s="14" t="n">
        <f aca="false">IF($A32&lt;=$G$4,$E$4*$F$4/4,IF(C32&gt;=$B$8+$B$9,E32*$B$4*(1+$B$5)^(($G$4+$B$8+D32*($B$8+$B$10))/4)/4,0))</f>
        <v>333900</v>
      </c>
      <c r="G32" s="14" t="n">
        <f aca="false">IF($A32&lt;=$G$4,$E$4*$F$4,IF(C32&gt;=$B$8,E32*$B$4*(1+$B$5)^(($G$4+$B$8+D32*($B$8+$B$10))/4),0))</f>
        <v>1335600</v>
      </c>
      <c r="H32" s="14" t="n">
        <f aca="false">IF($A32&lt;=$G$4,0,IF(C32=0,E32*$B$6*(1+$B$7)^(($G$4+D32*($B$8+$B$10))/4),0)+IF(C32=$B$8,$B$11*$B$4*(1+$B$5)^(($G$4+$B$8+D32*($B$8+$B$10))/4)*E32,0))</f>
        <v>0</v>
      </c>
      <c r="I32" s="21" t="n">
        <f aca="false">IF($A32&lt;=$G$4,0,IF(C32&lt;$B$8,E32,0))</f>
        <v>0</v>
      </c>
      <c r="J32" s="21" t="n">
        <f aca="false">$A32-$G$5-1</f>
        <v>-14</v>
      </c>
      <c r="K32" s="21" t="n">
        <f aca="false">IF(J32&lt;0,-1,MOD(J32,$B$8+$B$10))</f>
        <v>-1</v>
      </c>
      <c r="L32" s="21" t="n">
        <f aca="false">IF(J32&lt;0,0,INT(J32/($B$8+$B$10)))</f>
        <v>0</v>
      </c>
      <c r="M32" s="14" t="n">
        <f aca="false">IF($A32&lt;=$G$5,$E$5,$E$5*(1-$H$5)^(L32+1))</f>
        <v>3100</v>
      </c>
      <c r="N32" s="14" t="n">
        <f aca="false">IF($A32&lt;=$G$5,$E$5*$F$5/4,IF(K32&gt;=$B$8+$B$9,M32*$B$4*(1+$B$5)^(($G$5+$B$8+L32*($B$8+$B$10))/4)/4,0))</f>
        <v>236375</v>
      </c>
      <c r="O32" s="14" t="n">
        <f aca="false">IF($A32&lt;=$G$5,$E$5*$F$5,IF(K32&gt;=$B$8,M32*$B$4*(1+$B$5)^(($G$5+$B$8+L32*($B$8+$B$10))/4),0))</f>
        <v>945500</v>
      </c>
      <c r="P32" s="14" t="n">
        <f aca="false">IF($A32&lt;=$G$5,0,IF(K32=0,M32*$B$6*(1+$B$7)^(($G$5+L32*($B$8+$B$10))/4),0)+IF(K32=$B$8,$B$11*$B$4*(1+$B$5)^(($G$5+$B$8+L32*($B$8+$B$10))/4)*M32,0))</f>
        <v>0</v>
      </c>
      <c r="Q32" s="21" t="n">
        <f aca="false">IF($A32&lt;=$G$5,0,IF(K32&lt;$B$8,M32,0))</f>
        <v>0</v>
      </c>
      <c r="R32" s="21" t="n">
        <f aca="false">$A32-$G$6-1</f>
        <v>-24</v>
      </c>
      <c r="S32" s="21" t="n">
        <f aca="false">IF(R32&lt;0,-1,MOD(R32,$B$8+$B$10))</f>
        <v>-1</v>
      </c>
      <c r="T32" s="21" t="n">
        <f aca="false">IF(R32&lt;0,0,INT(R32/($B$8+$B$10)))</f>
        <v>0</v>
      </c>
      <c r="U32" s="14" t="n">
        <f aca="false">IF($A32&lt;=$G$6,$E$6,$E$6*(1-$H$6)^(T32+1))</f>
        <v>1540</v>
      </c>
      <c r="V32" s="14" t="n">
        <f aca="false">IF($A32&lt;=$G$6,$E$6*$F$6/4,IF(S32&gt;=$B$8+$B$9,U32*$B$4*(1+$B$5)^(($G$6+$B$8+T32*($B$8+$B$10))/4)/4,0))</f>
        <v>113960</v>
      </c>
      <c r="W32" s="14" t="n">
        <f aca="false">IF($A32&lt;=$G$6,$E$6*$F$6,IF(S32&gt;=$B$8,U32*$B$4*(1+$B$5)^(($G$6+$B$8+T32*($B$8+$B$10))/4),0))</f>
        <v>455840</v>
      </c>
      <c r="X32" s="14" t="n">
        <f aca="false">IF($A32&lt;=$G$6,0,IF(S32=0,U32*$B$6*(1+$B$7)^(($G$6+T32*($B$8+$B$10))/4),0)+IF(S32=$B$8,$B$11*$B$4*(1+$B$5)^(($G$6+$B$8+T32*($B$8+$B$10))/4)*U32,0))</f>
        <v>0</v>
      </c>
      <c r="Y32" s="21" t="n">
        <f aca="false">IF($A32&lt;=$G$6,0,IF(S32&lt;$B$8,U32,0))</f>
        <v>0</v>
      </c>
      <c r="Z32" s="21" t="n">
        <f aca="false">$A32-$G$7-1</f>
        <v>-4</v>
      </c>
      <c r="AA32" s="21" t="n">
        <f aca="false">IF(Z32&lt;0,-1,MOD(Z32,$B$8+$B$10))</f>
        <v>-1</v>
      </c>
      <c r="AB32" s="21" t="n">
        <f aca="false">IF(Z32&lt;0,0,INT(Z32/($B$8+$B$10)))</f>
        <v>0</v>
      </c>
      <c r="AC32" s="14" t="n">
        <f aca="false">IF($A32&lt;=$G$7,$E$7,$E$7*(1-$H$7)^(AB32+1))</f>
        <v>1000</v>
      </c>
      <c r="AD32" s="14" t="n">
        <f aca="false">IF($A32&lt;=$G$7,$E$7*$F$7/4,IF(AA32&gt;=$B$8+$B$9,AC32*$B$4*(1+$B$5)^(($G$7+$B$8+AB32*($B$8+$B$10))/4)/4,0))</f>
        <v>78000</v>
      </c>
      <c r="AE32" s="14" t="n">
        <f aca="false">IF($A32&lt;=$G$7,$E$7*$F$7,IF(AA32&gt;=$B$8,AC32*$B$4*(1+$B$5)^(($G$7+$B$8+AB32*($B$8+$B$10))/4),0))</f>
        <v>312000</v>
      </c>
      <c r="AF32" s="14" t="n">
        <f aca="false">IF($A32&lt;=$G$7,0,IF(AA32=0,AC32*$B$6*(1+$B$7)^(($G$7+AB32*($B$8+$B$10))/4),0)+IF(AA32=$B$8,$B$11*$B$4*(1+$B$5)^(($G$7+$B$8+AB32*($B$8+$B$10))/4)*AC32,0))</f>
        <v>0</v>
      </c>
      <c r="AG32" s="21" t="n">
        <f aca="false">IF($A32&lt;=$G$7,0,IF(AA32&lt;$B$8,AC32,0))</f>
        <v>0</v>
      </c>
      <c r="AH32" s="21" t="n">
        <f aca="false">$A32-$G$8-1</f>
        <v>2</v>
      </c>
      <c r="AI32" s="21" t="n">
        <f aca="false">IF(AH32&lt;0,-1,MOD(AH32,$B$8+$B$10))</f>
        <v>2</v>
      </c>
      <c r="AJ32" s="21" t="n">
        <f aca="false">IF(AH32&lt;0,0,INT(AH32/($B$8+$B$10)))</f>
        <v>0</v>
      </c>
      <c r="AK32" s="21" t="n">
        <f aca="false">IF($A32&lt;=$G$8,$E$8,$E$8*(1-$H$8)^(AJ32+1))</f>
        <v>2160</v>
      </c>
      <c r="AL32" s="14" t="n">
        <f aca="false">IF($A32&lt;=$G$8,$E$8*$F$8/4,IF(AI32&gt;=$B$8+$B$9,AK32*$B$4*(1+$B$5)^(($G$8+$B$8+AJ32*($B$8+$B$10))/4)/4,0))</f>
        <v>0</v>
      </c>
      <c r="AM32" s="14" t="n">
        <f aca="false">IF($A32&lt;=$G$8,$E$8*$F$8,IF(AI32&gt;=$B$8,AK32*$B$4*(1+$B$5)^(($G$8+$B$8+AJ32*($B$8+$B$10))/4),0))</f>
        <v>0</v>
      </c>
      <c r="AN32" s="14" t="n">
        <f aca="false">IF($A32&lt;=$G$8,0,IF(AI32=0,AK32*$B$6*(1+$B$7)^(($G$8+AJ32*($B$8+$B$10))/4),0)+IF(AI32=$B$8,$B$11*$B$4*(1+$B$5)^(($G$8+$B$8+AJ32*($B$8+$B$10))/4)*AK32,0))</f>
        <v>0</v>
      </c>
      <c r="AO32" s="21" t="n">
        <f aca="false">IF($A32&lt;=$G$8,0,IF(AI32&lt;$B$8,AK32,0))</f>
        <v>2160</v>
      </c>
      <c r="AP32" s="14" t="n">
        <f aca="false">F32+N32+V32+AD32+AL32</f>
        <v>762235</v>
      </c>
      <c r="AQ32" s="14" t="n">
        <f aca="false">G32+O32+W32+AE32+AM32</f>
        <v>3048940</v>
      </c>
      <c r="AR32" s="14" t="n">
        <f aca="false">H32+P32+X32+AF32+AN32+IF($A32=$B$15,$B$14,0)</f>
        <v>0</v>
      </c>
      <c r="AS32" s="21" t="n">
        <f aca="false">I32+Q32+Y32+AG32+AO32</f>
        <v>2160</v>
      </c>
      <c r="AT32" s="14" t="n">
        <f aca="false">AP32*(1-$B$12)-AS32*$B$13/4</f>
        <v>686800.9</v>
      </c>
      <c r="AU32" s="14" t="n">
        <f aca="false">0</f>
        <v>0</v>
      </c>
      <c r="AV32" s="14" t="n">
        <f aca="false">AT32-AR32-AU32</f>
        <v>686800.9</v>
      </c>
      <c r="AW32" s="21" t="n">
        <f aca="false">(1+$B$16)^(-$A32/4)</f>
        <v>0.945555534284444</v>
      </c>
      <c r="AX32" s="14" t="n">
        <f aca="false">AV32*AW32</f>
        <v>649408.391946537</v>
      </c>
      <c r="AY32" s="14" t="n">
        <f aca="false">AV32</f>
        <v>686800.9</v>
      </c>
    </row>
    <row r="33" customFormat="false" ht="15" hidden="false" customHeight="false" outlineLevel="0" collapsed="false">
      <c r="A33" s="0" t="n">
        <v>4</v>
      </c>
      <c r="B33" s="0" t="n">
        <f aca="false">$A33-$G$4-1</f>
        <v>-7</v>
      </c>
      <c r="C33" s="0" t="n">
        <f aca="false">IF(B33&lt;0,-1,MOD(B33,$B$8+$B$10))</f>
        <v>-1</v>
      </c>
      <c r="D33" s="0" t="n">
        <f aca="false">IF(B33&lt;0,0,INT(B33/($B$8+$B$10)))</f>
        <v>0</v>
      </c>
      <c r="E33" s="14" t="n">
        <f aca="false">IF($A33&lt;=$G$4,$E$4,$E$4*(1-$H$4)^(D33+1))</f>
        <v>4200</v>
      </c>
      <c r="F33" s="14" t="n">
        <f aca="false">IF($A33&lt;=$G$4,$E$4*$F$4/4,IF(C33&gt;=$B$8+$B$9,E33*$B$4*(1+$B$5)^(($G$4+$B$8+D33*($B$8+$B$10))/4)/4,0))</f>
        <v>333900</v>
      </c>
      <c r="G33" s="14" t="n">
        <f aca="false">IF($A33&lt;=$G$4,$E$4*$F$4,IF(C33&gt;=$B$8,E33*$B$4*(1+$B$5)^(($G$4+$B$8+D33*($B$8+$B$10))/4),0))</f>
        <v>1335600</v>
      </c>
      <c r="H33" s="14" t="n">
        <f aca="false">IF($A33&lt;=$G$4,0,IF(C33=0,E33*$B$6*(1+$B$7)^(($G$4+D33*($B$8+$B$10))/4),0)+IF(C33=$B$8,$B$11*$B$4*(1+$B$5)^(($G$4+$B$8+D33*($B$8+$B$10))/4)*E33,0))</f>
        <v>0</v>
      </c>
      <c r="I33" s="21" t="n">
        <f aca="false">IF($A33&lt;=$G$4,0,IF(C33&lt;$B$8,E33,0))</f>
        <v>0</v>
      </c>
      <c r="J33" s="21" t="n">
        <f aca="false">$A33-$G$5-1</f>
        <v>-13</v>
      </c>
      <c r="K33" s="21" t="n">
        <f aca="false">IF(J33&lt;0,-1,MOD(J33,$B$8+$B$10))</f>
        <v>-1</v>
      </c>
      <c r="L33" s="21" t="n">
        <f aca="false">IF(J33&lt;0,0,INT(J33/($B$8+$B$10)))</f>
        <v>0</v>
      </c>
      <c r="M33" s="14" t="n">
        <f aca="false">IF($A33&lt;=$G$5,$E$5,$E$5*(1-$H$5)^(L33+1))</f>
        <v>3100</v>
      </c>
      <c r="N33" s="14" t="n">
        <f aca="false">IF($A33&lt;=$G$5,$E$5*$F$5/4,IF(K33&gt;=$B$8+$B$9,M33*$B$4*(1+$B$5)^(($G$5+$B$8+L33*($B$8+$B$10))/4)/4,0))</f>
        <v>236375</v>
      </c>
      <c r="O33" s="14" t="n">
        <f aca="false">IF($A33&lt;=$G$5,$E$5*$F$5,IF(K33&gt;=$B$8,M33*$B$4*(1+$B$5)^(($G$5+$B$8+L33*($B$8+$B$10))/4),0))</f>
        <v>945500</v>
      </c>
      <c r="P33" s="14" t="n">
        <f aca="false">IF($A33&lt;=$G$5,0,IF(K33=0,M33*$B$6*(1+$B$7)^(($G$5+L33*($B$8+$B$10))/4),0)+IF(K33=$B$8,$B$11*$B$4*(1+$B$5)^(($G$5+$B$8+L33*($B$8+$B$10))/4)*M33,0))</f>
        <v>0</v>
      </c>
      <c r="Q33" s="21" t="n">
        <f aca="false">IF($A33&lt;=$G$5,0,IF(K33&lt;$B$8,M33,0))</f>
        <v>0</v>
      </c>
      <c r="R33" s="21" t="n">
        <f aca="false">$A33-$G$6-1</f>
        <v>-23</v>
      </c>
      <c r="S33" s="21" t="n">
        <f aca="false">IF(R33&lt;0,-1,MOD(R33,$B$8+$B$10))</f>
        <v>-1</v>
      </c>
      <c r="T33" s="21" t="n">
        <f aca="false">IF(R33&lt;0,0,INT(R33/($B$8+$B$10)))</f>
        <v>0</v>
      </c>
      <c r="U33" s="14" t="n">
        <f aca="false">IF($A33&lt;=$G$6,$E$6,$E$6*(1-$H$6)^(T33+1))</f>
        <v>1540</v>
      </c>
      <c r="V33" s="14" t="n">
        <f aca="false">IF($A33&lt;=$G$6,$E$6*$F$6/4,IF(S33&gt;=$B$8+$B$9,U33*$B$4*(1+$B$5)^(($G$6+$B$8+T33*($B$8+$B$10))/4)/4,0))</f>
        <v>113960</v>
      </c>
      <c r="W33" s="14" t="n">
        <f aca="false">IF($A33&lt;=$G$6,$E$6*$F$6,IF(S33&gt;=$B$8,U33*$B$4*(1+$B$5)^(($G$6+$B$8+T33*($B$8+$B$10))/4),0))</f>
        <v>455840</v>
      </c>
      <c r="X33" s="14" t="n">
        <f aca="false">IF($A33&lt;=$G$6,0,IF(S33=0,U33*$B$6*(1+$B$7)^(($G$6+T33*($B$8+$B$10))/4),0)+IF(S33=$B$8,$B$11*$B$4*(1+$B$5)^(($G$6+$B$8+T33*($B$8+$B$10))/4)*U33,0))</f>
        <v>0</v>
      </c>
      <c r="Y33" s="21" t="n">
        <f aca="false">IF($A33&lt;=$G$6,0,IF(S33&lt;$B$8,U33,0))</f>
        <v>0</v>
      </c>
      <c r="Z33" s="21" t="n">
        <f aca="false">$A33-$G$7-1</f>
        <v>-3</v>
      </c>
      <c r="AA33" s="21" t="n">
        <f aca="false">IF(Z33&lt;0,-1,MOD(Z33,$B$8+$B$10))</f>
        <v>-1</v>
      </c>
      <c r="AB33" s="21" t="n">
        <f aca="false">IF(Z33&lt;0,0,INT(Z33/($B$8+$B$10)))</f>
        <v>0</v>
      </c>
      <c r="AC33" s="14" t="n">
        <f aca="false">IF($A33&lt;=$G$7,$E$7,$E$7*(1-$H$7)^(AB33+1))</f>
        <v>1000</v>
      </c>
      <c r="AD33" s="14" t="n">
        <f aca="false">IF($A33&lt;=$G$7,$E$7*$F$7/4,IF(AA33&gt;=$B$8+$B$9,AC33*$B$4*(1+$B$5)^(($G$7+$B$8+AB33*($B$8+$B$10))/4)/4,0))</f>
        <v>78000</v>
      </c>
      <c r="AE33" s="14" t="n">
        <f aca="false">IF($A33&lt;=$G$7,$E$7*$F$7,IF(AA33&gt;=$B$8,AC33*$B$4*(1+$B$5)^(($G$7+$B$8+AB33*($B$8+$B$10))/4),0))</f>
        <v>312000</v>
      </c>
      <c r="AF33" s="14" t="n">
        <f aca="false">IF($A33&lt;=$G$7,0,IF(AA33=0,AC33*$B$6*(1+$B$7)^(($G$7+AB33*($B$8+$B$10))/4),0)+IF(AA33=$B$8,$B$11*$B$4*(1+$B$5)^(($G$7+$B$8+AB33*($B$8+$B$10))/4)*AC33,0))</f>
        <v>0</v>
      </c>
      <c r="AG33" s="21" t="n">
        <f aca="false">IF($A33&lt;=$G$7,0,IF(AA33&lt;$B$8,AC33,0))</f>
        <v>0</v>
      </c>
      <c r="AH33" s="21" t="n">
        <f aca="false">$A33-$G$8-1</f>
        <v>3</v>
      </c>
      <c r="AI33" s="21" t="n">
        <f aca="false">IF(AH33&lt;0,-1,MOD(AH33,$B$8+$B$10))</f>
        <v>3</v>
      </c>
      <c r="AJ33" s="21" t="n">
        <f aca="false">IF(AH33&lt;0,0,INT(AH33/($B$8+$B$10)))</f>
        <v>0</v>
      </c>
      <c r="AK33" s="21" t="n">
        <f aca="false">IF($A33&lt;=$G$8,$E$8,$E$8*(1-$H$8)^(AJ33+1))</f>
        <v>2160</v>
      </c>
      <c r="AL33" s="14" t="n">
        <f aca="false">IF($A33&lt;=$G$8,$E$8*$F$8/4,IF(AI33&gt;=$B$8+$B$9,AK33*$B$4*(1+$B$5)^(($G$8+$B$8+AJ33*($B$8+$B$10))/4)/4,0))</f>
        <v>0</v>
      </c>
      <c r="AM33" s="14" t="n">
        <f aca="false">IF($A33&lt;=$G$8,$E$8*$F$8,IF(AI33&gt;=$B$8,AK33*$B$4*(1+$B$5)^(($G$8+$B$8+AJ33*($B$8+$B$10))/4),0))</f>
        <v>673591.013082772</v>
      </c>
      <c r="AN33" s="14" t="n">
        <f aca="false">IF($A33&lt;=$G$8,0,IF(AI33=0,AK33*$B$6*(1+$B$7)^(($G$8+AJ33*($B$8+$B$10))/4),0)+IF(AI33=$B$8,$B$11*$B$4*(1+$B$5)^(($G$8+$B$8+AJ33*($B$8+$B$10))/4)*AK33,0))</f>
        <v>80830.9215699326</v>
      </c>
      <c r="AO33" s="21" t="n">
        <f aca="false">IF($A33&lt;=$G$8,0,IF(AI33&lt;$B$8,AK33,0))</f>
        <v>0</v>
      </c>
      <c r="AP33" s="14" t="n">
        <f aca="false">F33+N33+V33+AD33+AL33</f>
        <v>762235</v>
      </c>
      <c r="AQ33" s="14" t="n">
        <f aca="false">G33+O33+W33+AE33+AM33</f>
        <v>3722531.01308277</v>
      </c>
      <c r="AR33" s="14" t="n">
        <f aca="false">H33+P33+X33+AF33+AN33+IF($A33=$B$15,$B$14,0)</f>
        <v>80830.9215699326</v>
      </c>
      <c r="AS33" s="21" t="n">
        <f aca="false">I33+Q33+Y33+AG33+AO33</f>
        <v>0</v>
      </c>
      <c r="AT33" s="14" t="n">
        <f aca="false">AP33*(1-$B$12)-AS33*$B$13/4</f>
        <v>716500.9</v>
      </c>
      <c r="AU33" s="14" t="n">
        <f aca="false">0</f>
        <v>0</v>
      </c>
      <c r="AV33" s="14" t="n">
        <f aca="false">AT33-AR33-AU33</f>
        <v>635669.978430067</v>
      </c>
      <c r="AW33" s="21" t="n">
        <f aca="false">(1+$B$16)^(-$A33/4)</f>
        <v>0.928074245939675</v>
      </c>
      <c r="AX33" s="14" t="n">
        <f aca="false">AV33*AW33</f>
        <v>589948.935897974</v>
      </c>
      <c r="AY33" s="14" t="n">
        <f aca="false">AV33</f>
        <v>635669.978430067</v>
      </c>
    </row>
    <row r="34" customFormat="false" ht="15" hidden="false" customHeight="false" outlineLevel="0" collapsed="false">
      <c r="A34" s="0" t="n">
        <v>5</v>
      </c>
      <c r="B34" s="0" t="n">
        <f aca="false">$A34-$G$4-1</f>
        <v>-6</v>
      </c>
      <c r="C34" s="0" t="n">
        <f aca="false">IF(B34&lt;0,-1,MOD(B34,$B$8+$B$10))</f>
        <v>-1</v>
      </c>
      <c r="D34" s="0" t="n">
        <f aca="false">IF(B34&lt;0,0,INT(B34/($B$8+$B$10)))</f>
        <v>0</v>
      </c>
      <c r="E34" s="14" t="n">
        <f aca="false">IF($A34&lt;=$G$4,$E$4,$E$4*(1-$H$4)^(D34+1))</f>
        <v>4200</v>
      </c>
      <c r="F34" s="14" t="n">
        <f aca="false">IF($A34&lt;=$G$4,$E$4*$F$4/4,IF(C34&gt;=$B$8+$B$9,E34*$B$4*(1+$B$5)^(($G$4+$B$8+D34*($B$8+$B$10))/4)/4,0))</f>
        <v>333900</v>
      </c>
      <c r="G34" s="14" t="n">
        <f aca="false">IF($A34&lt;=$G$4,$E$4*$F$4,IF(C34&gt;=$B$8,E34*$B$4*(1+$B$5)^(($G$4+$B$8+D34*($B$8+$B$10))/4),0))</f>
        <v>1335600</v>
      </c>
      <c r="H34" s="14" t="n">
        <f aca="false">IF($A34&lt;=$G$4,0,IF(C34=0,E34*$B$6*(1+$B$7)^(($G$4+D34*($B$8+$B$10))/4),0)+IF(C34=$B$8,$B$11*$B$4*(1+$B$5)^(($G$4+$B$8+D34*($B$8+$B$10))/4)*E34,0))</f>
        <v>0</v>
      </c>
      <c r="I34" s="21" t="n">
        <f aca="false">IF($A34&lt;=$G$4,0,IF(C34&lt;$B$8,E34,0))</f>
        <v>0</v>
      </c>
      <c r="J34" s="21" t="n">
        <f aca="false">$A34-$G$5-1</f>
        <v>-12</v>
      </c>
      <c r="K34" s="21" t="n">
        <f aca="false">IF(J34&lt;0,-1,MOD(J34,$B$8+$B$10))</f>
        <v>-1</v>
      </c>
      <c r="L34" s="21" t="n">
        <f aca="false">IF(J34&lt;0,0,INT(J34/($B$8+$B$10)))</f>
        <v>0</v>
      </c>
      <c r="M34" s="14" t="n">
        <f aca="false">IF($A34&lt;=$G$5,$E$5,$E$5*(1-$H$5)^(L34+1))</f>
        <v>3100</v>
      </c>
      <c r="N34" s="14" t="n">
        <f aca="false">IF($A34&lt;=$G$5,$E$5*$F$5/4,IF(K34&gt;=$B$8+$B$9,M34*$B$4*(1+$B$5)^(($G$5+$B$8+L34*($B$8+$B$10))/4)/4,0))</f>
        <v>236375</v>
      </c>
      <c r="O34" s="14" t="n">
        <f aca="false">IF($A34&lt;=$G$5,$E$5*$F$5,IF(K34&gt;=$B$8,M34*$B$4*(1+$B$5)^(($G$5+$B$8+L34*($B$8+$B$10))/4),0))</f>
        <v>945500</v>
      </c>
      <c r="P34" s="14" t="n">
        <f aca="false">IF($A34&lt;=$G$5,0,IF(K34=0,M34*$B$6*(1+$B$7)^(($G$5+L34*($B$8+$B$10))/4),0)+IF(K34=$B$8,$B$11*$B$4*(1+$B$5)^(($G$5+$B$8+L34*($B$8+$B$10))/4)*M34,0))</f>
        <v>0</v>
      </c>
      <c r="Q34" s="21" t="n">
        <f aca="false">IF($A34&lt;=$G$5,0,IF(K34&lt;$B$8,M34,0))</f>
        <v>0</v>
      </c>
      <c r="R34" s="21" t="n">
        <f aca="false">$A34-$G$6-1</f>
        <v>-22</v>
      </c>
      <c r="S34" s="21" t="n">
        <f aca="false">IF(R34&lt;0,-1,MOD(R34,$B$8+$B$10))</f>
        <v>-1</v>
      </c>
      <c r="T34" s="21" t="n">
        <f aca="false">IF(R34&lt;0,0,INT(R34/($B$8+$B$10)))</f>
        <v>0</v>
      </c>
      <c r="U34" s="14" t="n">
        <f aca="false">IF($A34&lt;=$G$6,$E$6,$E$6*(1-$H$6)^(T34+1))</f>
        <v>1540</v>
      </c>
      <c r="V34" s="14" t="n">
        <f aca="false">IF($A34&lt;=$G$6,$E$6*$F$6/4,IF(S34&gt;=$B$8+$B$9,U34*$B$4*(1+$B$5)^(($G$6+$B$8+T34*($B$8+$B$10))/4)/4,0))</f>
        <v>113960</v>
      </c>
      <c r="W34" s="14" t="n">
        <f aca="false">IF($A34&lt;=$G$6,$E$6*$F$6,IF(S34&gt;=$B$8,U34*$B$4*(1+$B$5)^(($G$6+$B$8+T34*($B$8+$B$10))/4),0))</f>
        <v>455840</v>
      </c>
      <c r="X34" s="14" t="n">
        <f aca="false">IF($A34&lt;=$G$6,0,IF(S34=0,U34*$B$6*(1+$B$7)^(($G$6+T34*($B$8+$B$10))/4),0)+IF(S34=$B$8,$B$11*$B$4*(1+$B$5)^(($G$6+$B$8+T34*($B$8+$B$10))/4)*U34,0))</f>
        <v>0</v>
      </c>
      <c r="Y34" s="21" t="n">
        <f aca="false">IF($A34&lt;=$G$6,0,IF(S34&lt;$B$8,U34,0))</f>
        <v>0</v>
      </c>
      <c r="Z34" s="21" t="n">
        <f aca="false">$A34-$G$7-1</f>
        <v>-2</v>
      </c>
      <c r="AA34" s="21" t="n">
        <f aca="false">IF(Z34&lt;0,-1,MOD(Z34,$B$8+$B$10))</f>
        <v>-1</v>
      </c>
      <c r="AB34" s="21" t="n">
        <f aca="false">IF(Z34&lt;0,0,INT(Z34/($B$8+$B$10)))</f>
        <v>0</v>
      </c>
      <c r="AC34" s="14" t="n">
        <f aca="false">IF($A34&lt;=$G$7,$E$7,$E$7*(1-$H$7)^(AB34+1))</f>
        <v>1000</v>
      </c>
      <c r="AD34" s="14" t="n">
        <f aca="false">IF($A34&lt;=$G$7,$E$7*$F$7/4,IF(AA34&gt;=$B$8+$B$9,AC34*$B$4*(1+$B$5)^(($G$7+$B$8+AB34*($B$8+$B$10))/4)/4,0))</f>
        <v>78000</v>
      </c>
      <c r="AE34" s="14" t="n">
        <f aca="false">IF($A34&lt;=$G$7,$E$7*$F$7,IF(AA34&gt;=$B$8,AC34*$B$4*(1+$B$5)^(($G$7+$B$8+AB34*($B$8+$B$10))/4),0))</f>
        <v>312000</v>
      </c>
      <c r="AF34" s="14" t="n">
        <f aca="false">IF($A34&lt;=$G$7,0,IF(AA34=0,AC34*$B$6*(1+$B$7)^(($G$7+AB34*($B$8+$B$10))/4),0)+IF(AA34=$B$8,$B$11*$B$4*(1+$B$5)^(($G$7+$B$8+AB34*($B$8+$B$10))/4)*AC34,0))</f>
        <v>0</v>
      </c>
      <c r="AG34" s="21" t="n">
        <f aca="false">IF($A34&lt;=$G$7,0,IF(AA34&lt;$B$8,AC34,0))</f>
        <v>0</v>
      </c>
      <c r="AH34" s="21" t="n">
        <f aca="false">$A34-$G$8-1</f>
        <v>4</v>
      </c>
      <c r="AI34" s="21" t="n">
        <f aca="false">IF(AH34&lt;0,-1,MOD(AH34,$B$8+$B$10))</f>
        <v>4</v>
      </c>
      <c r="AJ34" s="21" t="n">
        <f aca="false">IF(AH34&lt;0,0,INT(AH34/($B$8+$B$10)))</f>
        <v>0</v>
      </c>
      <c r="AK34" s="21" t="n">
        <f aca="false">IF($A34&lt;=$G$8,$E$8,$E$8*(1-$H$8)^(AJ34+1))</f>
        <v>2160</v>
      </c>
      <c r="AL34" s="14" t="n">
        <f aca="false">IF($A34&lt;=$G$8,$E$8*$F$8/4,IF(AI34&gt;=$B$8+$B$9,AK34*$B$4*(1+$B$5)^(($G$8+$B$8+AJ34*($B$8+$B$10))/4)/4,0))</f>
        <v>0</v>
      </c>
      <c r="AM34" s="14" t="n">
        <f aca="false">IF($A34&lt;=$G$8,$E$8*$F$8,IF(AI34&gt;=$B$8,AK34*$B$4*(1+$B$5)^(($G$8+$B$8+AJ34*($B$8+$B$10))/4),0))</f>
        <v>673591.013082772</v>
      </c>
      <c r="AN34" s="14" t="n">
        <f aca="false">IF($A34&lt;=$G$8,0,IF(AI34=0,AK34*$B$6*(1+$B$7)^(($G$8+AJ34*($B$8+$B$10))/4),0)+IF(AI34=$B$8,$B$11*$B$4*(1+$B$5)^(($G$8+$B$8+AJ34*($B$8+$B$10))/4)*AK34,0))</f>
        <v>0</v>
      </c>
      <c r="AO34" s="21" t="n">
        <f aca="false">IF($A34&lt;=$G$8,0,IF(AI34&lt;$B$8,AK34,0))</f>
        <v>0</v>
      </c>
      <c r="AP34" s="14" t="n">
        <f aca="false">F34+N34+V34+AD34+AL34</f>
        <v>762235</v>
      </c>
      <c r="AQ34" s="14" t="n">
        <f aca="false">G34+O34+W34+AE34+AM34</f>
        <v>3722531.01308277</v>
      </c>
      <c r="AR34" s="14" t="n">
        <f aca="false">H34+P34+X34+AF34+AN34+IF($A34=$B$15,$B$14,0)</f>
        <v>0</v>
      </c>
      <c r="AS34" s="21" t="n">
        <f aca="false">I34+Q34+Y34+AG34+AO34</f>
        <v>0</v>
      </c>
      <c r="AT34" s="14" t="n">
        <f aca="false">AP34*(1-$B$12)-AS34*$B$13/4</f>
        <v>716500.9</v>
      </c>
      <c r="AU34" s="14" t="n">
        <f aca="false">0</f>
        <v>0</v>
      </c>
      <c r="AV34" s="14" t="n">
        <f aca="false">AT34-AR34-AU34</f>
        <v>716500.9</v>
      </c>
      <c r="AW34" s="21" t="n">
        <f aca="false">(1+$B$16)^(-$A34/4)</f>
        <v>0.910916149021652</v>
      </c>
      <c r="AX34" s="14" t="n">
        <f aca="false">AV34*AW34</f>
        <v>652672.240598548</v>
      </c>
      <c r="AY34" s="14" t="n">
        <f aca="false">AV34</f>
        <v>716500.9</v>
      </c>
    </row>
    <row r="35" customFormat="false" ht="15" hidden="false" customHeight="false" outlineLevel="0" collapsed="false">
      <c r="A35" s="0" t="n">
        <v>6</v>
      </c>
      <c r="B35" s="0" t="n">
        <f aca="false">$A35-$G$4-1</f>
        <v>-5</v>
      </c>
      <c r="C35" s="0" t="n">
        <f aca="false">IF(B35&lt;0,-1,MOD(B35,$B$8+$B$10))</f>
        <v>-1</v>
      </c>
      <c r="D35" s="0" t="n">
        <f aca="false">IF(B35&lt;0,0,INT(B35/($B$8+$B$10)))</f>
        <v>0</v>
      </c>
      <c r="E35" s="14" t="n">
        <f aca="false">IF($A35&lt;=$G$4,$E$4,$E$4*(1-$H$4)^(D35+1))</f>
        <v>4200</v>
      </c>
      <c r="F35" s="14" t="n">
        <f aca="false">IF($A35&lt;=$G$4,$E$4*$F$4/4,IF(C35&gt;=$B$8+$B$9,E35*$B$4*(1+$B$5)^(($G$4+$B$8+D35*($B$8+$B$10))/4)/4,0))</f>
        <v>333900</v>
      </c>
      <c r="G35" s="14" t="n">
        <f aca="false">IF($A35&lt;=$G$4,$E$4*$F$4,IF(C35&gt;=$B$8,E35*$B$4*(1+$B$5)^(($G$4+$B$8+D35*($B$8+$B$10))/4),0))</f>
        <v>1335600</v>
      </c>
      <c r="H35" s="14" t="n">
        <f aca="false">IF($A35&lt;=$G$4,0,IF(C35=0,E35*$B$6*(1+$B$7)^(($G$4+D35*($B$8+$B$10))/4),0)+IF(C35=$B$8,$B$11*$B$4*(1+$B$5)^(($G$4+$B$8+D35*($B$8+$B$10))/4)*E35,0))</f>
        <v>0</v>
      </c>
      <c r="I35" s="21" t="n">
        <f aca="false">IF($A35&lt;=$G$4,0,IF(C35&lt;$B$8,E35,0))</f>
        <v>0</v>
      </c>
      <c r="J35" s="21" t="n">
        <f aca="false">$A35-$G$5-1</f>
        <v>-11</v>
      </c>
      <c r="K35" s="21" t="n">
        <f aca="false">IF(J35&lt;0,-1,MOD(J35,$B$8+$B$10))</f>
        <v>-1</v>
      </c>
      <c r="L35" s="21" t="n">
        <f aca="false">IF(J35&lt;0,0,INT(J35/($B$8+$B$10)))</f>
        <v>0</v>
      </c>
      <c r="M35" s="14" t="n">
        <f aca="false">IF($A35&lt;=$G$5,$E$5,$E$5*(1-$H$5)^(L35+1))</f>
        <v>3100</v>
      </c>
      <c r="N35" s="14" t="n">
        <f aca="false">IF($A35&lt;=$G$5,$E$5*$F$5/4,IF(K35&gt;=$B$8+$B$9,M35*$B$4*(1+$B$5)^(($G$5+$B$8+L35*($B$8+$B$10))/4)/4,0))</f>
        <v>236375</v>
      </c>
      <c r="O35" s="14" t="n">
        <f aca="false">IF($A35&lt;=$G$5,$E$5*$F$5,IF(K35&gt;=$B$8,M35*$B$4*(1+$B$5)^(($G$5+$B$8+L35*($B$8+$B$10))/4),0))</f>
        <v>945500</v>
      </c>
      <c r="P35" s="14" t="n">
        <f aca="false">IF($A35&lt;=$G$5,0,IF(K35=0,M35*$B$6*(1+$B$7)^(($G$5+L35*($B$8+$B$10))/4),0)+IF(K35=$B$8,$B$11*$B$4*(1+$B$5)^(($G$5+$B$8+L35*($B$8+$B$10))/4)*M35,0))</f>
        <v>0</v>
      </c>
      <c r="Q35" s="21" t="n">
        <f aca="false">IF($A35&lt;=$G$5,0,IF(K35&lt;$B$8,M35,0))</f>
        <v>0</v>
      </c>
      <c r="R35" s="21" t="n">
        <f aca="false">$A35-$G$6-1</f>
        <v>-21</v>
      </c>
      <c r="S35" s="21" t="n">
        <f aca="false">IF(R35&lt;0,-1,MOD(R35,$B$8+$B$10))</f>
        <v>-1</v>
      </c>
      <c r="T35" s="21" t="n">
        <f aca="false">IF(R35&lt;0,0,INT(R35/($B$8+$B$10)))</f>
        <v>0</v>
      </c>
      <c r="U35" s="14" t="n">
        <f aca="false">IF($A35&lt;=$G$6,$E$6,$E$6*(1-$H$6)^(T35+1))</f>
        <v>1540</v>
      </c>
      <c r="V35" s="14" t="n">
        <f aca="false">IF($A35&lt;=$G$6,$E$6*$F$6/4,IF(S35&gt;=$B$8+$B$9,U35*$B$4*(1+$B$5)^(($G$6+$B$8+T35*($B$8+$B$10))/4)/4,0))</f>
        <v>113960</v>
      </c>
      <c r="W35" s="14" t="n">
        <f aca="false">IF($A35&lt;=$G$6,$E$6*$F$6,IF(S35&gt;=$B$8,U35*$B$4*(1+$B$5)^(($G$6+$B$8+T35*($B$8+$B$10))/4),0))</f>
        <v>455840</v>
      </c>
      <c r="X35" s="14" t="n">
        <f aca="false">IF($A35&lt;=$G$6,0,IF(S35=0,U35*$B$6*(1+$B$7)^(($G$6+T35*($B$8+$B$10))/4),0)+IF(S35=$B$8,$B$11*$B$4*(1+$B$5)^(($G$6+$B$8+T35*($B$8+$B$10))/4)*U35,0))</f>
        <v>0</v>
      </c>
      <c r="Y35" s="21" t="n">
        <f aca="false">IF($A35&lt;=$G$6,0,IF(S35&lt;$B$8,U35,0))</f>
        <v>0</v>
      </c>
      <c r="Z35" s="21" t="n">
        <f aca="false">$A35-$G$7-1</f>
        <v>-1</v>
      </c>
      <c r="AA35" s="21" t="n">
        <f aca="false">IF(Z35&lt;0,-1,MOD(Z35,$B$8+$B$10))</f>
        <v>-1</v>
      </c>
      <c r="AB35" s="21" t="n">
        <f aca="false">IF(Z35&lt;0,0,INT(Z35/($B$8+$B$10)))</f>
        <v>0</v>
      </c>
      <c r="AC35" s="14" t="n">
        <f aca="false">IF($A35&lt;=$G$7,$E$7,$E$7*(1-$H$7)^(AB35+1))</f>
        <v>1000</v>
      </c>
      <c r="AD35" s="14" t="n">
        <f aca="false">IF($A35&lt;=$G$7,$E$7*$F$7/4,IF(AA35&gt;=$B$8+$B$9,AC35*$B$4*(1+$B$5)^(($G$7+$B$8+AB35*($B$8+$B$10))/4)/4,0))</f>
        <v>78000</v>
      </c>
      <c r="AE35" s="14" t="n">
        <f aca="false">IF($A35&lt;=$G$7,$E$7*$F$7,IF(AA35&gt;=$B$8,AC35*$B$4*(1+$B$5)^(($G$7+$B$8+AB35*($B$8+$B$10))/4),0))</f>
        <v>312000</v>
      </c>
      <c r="AF35" s="14" t="n">
        <f aca="false">IF($A35&lt;=$G$7,0,IF(AA35=0,AC35*$B$6*(1+$B$7)^(($G$7+AB35*($B$8+$B$10))/4),0)+IF(AA35=$B$8,$B$11*$B$4*(1+$B$5)^(($G$7+$B$8+AB35*($B$8+$B$10))/4)*AC35,0))</f>
        <v>0</v>
      </c>
      <c r="AG35" s="21" t="n">
        <f aca="false">IF($A35&lt;=$G$7,0,IF(AA35&lt;$B$8,AC35,0))</f>
        <v>0</v>
      </c>
      <c r="AH35" s="21" t="n">
        <f aca="false">$A35-$G$8-1</f>
        <v>5</v>
      </c>
      <c r="AI35" s="21" t="n">
        <f aca="false">IF(AH35&lt;0,-1,MOD(AH35,$B$8+$B$10))</f>
        <v>5</v>
      </c>
      <c r="AJ35" s="21" t="n">
        <f aca="false">IF(AH35&lt;0,0,INT(AH35/($B$8+$B$10)))</f>
        <v>0</v>
      </c>
      <c r="AK35" s="21" t="n">
        <f aca="false">IF($A35&lt;=$G$8,$E$8,$E$8*(1-$H$8)^(AJ35+1))</f>
        <v>2160</v>
      </c>
      <c r="AL35" s="14" t="n">
        <f aca="false">IF($A35&lt;=$G$8,$E$8*$F$8/4,IF(AI35&gt;=$B$8+$B$9,AK35*$B$4*(1+$B$5)^(($G$8+$B$8+AJ35*($B$8+$B$10))/4)/4,0))</f>
        <v>0</v>
      </c>
      <c r="AM35" s="14" t="n">
        <f aca="false">IF($A35&lt;=$G$8,$E$8*$F$8,IF(AI35&gt;=$B$8,AK35*$B$4*(1+$B$5)^(($G$8+$B$8+AJ35*($B$8+$B$10))/4),0))</f>
        <v>673591.013082772</v>
      </c>
      <c r="AN35" s="14" t="n">
        <f aca="false">IF($A35&lt;=$G$8,0,IF(AI35=0,AK35*$B$6*(1+$B$7)^(($G$8+AJ35*($B$8+$B$10))/4),0)+IF(AI35=$B$8,$B$11*$B$4*(1+$B$5)^(($G$8+$B$8+AJ35*($B$8+$B$10))/4)*AK35,0))</f>
        <v>0</v>
      </c>
      <c r="AO35" s="21" t="n">
        <f aca="false">IF($A35&lt;=$G$8,0,IF(AI35&lt;$B$8,AK35,0))</f>
        <v>0</v>
      </c>
      <c r="AP35" s="14" t="n">
        <f aca="false">F35+N35+V35+AD35+AL35</f>
        <v>762235</v>
      </c>
      <c r="AQ35" s="14" t="n">
        <f aca="false">G35+O35+W35+AE35+AM35</f>
        <v>3722531.01308277</v>
      </c>
      <c r="AR35" s="14" t="n">
        <f aca="false">H35+P35+X35+AF35+AN35+IF($A35=$B$15,$B$14,0)</f>
        <v>0</v>
      </c>
      <c r="AS35" s="21" t="n">
        <f aca="false">I35+Q35+Y35+AG35+AO35</f>
        <v>0</v>
      </c>
      <c r="AT35" s="14" t="n">
        <f aca="false">AP35*(1-$B$12)-AS35*$B$13/4</f>
        <v>716500.9</v>
      </c>
      <c r="AU35" s="14" t="n">
        <f aca="false">0</f>
        <v>0</v>
      </c>
      <c r="AV35" s="14" t="n">
        <f aca="false">AT35-AR35-AU35</f>
        <v>716500.9</v>
      </c>
      <c r="AW35" s="21" t="n">
        <f aca="false">(1+$B$16)^(-$A35/4)</f>
        <v>0.894075268415941</v>
      </c>
      <c r="AX35" s="14" t="n">
        <f aca="false">AV35*AW35</f>
        <v>640605.734487763</v>
      </c>
      <c r="AY35" s="14" t="n">
        <f aca="false">AV35</f>
        <v>716500.9</v>
      </c>
    </row>
    <row r="36" customFormat="false" ht="15" hidden="false" customHeight="false" outlineLevel="0" collapsed="false">
      <c r="A36" s="0" t="n">
        <v>7</v>
      </c>
      <c r="B36" s="0" t="n">
        <f aca="false">$A36-$G$4-1</f>
        <v>-4</v>
      </c>
      <c r="C36" s="0" t="n">
        <f aca="false">IF(B36&lt;0,-1,MOD(B36,$B$8+$B$10))</f>
        <v>-1</v>
      </c>
      <c r="D36" s="0" t="n">
        <f aca="false">IF(B36&lt;0,0,INT(B36/($B$8+$B$10)))</f>
        <v>0</v>
      </c>
      <c r="E36" s="14" t="n">
        <f aca="false">IF($A36&lt;=$G$4,$E$4,$E$4*(1-$H$4)^(D36+1))</f>
        <v>4200</v>
      </c>
      <c r="F36" s="14" t="n">
        <f aca="false">IF($A36&lt;=$G$4,$E$4*$F$4/4,IF(C36&gt;=$B$8+$B$9,E36*$B$4*(1+$B$5)^(($G$4+$B$8+D36*($B$8+$B$10))/4)/4,0))</f>
        <v>333900</v>
      </c>
      <c r="G36" s="14" t="n">
        <f aca="false">IF($A36&lt;=$G$4,$E$4*$F$4,IF(C36&gt;=$B$8,E36*$B$4*(1+$B$5)^(($G$4+$B$8+D36*($B$8+$B$10))/4),0))</f>
        <v>1335600</v>
      </c>
      <c r="H36" s="14" t="n">
        <f aca="false">IF($A36&lt;=$G$4,0,IF(C36=0,E36*$B$6*(1+$B$7)^(($G$4+D36*($B$8+$B$10))/4),0)+IF(C36=$B$8,$B$11*$B$4*(1+$B$5)^(($G$4+$B$8+D36*($B$8+$B$10))/4)*E36,0))</f>
        <v>0</v>
      </c>
      <c r="I36" s="21" t="n">
        <f aca="false">IF($A36&lt;=$G$4,0,IF(C36&lt;$B$8,E36,0))</f>
        <v>0</v>
      </c>
      <c r="J36" s="21" t="n">
        <f aca="false">$A36-$G$5-1</f>
        <v>-10</v>
      </c>
      <c r="K36" s="21" t="n">
        <f aca="false">IF(J36&lt;0,-1,MOD(J36,$B$8+$B$10))</f>
        <v>-1</v>
      </c>
      <c r="L36" s="21" t="n">
        <f aca="false">IF(J36&lt;0,0,INT(J36/($B$8+$B$10)))</f>
        <v>0</v>
      </c>
      <c r="M36" s="14" t="n">
        <f aca="false">IF($A36&lt;=$G$5,$E$5,$E$5*(1-$H$5)^(L36+1))</f>
        <v>3100</v>
      </c>
      <c r="N36" s="14" t="n">
        <f aca="false">IF($A36&lt;=$G$5,$E$5*$F$5/4,IF(K36&gt;=$B$8+$B$9,M36*$B$4*(1+$B$5)^(($G$5+$B$8+L36*($B$8+$B$10))/4)/4,0))</f>
        <v>236375</v>
      </c>
      <c r="O36" s="14" t="n">
        <f aca="false">IF($A36&lt;=$G$5,$E$5*$F$5,IF(K36&gt;=$B$8,M36*$B$4*(1+$B$5)^(($G$5+$B$8+L36*($B$8+$B$10))/4),0))</f>
        <v>945500</v>
      </c>
      <c r="P36" s="14" t="n">
        <f aca="false">IF($A36&lt;=$G$5,0,IF(K36=0,M36*$B$6*(1+$B$7)^(($G$5+L36*($B$8+$B$10))/4),0)+IF(K36=$B$8,$B$11*$B$4*(1+$B$5)^(($G$5+$B$8+L36*($B$8+$B$10))/4)*M36,0))</f>
        <v>0</v>
      </c>
      <c r="Q36" s="21" t="n">
        <f aca="false">IF($A36&lt;=$G$5,0,IF(K36&lt;$B$8,M36,0))</f>
        <v>0</v>
      </c>
      <c r="R36" s="21" t="n">
        <f aca="false">$A36-$G$6-1</f>
        <v>-20</v>
      </c>
      <c r="S36" s="21" t="n">
        <f aca="false">IF(R36&lt;0,-1,MOD(R36,$B$8+$B$10))</f>
        <v>-1</v>
      </c>
      <c r="T36" s="21" t="n">
        <f aca="false">IF(R36&lt;0,0,INT(R36/($B$8+$B$10)))</f>
        <v>0</v>
      </c>
      <c r="U36" s="14" t="n">
        <f aca="false">IF($A36&lt;=$G$6,$E$6,$E$6*(1-$H$6)^(T36+1))</f>
        <v>1540</v>
      </c>
      <c r="V36" s="14" t="n">
        <f aca="false">IF($A36&lt;=$G$6,$E$6*$F$6/4,IF(S36&gt;=$B$8+$B$9,U36*$B$4*(1+$B$5)^(($G$6+$B$8+T36*($B$8+$B$10))/4)/4,0))</f>
        <v>113960</v>
      </c>
      <c r="W36" s="14" t="n">
        <f aca="false">IF($A36&lt;=$G$6,$E$6*$F$6,IF(S36&gt;=$B$8,U36*$B$4*(1+$B$5)^(($G$6+$B$8+T36*($B$8+$B$10))/4),0))</f>
        <v>455840</v>
      </c>
      <c r="X36" s="14" t="n">
        <f aca="false">IF($A36&lt;=$G$6,0,IF(S36=0,U36*$B$6*(1+$B$7)^(($G$6+T36*($B$8+$B$10))/4),0)+IF(S36=$B$8,$B$11*$B$4*(1+$B$5)^(($G$6+$B$8+T36*($B$8+$B$10))/4)*U36,0))</f>
        <v>0</v>
      </c>
      <c r="Y36" s="21" t="n">
        <f aca="false">IF($A36&lt;=$G$6,0,IF(S36&lt;$B$8,U36,0))</f>
        <v>0</v>
      </c>
      <c r="Z36" s="21" t="n">
        <f aca="false">$A36-$G$7-1</f>
        <v>0</v>
      </c>
      <c r="AA36" s="21" t="n">
        <f aca="false">IF(Z36&lt;0,-1,MOD(Z36,$B$8+$B$10))</f>
        <v>0</v>
      </c>
      <c r="AB36" s="21" t="n">
        <f aca="false">IF(Z36&lt;0,0,INT(Z36/($B$8+$B$10)))</f>
        <v>0</v>
      </c>
      <c r="AC36" s="21" t="n">
        <f aca="false">IF($A36&lt;=$G$7,$E$7,$E$7*(1-$H$7)^(AB36+1))</f>
        <v>1000</v>
      </c>
      <c r="AD36" s="14" t="n">
        <f aca="false">IF($A36&lt;=$G$7,$E$7*$F$7/4,IF(AA36&gt;=$B$8+$B$9,AC36*$B$4*(1+$B$5)^(($G$7+$B$8+AB36*($B$8+$B$10))/4)/4,0))</f>
        <v>0</v>
      </c>
      <c r="AE36" s="14" t="n">
        <f aca="false">IF($A36&lt;=$G$7,$E$7*$F$7,IF(AA36&gt;=$B$8,AC36*$B$4*(1+$B$5)^(($G$7+$B$8+AB36*($B$8+$B$10))/4),0))</f>
        <v>0</v>
      </c>
      <c r="AF36" s="14" t="n">
        <f aca="false">IF($A36&lt;=$G$7,0,IF(AA36=0,AC36*$B$6*(1+$B$7)^(($G$7+AB36*($B$8+$B$10))/4),0)+IF(AA36=$B$8,$B$11*$B$4*(1+$B$5)^(($G$7+$B$8+AB36*($B$8+$B$10))/4)*AC36,0))</f>
        <v>435848.031141589</v>
      </c>
      <c r="AG36" s="21" t="n">
        <f aca="false">IF($A36&lt;=$G$7,0,IF(AA36&lt;$B$8,AC36,0))</f>
        <v>1000</v>
      </c>
      <c r="AH36" s="21" t="n">
        <f aca="false">$A36-$G$8-1</f>
        <v>6</v>
      </c>
      <c r="AI36" s="21" t="n">
        <f aca="false">IF(AH36&lt;0,-1,MOD(AH36,$B$8+$B$10))</f>
        <v>6</v>
      </c>
      <c r="AJ36" s="21" t="n">
        <f aca="false">IF(AH36&lt;0,0,INT(AH36/($B$8+$B$10)))</f>
        <v>0</v>
      </c>
      <c r="AK36" s="21" t="n">
        <f aca="false">IF($A36&lt;=$G$8,$E$8,$E$8*(1-$H$8)^(AJ36+1))</f>
        <v>2160</v>
      </c>
      <c r="AL36" s="14" t="n">
        <f aca="false">IF($A36&lt;=$G$8,$E$8*$F$8/4,IF(AI36&gt;=$B$8+$B$9,AK36*$B$4*(1+$B$5)^(($G$8+$B$8+AJ36*($B$8+$B$10))/4)/4,0))</f>
        <v>168397.753270693</v>
      </c>
      <c r="AM36" s="14" t="n">
        <f aca="false">IF($A36&lt;=$G$8,$E$8*$F$8,IF(AI36&gt;=$B$8,AK36*$B$4*(1+$B$5)^(($G$8+$B$8+AJ36*($B$8+$B$10))/4),0))</f>
        <v>673591.013082772</v>
      </c>
      <c r="AN36" s="14" t="n">
        <f aca="false">IF($A36&lt;=$G$8,0,IF(AI36=0,AK36*$B$6*(1+$B$7)^(($G$8+AJ36*($B$8+$B$10))/4),0)+IF(AI36=$B$8,$B$11*$B$4*(1+$B$5)^(($G$8+$B$8+AJ36*($B$8+$B$10))/4)*AK36,0))</f>
        <v>0</v>
      </c>
      <c r="AO36" s="21" t="n">
        <f aca="false">IF($A36&lt;=$G$8,0,IF(AI36&lt;$B$8,AK36,0))</f>
        <v>0</v>
      </c>
      <c r="AP36" s="14" t="n">
        <f aca="false">F36+N36+V36+AD36+AL36</f>
        <v>852632.753270693</v>
      </c>
      <c r="AQ36" s="14" t="n">
        <f aca="false">G36+O36+W36+AE36+AM36</f>
        <v>3410531.01308277</v>
      </c>
      <c r="AR36" s="14" t="n">
        <f aca="false">H36+P36+X36+AF36+AN36+IF($A36=$B$15,$B$14,0)</f>
        <v>435848.031141589</v>
      </c>
      <c r="AS36" s="21" t="n">
        <f aca="false">I36+Q36+Y36+AG36+AO36</f>
        <v>1000</v>
      </c>
      <c r="AT36" s="14" t="n">
        <f aca="false">AP36*(1-$B$12)-AS36*$B$13/4</f>
        <v>787724.788074451</v>
      </c>
      <c r="AU36" s="14" t="n">
        <f aca="false">0</f>
        <v>0</v>
      </c>
      <c r="AV36" s="14" t="n">
        <f aca="false">AT36-AR36-AU36</f>
        <v>351876.756932862</v>
      </c>
      <c r="AW36" s="21" t="n">
        <f aca="false">(1+$B$16)^(-$A36/4)</f>
        <v>0.877545739475122</v>
      </c>
      <c r="AX36" s="14" t="n">
        <f aca="false">AV36*AW36</f>
        <v>308787.948866756</v>
      </c>
      <c r="AY36" s="14" t="n">
        <f aca="false">AV36</f>
        <v>351876.756932862</v>
      </c>
    </row>
    <row r="37" customFormat="false" ht="15" hidden="false" customHeight="false" outlineLevel="0" collapsed="false">
      <c r="A37" s="0" t="n">
        <v>8</v>
      </c>
      <c r="B37" s="0" t="n">
        <f aca="false">$A37-$G$4-1</f>
        <v>-3</v>
      </c>
      <c r="C37" s="0" t="n">
        <f aca="false">IF(B37&lt;0,-1,MOD(B37,$B$8+$B$10))</f>
        <v>-1</v>
      </c>
      <c r="D37" s="0" t="n">
        <f aca="false">IF(B37&lt;0,0,INT(B37/($B$8+$B$10)))</f>
        <v>0</v>
      </c>
      <c r="E37" s="14" t="n">
        <f aca="false">IF($A37&lt;=$G$4,$E$4,$E$4*(1-$H$4)^(D37+1))</f>
        <v>4200</v>
      </c>
      <c r="F37" s="14" t="n">
        <f aca="false">IF($A37&lt;=$G$4,$E$4*$F$4/4,IF(C37&gt;=$B$8+$B$9,E37*$B$4*(1+$B$5)^(($G$4+$B$8+D37*($B$8+$B$10))/4)/4,0))</f>
        <v>333900</v>
      </c>
      <c r="G37" s="14" t="n">
        <f aca="false">IF($A37&lt;=$G$4,$E$4*$F$4,IF(C37&gt;=$B$8,E37*$B$4*(1+$B$5)^(($G$4+$B$8+D37*($B$8+$B$10))/4),0))</f>
        <v>1335600</v>
      </c>
      <c r="H37" s="14" t="n">
        <f aca="false">IF($A37&lt;=$G$4,0,IF(C37=0,E37*$B$6*(1+$B$7)^(($G$4+D37*($B$8+$B$10))/4),0)+IF(C37=$B$8,$B$11*$B$4*(1+$B$5)^(($G$4+$B$8+D37*($B$8+$B$10))/4)*E37,0))</f>
        <v>0</v>
      </c>
      <c r="I37" s="21" t="n">
        <f aca="false">IF($A37&lt;=$G$4,0,IF(C37&lt;$B$8,E37,0))</f>
        <v>0</v>
      </c>
      <c r="J37" s="21" t="n">
        <f aca="false">$A37-$G$5-1</f>
        <v>-9</v>
      </c>
      <c r="K37" s="21" t="n">
        <f aca="false">IF(J37&lt;0,-1,MOD(J37,$B$8+$B$10))</f>
        <v>-1</v>
      </c>
      <c r="L37" s="21" t="n">
        <f aca="false">IF(J37&lt;0,0,INT(J37/($B$8+$B$10)))</f>
        <v>0</v>
      </c>
      <c r="M37" s="14" t="n">
        <f aca="false">IF($A37&lt;=$G$5,$E$5,$E$5*(1-$H$5)^(L37+1))</f>
        <v>3100</v>
      </c>
      <c r="N37" s="14" t="n">
        <f aca="false">IF($A37&lt;=$G$5,$E$5*$F$5/4,IF(K37&gt;=$B$8+$B$9,M37*$B$4*(1+$B$5)^(($G$5+$B$8+L37*($B$8+$B$10))/4)/4,0))</f>
        <v>236375</v>
      </c>
      <c r="O37" s="14" t="n">
        <f aca="false">IF($A37&lt;=$G$5,$E$5*$F$5,IF(K37&gt;=$B$8,M37*$B$4*(1+$B$5)^(($G$5+$B$8+L37*($B$8+$B$10))/4),0))</f>
        <v>945500</v>
      </c>
      <c r="P37" s="14" t="n">
        <f aca="false">IF($A37&lt;=$G$5,0,IF(K37=0,M37*$B$6*(1+$B$7)^(($G$5+L37*($B$8+$B$10))/4),0)+IF(K37=$B$8,$B$11*$B$4*(1+$B$5)^(($G$5+$B$8+L37*($B$8+$B$10))/4)*M37,0))</f>
        <v>0</v>
      </c>
      <c r="Q37" s="21" t="n">
        <f aca="false">IF($A37&lt;=$G$5,0,IF(K37&lt;$B$8,M37,0))</f>
        <v>0</v>
      </c>
      <c r="R37" s="21" t="n">
        <f aca="false">$A37-$G$6-1</f>
        <v>-19</v>
      </c>
      <c r="S37" s="21" t="n">
        <f aca="false">IF(R37&lt;0,-1,MOD(R37,$B$8+$B$10))</f>
        <v>-1</v>
      </c>
      <c r="T37" s="21" t="n">
        <f aca="false">IF(R37&lt;0,0,INT(R37/($B$8+$B$10)))</f>
        <v>0</v>
      </c>
      <c r="U37" s="14" t="n">
        <f aca="false">IF($A37&lt;=$G$6,$E$6,$E$6*(1-$H$6)^(T37+1))</f>
        <v>1540</v>
      </c>
      <c r="V37" s="14" t="n">
        <f aca="false">IF($A37&lt;=$G$6,$E$6*$F$6/4,IF(S37&gt;=$B$8+$B$9,U37*$B$4*(1+$B$5)^(($G$6+$B$8+T37*($B$8+$B$10))/4)/4,0))</f>
        <v>113960</v>
      </c>
      <c r="W37" s="14" t="n">
        <f aca="false">IF($A37&lt;=$G$6,$E$6*$F$6,IF(S37&gt;=$B$8,U37*$B$4*(1+$B$5)^(($G$6+$B$8+T37*($B$8+$B$10))/4),0))</f>
        <v>455840</v>
      </c>
      <c r="X37" s="14" t="n">
        <f aca="false">IF($A37&lt;=$G$6,0,IF(S37=0,U37*$B$6*(1+$B$7)^(($G$6+T37*($B$8+$B$10))/4),0)+IF(S37=$B$8,$B$11*$B$4*(1+$B$5)^(($G$6+$B$8+T37*($B$8+$B$10))/4)*U37,0))</f>
        <v>0</v>
      </c>
      <c r="Y37" s="21" t="n">
        <f aca="false">IF($A37&lt;=$G$6,0,IF(S37&lt;$B$8,U37,0))</f>
        <v>0</v>
      </c>
      <c r="Z37" s="21" t="n">
        <f aca="false">$A37-$G$7-1</f>
        <v>1</v>
      </c>
      <c r="AA37" s="21" t="n">
        <f aca="false">IF(Z37&lt;0,-1,MOD(Z37,$B$8+$B$10))</f>
        <v>1</v>
      </c>
      <c r="AB37" s="21" t="n">
        <f aca="false">IF(Z37&lt;0,0,INT(Z37/($B$8+$B$10)))</f>
        <v>0</v>
      </c>
      <c r="AC37" s="21" t="n">
        <f aca="false">IF($A37&lt;=$G$7,$E$7,$E$7*(1-$H$7)^(AB37+1))</f>
        <v>1000</v>
      </c>
      <c r="AD37" s="14" t="n">
        <f aca="false">IF($A37&lt;=$G$7,$E$7*$F$7/4,IF(AA37&gt;=$B$8+$B$9,AC37*$B$4*(1+$B$5)^(($G$7+$B$8+AB37*($B$8+$B$10))/4)/4,0))</f>
        <v>0</v>
      </c>
      <c r="AE37" s="14" t="n">
        <f aca="false">IF($A37&lt;=$G$7,$E$7*$F$7,IF(AA37&gt;=$B$8,AC37*$B$4*(1+$B$5)^(($G$7+$B$8+AB37*($B$8+$B$10))/4),0))</f>
        <v>0</v>
      </c>
      <c r="AF37" s="14" t="n">
        <f aca="false">IF($A37&lt;=$G$7,0,IF(AA37=0,AC37*$B$6*(1+$B$7)^(($G$7+AB37*($B$8+$B$10))/4),0)+IF(AA37=$B$8,$B$11*$B$4*(1+$B$5)^(($G$7+$B$8+AB37*($B$8+$B$10))/4)*AC37,0))</f>
        <v>0</v>
      </c>
      <c r="AG37" s="21" t="n">
        <f aca="false">IF($A37&lt;=$G$7,0,IF(AA37&lt;$B$8,AC37,0))</f>
        <v>1000</v>
      </c>
      <c r="AH37" s="21" t="n">
        <f aca="false">$A37-$G$8-1</f>
        <v>7</v>
      </c>
      <c r="AI37" s="21" t="n">
        <f aca="false">IF(AH37&lt;0,-1,MOD(AH37,$B$8+$B$10))</f>
        <v>7</v>
      </c>
      <c r="AJ37" s="21" t="n">
        <f aca="false">IF(AH37&lt;0,0,INT(AH37/($B$8+$B$10)))</f>
        <v>0</v>
      </c>
      <c r="AK37" s="21" t="n">
        <f aca="false">IF($A37&lt;=$G$8,$E$8,$E$8*(1-$H$8)^(AJ37+1))</f>
        <v>2160</v>
      </c>
      <c r="AL37" s="14" t="n">
        <f aca="false">IF($A37&lt;=$G$8,$E$8*$F$8/4,IF(AI37&gt;=$B$8+$B$9,AK37*$B$4*(1+$B$5)^(($G$8+$B$8+AJ37*($B$8+$B$10))/4)/4,0))</f>
        <v>168397.753270693</v>
      </c>
      <c r="AM37" s="14" t="n">
        <f aca="false">IF($A37&lt;=$G$8,$E$8*$F$8,IF(AI37&gt;=$B$8,AK37*$B$4*(1+$B$5)^(($G$8+$B$8+AJ37*($B$8+$B$10))/4),0))</f>
        <v>673591.013082772</v>
      </c>
      <c r="AN37" s="14" t="n">
        <f aca="false">IF($A37&lt;=$G$8,0,IF(AI37=0,AK37*$B$6*(1+$B$7)^(($G$8+AJ37*($B$8+$B$10))/4),0)+IF(AI37=$B$8,$B$11*$B$4*(1+$B$5)^(($G$8+$B$8+AJ37*($B$8+$B$10))/4)*AK37,0))</f>
        <v>0</v>
      </c>
      <c r="AO37" s="21" t="n">
        <f aca="false">IF($A37&lt;=$G$8,0,IF(AI37&lt;$B$8,AK37,0))</f>
        <v>0</v>
      </c>
      <c r="AP37" s="14" t="n">
        <f aca="false">F37+N37+V37+AD37+AL37</f>
        <v>852632.753270693</v>
      </c>
      <c r="AQ37" s="14" t="n">
        <f aca="false">G37+O37+W37+AE37+AM37</f>
        <v>3410531.01308277</v>
      </c>
      <c r="AR37" s="14" t="n">
        <f aca="false">H37+P37+X37+AF37+AN37+IF($A37=$B$15,$B$14,0)</f>
        <v>0</v>
      </c>
      <c r="AS37" s="21" t="n">
        <f aca="false">I37+Q37+Y37+AG37+AO37</f>
        <v>1000</v>
      </c>
      <c r="AT37" s="14" t="n">
        <f aca="false">AP37*(1-$B$12)-AS37*$B$13/4</f>
        <v>787724.788074451</v>
      </c>
      <c r="AU37" s="14" t="n">
        <f aca="false">0</f>
        <v>0</v>
      </c>
      <c r="AV37" s="14" t="n">
        <f aca="false">AT37-AR37-AU37</f>
        <v>787724.788074451</v>
      </c>
      <c r="AW37" s="21" t="n">
        <f aca="false">(1+$B$16)^(-$A37/4)</f>
        <v>0.861321805976497</v>
      </c>
      <c r="AX37" s="14" t="n">
        <f aca="false">AV37*AW37</f>
        <v>678484.53707674</v>
      </c>
      <c r="AY37" s="14" t="n">
        <f aca="false">AV37</f>
        <v>787724.788074451</v>
      </c>
    </row>
    <row r="38" customFormat="false" ht="15" hidden="false" customHeight="false" outlineLevel="0" collapsed="false">
      <c r="A38" s="0" t="n">
        <v>9</v>
      </c>
      <c r="B38" s="0" t="n">
        <f aca="false">$A38-$G$4-1</f>
        <v>-2</v>
      </c>
      <c r="C38" s="0" t="n">
        <f aca="false">IF(B38&lt;0,-1,MOD(B38,$B$8+$B$10))</f>
        <v>-1</v>
      </c>
      <c r="D38" s="0" t="n">
        <f aca="false">IF(B38&lt;0,0,INT(B38/($B$8+$B$10)))</f>
        <v>0</v>
      </c>
      <c r="E38" s="14" t="n">
        <f aca="false">IF($A38&lt;=$G$4,$E$4,$E$4*(1-$H$4)^(D38+1))</f>
        <v>4200</v>
      </c>
      <c r="F38" s="14" t="n">
        <f aca="false">IF($A38&lt;=$G$4,$E$4*$F$4/4,IF(C38&gt;=$B$8+$B$9,E38*$B$4*(1+$B$5)^(($G$4+$B$8+D38*($B$8+$B$10))/4)/4,0))</f>
        <v>333900</v>
      </c>
      <c r="G38" s="14" t="n">
        <f aca="false">IF($A38&lt;=$G$4,$E$4*$F$4,IF(C38&gt;=$B$8,E38*$B$4*(1+$B$5)^(($G$4+$B$8+D38*($B$8+$B$10))/4),0))</f>
        <v>1335600</v>
      </c>
      <c r="H38" s="14" t="n">
        <f aca="false">IF($A38&lt;=$G$4,0,IF(C38=0,E38*$B$6*(1+$B$7)^(($G$4+D38*($B$8+$B$10))/4),0)+IF(C38=$B$8,$B$11*$B$4*(1+$B$5)^(($G$4+$B$8+D38*($B$8+$B$10))/4)*E38,0))</f>
        <v>0</v>
      </c>
      <c r="I38" s="21" t="n">
        <f aca="false">IF($A38&lt;=$G$4,0,IF(C38&lt;$B$8,E38,0))</f>
        <v>0</v>
      </c>
      <c r="J38" s="21" t="n">
        <f aca="false">$A38-$G$5-1</f>
        <v>-8</v>
      </c>
      <c r="K38" s="21" t="n">
        <f aca="false">IF(J38&lt;0,-1,MOD(J38,$B$8+$B$10))</f>
        <v>-1</v>
      </c>
      <c r="L38" s="21" t="n">
        <f aca="false">IF(J38&lt;0,0,INT(J38/($B$8+$B$10)))</f>
        <v>0</v>
      </c>
      <c r="M38" s="14" t="n">
        <f aca="false">IF($A38&lt;=$G$5,$E$5,$E$5*(1-$H$5)^(L38+1))</f>
        <v>3100</v>
      </c>
      <c r="N38" s="14" t="n">
        <f aca="false">IF($A38&lt;=$G$5,$E$5*$F$5/4,IF(K38&gt;=$B$8+$B$9,M38*$B$4*(1+$B$5)^(($G$5+$B$8+L38*($B$8+$B$10))/4)/4,0))</f>
        <v>236375</v>
      </c>
      <c r="O38" s="14" t="n">
        <f aca="false">IF($A38&lt;=$G$5,$E$5*$F$5,IF(K38&gt;=$B$8,M38*$B$4*(1+$B$5)^(($G$5+$B$8+L38*($B$8+$B$10))/4),0))</f>
        <v>945500</v>
      </c>
      <c r="P38" s="14" t="n">
        <f aca="false">IF($A38&lt;=$G$5,0,IF(K38=0,M38*$B$6*(1+$B$7)^(($G$5+L38*($B$8+$B$10))/4),0)+IF(K38=$B$8,$B$11*$B$4*(1+$B$5)^(($G$5+$B$8+L38*($B$8+$B$10))/4)*M38,0))</f>
        <v>0</v>
      </c>
      <c r="Q38" s="21" t="n">
        <f aca="false">IF($A38&lt;=$G$5,0,IF(K38&lt;$B$8,M38,0))</f>
        <v>0</v>
      </c>
      <c r="R38" s="21" t="n">
        <f aca="false">$A38-$G$6-1</f>
        <v>-18</v>
      </c>
      <c r="S38" s="21" t="n">
        <f aca="false">IF(R38&lt;0,-1,MOD(R38,$B$8+$B$10))</f>
        <v>-1</v>
      </c>
      <c r="T38" s="21" t="n">
        <f aca="false">IF(R38&lt;0,0,INT(R38/($B$8+$B$10)))</f>
        <v>0</v>
      </c>
      <c r="U38" s="14" t="n">
        <f aca="false">IF($A38&lt;=$G$6,$E$6,$E$6*(1-$H$6)^(T38+1))</f>
        <v>1540</v>
      </c>
      <c r="V38" s="14" t="n">
        <f aca="false">IF($A38&lt;=$G$6,$E$6*$F$6/4,IF(S38&gt;=$B$8+$B$9,U38*$B$4*(1+$B$5)^(($G$6+$B$8+T38*($B$8+$B$10))/4)/4,0))</f>
        <v>113960</v>
      </c>
      <c r="W38" s="14" t="n">
        <f aca="false">IF($A38&lt;=$G$6,$E$6*$F$6,IF(S38&gt;=$B$8,U38*$B$4*(1+$B$5)^(($G$6+$B$8+T38*($B$8+$B$10))/4),0))</f>
        <v>455840</v>
      </c>
      <c r="X38" s="14" t="n">
        <f aca="false">IF($A38&lt;=$G$6,0,IF(S38=0,U38*$B$6*(1+$B$7)^(($G$6+T38*($B$8+$B$10))/4),0)+IF(S38=$B$8,$B$11*$B$4*(1+$B$5)^(($G$6+$B$8+T38*($B$8+$B$10))/4)*U38,0))</f>
        <v>0</v>
      </c>
      <c r="Y38" s="21" t="n">
        <f aca="false">IF($A38&lt;=$G$6,0,IF(S38&lt;$B$8,U38,0))</f>
        <v>0</v>
      </c>
      <c r="Z38" s="21" t="n">
        <f aca="false">$A38-$G$7-1</f>
        <v>2</v>
      </c>
      <c r="AA38" s="21" t="n">
        <f aca="false">IF(Z38&lt;0,-1,MOD(Z38,$B$8+$B$10))</f>
        <v>2</v>
      </c>
      <c r="AB38" s="21" t="n">
        <f aca="false">IF(Z38&lt;0,0,INT(Z38/($B$8+$B$10)))</f>
        <v>0</v>
      </c>
      <c r="AC38" s="21" t="n">
        <f aca="false">IF($A38&lt;=$G$7,$E$7,$E$7*(1-$H$7)^(AB38+1))</f>
        <v>1000</v>
      </c>
      <c r="AD38" s="14" t="n">
        <f aca="false">IF($A38&lt;=$G$7,$E$7*$F$7/4,IF(AA38&gt;=$B$8+$B$9,AC38*$B$4*(1+$B$5)^(($G$7+$B$8+AB38*($B$8+$B$10))/4)/4,0))</f>
        <v>0</v>
      </c>
      <c r="AE38" s="14" t="n">
        <f aca="false">IF($A38&lt;=$G$7,$E$7*$F$7,IF(AA38&gt;=$B$8,AC38*$B$4*(1+$B$5)^(($G$7+$B$8+AB38*($B$8+$B$10))/4),0))</f>
        <v>0</v>
      </c>
      <c r="AF38" s="14" t="n">
        <f aca="false">IF($A38&lt;=$G$7,0,IF(AA38=0,AC38*$B$6*(1+$B$7)^(($G$7+AB38*($B$8+$B$10))/4),0)+IF(AA38=$B$8,$B$11*$B$4*(1+$B$5)^(($G$7+$B$8+AB38*($B$8+$B$10))/4)*AC38,0))</f>
        <v>0</v>
      </c>
      <c r="AG38" s="21" t="n">
        <f aca="false">IF($A38&lt;=$G$7,0,IF(AA38&lt;$B$8,AC38,0))</f>
        <v>1000</v>
      </c>
      <c r="AH38" s="21" t="n">
        <f aca="false">$A38-$G$8-1</f>
        <v>8</v>
      </c>
      <c r="AI38" s="21" t="n">
        <f aca="false">IF(AH38&lt;0,-1,MOD(AH38,$B$8+$B$10))</f>
        <v>8</v>
      </c>
      <c r="AJ38" s="21" t="n">
        <f aca="false">IF(AH38&lt;0,0,INT(AH38/($B$8+$B$10)))</f>
        <v>0</v>
      </c>
      <c r="AK38" s="21" t="n">
        <f aca="false">IF($A38&lt;=$G$8,$E$8,$E$8*(1-$H$8)^(AJ38+1))</f>
        <v>2160</v>
      </c>
      <c r="AL38" s="14" t="n">
        <f aca="false">IF($A38&lt;=$G$8,$E$8*$F$8/4,IF(AI38&gt;=$B$8+$B$9,AK38*$B$4*(1+$B$5)^(($G$8+$B$8+AJ38*($B$8+$B$10))/4)/4,0))</f>
        <v>168397.753270693</v>
      </c>
      <c r="AM38" s="14" t="n">
        <f aca="false">IF($A38&lt;=$G$8,$E$8*$F$8,IF(AI38&gt;=$B$8,AK38*$B$4*(1+$B$5)^(($G$8+$B$8+AJ38*($B$8+$B$10))/4),0))</f>
        <v>673591.013082772</v>
      </c>
      <c r="AN38" s="14" t="n">
        <f aca="false">IF($A38&lt;=$G$8,0,IF(AI38=0,AK38*$B$6*(1+$B$7)^(($G$8+AJ38*($B$8+$B$10))/4),0)+IF(AI38=$B$8,$B$11*$B$4*(1+$B$5)^(($G$8+$B$8+AJ38*($B$8+$B$10))/4)*AK38,0))</f>
        <v>0</v>
      </c>
      <c r="AO38" s="21" t="n">
        <f aca="false">IF($A38&lt;=$G$8,0,IF(AI38&lt;$B$8,AK38,0))</f>
        <v>0</v>
      </c>
      <c r="AP38" s="14" t="n">
        <f aca="false">F38+N38+V38+AD38+AL38</f>
        <v>852632.753270693</v>
      </c>
      <c r="AQ38" s="14" t="n">
        <f aca="false">G38+O38+W38+AE38+AM38</f>
        <v>3410531.01308277</v>
      </c>
      <c r="AR38" s="14" t="n">
        <f aca="false">H38+P38+X38+AF38+AN38+IF($A38=$B$15,$B$14,0)</f>
        <v>0</v>
      </c>
      <c r="AS38" s="21" t="n">
        <f aca="false">I38+Q38+Y38+AG38+AO38</f>
        <v>1000</v>
      </c>
      <c r="AT38" s="14" t="n">
        <f aca="false">AP38*(1-$B$12)-AS38*$B$13/4</f>
        <v>787724.788074451</v>
      </c>
      <c r="AU38" s="14" t="n">
        <f aca="false">0</f>
        <v>0</v>
      </c>
      <c r="AV38" s="14" t="n">
        <f aca="false">AT38-AR38-AU38</f>
        <v>787724.788074451</v>
      </c>
      <c r="AW38" s="21" t="n">
        <f aca="false">(1+$B$16)^(-$A38/4)</f>
        <v>0.845397818117543</v>
      </c>
      <c r="AX38" s="14" t="n">
        <f aca="false">AV38*AW38</f>
        <v>665940.817115245</v>
      </c>
      <c r="AY38" s="14" t="n">
        <f aca="false">AV38</f>
        <v>787724.788074451</v>
      </c>
    </row>
    <row r="39" customFormat="false" ht="15" hidden="false" customHeight="false" outlineLevel="0" collapsed="false">
      <c r="A39" s="0" t="n">
        <v>10</v>
      </c>
      <c r="B39" s="0" t="n">
        <f aca="false">$A39-$G$4-1</f>
        <v>-1</v>
      </c>
      <c r="C39" s="0" t="n">
        <f aca="false">IF(B39&lt;0,-1,MOD(B39,$B$8+$B$10))</f>
        <v>-1</v>
      </c>
      <c r="D39" s="0" t="n">
        <f aca="false">IF(B39&lt;0,0,INT(B39/($B$8+$B$10)))</f>
        <v>0</v>
      </c>
      <c r="E39" s="14" t="n">
        <f aca="false">IF($A39&lt;=$G$4,$E$4,$E$4*(1-$H$4)^(D39+1))</f>
        <v>4200</v>
      </c>
      <c r="F39" s="14" t="n">
        <f aca="false">IF($A39&lt;=$G$4,$E$4*$F$4/4,IF(C39&gt;=$B$8+$B$9,E39*$B$4*(1+$B$5)^(($G$4+$B$8+D39*($B$8+$B$10))/4)/4,0))</f>
        <v>333900</v>
      </c>
      <c r="G39" s="14" t="n">
        <f aca="false">IF($A39&lt;=$G$4,$E$4*$F$4,IF(C39&gt;=$B$8,E39*$B$4*(1+$B$5)^(($G$4+$B$8+D39*($B$8+$B$10))/4),0))</f>
        <v>1335600</v>
      </c>
      <c r="H39" s="14" t="n">
        <f aca="false">IF($A39&lt;=$G$4,0,IF(C39=0,E39*$B$6*(1+$B$7)^(($G$4+D39*($B$8+$B$10))/4),0)+IF(C39=$B$8,$B$11*$B$4*(1+$B$5)^(($G$4+$B$8+D39*($B$8+$B$10))/4)*E39,0))</f>
        <v>0</v>
      </c>
      <c r="I39" s="21" t="n">
        <f aca="false">IF($A39&lt;=$G$4,0,IF(C39&lt;$B$8,E39,0))</f>
        <v>0</v>
      </c>
      <c r="J39" s="21" t="n">
        <f aca="false">$A39-$G$5-1</f>
        <v>-7</v>
      </c>
      <c r="K39" s="21" t="n">
        <f aca="false">IF(J39&lt;0,-1,MOD(J39,$B$8+$B$10))</f>
        <v>-1</v>
      </c>
      <c r="L39" s="21" t="n">
        <f aca="false">IF(J39&lt;0,0,INT(J39/($B$8+$B$10)))</f>
        <v>0</v>
      </c>
      <c r="M39" s="14" t="n">
        <f aca="false">IF($A39&lt;=$G$5,$E$5,$E$5*(1-$H$5)^(L39+1))</f>
        <v>3100</v>
      </c>
      <c r="N39" s="14" t="n">
        <f aca="false">IF($A39&lt;=$G$5,$E$5*$F$5/4,IF(K39&gt;=$B$8+$B$9,M39*$B$4*(1+$B$5)^(($G$5+$B$8+L39*($B$8+$B$10))/4)/4,0))</f>
        <v>236375</v>
      </c>
      <c r="O39" s="14" t="n">
        <f aca="false">IF($A39&lt;=$G$5,$E$5*$F$5,IF(K39&gt;=$B$8,M39*$B$4*(1+$B$5)^(($G$5+$B$8+L39*($B$8+$B$10))/4),0))</f>
        <v>945500</v>
      </c>
      <c r="P39" s="14" t="n">
        <f aca="false">IF($A39&lt;=$G$5,0,IF(K39=0,M39*$B$6*(1+$B$7)^(($G$5+L39*($B$8+$B$10))/4),0)+IF(K39=$B$8,$B$11*$B$4*(1+$B$5)^(($G$5+$B$8+L39*($B$8+$B$10))/4)*M39,0))</f>
        <v>0</v>
      </c>
      <c r="Q39" s="21" t="n">
        <f aca="false">IF($A39&lt;=$G$5,0,IF(K39&lt;$B$8,M39,0))</f>
        <v>0</v>
      </c>
      <c r="R39" s="21" t="n">
        <f aca="false">$A39-$G$6-1</f>
        <v>-17</v>
      </c>
      <c r="S39" s="21" t="n">
        <f aca="false">IF(R39&lt;0,-1,MOD(R39,$B$8+$B$10))</f>
        <v>-1</v>
      </c>
      <c r="T39" s="21" t="n">
        <f aca="false">IF(R39&lt;0,0,INT(R39/($B$8+$B$10)))</f>
        <v>0</v>
      </c>
      <c r="U39" s="14" t="n">
        <f aca="false">IF($A39&lt;=$G$6,$E$6,$E$6*(1-$H$6)^(T39+1))</f>
        <v>1540</v>
      </c>
      <c r="V39" s="14" t="n">
        <f aca="false">IF($A39&lt;=$G$6,$E$6*$F$6/4,IF(S39&gt;=$B$8+$B$9,U39*$B$4*(1+$B$5)^(($G$6+$B$8+T39*($B$8+$B$10))/4)/4,0))</f>
        <v>113960</v>
      </c>
      <c r="W39" s="14" t="n">
        <f aca="false">IF($A39&lt;=$G$6,$E$6*$F$6,IF(S39&gt;=$B$8,U39*$B$4*(1+$B$5)^(($G$6+$B$8+T39*($B$8+$B$10))/4),0))</f>
        <v>455840</v>
      </c>
      <c r="X39" s="14" t="n">
        <f aca="false">IF($A39&lt;=$G$6,0,IF(S39=0,U39*$B$6*(1+$B$7)^(($G$6+T39*($B$8+$B$10))/4),0)+IF(S39=$B$8,$B$11*$B$4*(1+$B$5)^(($G$6+$B$8+T39*($B$8+$B$10))/4)*U39,0))</f>
        <v>0</v>
      </c>
      <c r="Y39" s="21" t="n">
        <f aca="false">IF($A39&lt;=$G$6,0,IF(S39&lt;$B$8,U39,0))</f>
        <v>0</v>
      </c>
      <c r="Z39" s="21" t="n">
        <f aca="false">$A39-$G$7-1</f>
        <v>3</v>
      </c>
      <c r="AA39" s="21" t="n">
        <f aca="false">IF(Z39&lt;0,-1,MOD(Z39,$B$8+$B$10))</f>
        <v>3</v>
      </c>
      <c r="AB39" s="21" t="n">
        <f aca="false">IF(Z39&lt;0,0,INT(Z39/($B$8+$B$10)))</f>
        <v>0</v>
      </c>
      <c r="AC39" s="21" t="n">
        <f aca="false">IF($A39&lt;=$G$7,$E$7,$E$7*(1-$H$7)^(AB39+1))</f>
        <v>1000</v>
      </c>
      <c r="AD39" s="14" t="n">
        <f aca="false">IF($A39&lt;=$G$7,$E$7*$F$7/4,IF(AA39&gt;=$B$8+$B$9,AC39*$B$4*(1+$B$5)^(($G$7+$B$8+AB39*($B$8+$B$10))/4)/4,0))</f>
        <v>0</v>
      </c>
      <c r="AE39" s="14" t="n">
        <f aca="false">IF($A39&lt;=$G$7,$E$7*$F$7,IF(AA39&gt;=$B$8,AC39*$B$4*(1+$B$5)^(($G$7+$B$8+AB39*($B$8+$B$10))/4),0))</f>
        <v>336965.229761622</v>
      </c>
      <c r="AF39" s="14" t="n">
        <f aca="false">IF($A39&lt;=$G$7,0,IF(AA39=0,AC39*$B$6*(1+$B$7)^(($G$7+AB39*($B$8+$B$10))/4),0)+IF(AA39=$B$8,$B$11*$B$4*(1+$B$5)^(($G$7+$B$8+AB39*($B$8+$B$10))/4)*AC39,0))</f>
        <v>40435.8275713946</v>
      </c>
      <c r="AG39" s="21" t="n">
        <f aca="false">IF($A39&lt;=$G$7,0,IF(AA39&lt;$B$8,AC39,0))</f>
        <v>0</v>
      </c>
      <c r="AH39" s="21" t="n">
        <f aca="false">$A39-$G$8-1</f>
        <v>9</v>
      </c>
      <c r="AI39" s="21" t="n">
        <f aca="false">IF(AH39&lt;0,-1,MOD(AH39,$B$8+$B$10))</f>
        <v>9</v>
      </c>
      <c r="AJ39" s="21" t="n">
        <f aca="false">IF(AH39&lt;0,0,INT(AH39/($B$8+$B$10)))</f>
        <v>0</v>
      </c>
      <c r="AK39" s="21" t="n">
        <f aca="false">IF($A39&lt;=$G$8,$E$8,$E$8*(1-$H$8)^(AJ39+1))</f>
        <v>2160</v>
      </c>
      <c r="AL39" s="14" t="n">
        <f aca="false">IF($A39&lt;=$G$8,$E$8*$F$8/4,IF(AI39&gt;=$B$8+$B$9,AK39*$B$4*(1+$B$5)^(($G$8+$B$8+AJ39*($B$8+$B$10))/4)/4,0))</f>
        <v>168397.753270693</v>
      </c>
      <c r="AM39" s="14" t="n">
        <f aca="false">IF($A39&lt;=$G$8,$E$8*$F$8,IF(AI39&gt;=$B$8,AK39*$B$4*(1+$B$5)^(($G$8+$B$8+AJ39*($B$8+$B$10))/4),0))</f>
        <v>673591.013082772</v>
      </c>
      <c r="AN39" s="14" t="n">
        <f aca="false">IF($A39&lt;=$G$8,0,IF(AI39=0,AK39*$B$6*(1+$B$7)^(($G$8+AJ39*($B$8+$B$10))/4),0)+IF(AI39=$B$8,$B$11*$B$4*(1+$B$5)^(($G$8+$B$8+AJ39*($B$8+$B$10))/4)*AK39,0))</f>
        <v>0</v>
      </c>
      <c r="AO39" s="21" t="n">
        <f aca="false">IF($A39&lt;=$G$8,0,IF(AI39&lt;$B$8,AK39,0))</f>
        <v>0</v>
      </c>
      <c r="AP39" s="14" t="n">
        <f aca="false">F39+N39+V39+AD39+AL39</f>
        <v>852632.753270693</v>
      </c>
      <c r="AQ39" s="14" t="n">
        <f aca="false">G39+O39+W39+AE39+AM39</f>
        <v>3747496.24284439</v>
      </c>
      <c r="AR39" s="14" t="n">
        <f aca="false">H39+P39+X39+AF39+AN39+IF($A39=$B$15,$B$14,0)</f>
        <v>40435.8275713946</v>
      </c>
      <c r="AS39" s="21" t="n">
        <f aca="false">I39+Q39+Y39+AG39+AO39</f>
        <v>0</v>
      </c>
      <c r="AT39" s="14" t="n">
        <f aca="false">AP39*(1-$B$12)-AS39*$B$13/4</f>
        <v>801474.788074451</v>
      </c>
      <c r="AU39" s="14" t="n">
        <f aca="false">0</f>
        <v>0</v>
      </c>
      <c r="AV39" s="14" t="n">
        <f aca="false">AT39-AR39-AU39</f>
        <v>761038.960503057</v>
      </c>
      <c r="AW39" s="21" t="n">
        <f aca="false">(1+$B$16)^(-$A39/4)</f>
        <v>0.829768230548437</v>
      </c>
      <c r="AX39" s="14" t="n">
        <f aca="false">AV39*AW39</f>
        <v>631485.951635043</v>
      </c>
      <c r="AY39" s="14" t="n">
        <f aca="false">AV39</f>
        <v>761038.960503057</v>
      </c>
    </row>
    <row r="40" customFormat="false" ht="15" hidden="false" customHeight="false" outlineLevel="0" collapsed="false">
      <c r="A40" s="0" t="n">
        <v>11</v>
      </c>
      <c r="B40" s="0" t="n">
        <f aca="false">$A40-$G$4-1</f>
        <v>0</v>
      </c>
      <c r="C40" s="0" t="n">
        <f aca="false">IF(B40&lt;0,-1,MOD(B40,$B$8+$B$10))</f>
        <v>0</v>
      </c>
      <c r="D40" s="0" t="n">
        <f aca="false">IF(B40&lt;0,0,INT(B40/($B$8+$B$10)))</f>
        <v>0</v>
      </c>
      <c r="E40" s="0" t="n">
        <f aca="false">IF($A40&lt;=$G$4,$E$4,$E$4*(1-$H$4)^(D40+1))</f>
        <v>4200</v>
      </c>
      <c r="F40" s="14" t="n">
        <f aca="false">IF($A40&lt;=$G$4,$E$4*$F$4/4,IF(C40&gt;=$B$8+$B$9,E40*$B$4*(1+$B$5)^(($G$4+$B$8+D40*($B$8+$B$10))/4)/4,0))</f>
        <v>0</v>
      </c>
      <c r="G40" s="14" t="n">
        <f aca="false">IF($A40&lt;=$G$4,$E$4*$F$4,IF(C40&gt;=$B$8,E40*$B$4*(1+$B$5)^(($G$4+$B$8+D40*($B$8+$B$10))/4),0))</f>
        <v>0</v>
      </c>
      <c r="H40" s="14" t="n">
        <f aca="false">IF($A40&lt;=$G$4,0,IF(C40=0,E40*$B$6*(1+$B$7)^(($G$4+D40*($B$8+$B$10))/4),0)+IF(C40=$B$8,$B$11*$B$4*(1+$B$5)^(($G$4+$B$8+D40*($B$8+$B$10))/4)*E40,0))</f>
        <v>1876325.77406454</v>
      </c>
      <c r="I40" s="21" t="n">
        <f aca="false">IF($A40&lt;=$G$4,0,IF(C40&lt;$B$8,E40,0))</f>
        <v>4200</v>
      </c>
      <c r="J40" s="21" t="n">
        <f aca="false">$A40-$G$5-1</f>
        <v>-6</v>
      </c>
      <c r="K40" s="21" t="n">
        <f aca="false">IF(J40&lt;0,-1,MOD(J40,$B$8+$B$10))</f>
        <v>-1</v>
      </c>
      <c r="L40" s="21" t="n">
        <f aca="false">IF(J40&lt;0,0,INT(J40/($B$8+$B$10)))</f>
        <v>0</v>
      </c>
      <c r="M40" s="14" t="n">
        <f aca="false">IF($A40&lt;=$G$5,$E$5,$E$5*(1-$H$5)^(L40+1))</f>
        <v>3100</v>
      </c>
      <c r="N40" s="14" t="n">
        <f aca="false">IF($A40&lt;=$G$5,$E$5*$F$5/4,IF(K40&gt;=$B$8+$B$9,M40*$B$4*(1+$B$5)^(($G$5+$B$8+L40*($B$8+$B$10))/4)/4,0))</f>
        <v>236375</v>
      </c>
      <c r="O40" s="14" t="n">
        <f aca="false">IF($A40&lt;=$G$5,$E$5*$F$5,IF(K40&gt;=$B$8,M40*$B$4*(1+$B$5)^(($G$5+$B$8+L40*($B$8+$B$10))/4),0))</f>
        <v>945500</v>
      </c>
      <c r="P40" s="14" t="n">
        <f aca="false">IF($A40&lt;=$G$5,0,IF(K40=0,M40*$B$6*(1+$B$7)^(($G$5+L40*($B$8+$B$10))/4),0)+IF(K40=$B$8,$B$11*$B$4*(1+$B$5)^(($G$5+$B$8+L40*($B$8+$B$10))/4)*M40,0))</f>
        <v>0</v>
      </c>
      <c r="Q40" s="21" t="n">
        <f aca="false">IF($A40&lt;=$G$5,0,IF(K40&lt;$B$8,M40,0))</f>
        <v>0</v>
      </c>
      <c r="R40" s="21" t="n">
        <f aca="false">$A40-$G$6-1</f>
        <v>-16</v>
      </c>
      <c r="S40" s="21" t="n">
        <f aca="false">IF(R40&lt;0,-1,MOD(R40,$B$8+$B$10))</f>
        <v>-1</v>
      </c>
      <c r="T40" s="21" t="n">
        <f aca="false">IF(R40&lt;0,0,INT(R40/($B$8+$B$10)))</f>
        <v>0</v>
      </c>
      <c r="U40" s="14" t="n">
        <f aca="false">IF($A40&lt;=$G$6,$E$6,$E$6*(1-$H$6)^(T40+1))</f>
        <v>1540</v>
      </c>
      <c r="V40" s="14" t="n">
        <f aca="false">IF($A40&lt;=$G$6,$E$6*$F$6/4,IF(S40&gt;=$B$8+$B$9,U40*$B$4*(1+$B$5)^(($G$6+$B$8+T40*($B$8+$B$10))/4)/4,0))</f>
        <v>113960</v>
      </c>
      <c r="W40" s="14" t="n">
        <f aca="false">IF($A40&lt;=$G$6,$E$6*$F$6,IF(S40&gt;=$B$8,U40*$B$4*(1+$B$5)^(($G$6+$B$8+T40*($B$8+$B$10))/4),0))</f>
        <v>455840</v>
      </c>
      <c r="X40" s="14" t="n">
        <f aca="false">IF($A40&lt;=$G$6,0,IF(S40=0,U40*$B$6*(1+$B$7)^(($G$6+T40*($B$8+$B$10))/4),0)+IF(S40=$B$8,$B$11*$B$4*(1+$B$5)^(($G$6+$B$8+T40*($B$8+$B$10))/4)*U40,0))</f>
        <v>0</v>
      </c>
      <c r="Y40" s="21" t="n">
        <f aca="false">IF($A40&lt;=$G$6,0,IF(S40&lt;$B$8,U40,0))</f>
        <v>0</v>
      </c>
      <c r="Z40" s="21" t="n">
        <f aca="false">$A40-$G$7-1</f>
        <v>4</v>
      </c>
      <c r="AA40" s="21" t="n">
        <f aca="false">IF(Z40&lt;0,-1,MOD(Z40,$B$8+$B$10))</f>
        <v>4</v>
      </c>
      <c r="AB40" s="21" t="n">
        <f aca="false">IF(Z40&lt;0,0,INT(Z40/($B$8+$B$10)))</f>
        <v>0</v>
      </c>
      <c r="AC40" s="21" t="n">
        <f aca="false">IF($A40&lt;=$G$7,$E$7,$E$7*(1-$H$7)^(AB40+1))</f>
        <v>1000</v>
      </c>
      <c r="AD40" s="14" t="n">
        <f aca="false">IF($A40&lt;=$G$7,$E$7*$F$7/4,IF(AA40&gt;=$B$8+$B$9,AC40*$B$4*(1+$B$5)^(($G$7+$B$8+AB40*($B$8+$B$10))/4)/4,0))</f>
        <v>0</v>
      </c>
      <c r="AE40" s="14" t="n">
        <f aca="false">IF($A40&lt;=$G$7,$E$7*$F$7,IF(AA40&gt;=$B$8,AC40*$B$4*(1+$B$5)^(($G$7+$B$8+AB40*($B$8+$B$10))/4),0))</f>
        <v>336965.229761622</v>
      </c>
      <c r="AF40" s="14" t="n">
        <f aca="false">IF($A40&lt;=$G$7,0,IF(AA40=0,AC40*$B$6*(1+$B$7)^(($G$7+AB40*($B$8+$B$10))/4),0)+IF(AA40=$B$8,$B$11*$B$4*(1+$B$5)^(($G$7+$B$8+AB40*($B$8+$B$10))/4)*AC40,0))</f>
        <v>0</v>
      </c>
      <c r="AG40" s="21" t="n">
        <f aca="false">IF($A40&lt;=$G$7,0,IF(AA40&lt;$B$8,AC40,0))</f>
        <v>0</v>
      </c>
      <c r="AH40" s="21" t="n">
        <f aca="false">$A40-$G$8-1</f>
        <v>10</v>
      </c>
      <c r="AI40" s="21" t="n">
        <f aca="false">IF(AH40&lt;0,-1,MOD(AH40,$B$8+$B$10))</f>
        <v>10</v>
      </c>
      <c r="AJ40" s="21" t="n">
        <f aca="false">IF(AH40&lt;0,0,INT(AH40/($B$8+$B$10)))</f>
        <v>0</v>
      </c>
      <c r="AK40" s="21" t="n">
        <f aca="false">IF($A40&lt;=$G$8,$E$8,$E$8*(1-$H$8)^(AJ40+1))</f>
        <v>2160</v>
      </c>
      <c r="AL40" s="14" t="n">
        <f aca="false">IF($A40&lt;=$G$8,$E$8*$F$8/4,IF(AI40&gt;=$B$8+$B$9,AK40*$B$4*(1+$B$5)^(($G$8+$B$8+AJ40*($B$8+$B$10))/4)/4,0))</f>
        <v>168397.753270693</v>
      </c>
      <c r="AM40" s="14" t="n">
        <f aca="false">IF($A40&lt;=$G$8,$E$8*$F$8,IF(AI40&gt;=$B$8,AK40*$B$4*(1+$B$5)^(($G$8+$B$8+AJ40*($B$8+$B$10))/4),0))</f>
        <v>673591.013082772</v>
      </c>
      <c r="AN40" s="14" t="n">
        <f aca="false">IF($A40&lt;=$G$8,0,IF(AI40=0,AK40*$B$6*(1+$B$7)^(($G$8+AJ40*($B$8+$B$10))/4),0)+IF(AI40=$B$8,$B$11*$B$4*(1+$B$5)^(($G$8+$B$8+AJ40*($B$8+$B$10))/4)*AK40,0))</f>
        <v>0</v>
      </c>
      <c r="AO40" s="21" t="n">
        <f aca="false">IF($A40&lt;=$G$8,0,IF(AI40&lt;$B$8,AK40,0))</f>
        <v>0</v>
      </c>
      <c r="AP40" s="14" t="n">
        <f aca="false">F40+N40+V40+AD40+AL40</f>
        <v>518732.753270693</v>
      </c>
      <c r="AQ40" s="14" t="n">
        <f aca="false">G40+O40+W40+AE40+AM40</f>
        <v>2411896.24284439</v>
      </c>
      <c r="AR40" s="14" t="n">
        <f aca="false">H40+P40+X40+AF40+AN40+IF($A40=$B$15,$B$14,0)</f>
        <v>1876325.77406454</v>
      </c>
      <c r="AS40" s="21" t="n">
        <f aca="false">I40+Q40+Y40+AG40+AO40</f>
        <v>4200</v>
      </c>
      <c r="AT40" s="14" t="n">
        <f aca="false">AP40*(1-$B$12)-AS40*$B$13/4</f>
        <v>429858.788074451</v>
      </c>
      <c r="AU40" s="14" t="n">
        <f aca="false">0</f>
        <v>0</v>
      </c>
      <c r="AV40" s="14" t="n">
        <f aca="false">AT40-AR40-AU40</f>
        <v>-1446466.98599009</v>
      </c>
      <c r="AW40" s="21" t="n">
        <f aca="false">(1+$B$16)^(-$A40/4)</f>
        <v>0.814427600440949</v>
      </c>
      <c r="AX40" s="14" t="n">
        <f aca="false">AV40*AW40</f>
        <v>-1178042.63651696</v>
      </c>
      <c r="AY40" s="14" t="n">
        <f aca="false">AV40</f>
        <v>-1446466.98599009</v>
      </c>
    </row>
    <row r="41" customFormat="false" ht="15" hidden="false" customHeight="false" outlineLevel="0" collapsed="false">
      <c r="A41" s="0" t="n">
        <v>12</v>
      </c>
      <c r="B41" s="0" t="n">
        <f aca="false">$A41-$G$4-1</f>
        <v>1</v>
      </c>
      <c r="C41" s="0" t="n">
        <f aca="false">IF(B41&lt;0,-1,MOD(B41,$B$8+$B$10))</f>
        <v>1</v>
      </c>
      <c r="D41" s="0" t="n">
        <f aca="false">IF(B41&lt;0,0,INT(B41/($B$8+$B$10)))</f>
        <v>0</v>
      </c>
      <c r="E41" s="0" t="n">
        <f aca="false">IF($A41&lt;=$G$4,$E$4,$E$4*(1-$H$4)^(D41+1))</f>
        <v>4200</v>
      </c>
      <c r="F41" s="14" t="n">
        <f aca="false">IF($A41&lt;=$G$4,$E$4*$F$4/4,IF(C41&gt;=$B$8+$B$9,E41*$B$4*(1+$B$5)^(($G$4+$B$8+D41*($B$8+$B$10))/4)/4,0))</f>
        <v>0</v>
      </c>
      <c r="G41" s="14" t="n">
        <f aca="false">IF($A41&lt;=$G$4,$E$4*$F$4,IF(C41&gt;=$B$8,E41*$B$4*(1+$B$5)^(($G$4+$B$8+D41*($B$8+$B$10))/4),0))</f>
        <v>0</v>
      </c>
      <c r="H41" s="14" t="n">
        <f aca="false">IF($A41&lt;=$G$4,0,IF(C41=0,E41*$B$6*(1+$B$7)^(($G$4+D41*($B$8+$B$10))/4),0)+IF(C41=$B$8,$B$11*$B$4*(1+$B$5)^(($G$4+$B$8+D41*($B$8+$B$10))/4)*E41,0))</f>
        <v>0</v>
      </c>
      <c r="I41" s="21" t="n">
        <f aca="false">IF($A41&lt;=$G$4,0,IF(C41&lt;$B$8,E41,0))</f>
        <v>4200</v>
      </c>
      <c r="J41" s="21" t="n">
        <f aca="false">$A41-$G$5-1</f>
        <v>-5</v>
      </c>
      <c r="K41" s="21" t="n">
        <f aca="false">IF(J41&lt;0,-1,MOD(J41,$B$8+$B$10))</f>
        <v>-1</v>
      </c>
      <c r="L41" s="21" t="n">
        <f aca="false">IF(J41&lt;0,0,INT(J41/($B$8+$B$10)))</f>
        <v>0</v>
      </c>
      <c r="M41" s="14" t="n">
        <f aca="false">IF($A41&lt;=$G$5,$E$5,$E$5*(1-$H$5)^(L41+1))</f>
        <v>3100</v>
      </c>
      <c r="N41" s="14" t="n">
        <f aca="false">IF($A41&lt;=$G$5,$E$5*$F$5/4,IF(K41&gt;=$B$8+$B$9,M41*$B$4*(1+$B$5)^(($G$5+$B$8+L41*($B$8+$B$10))/4)/4,0))</f>
        <v>236375</v>
      </c>
      <c r="O41" s="14" t="n">
        <f aca="false">IF($A41&lt;=$G$5,$E$5*$F$5,IF(K41&gt;=$B$8,M41*$B$4*(1+$B$5)^(($G$5+$B$8+L41*($B$8+$B$10))/4),0))</f>
        <v>945500</v>
      </c>
      <c r="P41" s="14" t="n">
        <f aca="false">IF($A41&lt;=$G$5,0,IF(K41=0,M41*$B$6*(1+$B$7)^(($G$5+L41*($B$8+$B$10))/4),0)+IF(K41=$B$8,$B$11*$B$4*(1+$B$5)^(($G$5+$B$8+L41*($B$8+$B$10))/4)*M41,0))</f>
        <v>0</v>
      </c>
      <c r="Q41" s="21" t="n">
        <f aca="false">IF($A41&lt;=$G$5,0,IF(K41&lt;$B$8,M41,0))</f>
        <v>0</v>
      </c>
      <c r="R41" s="21" t="n">
        <f aca="false">$A41-$G$6-1</f>
        <v>-15</v>
      </c>
      <c r="S41" s="21" t="n">
        <f aca="false">IF(R41&lt;0,-1,MOD(R41,$B$8+$B$10))</f>
        <v>-1</v>
      </c>
      <c r="T41" s="21" t="n">
        <f aca="false">IF(R41&lt;0,0,INT(R41/($B$8+$B$10)))</f>
        <v>0</v>
      </c>
      <c r="U41" s="14" t="n">
        <f aca="false">IF($A41&lt;=$G$6,$E$6,$E$6*(1-$H$6)^(T41+1))</f>
        <v>1540</v>
      </c>
      <c r="V41" s="14" t="n">
        <f aca="false">IF($A41&lt;=$G$6,$E$6*$F$6/4,IF(S41&gt;=$B$8+$B$9,U41*$B$4*(1+$B$5)^(($G$6+$B$8+T41*($B$8+$B$10))/4)/4,0))</f>
        <v>113960</v>
      </c>
      <c r="W41" s="14" t="n">
        <f aca="false">IF($A41&lt;=$G$6,$E$6*$F$6,IF(S41&gt;=$B$8,U41*$B$4*(1+$B$5)^(($G$6+$B$8+T41*($B$8+$B$10))/4),0))</f>
        <v>455840</v>
      </c>
      <c r="X41" s="14" t="n">
        <f aca="false">IF($A41&lt;=$G$6,0,IF(S41=0,U41*$B$6*(1+$B$7)^(($G$6+T41*($B$8+$B$10))/4),0)+IF(S41=$B$8,$B$11*$B$4*(1+$B$5)^(($G$6+$B$8+T41*($B$8+$B$10))/4)*U41,0))</f>
        <v>0</v>
      </c>
      <c r="Y41" s="21" t="n">
        <f aca="false">IF($A41&lt;=$G$6,0,IF(S41&lt;$B$8,U41,0))</f>
        <v>0</v>
      </c>
      <c r="Z41" s="21" t="n">
        <f aca="false">$A41-$G$7-1</f>
        <v>5</v>
      </c>
      <c r="AA41" s="21" t="n">
        <f aca="false">IF(Z41&lt;0,-1,MOD(Z41,$B$8+$B$10))</f>
        <v>5</v>
      </c>
      <c r="AB41" s="21" t="n">
        <f aca="false">IF(Z41&lt;0,0,INT(Z41/($B$8+$B$10)))</f>
        <v>0</v>
      </c>
      <c r="AC41" s="21" t="n">
        <f aca="false">IF($A41&lt;=$G$7,$E$7,$E$7*(1-$H$7)^(AB41+1))</f>
        <v>1000</v>
      </c>
      <c r="AD41" s="14" t="n">
        <f aca="false">IF($A41&lt;=$G$7,$E$7*$F$7/4,IF(AA41&gt;=$B$8+$B$9,AC41*$B$4*(1+$B$5)^(($G$7+$B$8+AB41*($B$8+$B$10))/4)/4,0))</f>
        <v>0</v>
      </c>
      <c r="AE41" s="14" t="n">
        <f aca="false">IF($A41&lt;=$G$7,$E$7*$F$7,IF(AA41&gt;=$B$8,AC41*$B$4*(1+$B$5)^(($G$7+$B$8+AB41*($B$8+$B$10))/4),0))</f>
        <v>336965.229761622</v>
      </c>
      <c r="AF41" s="14" t="n">
        <f aca="false">IF($A41&lt;=$G$7,0,IF(AA41=0,AC41*$B$6*(1+$B$7)^(($G$7+AB41*($B$8+$B$10))/4),0)+IF(AA41=$B$8,$B$11*$B$4*(1+$B$5)^(($G$7+$B$8+AB41*($B$8+$B$10))/4)*AC41,0))</f>
        <v>0</v>
      </c>
      <c r="AG41" s="21" t="n">
        <f aca="false">IF($A41&lt;=$G$7,0,IF(AA41&lt;$B$8,AC41,0))</f>
        <v>0</v>
      </c>
      <c r="AH41" s="21" t="n">
        <f aca="false">$A41-$G$8-1</f>
        <v>11</v>
      </c>
      <c r="AI41" s="21" t="n">
        <f aca="false">IF(AH41&lt;0,-1,MOD(AH41,$B$8+$B$10))</f>
        <v>11</v>
      </c>
      <c r="AJ41" s="21" t="n">
        <f aca="false">IF(AH41&lt;0,0,INT(AH41/($B$8+$B$10)))</f>
        <v>0</v>
      </c>
      <c r="AK41" s="21" t="n">
        <f aca="false">IF($A41&lt;=$G$8,$E$8,$E$8*(1-$H$8)^(AJ41+1))</f>
        <v>2160</v>
      </c>
      <c r="AL41" s="14" t="n">
        <f aca="false">IF($A41&lt;=$G$8,$E$8*$F$8/4,IF(AI41&gt;=$B$8+$B$9,AK41*$B$4*(1+$B$5)^(($G$8+$B$8+AJ41*($B$8+$B$10))/4)/4,0))</f>
        <v>168397.753270693</v>
      </c>
      <c r="AM41" s="14" t="n">
        <f aca="false">IF($A41&lt;=$G$8,$E$8*$F$8,IF(AI41&gt;=$B$8,AK41*$B$4*(1+$B$5)^(($G$8+$B$8+AJ41*($B$8+$B$10))/4),0))</f>
        <v>673591.013082772</v>
      </c>
      <c r="AN41" s="14" t="n">
        <f aca="false">IF($A41&lt;=$G$8,0,IF(AI41=0,AK41*$B$6*(1+$B$7)^(($G$8+AJ41*($B$8+$B$10))/4),0)+IF(AI41=$B$8,$B$11*$B$4*(1+$B$5)^(($G$8+$B$8+AJ41*($B$8+$B$10))/4)*AK41,0))</f>
        <v>0</v>
      </c>
      <c r="AO41" s="21" t="n">
        <f aca="false">IF($A41&lt;=$G$8,0,IF(AI41&lt;$B$8,AK41,0))</f>
        <v>0</v>
      </c>
      <c r="AP41" s="14" t="n">
        <f aca="false">F41+N41+V41+AD41+AL41</f>
        <v>518732.753270693</v>
      </c>
      <c r="AQ41" s="14" t="n">
        <f aca="false">G41+O41+W41+AE41+AM41</f>
        <v>2411896.24284439</v>
      </c>
      <c r="AR41" s="14" t="n">
        <f aca="false">H41+P41+X41+AF41+AN41+IF($A41=$B$15,$B$14,0)</f>
        <v>1900000</v>
      </c>
      <c r="AS41" s="21" t="n">
        <f aca="false">I41+Q41+Y41+AG41+AO41</f>
        <v>4200</v>
      </c>
      <c r="AT41" s="14" t="n">
        <f aca="false">AP41*(1-$B$12)-AS41*$B$13/4</f>
        <v>429858.788074451</v>
      </c>
      <c r="AU41" s="14" t="n">
        <f aca="false">0</f>
        <v>0</v>
      </c>
      <c r="AV41" s="14" t="n">
        <f aca="false">AT41-AR41-AU41</f>
        <v>-1470141.21192555</v>
      </c>
      <c r="AW41" s="21" t="n">
        <f aca="false">(1+$B$16)^(-$A41/4)</f>
        <v>0.799370585593037</v>
      </c>
      <c r="AX41" s="14" t="n">
        <f aca="false">AV41*AW41</f>
        <v>-1175187.64148138</v>
      </c>
      <c r="AY41" s="14" t="n">
        <f aca="false">AV41</f>
        <v>-1470141.21192555</v>
      </c>
    </row>
    <row r="42" customFormat="false" ht="15" hidden="false" customHeight="false" outlineLevel="0" collapsed="false">
      <c r="A42" s="0" t="n">
        <v>13</v>
      </c>
      <c r="B42" s="0" t="n">
        <f aca="false">$A42-$G$4-1</f>
        <v>2</v>
      </c>
      <c r="C42" s="0" t="n">
        <f aca="false">IF(B42&lt;0,-1,MOD(B42,$B$8+$B$10))</f>
        <v>2</v>
      </c>
      <c r="D42" s="0" t="n">
        <f aca="false">IF(B42&lt;0,0,INT(B42/($B$8+$B$10)))</f>
        <v>0</v>
      </c>
      <c r="E42" s="0" t="n">
        <f aca="false">IF($A42&lt;=$G$4,$E$4,$E$4*(1-$H$4)^(D42+1))</f>
        <v>4200</v>
      </c>
      <c r="F42" s="14" t="n">
        <f aca="false">IF($A42&lt;=$G$4,$E$4*$F$4/4,IF(C42&gt;=$B$8+$B$9,E42*$B$4*(1+$B$5)^(($G$4+$B$8+D42*($B$8+$B$10))/4)/4,0))</f>
        <v>0</v>
      </c>
      <c r="G42" s="14" t="n">
        <f aca="false">IF($A42&lt;=$G$4,$E$4*$F$4,IF(C42&gt;=$B$8,E42*$B$4*(1+$B$5)^(($G$4+$B$8+D42*($B$8+$B$10))/4),0))</f>
        <v>0</v>
      </c>
      <c r="H42" s="14" t="n">
        <f aca="false">IF($A42&lt;=$G$4,0,IF(C42=0,E42*$B$6*(1+$B$7)^(($G$4+D42*($B$8+$B$10))/4),0)+IF(C42=$B$8,$B$11*$B$4*(1+$B$5)^(($G$4+$B$8+D42*($B$8+$B$10))/4)*E42,0))</f>
        <v>0</v>
      </c>
      <c r="I42" s="21" t="n">
        <f aca="false">IF($A42&lt;=$G$4,0,IF(C42&lt;$B$8,E42,0))</f>
        <v>4200</v>
      </c>
      <c r="J42" s="21" t="n">
        <f aca="false">$A42-$G$5-1</f>
        <v>-4</v>
      </c>
      <c r="K42" s="21" t="n">
        <f aca="false">IF(J42&lt;0,-1,MOD(J42,$B$8+$B$10))</f>
        <v>-1</v>
      </c>
      <c r="L42" s="21" t="n">
        <f aca="false">IF(J42&lt;0,0,INT(J42/($B$8+$B$10)))</f>
        <v>0</v>
      </c>
      <c r="M42" s="14" t="n">
        <f aca="false">IF($A42&lt;=$G$5,$E$5,$E$5*(1-$H$5)^(L42+1))</f>
        <v>3100</v>
      </c>
      <c r="N42" s="14" t="n">
        <f aca="false">IF($A42&lt;=$G$5,$E$5*$F$5/4,IF(K42&gt;=$B$8+$B$9,M42*$B$4*(1+$B$5)^(($G$5+$B$8+L42*($B$8+$B$10))/4)/4,0))</f>
        <v>236375</v>
      </c>
      <c r="O42" s="14" t="n">
        <f aca="false">IF($A42&lt;=$G$5,$E$5*$F$5,IF(K42&gt;=$B$8,M42*$B$4*(1+$B$5)^(($G$5+$B$8+L42*($B$8+$B$10))/4),0))</f>
        <v>945500</v>
      </c>
      <c r="P42" s="14" t="n">
        <f aca="false">IF($A42&lt;=$G$5,0,IF(K42=0,M42*$B$6*(1+$B$7)^(($G$5+L42*($B$8+$B$10))/4),0)+IF(K42=$B$8,$B$11*$B$4*(1+$B$5)^(($G$5+$B$8+L42*($B$8+$B$10))/4)*M42,0))</f>
        <v>0</v>
      </c>
      <c r="Q42" s="21" t="n">
        <f aca="false">IF($A42&lt;=$G$5,0,IF(K42&lt;$B$8,M42,0))</f>
        <v>0</v>
      </c>
      <c r="R42" s="21" t="n">
        <f aca="false">$A42-$G$6-1</f>
        <v>-14</v>
      </c>
      <c r="S42" s="21" t="n">
        <f aca="false">IF(R42&lt;0,-1,MOD(R42,$B$8+$B$10))</f>
        <v>-1</v>
      </c>
      <c r="T42" s="21" t="n">
        <f aca="false">IF(R42&lt;0,0,INT(R42/($B$8+$B$10)))</f>
        <v>0</v>
      </c>
      <c r="U42" s="14" t="n">
        <f aca="false">IF($A42&lt;=$G$6,$E$6,$E$6*(1-$H$6)^(T42+1))</f>
        <v>1540</v>
      </c>
      <c r="V42" s="14" t="n">
        <f aca="false">IF($A42&lt;=$G$6,$E$6*$F$6/4,IF(S42&gt;=$B$8+$B$9,U42*$B$4*(1+$B$5)^(($G$6+$B$8+T42*($B$8+$B$10))/4)/4,0))</f>
        <v>113960</v>
      </c>
      <c r="W42" s="14" t="n">
        <f aca="false">IF($A42&lt;=$G$6,$E$6*$F$6,IF(S42&gt;=$B$8,U42*$B$4*(1+$B$5)^(($G$6+$B$8+T42*($B$8+$B$10))/4),0))</f>
        <v>455840</v>
      </c>
      <c r="X42" s="14" t="n">
        <f aca="false">IF($A42&lt;=$G$6,0,IF(S42=0,U42*$B$6*(1+$B$7)^(($G$6+T42*($B$8+$B$10))/4),0)+IF(S42=$B$8,$B$11*$B$4*(1+$B$5)^(($G$6+$B$8+T42*($B$8+$B$10))/4)*U42,0))</f>
        <v>0</v>
      </c>
      <c r="Y42" s="21" t="n">
        <f aca="false">IF($A42&lt;=$G$6,0,IF(S42&lt;$B$8,U42,0))</f>
        <v>0</v>
      </c>
      <c r="Z42" s="21" t="n">
        <f aca="false">$A42-$G$7-1</f>
        <v>6</v>
      </c>
      <c r="AA42" s="21" t="n">
        <f aca="false">IF(Z42&lt;0,-1,MOD(Z42,$B$8+$B$10))</f>
        <v>6</v>
      </c>
      <c r="AB42" s="21" t="n">
        <f aca="false">IF(Z42&lt;0,0,INT(Z42/($B$8+$B$10)))</f>
        <v>0</v>
      </c>
      <c r="AC42" s="21" t="n">
        <f aca="false">IF($A42&lt;=$G$7,$E$7,$E$7*(1-$H$7)^(AB42+1))</f>
        <v>1000</v>
      </c>
      <c r="AD42" s="14" t="n">
        <f aca="false">IF($A42&lt;=$G$7,$E$7*$F$7/4,IF(AA42&gt;=$B$8+$B$9,AC42*$B$4*(1+$B$5)^(($G$7+$B$8+AB42*($B$8+$B$10))/4)/4,0))</f>
        <v>84241.3074404055</v>
      </c>
      <c r="AE42" s="14" t="n">
        <f aca="false">IF($A42&lt;=$G$7,$E$7*$F$7,IF(AA42&gt;=$B$8,AC42*$B$4*(1+$B$5)^(($G$7+$B$8+AB42*($B$8+$B$10))/4),0))</f>
        <v>336965.229761622</v>
      </c>
      <c r="AF42" s="14" t="n">
        <f aca="false">IF($A42&lt;=$G$7,0,IF(AA42=0,AC42*$B$6*(1+$B$7)^(($G$7+AB42*($B$8+$B$10))/4),0)+IF(AA42=$B$8,$B$11*$B$4*(1+$B$5)^(($G$7+$B$8+AB42*($B$8+$B$10))/4)*AC42,0))</f>
        <v>0</v>
      </c>
      <c r="AG42" s="21" t="n">
        <f aca="false">IF($A42&lt;=$G$7,0,IF(AA42&lt;$B$8,AC42,0))</f>
        <v>0</v>
      </c>
      <c r="AH42" s="21" t="n">
        <f aca="false">$A42-$G$8-1</f>
        <v>12</v>
      </c>
      <c r="AI42" s="21" t="n">
        <f aca="false">IF(AH42&lt;0,-1,MOD(AH42,$B$8+$B$10))</f>
        <v>12</v>
      </c>
      <c r="AJ42" s="21" t="n">
        <f aca="false">IF(AH42&lt;0,0,INT(AH42/($B$8+$B$10)))</f>
        <v>0</v>
      </c>
      <c r="AK42" s="21" t="n">
        <f aca="false">IF($A42&lt;=$G$8,$E$8,$E$8*(1-$H$8)^(AJ42+1))</f>
        <v>2160</v>
      </c>
      <c r="AL42" s="14" t="n">
        <f aca="false">IF($A42&lt;=$G$8,$E$8*$F$8/4,IF(AI42&gt;=$B$8+$B$9,AK42*$B$4*(1+$B$5)^(($G$8+$B$8+AJ42*($B$8+$B$10))/4)/4,0))</f>
        <v>168397.753270693</v>
      </c>
      <c r="AM42" s="14" t="n">
        <f aca="false">IF($A42&lt;=$G$8,$E$8*$F$8,IF(AI42&gt;=$B$8,AK42*$B$4*(1+$B$5)^(($G$8+$B$8+AJ42*($B$8+$B$10))/4),0))</f>
        <v>673591.013082772</v>
      </c>
      <c r="AN42" s="14" t="n">
        <f aca="false">IF($A42&lt;=$G$8,0,IF(AI42=0,AK42*$B$6*(1+$B$7)^(($G$8+AJ42*($B$8+$B$10))/4),0)+IF(AI42=$B$8,$B$11*$B$4*(1+$B$5)^(($G$8+$B$8+AJ42*($B$8+$B$10))/4)*AK42,0))</f>
        <v>0</v>
      </c>
      <c r="AO42" s="21" t="n">
        <f aca="false">IF($A42&lt;=$G$8,0,IF(AI42&lt;$B$8,AK42,0))</f>
        <v>0</v>
      </c>
      <c r="AP42" s="14" t="n">
        <f aca="false">F42+N42+V42+AD42+AL42</f>
        <v>602974.060711099</v>
      </c>
      <c r="AQ42" s="14" t="n">
        <f aca="false">G42+O42+W42+AE42+AM42</f>
        <v>2411896.24284439</v>
      </c>
      <c r="AR42" s="14" t="n">
        <f aca="false">H42+P42+X42+AF42+AN42+IF($A42=$B$15,$B$14,0)</f>
        <v>0</v>
      </c>
      <c r="AS42" s="21" t="n">
        <f aca="false">I42+Q42+Y42+AG42+AO42</f>
        <v>4200</v>
      </c>
      <c r="AT42" s="14" t="n">
        <f aca="false">AP42*(1-$B$12)-AS42*$B$13/4</f>
        <v>509045.617068433</v>
      </c>
      <c r="AU42" s="14" t="n">
        <f aca="false">0</f>
        <v>0</v>
      </c>
      <c r="AV42" s="14" t="n">
        <f aca="false">AT42-AR42-AU42</f>
        <v>509045.617068433</v>
      </c>
      <c r="AW42" s="21" t="n">
        <f aca="false">(1+$B$16)^(-$A42/4)</f>
        <v>0.784591942568485</v>
      </c>
      <c r="AX42" s="14" t="n">
        <f aca="false">AV42*AW42</f>
        <v>399393.089551695</v>
      </c>
      <c r="AY42" s="14" t="n">
        <f aca="false">AV42</f>
        <v>509045.617068433</v>
      </c>
    </row>
    <row r="43" customFormat="false" ht="15" hidden="false" customHeight="false" outlineLevel="0" collapsed="false">
      <c r="A43" s="0" t="n">
        <v>14</v>
      </c>
      <c r="B43" s="0" t="n">
        <f aca="false">$A43-$G$4-1</f>
        <v>3</v>
      </c>
      <c r="C43" s="0" t="n">
        <f aca="false">IF(B43&lt;0,-1,MOD(B43,$B$8+$B$10))</f>
        <v>3</v>
      </c>
      <c r="D43" s="0" t="n">
        <f aca="false">IF(B43&lt;0,0,INT(B43/($B$8+$B$10)))</f>
        <v>0</v>
      </c>
      <c r="E43" s="0" t="n">
        <f aca="false">IF($A43&lt;=$G$4,$E$4,$E$4*(1-$H$4)^(D43+1))</f>
        <v>4200</v>
      </c>
      <c r="F43" s="14" t="n">
        <f aca="false">IF($A43&lt;=$G$4,$E$4*$F$4/4,IF(C43&gt;=$B$8+$B$9,E43*$B$4*(1+$B$5)^(($G$4+$B$8+D43*($B$8+$B$10))/4)/4,0))</f>
        <v>0</v>
      </c>
      <c r="G43" s="14" t="n">
        <f aca="false">IF($A43&lt;=$G$4,$E$4*$F$4,IF(C43&gt;=$B$8,E43*$B$4*(1+$B$5)^(($G$4+$B$8+D43*($B$8+$B$10))/4),0))</f>
        <v>1490262.42514375</v>
      </c>
      <c r="H43" s="14" t="n">
        <f aca="false">IF($A43&lt;=$G$4,0,IF(C43=0,E43*$B$6*(1+$B$7)^(($G$4+D43*($B$8+$B$10))/4),0)+IF(C43=$B$8,$B$11*$B$4*(1+$B$5)^(($G$4+$B$8+D43*($B$8+$B$10))/4)*E43,0))</f>
        <v>178831.49101725</v>
      </c>
      <c r="I43" s="21" t="n">
        <f aca="false">IF($A43&lt;=$G$4,0,IF(C43&lt;$B$8,E43,0))</f>
        <v>0</v>
      </c>
      <c r="J43" s="21" t="n">
        <f aca="false">$A43-$G$5-1</f>
        <v>-3</v>
      </c>
      <c r="K43" s="21" t="n">
        <f aca="false">IF(J43&lt;0,-1,MOD(J43,$B$8+$B$10))</f>
        <v>-1</v>
      </c>
      <c r="L43" s="21" t="n">
        <f aca="false">IF(J43&lt;0,0,INT(J43/($B$8+$B$10)))</f>
        <v>0</v>
      </c>
      <c r="M43" s="14" t="n">
        <f aca="false">IF($A43&lt;=$G$5,$E$5,$E$5*(1-$H$5)^(L43+1))</f>
        <v>3100</v>
      </c>
      <c r="N43" s="14" t="n">
        <f aca="false">IF($A43&lt;=$G$5,$E$5*$F$5/4,IF(K43&gt;=$B$8+$B$9,M43*$B$4*(1+$B$5)^(($G$5+$B$8+L43*($B$8+$B$10))/4)/4,0))</f>
        <v>236375</v>
      </c>
      <c r="O43" s="14" t="n">
        <f aca="false">IF($A43&lt;=$G$5,$E$5*$F$5,IF(K43&gt;=$B$8,M43*$B$4*(1+$B$5)^(($G$5+$B$8+L43*($B$8+$B$10))/4),0))</f>
        <v>945500</v>
      </c>
      <c r="P43" s="14" t="n">
        <f aca="false">IF($A43&lt;=$G$5,0,IF(K43=0,M43*$B$6*(1+$B$7)^(($G$5+L43*($B$8+$B$10))/4),0)+IF(K43=$B$8,$B$11*$B$4*(1+$B$5)^(($G$5+$B$8+L43*($B$8+$B$10))/4)*M43,0))</f>
        <v>0</v>
      </c>
      <c r="Q43" s="21" t="n">
        <f aca="false">IF($A43&lt;=$G$5,0,IF(K43&lt;$B$8,M43,0))</f>
        <v>0</v>
      </c>
      <c r="R43" s="21" t="n">
        <f aca="false">$A43-$G$6-1</f>
        <v>-13</v>
      </c>
      <c r="S43" s="21" t="n">
        <f aca="false">IF(R43&lt;0,-1,MOD(R43,$B$8+$B$10))</f>
        <v>-1</v>
      </c>
      <c r="T43" s="21" t="n">
        <f aca="false">IF(R43&lt;0,0,INT(R43/($B$8+$B$10)))</f>
        <v>0</v>
      </c>
      <c r="U43" s="14" t="n">
        <f aca="false">IF($A43&lt;=$G$6,$E$6,$E$6*(1-$H$6)^(T43+1))</f>
        <v>1540</v>
      </c>
      <c r="V43" s="14" t="n">
        <f aca="false">IF($A43&lt;=$G$6,$E$6*$F$6/4,IF(S43&gt;=$B$8+$B$9,U43*$B$4*(1+$B$5)^(($G$6+$B$8+T43*($B$8+$B$10))/4)/4,0))</f>
        <v>113960</v>
      </c>
      <c r="W43" s="14" t="n">
        <f aca="false">IF($A43&lt;=$G$6,$E$6*$F$6,IF(S43&gt;=$B$8,U43*$B$4*(1+$B$5)^(($G$6+$B$8+T43*($B$8+$B$10))/4),0))</f>
        <v>455840</v>
      </c>
      <c r="X43" s="14" t="n">
        <f aca="false">IF($A43&lt;=$G$6,0,IF(S43=0,U43*$B$6*(1+$B$7)^(($G$6+T43*($B$8+$B$10))/4),0)+IF(S43=$B$8,$B$11*$B$4*(1+$B$5)^(($G$6+$B$8+T43*($B$8+$B$10))/4)*U43,0))</f>
        <v>0</v>
      </c>
      <c r="Y43" s="21" t="n">
        <f aca="false">IF($A43&lt;=$G$6,0,IF(S43&lt;$B$8,U43,0))</f>
        <v>0</v>
      </c>
      <c r="Z43" s="21" t="n">
        <f aca="false">$A43-$G$7-1</f>
        <v>7</v>
      </c>
      <c r="AA43" s="21" t="n">
        <f aca="false">IF(Z43&lt;0,-1,MOD(Z43,$B$8+$B$10))</f>
        <v>7</v>
      </c>
      <c r="AB43" s="21" t="n">
        <f aca="false">IF(Z43&lt;0,0,INT(Z43/($B$8+$B$10)))</f>
        <v>0</v>
      </c>
      <c r="AC43" s="21" t="n">
        <f aca="false">IF($A43&lt;=$G$7,$E$7,$E$7*(1-$H$7)^(AB43+1))</f>
        <v>1000</v>
      </c>
      <c r="AD43" s="14" t="n">
        <f aca="false">IF($A43&lt;=$G$7,$E$7*$F$7/4,IF(AA43&gt;=$B$8+$B$9,AC43*$B$4*(1+$B$5)^(($G$7+$B$8+AB43*($B$8+$B$10))/4)/4,0))</f>
        <v>84241.3074404055</v>
      </c>
      <c r="AE43" s="14" t="n">
        <f aca="false">IF($A43&lt;=$G$7,$E$7*$F$7,IF(AA43&gt;=$B$8,AC43*$B$4*(1+$B$5)^(($G$7+$B$8+AB43*($B$8+$B$10))/4),0))</f>
        <v>336965.229761622</v>
      </c>
      <c r="AF43" s="14" t="n">
        <f aca="false">IF($A43&lt;=$G$7,0,IF(AA43=0,AC43*$B$6*(1+$B$7)^(($G$7+AB43*($B$8+$B$10))/4),0)+IF(AA43=$B$8,$B$11*$B$4*(1+$B$5)^(($G$7+$B$8+AB43*($B$8+$B$10))/4)*AC43,0))</f>
        <v>0</v>
      </c>
      <c r="AG43" s="21" t="n">
        <f aca="false">IF($A43&lt;=$G$7,0,IF(AA43&lt;$B$8,AC43,0))</f>
        <v>0</v>
      </c>
      <c r="AH43" s="21" t="n">
        <f aca="false">$A43-$G$8-1</f>
        <v>13</v>
      </c>
      <c r="AI43" s="21" t="n">
        <f aca="false">IF(AH43&lt;0,-1,MOD(AH43,$B$8+$B$10))</f>
        <v>13</v>
      </c>
      <c r="AJ43" s="21" t="n">
        <f aca="false">IF(AH43&lt;0,0,INT(AH43/($B$8+$B$10)))</f>
        <v>0</v>
      </c>
      <c r="AK43" s="21" t="n">
        <f aca="false">IF($A43&lt;=$G$8,$E$8,$E$8*(1-$H$8)^(AJ43+1))</f>
        <v>2160</v>
      </c>
      <c r="AL43" s="14" t="n">
        <f aca="false">IF($A43&lt;=$G$8,$E$8*$F$8/4,IF(AI43&gt;=$B$8+$B$9,AK43*$B$4*(1+$B$5)^(($G$8+$B$8+AJ43*($B$8+$B$10))/4)/4,0))</f>
        <v>168397.753270693</v>
      </c>
      <c r="AM43" s="14" t="n">
        <f aca="false">IF($A43&lt;=$G$8,$E$8*$F$8,IF(AI43&gt;=$B$8,AK43*$B$4*(1+$B$5)^(($G$8+$B$8+AJ43*($B$8+$B$10))/4),0))</f>
        <v>673591.013082772</v>
      </c>
      <c r="AN43" s="14" t="n">
        <f aca="false">IF($A43&lt;=$G$8,0,IF(AI43=0,AK43*$B$6*(1+$B$7)^(($G$8+AJ43*($B$8+$B$10))/4),0)+IF(AI43=$B$8,$B$11*$B$4*(1+$B$5)^(($G$8+$B$8+AJ43*($B$8+$B$10))/4)*AK43,0))</f>
        <v>0</v>
      </c>
      <c r="AO43" s="21" t="n">
        <f aca="false">IF($A43&lt;=$G$8,0,IF(AI43&lt;$B$8,AK43,0))</f>
        <v>0</v>
      </c>
      <c r="AP43" s="14" t="n">
        <f aca="false">F43+N43+V43+AD43+AL43</f>
        <v>602974.060711099</v>
      </c>
      <c r="AQ43" s="14" t="n">
        <f aca="false">G43+O43+W43+AE43+AM43</f>
        <v>3902158.66798814</v>
      </c>
      <c r="AR43" s="14" t="n">
        <f aca="false">H43+P43+X43+AF43+AN43+IF($A43=$B$15,$B$14,0)</f>
        <v>178831.49101725</v>
      </c>
      <c r="AS43" s="21" t="n">
        <f aca="false">I43+Q43+Y43+AG43+AO43</f>
        <v>0</v>
      </c>
      <c r="AT43" s="14" t="n">
        <f aca="false">AP43*(1-$B$12)-AS43*$B$13/4</f>
        <v>566795.617068433</v>
      </c>
      <c r="AU43" s="14" t="n">
        <f aca="false">0</f>
        <v>0</v>
      </c>
      <c r="AV43" s="14" t="n">
        <f aca="false">AT43-AR43-AU43</f>
        <v>387964.126051183</v>
      </c>
      <c r="AW43" s="21" t="n">
        <f aca="false">(1+$B$16)^(-$A43/4)</f>
        <v>0.770086524870939</v>
      </c>
      <c r="AX43" s="14" t="n">
        <f aca="false">AV43*AW43</f>
        <v>298765.945605346</v>
      </c>
      <c r="AY43" s="14" t="n">
        <f aca="false">AV43</f>
        <v>387964.126051183</v>
      </c>
    </row>
    <row r="44" customFormat="false" ht="15" hidden="false" customHeight="false" outlineLevel="0" collapsed="false">
      <c r="A44" s="0" t="n">
        <v>15</v>
      </c>
      <c r="B44" s="0" t="n">
        <f aca="false">$A44-$G$4-1</f>
        <v>4</v>
      </c>
      <c r="C44" s="0" t="n">
        <f aca="false">IF(B44&lt;0,-1,MOD(B44,$B$8+$B$10))</f>
        <v>4</v>
      </c>
      <c r="D44" s="0" t="n">
        <f aca="false">IF(B44&lt;0,0,INT(B44/($B$8+$B$10)))</f>
        <v>0</v>
      </c>
      <c r="E44" s="0" t="n">
        <f aca="false">IF($A44&lt;=$G$4,$E$4,$E$4*(1-$H$4)^(D44+1))</f>
        <v>4200</v>
      </c>
      <c r="F44" s="14" t="n">
        <f aca="false">IF($A44&lt;=$G$4,$E$4*$F$4/4,IF(C44&gt;=$B$8+$B$9,E44*$B$4*(1+$B$5)^(($G$4+$B$8+D44*($B$8+$B$10))/4)/4,0))</f>
        <v>0</v>
      </c>
      <c r="G44" s="14" t="n">
        <f aca="false">IF($A44&lt;=$G$4,$E$4*$F$4,IF(C44&gt;=$B$8,E44*$B$4*(1+$B$5)^(($G$4+$B$8+D44*($B$8+$B$10))/4),0))</f>
        <v>1490262.42514375</v>
      </c>
      <c r="H44" s="14" t="n">
        <f aca="false">IF($A44&lt;=$G$4,0,IF(C44=0,E44*$B$6*(1+$B$7)^(($G$4+D44*($B$8+$B$10))/4),0)+IF(C44=$B$8,$B$11*$B$4*(1+$B$5)^(($G$4+$B$8+D44*($B$8+$B$10))/4)*E44,0))</f>
        <v>0</v>
      </c>
      <c r="I44" s="21" t="n">
        <f aca="false">IF($A44&lt;=$G$4,0,IF(C44&lt;$B$8,E44,0))</f>
        <v>0</v>
      </c>
      <c r="J44" s="21" t="n">
        <f aca="false">$A44-$G$5-1</f>
        <v>-2</v>
      </c>
      <c r="K44" s="21" t="n">
        <f aca="false">IF(J44&lt;0,-1,MOD(J44,$B$8+$B$10))</f>
        <v>-1</v>
      </c>
      <c r="L44" s="21" t="n">
        <f aca="false">IF(J44&lt;0,0,INT(J44/($B$8+$B$10)))</f>
        <v>0</v>
      </c>
      <c r="M44" s="14" t="n">
        <f aca="false">IF($A44&lt;=$G$5,$E$5,$E$5*(1-$H$5)^(L44+1))</f>
        <v>3100</v>
      </c>
      <c r="N44" s="14" t="n">
        <f aca="false">IF($A44&lt;=$G$5,$E$5*$F$5/4,IF(K44&gt;=$B$8+$B$9,M44*$B$4*(1+$B$5)^(($G$5+$B$8+L44*($B$8+$B$10))/4)/4,0))</f>
        <v>236375</v>
      </c>
      <c r="O44" s="14" t="n">
        <f aca="false">IF($A44&lt;=$G$5,$E$5*$F$5,IF(K44&gt;=$B$8,M44*$B$4*(1+$B$5)^(($G$5+$B$8+L44*($B$8+$B$10))/4),0))</f>
        <v>945500</v>
      </c>
      <c r="P44" s="14" t="n">
        <f aca="false">IF($A44&lt;=$G$5,0,IF(K44=0,M44*$B$6*(1+$B$7)^(($G$5+L44*($B$8+$B$10))/4),0)+IF(K44=$B$8,$B$11*$B$4*(1+$B$5)^(($G$5+$B$8+L44*($B$8+$B$10))/4)*M44,0))</f>
        <v>0</v>
      </c>
      <c r="Q44" s="21" t="n">
        <f aca="false">IF($A44&lt;=$G$5,0,IF(K44&lt;$B$8,M44,0))</f>
        <v>0</v>
      </c>
      <c r="R44" s="21" t="n">
        <f aca="false">$A44-$G$6-1</f>
        <v>-12</v>
      </c>
      <c r="S44" s="21" t="n">
        <f aca="false">IF(R44&lt;0,-1,MOD(R44,$B$8+$B$10))</f>
        <v>-1</v>
      </c>
      <c r="T44" s="21" t="n">
        <f aca="false">IF(R44&lt;0,0,INT(R44/($B$8+$B$10)))</f>
        <v>0</v>
      </c>
      <c r="U44" s="14" t="n">
        <f aca="false">IF($A44&lt;=$G$6,$E$6,$E$6*(1-$H$6)^(T44+1))</f>
        <v>1540</v>
      </c>
      <c r="V44" s="14" t="n">
        <f aca="false">IF($A44&lt;=$G$6,$E$6*$F$6/4,IF(S44&gt;=$B$8+$B$9,U44*$B$4*(1+$B$5)^(($G$6+$B$8+T44*($B$8+$B$10))/4)/4,0))</f>
        <v>113960</v>
      </c>
      <c r="W44" s="14" t="n">
        <f aca="false">IF($A44&lt;=$G$6,$E$6*$F$6,IF(S44&gt;=$B$8,U44*$B$4*(1+$B$5)^(($G$6+$B$8+T44*($B$8+$B$10))/4),0))</f>
        <v>455840</v>
      </c>
      <c r="X44" s="14" t="n">
        <f aca="false">IF($A44&lt;=$G$6,0,IF(S44=0,U44*$B$6*(1+$B$7)^(($G$6+T44*($B$8+$B$10))/4),0)+IF(S44=$B$8,$B$11*$B$4*(1+$B$5)^(($G$6+$B$8+T44*($B$8+$B$10))/4)*U44,0))</f>
        <v>0</v>
      </c>
      <c r="Y44" s="21" t="n">
        <f aca="false">IF($A44&lt;=$G$6,0,IF(S44&lt;$B$8,U44,0))</f>
        <v>0</v>
      </c>
      <c r="Z44" s="21" t="n">
        <f aca="false">$A44-$G$7-1</f>
        <v>8</v>
      </c>
      <c r="AA44" s="21" t="n">
        <f aca="false">IF(Z44&lt;0,-1,MOD(Z44,$B$8+$B$10))</f>
        <v>8</v>
      </c>
      <c r="AB44" s="21" t="n">
        <f aca="false">IF(Z44&lt;0,0,INT(Z44/($B$8+$B$10)))</f>
        <v>0</v>
      </c>
      <c r="AC44" s="21" t="n">
        <f aca="false">IF($A44&lt;=$G$7,$E$7,$E$7*(1-$H$7)^(AB44+1))</f>
        <v>1000</v>
      </c>
      <c r="AD44" s="14" t="n">
        <f aca="false">IF($A44&lt;=$G$7,$E$7*$F$7/4,IF(AA44&gt;=$B$8+$B$9,AC44*$B$4*(1+$B$5)^(($G$7+$B$8+AB44*($B$8+$B$10))/4)/4,0))</f>
        <v>84241.3074404055</v>
      </c>
      <c r="AE44" s="14" t="n">
        <f aca="false">IF($A44&lt;=$G$7,$E$7*$F$7,IF(AA44&gt;=$B$8,AC44*$B$4*(1+$B$5)^(($G$7+$B$8+AB44*($B$8+$B$10))/4),0))</f>
        <v>336965.229761622</v>
      </c>
      <c r="AF44" s="14" t="n">
        <f aca="false">IF($A44&lt;=$G$7,0,IF(AA44=0,AC44*$B$6*(1+$B$7)^(($G$7+AB44*($B$8+$B$10))/4),0)+IF(AA44=$B$8,$B$11*$B$4*(1+$B$5)^(($G$7+$B$8+AB44*($B$8+$B$10))/4)*AC44,0))</f>
        <v>0</v>
      </c>
      <c r="AG44" s="21" t="n">
        <f aca="false">IF($A44&lt;=$G$7,0,IF(AA44&lt;$B$8,AC44,0))</f>
        <v>0</v>
      </c>
      <c r="AH44" s="21" t="n">
        <f aca="false">$A44-$G$8-1</f>
        <v>14</v>
      </c>
      <c r="AI44" s="21" t="n">
        <f aca="false">IF(AH44&lt;0,-1,MOD(AH44,$B$8+$B$10))</f>
        <v>14</v>
      </c>
      <c r="AJ44" s="21" t="n">
        <f aca="false">IF(AH44&lt;0,0,INT(AH44/($B$8+$B$10)))</f>
        <v>0</v>
      </c>
      <c r="AK44" s="21" t="n">
        <f aca="false">IF($A44&lt;=$G$8,$E$8,$E$8*(1-$H$8)^(AJ44+1))</f>
        <v>2160</v>
      </c>
      <c r="AL44" s="14" t="n">
        <f aca="false">IF($A44&lt;=$G$8,$E$8*$F$8/4,IF(AI44&gt;=$B$8+$B$9,AK44*$B$4*(1+$B$5)^(($G$8+$B$8+AJ44*($B$8+$B$10))/4)/4,0))</f>
        <v>168397.753270693</v>
      </c>
      <c r="AM44" s="14" t="n">
        <f aca="false">IF($A44&lt;=$G$8,$E$8*$F$8,IF(AI44&gt;=$B$8,AK44*$B$4*(1+$B$5)^(($G$8+$B$8+AJ44*($B$8+$B$10))/4),0))</f>
        <v>673591.013082772</v>
      </c>
      <c r="AN44" s="14" t="n">
        <f aca="false">IF($A44&lt;=$G$8,0,IF(AI44=0,AK44*$B$6*(1+$B$7)^(($G$8+AJ44*($B$8+$B$10))/4),0)+IF(AI44=$B$8,$B$11*$B$4*(1+$B$5)^(($G$8+$B$8+AJ44*($B$8+$B$10))/4)*AK44,0))</f>
        <v>0</v>
      </c>
      <c r="AO44" s="21" t="n">
        <f aca="false">IF($A44&lt;=$G$8,0,IF(AI44&lt;$B$8,AK44,0))</f>
        <v>0</v>
      </c>
      <c r="AP44" s="14" t="n">
        <f aca="false">F44+N44+V44+AD44+AL44</f>
        <v>602974.060711099</v>
      </c>
      <c r="AQ44" s="14" t="n">
        <f aca="false">G44+O44+W44+AE44+AM44</f>
        <v>3902158.66798814</v>
      </c>
      <c r="AR44" s="14" t="n">
        <f aca="false">H44+P44+X44+AF44+AN44+IF($A44=$B$15,$B$14,0)</f>
        <v>0</v>
      </c>
      <c r="AS44" s="21" t="n">
        <f aca="false">I44+Q44+Y44+AG44+AO44</f>
        <v>0</v>
      </c>
      <c r="AT44" s="14" t="n">
        <f aca="false">AP44*(1-$B$12)-AS44*$B$13/4</f>
        <v>566795.617068433</v>
      </c>
      <c r="AU44" s="14" t="n">
        <f aca="false">0</f>
        <v>0</v>
      </c>
      <c r="AV44" s="14" t="n">
        <f aca="false">AT44-AR44-AU44</f>
        <v>566795.617068433</v>
      </c>
      <c r="AW44" s="21" t="n">
        <f aca="false">(1+$B$16)^(-$A44/4)</f>
        <v>0.755849281151693</v>
      </c>
      <c r="AX44" s="14" t="n">
        <f aca="false">AV44*AW44</f>
        <v>428412.059721105</v>
      </c>
      <c r="AY44" s="14" t="n">
        <f aca="false">AV44</f>
        <v>566795.617068433</v>
      </c>
    </row>
    <row r="45" customFormat="false" ht="15" hidden="false" customHeight="false" outlineLevel="0" collapsed="false">
      <c r="A45" s="0" t="n">
        <v>16</v>
      </c>
      <c r="B45" s="0" t="n">
        <f aca="false">$A45-$G$4-1</f>
        <v>5</v>
      </c>
      <c r="C45" s="0" t="n">
        <f aca="false">IF(B45&lt;0,-1,MOD(B45,$B$8+$B$10))</f>
        <v>5</v>
      </c>
      <c r="D45" s="0" t="n">
        <f aca="false">IF(B45&lt;0,0,INT(B45/($B$8+$B$10)))</f>
        <v>0</v>
      </c>
      <c r="E45" s="0" t="n">
        <f aca="false">IF($A45&lt;=$G$4,$E$4,$E$4*(1-$H$4)^(D45+1))</f>
        <v>4200</v>
      </c>
      <c r="F45" s="14" t="n">
        <f aca="false">IF($A45&lt;=$G$4,$E$4*$F$4/4,IF(C45&gt;=$B$8+$B$9,E45*$B$4*(1+$B$5)^(($G$4+$B$8+D45*($B$8+$B$10))/4)/4,0))</f>
        <v>0</v>
      </c>
      <c r="G45" s="14" t="n">
        <f aca="false">IF($A45&lt;=$G$4,$E$4*$F$4,IF(C45&gt;=$B$8,E45*$B$4*(1+$B$5)^(($G$4+$B$8+D45*($B$8+$B$10))/4),0))</f>
        <v>1490262.42514375</v>
      </c>
      <c r="H45" s="14" t="n">
        <f aca="false">IF($A45&lt;=$G$4,0,IF(C45=0,E45*$B$6*(1+$B$7)^(($G$4+D45*($B$8+$B$10))/4),0)+IF(C45=$B$8,$B$11*$B$4*(1+$B$5)^(($G$4+$B$8+D45*($B$8+$B$10))/4)*E45,0))</f>
        <v>0</v>
      </c>
      <c r="I45" s="21" t="n">
        <f aca="false">IF($A45&lt;=$G$4,0,IF(C45&lt;$B$8,E45,0))</f>
        <v>0</v>
      </c>
      <c r="J45" s="21" t="n">
        <f aca="false">$A45-$G$5-1</f>
        <v>-1</v>
      </c>
      <c r="K45" s="21" t="n">
        <f aca="false">IF(J45&lt;0,-1,MOD(J45,$B$8+$B$10))</f>
        <v>-1</v>
      </c>
      <c r="L45" s="21" t="n">
        <f aca="false">IF(J45&lt;0,0,INT(J45/($B$8+$B$10)))</f>
        <v>0</v>
      </c>
      <c r="M45" s="14" t="n">
        <f aca="false">IF($A45&lt;=$G$5,$E$5,$E$5*(1-$H$5)^(L45+1))</f>
        <v>3100</v>
      </c>
      <c r="N45" s="14" t="n">
        <f aca="false">IF($A45&lt;=$G$5,$E$5*$F$5/4,IF(K45&gt;=$B$8+$B$9,M45*$B$4*(1+$B$5)^(($G$5+$B$8+L45*($B$8+$B$10))/4)/4,0))</f>
        <v>236375</v>
      </c>
      <c r="O45" s="14" t="n">
        <f aca="false">IF($A45&lt;=$G$5,$E$5*$F$5,IF(K45&gt;=$B$8,M45*$B$4*(1+$B$5)^(($G$5+$B$8+L45*($B$8+$B$10))/4),0))</f>
        <v>945500</v>
      </c>
      <c r="P45" s="14" t="n">
        <f aca="false">IF($A45&lt;=$G$5,0,IF(K45=0,M45*$B$6*(1+$B$7)^(($G$5+L45*($B$8+$B$10))/4),0)+IF(K45=$B$8,$B$11*$B$4*(1+$B$5)^(($G$5+$B$8+L45*($B$8+$B$10))/4)*M45,0))</f>
        <v>0</v>
      </c>
      <c r="Q45" s="21" t="n">
        <f aca="false">IF($A45&lt;=$G$5,0,IF(K45&lt;$B$8,M45,0))</f>
        <v>0</v>
      </c>
      <c r="R45" s="21" t="n">
        <f aca="false">$A45-$G$6-1</f>
        <v>-11</v>
      </c>
      <c r="S45" s="21" t="n">
        <f aca="false">IF(R45&lt;0,-1,MOD(R45,$B$8+$B$10))</f>
        <v>-1</v>
      </c>
      <c r="T45" s="21" t="n">
        <f aca="false">IF(R45&lt;0,0,INT(R45/($B$8+$B$10)))</f>
        <v>0</v>
      </c>
      <c r="U45" s="14" t="n">
        <f aca="false">IF($A45&lt;=$G$6,$E$6,$E$6*(1-$H$6)^(T45+1))</f>
        <v>1540</v>
      </c>
      <c r="V45" s="14" t="n">
        <f aca="false">IF($A45&lt;=$G$6,$E$6*$F$6/4,IF(S45&gt;=$B$8+$B$9,U45*$B$4*(1+$B$5)^(($G$6+$B$8+T45*($B$8+$B$10))/4)/4,0))</f>
        <v>113960</v>
      </c>
      <c r="W45" s="14" t="n">
        <f aca="false">IF($A45&lt;=$G$6,$E$6*$F$6,IF(S45&gt;=$B$8,U45*$B$4*(1+$B$5)^(($G$6+$B$8+T45*($B$8+$B$10))/4),0))</f>
        <v>455840</v>
      </c>
      <c r="X45" s="14" t="n">
        <f aca="false">IF($A45&lt;=$G$6,0,IF(S45=0,U45*$B$6*(1+$B$7)^(($G$6+T45*($B$8+$B$10))/4),0)+IF(S45=$B$8,$B$11*$B$4*(1+$B$5)^(($G$6+$B$8+T45*($B$8+$B$10))/4)*U45,0))</f>
        <v>0</v>
      </c>
      <c r="Y45" s="21" t="n">
        <f aca="false">IF($A45&lt;=$G$6,0,IF(S45&lt;$B$8,U45,0))</f>
        <v>0</v>
      </c>
      <c r="Z45" s="21" t="n">
        <f aca="false">$A45-$G$7-1</f>
        <v>9</v>
      </c>
      <c r="AA45" s="21" t="n">
        <f aca="false">IF(Z45&lt;0,-1,MOD(Z45,$B$8+$B$10))</f>
        <v>9</v>
      </c>
      <c r="AB45" s="21" t="n">
        <f aca="false">IF(Z45&lt;0,0,INT(Z45/($B$8+$B$10)))</f>
        <v>0</v>
      </c>
      <c r="AC45" s="21" t="n">
        <f aca="false">IF($A45&lt;=$G$7,$E$7,$E$7*(1-$H$7)^(AB45+1))</f>
        <v>1000</v>
      </c>
      <c r="AD45" s="14" t="n">
        <f aca="false">IF($A45&lt;=$G$7,$E$7*$F$7/4,IF(AA45&gt;=$B$8+$B$9,AC45*$B$4*(1+$B$5)^(($G$7+$B$8+AB45*($B$8+$B$10))/4)/4,0))</f>
        <v>84241.3074404055</v>
      </c>
      <c r="AE45" s="14" t="n">
        <f aca="false">IF($A45&lt;=$G$7,$E$7*$F$7,IF(AA45&gt;=$B$8,AC45*$B$4*(1+$B$5)^(($G$7+$B$8+AB45*($B$8+$B$10))/4),0))</f>
        <v>336965.229761622</v>
      </c>
      <c r="AF45" s="14" t="n">
        <f aca="false">IF($A45&lt;=$G$7,0,IF(AA45=0,AC45*$B$6*(1+$B$7)^(($G$7+AB45*($B$8+$B$10))/4),0)+IF(AA45=$B$8,$B$11*$B$4*(1+$B$5)^(($G$7+$B$8+AB45*($B$8+$B$10))/4)*AC45,0))</f>
        <v>0</v>
      </c>
      <c r="AG45" s="21" t="n">
        <f aca="false">IF($A45&lt;=$G$7,0,IF(AA45&lt;$B$8,AC45,0))</f>
        <v>0</v>
      </c>
      <c r="AH45" s="21" t="n">
        <f aca="false">$A45-$G$8-1</f>
        <v>15</v>
      </c>
      <c r="AI45" s="21" t="n">
        <f aca="false">IF(AH45&lt;0,-1,MOD(AH45,$B$8+$B$10))</f>
        <v>15</v>
      </c>
      <c r="AJ45" s="21" t="n">
        <f aca="false">IF(AH45&lt;0,0,INT(AH45/($B$8+$B$10)))</f>
        <v>0</v>
      </c>
      <c r="AK45" s="21" t="n">
        <f aca="false">IF($A45&lt;=$G$8,$E$8,$E$8*(1-$H$8)^(AJ45+1))</f>
        <v>2160</v>
      </c>
      <c r="AL45" s="14" t="n">
        <f aca="false">IF($A45&lt;=$G$8,$E$8*$F$8/4,IF(AI45&gt;=$B$8+$B$9,AK45*$B$4*(1+$B$5)^(($G$8+$B$8+AJ45*($B$8+$B$10))/4)/4,0))</f>
        <v>168397.753270693</v>
      </c>
      <c r="AM45" s="14" t="n">
        <f aca="false">IF($A45&lt;=$G$8,$E$8*$F$8,IF(AI45&gt;=$B$8,AK45*$B$4*(1+$B$5)^(($G$8+$B$8+AJ45*($B$8+$B$10))/4),0))</f>
        <v>673591.013082772</v>
      </c>
      <c r="AN45" s="14" t="n">
        <f aca="false">IF($A45&lt;=$G$8,0,IF(AI45=0,AK45*$B$6*(1+$B$7)^(($G$8+AJ45*($B$8+$B$10))/4),0)+IF(AI45=$B$8,$B$11*$B$4*(1+$B$5)^(($G$8+$B$8+AJ45*($B$8+$B$10))/4)*AK45,0))</f>
        <v>0</v>
      </c>
      <c r="AO45" s="21" t="n">
        <f aca="false">IF($A45&lt;=$G$8,0,IF(AI45&lt;$B$8,AK45,0))</f>
        <v>0</v>
      </c>
      <c r="AP45" s="14" t="n">
        <f aca="false">F45+N45+V45+AD45+AL45</f>
        <v>602974.060711099</v>
      </c>
      <c r="AQ45" s="14" t="n">
        <f aca="false">G45+O45+W45+AE45+AM45</f>
        <v>3902158.66798814</v>
      </c>
      <c r="AR45" s="14" t="n">
        <f aca="false">H45+P45+X45+AF45+AN45+IF($A45=$B$15,$B$14,0)</f>
        <v>0</v>
      </c>
      <c r="AS45" s="21" t="n">
        <f aca="false">I45+Q45+Y45+AG45+AO45</f>
        <v>0</v>
      </c>
      <c r="AT45" s="14" t="n">
        <f aca="false">AP45*(1-$B$12)-AS45*$B$13/4</f>
        <v>566795.617068433</v>
      </c>
      <c r="AU45" s="14" t="n">
        <f aca="false">0</f>
        <v>0</v>
      </c>
      <c r="AV45" s="14" t="n">
        <f aca="false">AT45-AR45-AU45</f>
        <v>566795.617068433</v>
      </c>
      <c r="AW45" s="21" t="n">
        <f aca="false">(1+$B$16)^(-$A45/4)</f>
        <v>0.741875253450614</v>
      </c>
      <c r="AX45" s="14" t="n">
        <f aca="false">AV45*AW45</f>
        <v>420491.642067341</v>
      </c>
      <c r="AY45" s="14" t="n">
        <f aca="false">AV45</f>
        <v>566795.617068433</v>
      </c>
    </row>
    <row r="46" customFormat="false" ht="15" hidden="false" customHeight="false" outlineLevel="0" collapsed="false">
      <c r="A46" s="0" t="n">
        <v>17</v>
      </c>
      <c r="B46" s="0" t="n">
        <f aca="false">$A46-$G$4-1</f>
        <v>6</v>
      </c>
      <c r="C46" s="0" t="n">
        <f aca="false">IF(B46&lt;0,-1,MOD(B46,$B$8+$B$10))</f>
        <v>6</v>
      </c>
      <c r="D46" s="0" t="n">
        <f aca="false">IF(B46&lt;0,0,INT(B46/($B$8+$B$10)))</f>
        <v>0</v>
      </c>
      <c r="E46" s="0" t="n">
        <f aca="false">IF($A46&lt;=$G$4,$E$4,$E$4*(1-$H$4)^(D46+1))</f>
        <v>4200</v>
      </c>
      <c r="F46" s="14" t="n">
        <f aca="false">IF($A46&lt;=$G$4,$E$4*$F$4/4,IF(C46&gt;=$B$8+$B$9,E46*$B$4*(1+$B$5)^(($G$4+$B$8+D46*($B$8+$B$10))/4)/4,0))</f>
        <v>372565.606285937</v>
      </c>
      <c r="G46" s="14" t="n">
        <f aca="false">IF($A46&lt;=$G$4,$E$4*$F$4,IF(C46&gt;=$B$8,E46*$B$4*(1+$B$5)^(($G$4+$B$8+D46*($B$8+$B$10))/4),0))</f>
        <v>1490262.42514375</v>
      </c>
      <c r="H46" s="14" t="n">
        <f aca="false">IF($A46&lt;=$G$4,0,IF(C46=0,E46*$B$6*(1+$B$7)^(($G$4+D46*($B$8+$B$10))/4),0)+IF(C46=$B$8,$B$11*$B$4*(1+$B$5)^(($G$4+$B$8+D46*($B$8+$B$10))/4)*E46,0))</f>
        <v>0</v>
      </c>
      <c r="I46" s="21" t="n">
        <f aca="false">IF($A46&lt;=$G$4,0,IF(C46&lt;$B$8,E46,0))</f>
        <v>0</v>
      </c>
      <c r="J46" s="21" t="n">
        <f aca="false">$A46-$G$5-1</f>
        <v>0</v>
      </c>
      <c r="K46" s="21" t="n">
        <f aca="false">IF(J46&lt;0,-1,MOD(J46,$B$8+$B$10))</f>
        <v>0</v>
      </c>
      <c r="L46" s="21" t="n">
        <f aca="false">IF(J46&lt;0,0,INT(J46/($B$8+$B$10)))</f>
        <v>0</v>
      </c>
      <c r="M46" s="21" t="n">
        <f aca="false">IF($A46&lt;=$G$5,$E$5,$E$5*(1-$H$5)^(L46+1))</f>
        <v>3100</v>
      </c>
      <c r="N46" s="14" t="n">
        <f aca="false">IF($A46&lt;=$G$5,$E$5*$F$5/4,IF(K46&gt;=$B$8+$B$9,M46*$B$4*(1+$B$5)^(($G$5+$B$8+L46*($B$8+$B$10))/4)/4,0))</f>
        <v>0</v>
      </c>
      <c r="O46" s="14" t="n">
        <f aca="false">IF($A46&lt;=$G$5,$E$5*$F$5,IF(K46&gt;=$B$8,M46*$B$4*(1+$B$5)^(($G$5+$B$8+L46*($B$8+$B$10))/4),0))</f>
        <v>0</v>
      </c>
      <c r="P46" s="14" t="n">
        <f aca="false">IF($A46&lt;=$G$5,0,IF(K46=0,M46*$B$6*(1+$B$7)^(($G$5+L46*($B$8+$B$10))/4),0)+IF(K46=$B$8,$B$11*$B$4*(1+$B$5)^(($G$5+$B$8+L46*($B$8+$B$10))/4)*M46,0))</f>
        <v>1437164.38359375</v>
      </c>
      <c r="Q46" s="21" t="n">
        <f aca="false">IF($A46&lt;=$G$5,0,IF(K46&lt;$B$8,M46,0))</f>
        <v>3100</v>
      </c>
      <c r="R46" s="21" t="n">
        <f aca="false">$A46-$G$6-1</f>
        <v>-10</v>
      </c>
      <c r="S46" s="21" t="n">
        <f aca="false">IF(R46&lt;0,-1,MOD(R46,$B$8+$B$10))</f>
        <v>-1</v>
      </c>
      <c r="T46" s="21" t="n">
        <f aca="false">IF(R46&lt;0,0,INT(R46/($B$8+$B$10)))</f>
        <v>0</v>
      </c>
      <c r="U46" s="14" t="n">
        <f aca="false">IF($A46&lt;=$G$6,$E$6,$E$6*(1-$H$6)^(T46+1))</f>
        <v>1540</v>
      </c>
      <c r="V46" s="14" t="n">
        <f aca="false">IF($A46&lt;=$G$6,$E$6*$F$6/4,IF(S46&gt;=$B$8+$B$9,U46*$B$4*(1+$B$5)^(($G$6+$B$8+T46*($B$8+$B$10))/4)/4,0))</f>
        <v>113960</v>
      </c>
      <c r="W46" s="14" t="n">
        <f aca="false">IF($A46&lt;=$G$6,$E$6*$F$6,IF(S46&gt;=$B$8,U46*$B$4*(1+$B$5)^(($G$6+$B$8+T46*($B$8+$B$10))/4),0))</f>
        <v>455840</v>
      </c>
      <c r="X46" s="14" t="n">
        <f aca="false">IF($A46&lt;=$G$6,0,IF(S46=0,U46*$B$6*(1+$B$7)^(($G$6+T46*($B$8+$B$10))/4),0)+IF(S46=$B$8,$B$11*$B$4*(1+$B$5)^(($G$6+$B$8+T46*($B$8+$B$10))/4)*U46,0))</f>
        <v>0</v>
      </c>
      <c r="Y46" s="21" t="n">
        <f aca="false">IF($A46&lt;=$G$6,0,IF(S46&lt;$B$8,U46,0))</f>
        <v>0</v>
      </c>
      <c r="Z46" s="21" t="n">
        <f aca="false">$A46-$G$7-1</f>
        <v>10</v>
      </c>
      <c r="AA46" s="21" t="n">
        <f aca="false">IF(Z46&lt;0,-1,MOD(Z46,$B$8+$B$10))</f>
        <v>10</v>
      </c>
      <c r="AB46" s="21" t="n">
        <f aca="false">IF(Z46&lt;0,0,INT(Z46/($B$8+$B$10)))</f>
        <v>0</v>
      </c>
      <c r="AC46" s="21" t="n">
        <f aca="false">IF($A46&lt;=$G$7,$E$7,$E$7*(1-$H$7)^(AB46+1))</f>
        <v>1000</v>
      </c>
      <c r="AD46" s="14" t="n">
        <f aca="false">IF($A46&lt;=$G$7,$E$7*$F$7/4,IF(AA46&gt;=$B$8+$B$9,AC46*$B$4*(1+$B$5)^(($G$7+$B$8+AB46*($B$8+$B$10))/4)/4,0))</f>
        <v>84241.3074404055</v>
      </c>
      <c r="AE46" s="14" t="n">
        <f aca="false">IF($A46&lt;=$G$7,$E$7*$F$7,IF(AA46&gt;=$B$8,AC46*$B$4*(1+$B$5)^(($G$7+$B$8+AB46*($B$8+$B$10))/4),0))</f>
        <v>336965.229761622</v>
      </c>
      <c r="AF46" s="14" t="n">
        <f aca="false">IF($A46&lt;=$G$7,0,IF(AA46=0,AC46*$B$6*(1+$B$7)^(($G$7+AB46*($B$8+$B$10))/4),0)+IF(AA46=$B$8,$B$11*$B$4*(1+$B$5)^(($G$7+$B$8+AB46*($B$8+$B$10))/4)*AC46,0))</f>
        <v>0</v>
      </c>
      <c r="AG46" s="21" t="n">
        <f aca="false">IF($A46&lt;=$G$7,0,IF(AA46&lt;$B$8,AC46,0))</f>
        <v>0</v>
      </c>
      <c r="AH46" s="21" t="n">
        <f aca="false">$A46-$G$8-1</f>
        <v>16</v>
      </c>
      <c r="AI46" s="21" t="n">
        <f aca="false">IF(AH46&lt;0,-1,MOD(AH46,$B$8+$B$10))</f>
        <v>16</v>
      </c>
      <c r="AJ46" s="21" t="n">
        <f aca="false">IF(AH46&lt;0,0,INT(AH46/($B$8+$B$10)))</f>
        <v>0</v>
      </c>
      <c r="AK46" s="21" t="n">
        <f aca="false">IF($A46&lt;=$G$8,$E$8,$E$8*(1-$H$8)^(AJ46+1))</f>
        <v>2160</v>
      </c>
      <c r="AL46" s="14" t="n">
        <f aca="false">IF($A46&lt;=$G$8,$E$8*$F$8/4,IF(AI46&gt;=$B$8+$B$9,AK46*$B$4*(1+$B$5)^(($G$8+$B$8+AJ46*($B$8+$B$10))/4)/4,0))</f>
        <v>168397.753270693</v>
      </c>
      <c r="AM46" s="14" t="n">
        <f aca="false">IF($A46&lt;=$G$8,$E$8*$F$8,IF(AI46&gt;=$B$8,AK46*$B$4*(1+$B$5)^(($G$8+$B$8+AJ46*($B$8+$B$10))/4),0))</f>
        <v>673591.013082772</v>
      </c>
      <c r="AN46" s="14" t="n">
        <f aca="false">IF($A46&lt;=$G$8,0,IF(AI46=0,AK46*$B$6*(1+$B$7)^(($G$8+AJ46*($B$8+$B$10))/4),0)+IF(AI46=$B$8,$B$11*$B$4*(1+$B$5)^(($G$8+$B$8+AJ46*($B$8+$B$10))/4)*AK46,0))</f>
        <v>0</v>
      </c>
      <c r="AO46" s="21" t="n">
        <f aca="false">IF($A46&lt;=$G$8,0,IF(AI46&lt;$B$8,AK46,0))</f>
        <v>0</v>
      </c>
      <c r="AP46" s="14" t="n">
        <f aca="false">F46+N46+V46+AD46+AL46</f>
        <v>739164.666997036</v>
      </c>
      <c r="AQ46" s="14" t="n">
        <f aca="false">G46+O46+W46+AE46+AM46</f>
        <v>2956658.66798814</v>
      </c>
      <c r="AR46" s="14" t="n">
        <f aca="false">H46+P46+X46+AF46+AN46+IF($A46=$B$15,$B$14,0)</f>
        <v>1437164.38359375</v>
      </c>
      <c r="AS46" s="21" t="n">
        <f aca="false">I46+Q46+Y46+AG46+AO46</f>
        <v>3100</v>
      </c>
      <c r="AT46" s="14" t="n">
        <f aca="false">AP46*(1-$B$12)-AS46*$B$13/4</f>
        <v>652189.786977214</v>
      </c>
      <c r="AU46" s="14" t="n">
        <f aca="false">0</f>
        <v>0</v>
      </c>
      <c r="AV46" s="14" t="n">
        <f aca="false">AT46-AR46-AU46</f>
        <v>-784974.596616536</v>
      </c>
      <c r="AW46" s="21" t="n">
        <f aca="false">(1+$B$16)^(-$A46/4)</f>
        <v>0.728159575469592</v>
      </c>
      <c r="AX46" s="14" t="n">
        <f aca="false">AV46*AW46</f>
        <v>-571586.769026711</v>
      </c>
      <c r="AY46" s="14" t="n">
        <f aca="false">AV46</f>
        <v>-784974.596616536</v>
      </c>
    </row>
    <row r="47" customFormat="false" ht="15" hidden="false" customHeight="false" outlineLevel="0" collapsed="false">
      <c r="A47" s="0" t="n">
        <v>18</v>
      </c>
      <c r="B47" s="0" t="n">
        <f aca="false">$A47-$G$4-1</f>
        <v>7</v>
      </c>
      <c r="C47" s="0" t="n">
        <f aca="false">IF(B47&lt;0,-1,MOD(B47,$B$8+$B$10))</f>
        <v>7</v>
      </c>
      <c r="D47" s="0" t="n">
        <f aca="false">IF(B47&lt;0,0,INT(B47/($B$8+$B$10)))</f>
        <v>0</v>
      </c>
      <c r="E47" s="0" t="n">
        <f aca="false">IF($A47&lt;=$G$4,$E$4,$E$4*(1-$H$4)^(D47+1))</f>
        <v>4200</v>
      </c>
      <c r="F47" s="14" t="n">
        <f aca="false">IF($A47&lt;=$G$4,$E$4*$F$4/4,IF(C47&gt;=$B$8+$B$9,E47*$B$4*(1+$B$5)^(($G$4+$B$8+D47*($B$8+$B$10))/4)/4,0))</f>
        <v>372565.606285937</v>
      </c>
      <c r="G47" s="14" t="n">
        <f aca="false">IF($A47&lt;=$G$4,$E$4*$F$4,IF(C47&gt;=$B$8,E47*$B$4*(1+$B$5)^(($G$4+$B$8+D47*($B$8+$B$10))/4),0))</f>
        <v>1490262.42514375</v>
      </c>
      <c r="H47" s="14" t="n">
        <f aca="false">IF($A47&lt;=$G$4,0,IF(C47=0,E47*$B$6*(1+$B$7)^(($G$4+D47*($B$8+$B$10))/4),0)+IF(C47=$B$8,$B$11*$B$4*(1+$B$5)^(($G$4+$B$8+D47*($B$8+$B$10))/4)*E47,0))</f>
        <v>0</v>
      </c>
      <c r="I47" s="21" t="n">
        <f aca="false">IF($A47&lt;=$G$4,0,IF(C47&lt;$B$8,E47,0))</f>
        <v>0</v>
      </c>
      <c r="J47" s="21" t="n">
        <f aca="false">$A47-$G$5-1</f>
        <v>1</v>
      </c>
      <c r="K47" s="21" t="n">
        <f aca="false">IF(J47&lt;0,-1,MOD(J47,$B$8+$B$10))</f>
        <v>1</v>
      </c>
      <c r="L47" s="21" t="n">
        <f aca="false">IF(J47&lt;0,0,INT(J47/($B$8+$B$10)))</f>
        <v>0</v>
      </c>
      <c r="M47" s="21" t="n">
        <f aca="false">IF($A47&lt;=$G$5,$E$5,$E$5*(1-$H$5)^(L47+1))</f>
        <v>3100</v>
      </c>
      <c r="N47" s="14" t="n">
        <f aca="false">IF($A47&lt;=$G$5,$E$5*$F$5/4,IF(K47&gt;=$B$8+$B$9,M47*$B$4*(1+$B$5)^(($G$5+$B$8+L47*($B$8+$B$10))/4)/4,0))</f>
        <v>0</v>
      </c>
      <c r="O47" s="14" t="n">
        <f aca="false">IF($A47&lt;=$G$5,$E$5*$F$5,IF(K47&gt;=$B$8,M47*$B$4*(1+$B$5)^(($G$5+$B$8+L47*($B$8+$B$10))/4),0))</f>
        <v>0</v>
      </c>
      <c r="P47" s="14" t="n">
        <f aca="false">IF($A47&lt;=$G$5,0,IF(K47=0,M47*$B$6*(1+$B$7)^(($G$5+L47*($B$8+$B$10))/4),0)+IF(K47=$B$8,$B$11*$B$4*(1+$B$5)^(($G$5+$B$8+L47*($B$8+$B$10))/4)*M47,0))</f>
        <v>0</v>
      </c>
      <c r="Q47" s="21" t="n">
        <f aca="false">IF($A47&lt;=$G$5,0,IF(K47&lt;$B$8,M47,0))</f>
        <v>3100</v>
      </c>
      <c r="R47" s="21" t="n">
        <f aca="false">$A47-$G$6-1</f>
        <v>-9</v>
      </c>
      <c r="S47" s="21" t="n">
        <f aca="false">IF(R47&lt;0,-1,MOD(R47,$B$8+$B$10))</f>
        <v>-1</v>
      </c>
      <c r="T47" s="21" t="n">
        <f aca="false">IF(R47&lt;0,0,INT(R47/($B$8+$B$10)))</f>
        <v>0</v>
      </c>
      <c r="U47" s="14" t="n">
        <f aca="false">IF($A47&lt;=$G$6,$E$6,$E$6*(1-$H$6)^(T47+1))</f>
        <v>1540</v>
      </c>
      <c r="V47" s="14" t="n">
        <f aca="false">IF($A47&lt;=$G$6,$E$6*$F$6/4,IF(S47&gt;=$B$8+$B$9,U47*$B$4*(1+$B$5)^(($G$6+$B$8+T47*($B$8+$B$10))/4)/4,0))</f>
        <v>113960</v>
      </c>
      <c r="W47" s="14" t="n">
        <f aca="false">IF($A47&lt;=$G$6,$E$6*$F$6,IF(S47&gt;=$B$8,U47*$B$4*(1+$B$5)^(($G$6+$B$8+T47*($B$8+$B$10))/4),0))</f>
        <v>455840</v>
      </c>
      <c r="X47" s="14" t="n">
        <f aca="false">IF($A47&lt;=$G$6,0,IF(S47=0,U47*$B$6*(1+$B$7)^(($G$6+T47*($B$8+$B$10))/4),0)+IF(S47=$B$8,$B$11*$B$4*(1+$B$5)^(($G$6+$B$8+T47*($B$8+$B$10))/4)*U47,0))</f>
        <v>0</v>
      </c>
      <c r="Y47" s="21" t="n">
        <f aca="false">IF($A47&lt;=$G$6,0,IF(S47&lt;$B$8,U47,0))</f>
        <v>0</v>
      </c>
      <c r="Z47" s="21" t="n">
        <f aca="false">$A47-$G$7-1</f>
        <v>11</v>
      </c>
      <c r="AA47" s="21" t="n">
        <f aca="false">IF(Z47&lt;0,-1,MOD(Z47,$B$8+$B$10))</f>
        <v>11</v>
      </c>
      <c r="AB47" s="21" t="n">
        <f aca="false">IF(Z47&lt;0,0,INT(Z47/($B$8+$B$10)))</f>
        <v>0</v>
      </c>
      <c r="AC47" s="21" t="n">
        <f aca="false">IF($A47&lt;=$G$7,$E$7,$E$7*(1-$H$7)^(AB47+1))</f>
        <v>1000</v>
      </c>
      <c r="AD47" s="14" t="n">
        <f aca="false">IF($A47&lt;=$G$7,$E$7*$F$7/4,IF(AA47&gt;=$B$8+$B$9,AC47*$B$4*(1+$B$5)^(($G$7+$B$8+AB47*($B$8+$B$10))/4)/4,0))</f>
        <v>84241.3074404055</v>
      </c>
      <c r="AE47" s="14" t="n">
        <f aca="false">IF($A47&lt;=$G$7,$E$7*$F$7,IF(AA47&gt;=$B$8,AC47*$B$4*(1+$B$5)^(($G$7+$B$8+AB47*($B$8+$B$10))/4),0))</f>
        <v>336965.229761622</v>
      </c>
      <c r="AF47" s="14" t="n">
        <f aca="false">IF($A47&lt;=$G$7,0,IF(AA47=0,AC47*$B$6*(1+$B$7)^(($G$7+AB47*($B$8+$B$10))/4),0)+IF(AA47=$B$8,$B$11*$B$4*(1+$B$5)^(($G$7+$B$8+AB47*($B$8+$B$10))/4)*AC47,0))</f>
        <v>0</v>
      </c>
      <c r="AG47" s="21" t="n">
        <f aca="false">IF($A47&lt;=$G$7,0,IF(AA47&lt;$B$8,AC47,0))</f>
        <v>0</v>
      </c>
      <c r="AH47" s="21" t="n">
        <f aca="false">$A47-$G$8-1</f>
        <v>17</v>
      </c>
      <c r="AI47" s="21" t="n">
        <f aca="false">IF(AH47&lt;0,-1,MOD(AH47,$B$8+$B$10))</f>
        <v>17</v>
      </c>
      <c r="AJ47" s="21" t="n">
        <f aca="false">IF(AH47&lt;0,0,INT(AH47/($B$8+$B$10)))</f>
        <v>0</v>
      </c>
      <c r="AK47" s="21" t="n">
        <f aca="false">IF($A47&lt;=$G$8,$E$8,$E$8*(1-$H$8)^(AJ47+1))</f>
        <v>2160</v>
      </c>
      <c r="AL47" s="14" t="n">
        <f aca="false">IF($A47&lt;=$G$8,$E$8*$F$8/4,IF(AI47&gt;=$B$8+$B$9,AK47*$B$4*(1+$B$5)^(($G$8+$B$8+AJ47*($B$8+$B$10))/4)/4,0))</f>
        <v>168397.753270693</v>
      </c>
      <c r="AM47" s="14" t="n">
        <f aca="false">IF($A47&lt;=$G$8,$E$8*$F$8,IF(AI47&gt;=$B$8,AK47*$B$4*(1+$B$5)^(($G$8+$B$8+AJ47*($B$8+$B$10))/4),0))</f>
        <v>673591.013082772</v>
      </c>
      <c r="AN47" s="14" t="n">
        <f aca="false">IF($A47&lt;=$G$8,0,IF(AI47=0,AK47*$B$6*(1+$B$7)^(($G$8+AJ47*($B$8+$B$10))/4),0)+IF(AI47=$B$8,$B$11*$B$4*(1+$B$5)^(($G$8+$B$8+AJ47*($B$8+$B$10))/4)*AK47,0))</f>
        <v>0</v>
      </c>
      <c r="AO47" s="21" t="n">
        <f aca="false">IF($A47&lt;=$G$8,0,IF(AI47&lt;$B$8,AK47,0))</f>
        <v>0</v>
      </c>
      <c r="AP47" s="14" t="n">
        <f aca="false">F47+N47+V47+AD47+AL47</f>
        <v>739164.666997036</v>
      </c>
      <c r="AQ47" s="14" t="n">
        <f aca="false">G47+O47+W47+AE47+AM47</f>
        <v>2956658.66798814</v>
      </c>
      <c r="AR47" s="14" t="n">
        <f aca="false">H47+P47+X47+AF47+AN47+IF($A47=$B$15,$B$14,0)</f>
        <v>0</v>
      </c>
      <c r="AS47" s="21" t="n">
        <f aca="false">I47+Q47+Y47+AG47+AO47</f>
        <v>3100</v>
      </c>
      <c r="AT47" s="14" t="n">
        <f aca="false">AP47*(1-$B$12)-AS47*$B$13/4</f>
        <v>652189.786977214</v>
      </c>
      <c r="AU47" s="14" t="n">
        <f aca="false">0</f>
        <v>0</v>
      </c>
      <c r="AV47" s="14" t="n">
        <f aca="false">AT47-AR47-AU47</f>
        <v>652189.786977214</v>
      </c>
      <c r="AW47" s="21" t="n">
        <f aca="false">(1+$B$16)^(-$A47/4)</f>
        <v>0.714697470877902</v>
      </c>
      <c r="AX47" s="14" t="n">
        <f aca="false">AV47*AW47</f>
        <v>466118.391285012</v>
      </c>
      <c r="AY47" s="14" t="n">
        <f aca="false">AV47</f>
        <v>652189.786977214</v>
      </c>
    </row>
    <row r="48" customFormat="false" ht="15" hidden="false" customHeight="false" outlineLevel="0" collapsed="false">
      <c r="A48" s="0" t="n">
        <v>19</v>
      </c>
      <c r="B48" s="0" t="n">
        <f aca="false">$A48-$G$4-1</f>
        <v>8</v>
      </c>
      <c r="C48" s="0" t="n">
        <f aca="false">IF(B48&lt;0,-1,MOD(B48,$B$8+$B$10))</f>
        <v>8</v>
      </c>
      <c r="D48" s="0" t="n">
        <f aca="false">IF(B48&lt;0,0,INT(B48/($B$8+$B$10)))</f>
        <v>0</v>
      </c>
      <c r="E48" s="0" t="n">
        <f aca="false">IF($A48&lt;=$G$4,$E$4,$E$4*(1-$H$4)^(D48+1))</f>
        <v>4200</v>
      </c>
      <c r="F48" s="14" t="n">
        <f aca="false">IF($A48&lt;=$G$4,$E$4*$F$4/4,IF(C48&gt;=$B$8+$B$9,E48*$B$4*(1+$B$5)^(($G$4+$B$8+D48*($B$8+$B$10))/4)/4,0))</f>
        <v>372565.606285937</v>
      </c>
      <c r="G48" s="14" t="n">
        <f aca="false">IF($A48&lt;=$G$4,$E$4*$F$4,IF(C48&gt;=$B$8,E48*$B$4*(1+$B$5)^(($G$4+$B$8+D48*($B$8+$B$10))/4),0))</f>
        <v>1490262.42514375</v>
      </c>
      <c r="H48" s="14" t="n">
        <f aca="false">IF($A48&lt;=$G$4,0,IF(C48=0,E48*$B$6*(1+$B$7)^(($G$4+D48*($B$8+$B$10))/4),0)+IF(C48=$B$8,$B$11*$B$4*(1+$B$5)^(($G$4+$B$8+D48*($B$8+$B$10))/4)*E48,0))</f>
        <v>0</v>
      </c>
      <c r="I48" s="21" t="n">
        <f aca="false">IF($A48&lt;=$G$4,0,IF(C48&lt;$B$8,E48,0))</f>
        <v>0</v>
      </c>
      <c r="J48" s="21" t="n">
        <f aca="false">$A48-$G$5-1</f>
        <v>2</v>
      </c>
      <c r="K48" s="21" t="n">
        <f aca="false">IF(J48&lt;0,-1,MOD(J48,$B$8+$B$10))</f>
        <v>2</v>
      </c>
      <c r="L48" s="21" t="n">
        <f aca="false">IF(J48&lt;0,0,INT(J48/($B$8+$B$10)))</f>
        <v>0</v>
      </c>
      <c r="M48" s="21" t="n">
        <f aca="false">IF($A48&lt;=$G$5,$E$5,$E$5*(1-$H$5)^(L48+1))</f>
        <v>3100</v>
      </c>
      <c r="N48" s="14" t="n">
        <f aca="false">IF($A48&lt;=$G$5,$E$5*$F$5/4,IF(K48&gt;=$B$8+$B$9,M48*$B$4*(1+$B$5)^(($G$5+$B$8+L48*($B$8+$B$10))/4)/4,0))</f>
        <v>0</v>
      </c>
      <c r="O48" s="14" t="n">
        <f aca="false">IF($A48&lt;=$G$5,$E$5*$F$5,IF(K48&gt;=$B$8,M48*$B$4*(1+$B$5)^(($G$5+$B$8+L48*($B$8+$B$10))/4),0))</f>
        <v>0</v>
      </c>
      <c r="P48" s="14" t="n">
        <f aca="false">IF($A48&lt;=$G$5,0,IF(K48=0,M48*$B$6*(1+$B$7)^(($G$5+L48*($B$8+$B$10))/4),0)+IF(K48=$B$8,$B$11*$B$4*(1+$B$5)^(($G$5+$B$8+L48*($B$8+$B$10))/4)*M48,0))</f>
        <v>0</v>
      </c>
      <c r="Q48" s="21" t="n">
        <f aca="false">IF($A48&lt;=$G$5,0,IF(K48&lt;$B$8,M48,0))</f>
        <v>3100</v>
      </c>
      <c r="R48" s="21" t="n">
        <f aca="false">$A48-$G$6-1</f>
        <v>-8</v>
      </c>
      <c r="S48" s="21" t="n">
        <f aca="false">IF(R48&lt;0,-1,MOD(R48,$B$8+$B$10))</f>
        <v>-1</v>
      </c>
      <c r="T48" s="21" t="n">
        <f aca="false">IF(R48&lt;0,0,INT(R48/($B$8+$B$10)))</f>
        <v>0</v>
      </c>
      <c r="U48" s="14" t="n">
        <f aca="false">IF($A48&lt;=$G$6,$E$6,$E$6*(1-$H$6)^(T48+1))</f>
        <v>1540</v>
      </c>
      <c r="V48" s="14" t="n">
        <f aca="false">IF($A48&lt;=$G$6,$E$6*$F$6/4,IF(S48&gt;=$B$8+$B$9,U48*$B$4*(1+$B$5)^(($G$6+$B$8+T48*($B$8+$B$10))/4)/4,0))</f>
        <v>113960</v>
      </c>
      <c r="W48" s="14" t="n">
        <f aca="false">IF($A48&lt;=$G$6,$E$6*$F$6,IF(S48&gt;=$B$8,U48*$B$4*(1+$B$5)^(($G$6+$B$8+T48*($B$8+$B$10))/4),0))</f>
        <v>455840</v>
      </c>
      <c r="X48" s="14" t="n">
        <f aca="false">IF($A48&lt;=$G$6,0,IF(S48=0,U48*$B$6*(1+$B$7)^(($G$6+T48*($B$8+$B$10))/4),0)+IF(S48=$B$8,$B$11*$B$4*(1+$B$5)^(($G$6+$B$8+T48*($B$8+$B$10))/4)*U48,0))</f>
        <v>0</v>
      </c>
      <c r="Y48" s="21" t="n">
        <f aca="false">IF($A48&lt;=$G$6,0,IF(S48&lt;$B$8,U48,0))</f>
        <v>0</v>
      </c>
      <c r="Z48" s="21" t="n">
        <f aca="false">$A48-$G$7-1</f>
        <v>12</v>
      </c>
      <c r="AA48" s="21" t="n">
        <f aca="false">IF(Z48&lt;0,-1,MOD(Z48,$B$8+$B$10))</f>
        <v>12</v>
      </c>
      <c r="AB48" s="21" t="n">
        <f aca="false">IF(Z48&lt;0,0,INT(Z48/($B$8+$B$10)))</f>
        <v>0</v>
      </c>
      <c r="AC48" s="21" t="n">
        <f aca="false">IF($A48&lt;=$G$7,$E$7,$E$7*(1-$H$7)^(AB48+1))</f>
        <v>1000</v>
      </c>
      <c r="AD48" s="14" t="n">
        <f aca="false">IF($A48&lt;=$G$7,$E$7*$F$7/4,IF(AA48&gt;=$B$8+$B$9,AC48*$B$4*(1+$B$5)^(($G$7+$B$8+AB48*($B$8+$B$10))/4)/4,0))</f>
        <v>84241.3074404055</v>
      </c>
      <c r="AE48" s="14" t="n">
        <f aca="false">IF($A48&lt;=$G$7,$E$7*$F$7,IF(AA48&gt;=$B$8,AC48*$B$4*(1+$B$5)^(($G$7+$B$8+AB48*($B$8+$B$10))/4),0))</f>
        <v>336965.229761622</v>
      </c>
      <c r="AF48" s="14" t="n">
        <f aca="false">IF($A48&lt;=$G$7,0,IF(AA48=0,AC48*$B$6*(1+$B$7)^(($G$7+AB48*($B$8+$B$10))/4),0)+IF(AA48=$B$8,$B$11*$B$4*(1+$B$5)^(($G$7+$B$8+AB48*($B$8+$B$10))/4)*AC48,0))</f>
        <v>0</v>
      </c>
      <c r="AG48" s="21" t="n">
        <f aca="false">IF($A48&lt;=$G$7,0,IF(AA48&lt;$B$8,AC48,0))</f>
        <v>0</v>
      </c>
      <c r="AH48" s="21" t="n">
        <f aca="false">$A48-$G$8-1</f>
        <v>18</v>
      </c>
      <c r="AI48" s="21" t="n">
        <f aca="false">IF(AH48&lt;0,-1,MOD(AH48,$B$8+$B$10))</f>
        <v>18</v>
      </c>
      <c r="AJ48" s="21" t="n">
        <f aca="false">IF(AH48&lt;0,0,INT(AH48/($B$8+$B$10)))</f>
        <v>0</v>
      </c>
      <c r="AK48" s="21" t="n">
        <f aca="false">IF($A48&lt;=$G$8,$E$8,$E$8*(1-$H$8)^(AJ48+1))</f>
        <v>2160</v>
      </c>
      <c r="AL48" s="14" t="n">
        <f aca="false">IF($A48&lt;=$G$8,$E$8*$F$8/4,IF(AI48&gt;=$B$8+$B$9,AK48*$B$4*(1+$B$5)^(($G$8+$B$8+AJ48*($B$8+$B$10))/4)/4,0))</f>
        <v>168397.753270693</v>
      </c>
      <c r="AM48" s="14" t="n">
        <f aca="false">IF($A48&lt;=$G$8,$E$8*$F$8,IF(AI48&gt;=$B$8,AK48*$B$4*(1+$B$5)^(($G$8+$B$8+AJ48*($B$8+$B$10))/4),0))</f>
        <v>673591.013082772</v>
      </c>
      <c r="AN48" s="14" t="n">
        <f aca="false">IF($A48&lt;=$G$8,0,IF(AI48=0,AK48*$B$6*(1+$B$7)^(($G$8+AJ48*($B$8+$B$10))/4),0)+IF(AI48=$B$8,$B$11*$B$4*(1+$B$5)^(($G$8+$B$8+AJ48*($B$8+$B$10))/4)*AK48,0))</f>
        <v>0</v>
      </c>
      <c r="AO48" s="21" t="n">
        <f aca="false">IF($A48&lt;=$G$8,0,IF(AI48&lt;$B$8,AK48,0))</f>
        <v>0</v>
      </c>
      <c r="AP48" s="14" t="n">
        <f aca="false">F48+N48+V48+AD48+AL48</f>
        <v>739164.666997036</v>
      </c>
      <c r="AQ48" s="14" t="n">
        <f aca="false">G48+O48+W48+AE48+AM48</f>
        <v>2956658.66798814</v>
      </c>
      <c r="AR48" s="14" t="n">
        <f aca="false">H48+P48+X48+AF48+AN48+IF($A48=$B$15,$B$14,0)</f>
        <v>0</v>
      </c>
      <c r="AS48" s="21" t="n">
        <f aca="false">I48+Q48+Y48+AG48+AO48</f>
        <v>3100</v>
      </c>
      <c r="AT48" s="14" t="n">
        <f aca="false">AP48*(1-$B$12)-AS48*$B$13/4</f>
        <v>652189.786977214</v>
      </c>
      <c r="AU48" s="14" t="n">
        <f aca="false">0</f>
        <v>0</v>
      </c>
      <c r="AV48" s="14" t="n">
        <f aca="false">AT48-AR48-AU48</f>
        <v>652189.786977214</v>
      </c>
      <c r="AW48" s="21" t="n">
        <f aca="false">(1+$B$16)^(-$A48/4)</f>
        <v>0.701484251648903</v>
      </c>
      <c r="AX48" s="14" t="n">
        <f aca="false">AV48*AW48</f>
        <v>457500.864650768</v>
      </c>
      <c r="AY48" s="14" t="n">
        <f aca="false">AV48</f>
        <v>652189.786977214</v>
      </c>
    </row>
    <row r="49" customFormat="false" ht="15" hidden="false" customHeight="false" outlineLevel="0" collapsed="false">
      <c r="A49" s="0" t="n">
        <v>20</v>
      </c>
      <c r="B49" s="0" t="n">
        <f aca="false">$A49-$G$4-1</f>
        <v>9</v>
      </c>
      <c r="C49" s="0" t="n">
        <f aca="false">IF(B49&lt;0,-1,MOD(B49,$B$8+$B$10))</f>
        <v>9</v>
      </c>
      <c r="D49" s="0" t="n">
        <f aca="false">IF(B49&lt;0,0,INT(B49/($B$8+$B$10)))</f>
        <v>0</v>
      </c>
      <c r="E49" s="0" t="n">
        <f aca="false">IF($A49&lt;=$G$4,$E$4,$E$4*(1-$H$4)^(D49+1))</f>
        <v>4200</v>
      </c>
      <c r="F49" s="14" t="n">
        <f aca="false">IF($A49&lt;=$G$4,$E$4*$F$4/4,IF(C49&gt;=$B$8+$B$9,E49*$B$4*(1+$B$5)^(($G$4+$B$8+D49*($B$8+$B$10))/4)/4,0))</f>
        <v>372565.606285937</v>
      </c>
      <c r="G49" s="14" t="n">
        <f aca="false">IF($A49&lt;=$G$4,$E$4*$F$4,IF(C49&gt;=$B$8,E49*$B$4*(1+$B$5)^(($G$4+$B$8+D49*($B$8+$B$10))/4),0))</f>
        <v>1490262.42514375</v>
      </c>
      <c r="H49" s="14" t="n">
        <f aca="false">IF($A49&lt;=$G$4,0,IF(C49=0,E49*$B$6*(1+$B$7)^(($G$4+D49*($B$8+$B$10))/4),0)+IF(C49=$B$8,$B$11*$B$4*(1+$B$5)^(($G$4+$B$8+D49*($B$8+$B$10))/4)*E49,0))</f>
        <v>0</v>
      </c>
      <c r="I49" s="21" t="n">
        <f aca="false">IF($A49&lt;=$G$4,0,IF(C49&lt;$B$8,E49,0))</f>
        <v>0</v>
      </c>
      <c r="J49" s="21" t="n">
        <f aca="false">$A49-$G$5-1</f>
        <v>3</v>
      </c>
      <c r="K49" s="21" t="n">
        <f aca="false">IF(J49&lt;0,-1,MOD(J49,$B$8+$B$10))</f>
        <v>3</v>
      </c>
      <c r="L49" s="21" t="n">
        <f aca="false">IF(J49&lt;0,0,INT(J49/($B$8+$B$10)))</f>
        <v>0</v>
      </c>
      <c r="M49" s="21" t="n">
        <f aca="false">IF($A49&lt;=$G$5,$E$5,$E$5*(1-$H$5)^(L49+1))</f>
        <v>3100</v>
      </c>
      <c r="N49" s="14" t="n">
        <f aca="false">IF($A49&lt;=$G$5,$E$5*$F$5/4,IF(K49&gt;=$B$8+$B$9,M49*$B$4*(1+$B$5)^(($G$5+$B$8+L49*($B$8+$B$10))/4)/4,0))</f>
        <v>0</v>
      </c>
      <c r="O49" s="14" t="n">
        <f aca="false">IF($A49&lt;=$G$5,$E$5*$F$5,IF(K49&gt;=$B$8,M49*$B$4*(1+$B$5)^(($G$5+$B$8+L49*($B$8+$B$10))/4),0))</f>
        <v>1188550.69870985</v>
      </c>
      <c r="P49" s="14" t="n">
        <f aca="false">IF($A49&lt;=$G$5,0,IF(K49=0,M49*$B$6*(1+$B$7)^(($G$5+L49*($B$8+$B$10))/4),0)+IF(K49=$B$8,$B$11*$B$4*(1+$B$5)^(($G$5+$B$8+L49*($B$8+$B$10))/4)*M49,0))</f>
        <v>142626.083845182</v>
      </c>
      <c r="Q49" s="21" t="n">
        <f aca="false">IF($A49&lt;=$G$5,0,IF(K49&lt;$B$8,M49,0))</f>
        <v>0</v>
      </c>
      <c r="R49" s="21" t="n">
        <f aca="false">$A49-$G$6-1</f>
        <v>-7</v>
      </c>
      <c r="S49" s="21" t="n">
        <f aca="false">IF(R49&lt;0,-1,MOD(R49,$B$8+$B$10))</f>
        <v>-1</v>
      </c>
      <c r="T49" s="21" t="n">
        <f aca="false">IF(R49&lt;0,0,INT(R49/($B$8+$B$10)))</f>
        <v>0</v>
      </c>
      <c r="U49" s="14" t="n">
        <f aca="false">IF($A49&lt;=$G$6,$E$6,$E$6*(1-$H$6)^(T49+1))</f>
        <v>1540</v>
      </c>
      <c r="V49" s="14" t="n">
        <f aca="false">IF($A49&lt;=$G$6,$E$6*$F$6/4,IF(S49&gt;=$B$8+$B$9,U49*$B$4*(1+$B$5)^(($G$6+$B$8+T49*($B$8+$B$10))/4)/4,0))</f>
        <v>113960</v>
      </c>
      <c r="W49" s="14" t="n">
        <f aca="false">IF($A49&lt;=$G$6,$E$6*$F$6,IF(S49&gt;=$B$8,U49*$B$4*(1+$B$5)^(($G$6+$B$8+T49*($B$8+$B$10))/4),0))</f>
        <v>455840</v>
      </c>
      <c r="X49" s="14" t="n">
        <f aca="false">IF($A49&lt;=$G$6,0,IF(S49=0,U49*$B$6*(1+$B$7)^(($G$6+T49*($B$8+$B$10))/4),0)+IF(S49=$B$8,$B$11*$B$4*(1+$B$5)^(($G$6+$B$8+T49*($B$8+$B$10))/4)*U49,0))</f>
        <v>0</v>
      </c>
      <c r="Y49" s="21" t="n">
        <f aca="false">IF($A49&lt;=$G$6,0,IF(S49&lt;$B$8,U49,0))</f>
        <v>0</v>
      </c>
      <c r="Z49" s="21" t="n">
        <f aca="false">$A49-$G$7-1</f>
        <v>13</v>
      </c>
      <c r="AA49" s="21" t="n">
        <f aca="false">IF(Z49&lt;0,-1,MOD(Z49,$B$8+$B$10))</f>
        <v>13</v>
      </c>
      <c r="AB49" s="21" t="n">
        <f aca="false">IF(Z49&lt;0,0,INT(Z49/($B$8+$B$10)))</f>
        <v>0</v>
      </c>
      <c r="AC49" s="21" t="n">
        <f aca="false">IF($A49&lt;=$G$7,$E$7,$E$7*(1-$H$7)^(AB49+1))</f>
        <v>1000</v>
      </c>
      <c r="AD49" s="14" t="n">
        <f aca="false">IF($A49&lt;=$G$7,$E$7*$F$7/4,IF(AA49&gt;=$B$8+$B$9,AC49*$B$4*(1+$B$5)^(($G$7+$B$8+AB49*($B$8+$B$10))/4)/4,0))</f>
        <v>84241.3074404055</v>
      </c>
      <c r="AE49" s="14" t="n">
        <f aca="false">IF($A49&lt;=$G$7,$E$7*$F$7,IF(AA49&gt;=$B$8,AC49*$B$4*(1+$B$5)^(($G$7+$B$8+AB49*($B$8+$B$10))/4),0))</f>
        <v>336965.229761622</v>
      </c>
      <c r="AF49" s="14" t="n">
        <f aca="false">IF($A49&lt;=$G$7,0,IF(AA49=0,AC49*$B$6*(1+$B$7)^(($G$7+AB49*($B$8+$B$10))/4),0)+IF(AA49=$B$8,$B$11*$B$4*(1+$B$5)^(($G$7+$B$8+AB49*($B$8+$B$10))/4)*AC49,0))</f>
        <v>0</v>
      </c>
      <c r="AG49" s="21" t="n">
        <f aca="false">IF($A49&lt;=$G$7,0,IF(AA49&lt;$B$8,AC49,0))</f>
        <v>0</v>
      </c>
      <c r="AH49" s="21" t="n">
        <f aca="false">$A49-$G$8-1</f>
        <v>19</v>
      </c>
      <c r="AI49" s="21" t="n">
        <f aca="false">IF(AH49&lt;0,-1,MOD(AH49,$B$8+$B$10))</f>
        <v>19</v>
      </c>
      <c r="AJ49" s="21" t="n">
        <f aca="false">IF(AH49&lt;0,0,INT(AH49/($B$8+$B$10)))</f>
        <v>0</v>
      </c>
      <c r="AK49" s="21" t="n">
        <f aca="false">IF($A49&lt;=$G$8,$E$8,$E$8*(1-$H$8)^(AJ49+1))</f>
        <v>2160</v>
      </c>
      <c r="AL49" s="14" t="n">
        <f aca="false">IF($A49&lt;=$G$8,$E$8*$F$8/4,IF(AI49&gt;=$B$8+$B$9,AK49*$B$4*(1+$B$5)^(($G$8+$B$8+AJ49*($B$8+$B$10))/4)/4,0))</f>
        <v>168397.753270693</v>
      </c>
      <c r="AM49" s="14" t="n">
        <f aca="false">IF($A49&lt;=$G$8,$E$8*$F$8,IF(AI49&gt;=$B$8,AK49*$B$4*(1+$B$5)^(($G$8+$B$8+AJ49*($B$8+$B$10))/4),0))</f>
        <v>673591.013082772</v>
      </c>
      <c r="AN49" s="14" t="n">
        <f aca="false">IF($A49&lt;=$G$8,0,IF(AI49=0,AK49*$B$6*(1+$B$7)^(($G$8+AJ49*($B$8+$B$10))/4),0)+IF(AI49=$B$8,$B$11*$B$4*(1+$B$5)^(($G$8+$B$8+AJ49*($B$8+$B$10))/4)*AK49,0))</f>
        <v>0</v>
      </c>
      <c r="AO49" s="21" t="n">
        <f aca="false">IF($A49&lt;=$G$8,0,IF(AI49&lt;$B$8,AK49,0))</f>
        <v>0</v>
      </c>
      <c r="AP49" s="14" t="n">
        <f aca="false">F49+N49+V49+AD49+AL49</f>
        <v>739164.666997036</v>
      </c>
      <c r="AQ49" s="14" t="n">
        <f aca="false">G49+O49+W49+AE49+AM49</f>
        <v>4145209.36669799</v>
      </c>
      <c r="AR49" s="14" t="n">
        <f aca="false">H49+P49+X49+AF49+AN49+IF($A49=$B$15,$B$14,0)</f>
        <v>142626.083845182</v>
      </c>
      <c r="AS49" s="21" t="n">
        <f aca="false">I49+Q49+Y49+AG49+AO49</f>
        <v>0</v>
      </c>
      <c r="AT49" s="14" t="n">
        <f aca="false">AP49*(1-$B$12)-AS49*$B$13/4</f>
        <v>694814.786977214</v>
      </c>
      <c r="AU49" s="14" t="n">
        <f aca="false">0</f>
        <v>0</v>
      </c>
      <c r="AV49" s="14" t="n">
        <f aca="false">AT49-AR49-AU49</f>
        <v>552188.703132032</v>
      </c>
      <c r="AW49" s="21" t="n">
        <f aca="false">(1+$B$16)^(-$A49/4)</f>
        <v>0.688515316427484</v>
      </c>
      <c r="AX49" s="14" t="n">
        <f aca="false">AV49*AW49</f>
        <v>380190.379664633</v>
      </c>
      <c r="AY49" s="14" t="n">
        <f aca="false">AV49</f>
        <v>552188.703132032</v>
      </c>
    </row>
    <row r="50" customFormat="false" ht="15" hidden="false" customHeight="false" outlineLevel="0" collapsed="false">
      <c r="A50" s="0" t="n">
        <v>21</v>
      </c>
      <c r="B50" s="0" t="n">
        <f aca="false">$A50-$G$4-1</f>
        <v>10</v>
      </c>
      <c r="C50" s="0" t="n">
        <f aca="false">IF(B50&lt;0,-1,MOD(B50,$B$8+$B$10))</f>
        <v>10</v>
      </c>
      <c r="D50" s="0" t="n">
        <f aca="false">IF(B50&lt;0,0,INT(B50/($B$8+$B$10)))</f>
        <v>0</v>
      </c>
      <c r="E50" s="0" t="n">
        <f aca="false">IF($A50&lt;=$G$4,$E$4,$E$4*(1-$H$4)^(D50+1))</f>
        <v>4200</v>
      </c>
      <c r="F50" s="14" t="n">
        <f aca="false">IF($A50&lt;=$G$4,$E$4*$F$4/4,IF(C50&gt;=$B$8+$B$9,E50*$B$4*(1+$B$5)^(($G$4+$B$8+D50*($B$8+$B$10))/4)/4,0))</f>
        <v>372565.606285937</v>
      </c>
      <c r="G50" s="14" t="n">
        <f aca="false">IF($A50&lt;=$G$4,$E$4*$F$4,IF(C50&gt;=$B$8,E50*$B$4*(1+$B$5)^(($G$4+$B$8+D50*($B$8+$B$10))/4),0))</f>
        <v>1490262.42514375</v>
      </c>
      <c r="H50" s="14" t="n">
        <f aca="false">IF($A50&lt;=$G$4,0,IF(C50=0,E50*$B$6*(1+$B$7)^(($G$4+D50*($B$8+$B$10))/4),0)+IF(C50=$B$8,$B$11*$B$4*(1+$B$5)^(($G$4+$B$8+D50*($B$8+$B$10))/4)*E50,0))</f>
        <v>0</v>
      </c>
      <c r="I50" s="21" t="n">
        <f aca="false">IF($A50&lt;=$G$4,0,IF(C50&lt;$B$8,E50,0))</f>
        <v>0</v>
      </c>
      <c r="J50" s="21" t="n">
        <f aca="false">$A50-$G$5-1</f>
        <v>4</v>
      </c>
      <c r="K50" s="21" t="n">
        <f aca="false">IF(J50&lt;0,-1,MOD(J50,$B$8+$B$10))</f>
        <v>4</v>
      </c>
      <c r="L50" s="21" t="n">
        <f aca="false">IF(J50&lt;0,0,INT(J50/($B$8+$B$10)))</f>
        <v>0</v>
      </c>
      <c r="M50" s="21" t="n">
        <f aca="false">IF($A50&lt;=$G$5,$E$5,$E$5*(1-$H$5)^(L50+1))</f>
        <v>3100</v>
      </c>
      <c r="N50" s="14" t="n">
        <f aca="false">IF($A50&lt;=$G$5,$E$5*$F$5/4,IF(K50&gt;=$B$8+$B$9,M50*$B$4*(1+$B$5)^(($G$5+$B$8+L50*($B$8+$B$10))/4)/4,0))</f>
        <v>0</v>
      </c>
      <c r="O50" s="14" t="n">
        <f aca="false">IF($A50&lt;=$G$5,$E$5*$F$5,IF(K50&gt;=$B$8,M50*$B$4*(1+$B$5)^(($G$5+$B$8+L50*($B$8+$B$10))/4),0))</f>
        <v>1188550.69870985</v>
      </c>
      <c r="P50" s="14" t="n">
        <f aca="false">IF($A50&lt;=$G$5,0,IF(K50=0,M50*$B$6*(1+$B$7)^(($G$5+L50*($B$8+$B$10))/4),0)+IF(K50=$B$8,$B$11*$B$4*(1+$B$5)^(($G$5+$B$8+L50*($B$8+$B$10))/4)*M50,0))</f>
        <v>0</v>
      </c>
      <c r="Q50" s="21" t="n">
        <f aca="false">IF($A50&lt;=$G$5,0,IF(K50&lt;$B$8,M50,0))</f>
        <v>0</v>
      </c>
      <c r="R50" s="21" t="n">
        <f aca="false">$A50-$G$6-1</f>
        <v>-6</v>
      </c>
      <c r="S50" s="21" t="n">
        <f aca="false">IF(R50&lt;0,-1,MOD(R50,$B$8+$B$10))</f>
        <v>-1</v>
      </c>
      <c r="T50" s="21" t="n">
        <f aca="false">IF(R50&lt;0,0,INT(R50/($B$8+$B$10)))</f>
        <v>0</v>
      </c>
      <c r="U50" s="14" t="n">
        <f aca="false">IF($A50&lt;=$G$6,$E$6,$E$6*(1-$H$6)^(T50+1))</f>
        <v>1540</v>
      </c>
      <c r="V50" s="14" t="n">
        <f aca="false">IF($A50&lt;=$G$6,$E$6*$F$6/4,IF(S50&gt;=$B$8+$B$9,U50*$B$4*(1+$B$5)^(($G$6+$B$8+T50*($B$8+$B$10))/4)/4,0))</f>
        <v>113960</v>
      </c>
      <c r="W50" s="14" t="n">
        <f aca="false">IF($A50&lt;=$G$6,$E$6*$F$6,IF(S50&gt;=$B$8,U50*$B$4*(1+$B$5)^(($G$6+$B$8+T50*($B$8+$B$10))/4),0))</f>
        <v>455840</v>
      </c>
      <c r="X50" s="14" t="n">
        <f aca="false">IF($A50&lt;=$G$6,0,IF(S50=0,U50*$B$6*(1+$B$7)^(($G$6+T50*($B$8+$B$10))/4),0)+IF(S50=$B$8,$B$11*$B$4*(1+$B$5)^(($G$6+$B$8+T50*($B$8+$B$10))/4)*U50,0))</f>
        <v>0</v>
      </c>
      <c r="Y50" s="21" t="n">
        <f aca="false">IF($A50&lt;=$G$6,0,IF(S50&lt;$B$8,U50,0))</f>
        <v>0</v>
      </c>
      <c r="Z50" s="21" t="n">
        <f aca="false">$A50-$G$7-1</f>
        <v>14</v>
      </c>
      <c r="AA50" s="21" t="n">
        <f aca="false">IF(Z50&lt;0,-1,MOD(Z50,$B$8+$B$10))</f>
        <v>14</v>
      </c>
      <c r="AB50" s="21" t="n">
        <f aca="false">IF(Z50&lt;0,0,INT(Z50/($B$8+$B$10)))</f>
        <v>0</v>
      </c>
      <c r="AC50" s="21" t="n">
        <f aca="false">IF($A50&lt;=$G$7,$E$7,$E$7*(1-$H$7)^(AB50+1))</f>
        <v>1000</v>
      </c>
      <c r="AD50" s="14" t="n">
        <f aca="false">IF($A50&lt;=$G$7,$E$7*$F$7/4,IF(AA50&gt;=$B$8+$B$9,AC50*$B$4*(1+$B$5)^(($G$7+$B$8+AB50*($B$8+$B$10))/4)/4,0))</f>
        <v>84241.3074404055</v>
      </c>
      <c r="AE50" s="14" t="n">
        <f aca="false">IF($A50&lt;=$G$7,$E$7*$F$7,IF(AA50&gt;=$B$8,AC50*$B$4*(1+$B$5)^(($G$7+$B$8+AB50*($B$8+$B$10))/4),0))</f>
        <v>336965.229761622</v>
      </c>
      <c r="AF50" s="14" t="n">
        <f aca="false">IF($A50&lt;=$G$7,0,IF(AA50=0,AC50*$B$6*(1+$B$7)^(($G$7+AB50*($B$8+$B$10))/4),0)+IF(AA50=$B$8,$B$11*$B$4*(1+$B$5)^(($G$7+$B$8+AB50*($B$8+$B$10))/4)*AC50,0))</f>
        <v>0</v>
      </c>
      <c r="AG50" s="21" t="n">
        <f aca="false">IF($A50&lt;=$G$7,0,IF(AA50&lt;$B$8,AC50,0))</f>
        <v>0</v>
      </c>
      <c r="AH50" s="21" t="n">
        <f aca="false">$A50-$G$8-1</f>
        <v>20</v>
      </c>
      <c r="AI50" s="21" t="n">
        <f aca="false">IF(AH50&lt;0,-1,MOD(AH50,$B$8+$B$10))</f>
        <v>20</v>
      </c>
      <c r="AJ50" s="21" t="n">
        <f aca="false">IF(AH50&lt;0,0,INT(AH50/($B$8+$B$10)))</f>
        <v>0</v>
      </c>
      <c r="AK50" s="21" t="n">
        <f aca="false">IF($A50&lt;=$G$8,$E$8,$E$8*(1-$H$8)^(AJ50+1))</f>
        <v>2160</v>
      </c>
      <c r="AL50" s="14" t="n">
        <f aca="false">IF($A50&lt;=$G$8,$E$8*$F$8/4,IF(AI50&gt;=$B$8+$B$9,AK50*$B$4*(1+$B$5)^(($G$8+$B$8+AJ50*($B$8+$B$10))/4)/4,0))</f>
        <v>168397.753270693</v>
      </c>
      <c r="AM50" s="14" t="n">
        <f aca="false">IF($A50&lt;=$G$8,$E$8*$F$8,IF(AI50&gt;=$B$8,AK50*$B$4*(1+$B$5)^(($G$8+$B$8+AJ50*($B$8+$B$10))/4),0))</f>
        <v>673591.013082772</v>
      </c>
      <c r="AN50" s="14" t="n">
        <f aca="false">IF($A50&lt;=$G$8,0,IF(AI50=0,AK50*$B$6*(1+$B$7)^(($G$8+AJ50*($B$8+$B$10))/4),0)+IF(AI50=$B$8,$B$11*$B$4*(1+$B$5)^(($G$8+$B$8+AJ50*($B$8+$B$10))/4)*AK50,0))</f>
        <v>0</v>
      </c>
      <c r="AO50" s="21" t="n">
        <f aca="false">IF($A50&lt;=$G$8,0,IF(AI50&lt;$B$8,AK50,0))</f>
        <v>0</v>
      </c>
      <c r="AP50" s="14" t="n">
        <f aca="false">F50+N50+V50+AD50+AL50</f>
        <v>739164.666997036</v>
      </c>
      <c r="AQ50" s="14" t="n">
        <f aca="false">G50+O50+W50+AE50+AM50</f>
        <v>4145209.36669799</v>
      </c>
      <c r="AR50" s="14" t="n">
        <f aca="false">H50+P50+X50+AF50+AN50+IF($A50=$B$15,$B$14,0)</f>
        <v>0</v>
      </c>
      <c r="AS50" s="21" t="n">
        <f aca="false">I50+Q50+Y50+AG50+AO50</f>
        <v>0</v>
      </c>
      <c r="AT50" s="14" t="n">
        <f aca="false">AP50*(1-$B$12)-AS50*$B$13/4</f>
        <v>694814.786977214</v>
      </c>
      <c r="AU50" s="14" t="n">
        <f aca="false">0</f>
        <v>0</v>
      </c>
      <c r="AV50" s="14" t="n">
        <f aca="false">AT50-AR50-AU50</f>
        <v>694814.786977214</v>
      </c>
      <c r="AW50" s="21" t="n">
        <f aca="false">(1+$B$16)^(-$A50/4)</f>
        <v>0.675786148927696</v>
      </c>
      <c r="AX50" s="14" t="n">
        <f aca="false">AV50*AW50</f>
        <v>469546.209109348</v>
      </c>
      <c r="AY50" s="14" t="n">
        <f aca="false">AV50</f>
        <v>694814.786977214</v>
      </c>
    </row>
    <row r="51" customFormat="false" ht="15" hidden="false" customHeight="false" outlineLevel="0" collapsed="false">
      <c r="A51" s="0" t="n">
        <v>22</v>
      </c>
      <c r="B51" s="0" t="n">
        <f aca="false">$A51-$G$4-1</f>
        <v>11</v>
      </c>
      <c r="C51" s="0" t="n">
        <f aca="false">IF(B51&lt;0,-1,MOD(B51,$B$8+$B$10))</f>
        <v>11</v>
      </c>
      <c r="D51" s="0" t="n">
        <f aca="false">IF(B51&lt;0,0,INT(B51/($B$8+$B$10)))</f>
        <v>0</v>
      </c>
      <c r="E51" s="0" t="n">
        <f aca="false">IF($A51&lt;=$G$4,$E$4,$E$4*(1-$H$4)^(D51+1))</f>
        <v>4200</v>
      </c>
      <c r="F51" s="14" t="n">
        <f aca="false">IF($A51&lt;=$G$4,$E$4*$F$4/4,IF(C51&gt;=$B$8+$B$9,E51*$B$4*(1+$B$5)^(($G$4+$B$8+D51*($B$8+$B$10))/4)/4,0))</f>
        <v>372565.606285937</v>
      </c>
      <c r="G51" s="14" t="n">
        <f aca="false">IF($A51&lt;=$G$4,$E$4*$F$4,IF(C51&gt;=$B$8,E51*$B$4*(1+$B$5)^(($G$4+$B$8+D51*($B$8+$B$10))/4),0))</f>
        <v>1490262.42514375</v>
      </c>
      <c r="H51" s="14" t="n">
        <f aca="false">IF($A51&lt;=$G$4,0,IF(C51=0,E51*$B$6*(1+$B$7)^(($G$4+D51*($B$8+$B$10))/4),0)+IF(C51=$B$8,$B$11*$B$4*(1+$B$5)^(($G$4+$B$8+D51*($B$8+$B$10))/4)*E51,0))</f>
        <v>0</v>
      </c>
      <c r="I51" s="21" t="n">
        <f aca="false">IF($A51&lt;=$G$4,0,IF(C51&lt;$B$8,E51,0))</f>
        <v>0</v>
      </c>
      <c r="J51" s="21" t="n">
        <f aca="false">$A51-$G$5-1</f>
        <v>5</v>
      </c>
      <c r="K51" s="21" t="n">
        <f aca="false">IF(J51&lt;0,-1,MOD(J51,$B$8+$B$10))</f>
        <v>5</v>
      </c>
      <c r="L51" s="21" t="n">
        <f aca="false">IF(J51&lt;0,0,INT(J51/($B$8+$B$10)))</f>
        <v>0</v>
      </c>
      <c r="M51" s="21" t="n">
        <f aca="false">IF($A51&lt;=$G$5,$E$5,$E$5*(1-$H$5)^(L51+1))</f>
        <v>3100</v>
      </c>
      <c r="N51" s="14" t="n">
        <f aca="false">IF($A51&lt;=$G$5,$E$5*$F$5/4,IF(K51&gt;=$B$8+$B$9,M51*$B$4*(1+$B$5)^(($G$5+$B$8+L51*($B$8+$B$10))/4)/4,0))</f>
        <v>0</v>
      </c>
      <c r="O51" s="14" t="n">
        <f aca="false">IF($A51&lt;=$G$5,$E$5*$F$5,IF(K51&gt;=$B$8,M51*$B$4*(1+$B$5)^(($G$5+$B$8+L51*($B$8+$B$10))/4),0))</f>
        <v>1188550.69870985</v>
      </c>
      <c r="P51" s="14" t="n">
        <f aca="false">IF($A51&lt;=$G$5,0,IF(K51=0,M51*$B$6*(1+$B$7)^(($G$5+L51*($B$8+$B$10))/4),0)+IF(K51=$B$8,$B$11*$B$4*(1+$B$5)^(($G$5+$B$8+L51*($B$8+$B$10))/4)*M51,0))</f>
        <v>0</v>
      </c>
      <c r="Q51" s="21" t="n">
        <f aca="false">IF($A51&lt;=$G$5,0,IF(K51&lt;$B$8,M51,0))</f>
        <v>0</v>
      </c>
      <c r="R51" s="21" t="n">
        <f aca="false">$A51-$G$6-1</f>
        <v>-5</v>
      </c>
      <c r="S51" s="21" t="n">
        <f aca="false">IF(R51&lt;0,-1,MOD(R51,$B$8+$B$10))</f>
        <v>-1</v>
      </c>
      <c r="T51" s="21" t="n">
        <f aca="false">IF(R51&lt;0,0,INT(R51/($B$8+$B$10)))</f>
        <v>0</v>
      </c>
      <c r="U51" s="14" t="n">
        <f aca="false">IF($A51&lt;=$G$6,$E$6,$E$6*(1-$H$6)^(T51+1))</f>
        <v>1540</v>
      </c>
      <c r="V51" s="14" t="n">
        <f aca="false">IF($A51&lt;=$G$6,$E$6*$F$6/4,IF(S51&gt;=$B$8+$B$9,U51*$B$4*(1+$B$5)^(($G$6+$B$8+T51*($B$8+$B$10))/4)/4,0))</f>
        <v>113960</v>
      </c>
      <c r="W51" s="14" t="n">
        <f aca="false">IF($A51&lt;=$G$6,$E$6*$F$6,IF(S51&gt;=$B$8,U51*$B$4*(1+$B$5)^(($G$6+$B$8+T51*($B$8+$B$10))/4),0))</f>
        <v>455840</v>
      </c>
      <c r="X51" s="14" t="n">
        <f aca="false">IF($A51&lt;=$G$6,0,IF(S51=0,U51*$B$6*(1+$B$7)^(($G$6+T51*($B$8+$B$10))/4),0)+IF(S51=$B$8,$B$11*$B$4*(1+$B$5)^(($G$6+$B$8+T51*($B$8+$B$10))/4)*U51,0))</f>
        <v>0</v>
      </c>
      <c r="Y51" s="21" t="n">
        <f aca="false">IF($A51&lt;=$G$6,0,IF(S51&lt;$B$8,U51,0))</f>
        <v>0</v>
      </c>
      <c r="Z51" s="21" t="n">
        <f aca="false">$A51-$G$7-1</f>
        <v>15</v>
      </c>
      <c r="AA51" s="21" t="n">
        <f aca="false">IF(Z51&lt;0,-1,MOD(Z51,$B$8+$B$10))</f>
        <v>15</v>
      </c>
      <c r="AB51" s="21" t="n">
        <f aca="false">IF(Z51&lt;0,0,INT(Z51/($B$8+$B$10)))</f>
        <v>0</v>
      </c>
      <c r="AC51" s="21" t="n">
        <f aca="false">IF($A51&lt;=$G$7,$E$7,$E$7*(1-$H$7)^(AB51+1))</f>
        <v>1000</v>
      </c>
      <c r="AD51" s="14" t="n">
        <f aca="false">IF($A51&lt;=$G$7,$E$7*$F$7/4,IF(AA51&gt;=$B$8+$B$9,AC51*$B$4*(1+$B$5)^(($G$7+$B$8+AB51*($B$8+$B$10))/4)/4,0))</f>
        <v>84241.3074404055</v>
      </c>
      <c r="AE51" s="14" t="n">
        <f aca="false">IF($A51&lt;=$G$7,$E$7*$F$7,IF(AA51&gt;=$B$8,AC51*$B$4*(1+$B$5)^(($G$7+$B$8+AB51*($B$8+$B$10))/4),0))</f>
        <v>336965.229761622</v>
      </c>
      <c r="AF51" s="14" t="n">
        <f aca="false">IF($A51&lt;=$G$7,0,IF(AA51=0,AC51*$B$6*(1+$B$7)^(($G$7+AB51*($B$8+$B$10))/4),0)+IF(AA51=$B$8,$B$11*$B$4*(1+$B$5)^(($G$7+$B$8+AB51*($B$8+$B$10))/4)*AC51,0))</f>
        <v>0</v>
      </c>
      <c r="AG51" s="21" t="n">
        <f aca="false">IF($A51&lt;=$G$7,0,IF(AA51&lt;$B$8,AC51,0))</f>
        <v>0</v>
      </c>
      <c r="AH51" s="21" t="n">
        <f aca="false">$A51-$G$8-1</f>
        <v>21</v>
      </c>
      <c r="AI51" s="21" t="n">
        <f aca="false">IF(AH51&lt;0,-1,MOD(AH51,$B$8+$B$10))</f>
        <v>21</v>
      </c>
      <c r="AJ51" s="21" t="n">
        <f aca="false">IF(AH51&lt;0,0,INT(AH51/($B$8+$B$10)))</f>
        <v>0</v>
      </c>
      <c r="AK51" s="21" t="n">
        <f aca="false">IF($A51&lt;=$G$8,$E$8,$E$8*(1-$H$8)^(AJ51+1))</f>
        <v>2160</v>
      </c>
      <c r="AL51" s="14" t="n">
        <f aca="false">IF($A51&lt;=$G$8,$E$8*$F$8/4,IF(AI51&gt;=$B$8+$B$9,AK51*$B$4*(1+$B$5)^(($G$8+$B$8+AJ51*($B$8+$B$10))/4)/4,0))</f>
        <v>168397.753270693</v>
      </c>
      <c r="AM51" s="14" t="n">
        <f aca="false">IF($A51&lt;=$G$8,$E$8*$F$8,IF(AI51&gt;=$B$8,AK51*$B$4*(1+$B$5)^(($G$8+$B$8+AJ51*($B$8+$B$10))/4),0))</f>
        <v>673591.013082772</v>
      </c>
      <c r="AN51" s="14" t="n">
        <f aca="false">IF($A51&lt;=$G$8,0,IF(AI51=0,AK51*$B$6*(1+$B$7)^(($G$8+AJ51*($B$8+$B$10))/4),0)+IF(AI51=$B$8,$B$11*$B$4*(1+$B$5)^(($G$8+$B$8+AJ51*($B$8+$B$10))/4)*AK51,0))</f>
        <v>0</v>
      </c>
      <c r="AO51" s="21" t="n">
        <f aca="false">IF($A51&lt;=$G$8,0,IF(AI51&lt;$B$8,AK51,0))</f>
        <v>0</v>
      </c>
      <c r="AP51" s="14" t="n">
        <f aca="false">F51+N51+V51+AD51+AL51</f>
        <v>739164.666997036</v>
      </c>
      <c r="AQ51" s="14" t="n">
        <f aca="false">G51+O51+W51+AE51+AM51</f>
        <v>4145209.36669799</v>
      </c>
      <c r="AR51" s="14" t="n">
        <f aca="false">H51+P51+X51+AF51+AN51+IF($A51=$B$15,$B$14,0)</f>
        <v>0</v>
      </c>
      <c r="AS51" s="21" t="n">
        <f aca="false">I51+Q51+Y51+AG51+AO51</f>
        <v>0</v>
      </c>
      <c r="AT51" s="14" t="n">
        <f aca="false">AP51*(1-$B$12)-AS51*$B$13/4</f>
        <v>694814.786977214</v>
      </c>
      <c r="AU51" s="14" t="n">
        <f aca="false">0</f>
        <v>0</v>
      </c>
      <c r="AV51" s="14" t="n">
        <f aca="false">AT51-AR51-AU51</f>
        <v>694814.786977214</v>
      </c>
      <c r="AW51" s="21" t="n">
        <f aca="false">(1+$B$16)^(-$A51/4)</f>
        <v>0.663292316360002</v>
      </c>
      <c r="AX51" s="14" t="n">
        <f aca="false">AV51*AW51</f>
        <v>460865.309495297</v>
      </c>
      <c r="AY51" s="14" t="n">
        <f aca="false">AV51</f>
        <v>694814.786977214</v>
      </c>
    </row>
    <row r="52" customFormat="false" ht="15" hidden="false" customHeight="false" outlineLevel="0" collapsed="false">
      <c r="A52" s="0" t="n">
        <v>23</v>
      </c>
      <c r="B52" s="0" t="n">
        <f aca="false">$A52-$G$4-1</f>
        <v>12</v>
      </c>
      <c r="C52" s="0" t="n">
        <f aca="false">IF(B52&lt;0,-1,MOD(B52,$B$8+$B$10))</f>
        <v>12</v>
      </c>
      <c r="D52" s="0" t="n">
        <f aca="false">IF(B52&lt;0,0,INT(B52/($B$8+$B$10)))</f>
        <v>0</v>
      </c>
      <c r="E52" s="0" t="n">
        <f aca="false">IF($A52&lt;=$G$4,$E$4,$E$4*(1-$H$4)^(D52+1))</f>
        <v>4200</v>
      </c>
      <c r="F52" s="14" t="n">
        <f aca="false">IF($A52&lt;=$G$4,$E$4*$F$4/4,IF(C52&gt;=$B$8+$B$9,E52*$B$4*(1+$B$5)^(($G$4+$B$8+D52*($B$8+$B$10))/4)/4,0))</f>
        <v>372565.606285937</v>
      </c>
      <c r="G52" s="14" t="n">
        <f aca="false">IF($A52&lt;=$G$4,$E$4*$F$4,IF(C52&gt;=$B$8,E52*$B$4*(1+$B$5)^(($G$4+$B$8+D52*($B$8+$B$10))/4),0))</f>
        <v>1490262.42514375</v>
      </c>
      <c r="H52" s="14" t="n">
        <f aca="false">IF($A52&lt;=$G$4,0,IF(C52=0,E52*$B$6*(1+$B$7)^(($G$4+D52*($B$8+$B$10))/4),0)+IF(C52=$B$8,$B$11*$B$4*(1+$B$5)^(($G$4+$B$8+D52*($B$8+$B$10))/4)*E52,0))</f>
        <v>0</v>
      </c>
      <c r="I52" s="21" t="n">
        <f aca="false">IF($A52&lt;=$G$4,0,IF(C52&lt;$B$8,E52,0))</f>
        <v>0</v>
      </c>
      <c r="J52" s="21" t="n">
        <f aca="false">$A52-$G$5-1</f>
        <v>6</v>
      </c>
      <c r="K52" s="21" t="n">
        <f aca="false">IF(J52&lt;0,-1,MOD(J52,$B$8+$B$10))</f>
        <v>6</v>
      </c>
      <c r="L52" s="21" t="n">
        <f aca="false">IF(J52&lt;0,0,INT(J52/($B$8+$B$10)))</f>
        <v>0</v>
      </c>
      <c r="M52" s="21" t="n">
        <f aca="false">IF($A52&lt;=$G$5,$E$5,$E$5*(1-$H$5)^(L52+1))</f>
        <v>3100</v>
      </c>
      <c r="N52" s="14" t="n">
        <f aca="false">IF($A52&lt;=$G$5,$E$5*$F$5/4,IF(K52&gt;=$B$8+$B$9,M52*$B$4*(1+$B$5)^(($G$5+$B$8+L52*($B$8+$B$10))/4)/4,0))</f>
        <v>297137.674677462</v>
      </c>
      <c r="O52" s="14" t="n">
        <f aca="false">IF($A52&lt;=$G$5,$E$5*$F$5,IF(K52&gt;=$B$8,M52*$B$4*(1+$B$5)^(($G$5+$B$8+L52*($B$8+$B$10))/4),0))</f>
        <v>1188550.69870985</v>
      </c>
      <c r="P52" s="14" t="n">
        <f aca="false">IF($A52&lt;=$G$5,0,IF(K52=0,M52*$B$6*(1+$B$7)^(($G$5+L52*($B$8+$B$10))/4),0)+IF(K52=$B$8,$B$11*$B$4*(1+$B$5)^(($G$5+$B$8+L52*($B$8+$B$10))/4)*M52,0))</f>
        <v>0</v>
      </c>
      <c r="Q52" s="21" t="n">
        <f aca="false">IF($A52&lt;=$G$5,0,IF(K52&lt;$B$8,M52,0))</f>
        <v>0</v>
      </c>
      <c r="R52" s="21" t="n">
        <f aca="false">$A52-$G$6-1</f>
        <v>-4</v>
      </c>
      <c r="S52" s="21" t="n">
        <f aca="false">IF(R52&lt;0,-1,MOD(R52,$B$8+$B$10))</f>
        <v>-1</v>
      </c>
      <c r="T52" s="21" t="n">
        <f aca="false">IF(R52&lt;0,0,INT(R52/($B$8+$B$10)))</f>
        <v>0</v>
      </c>
      <c r="U52" s="14" t="n">
        <f aca="false">IF($A52&lt;=$G$6,$E$6,$E$6*(1-$H$6)^(T52+1))</f>
        <v>1540</v>
      </c>
      <c r="V52" s="14" t="n">
        <f aca="false">IF($A52&lt;=$G$6,$E$6*$F$6/4,IF(S52&gt;=$B$8+$B$9,U52*$B$4*(1+$B$5)^(($G$6+$B$8+T52*($B$8+$B$10))/4)/4,0))</f>
        <v>113960</v>
      </c>
      <c r="W52" s="14" t="n">
        <f aca="false">IF($A52&lt;=$G$6,$E$6*$F$6,IF(S52&gt;=$B$8,U52*$B$4*(1+$B$5)^(($G$6+$B$8+T52*($B$8+$B$10))/4),0))</f>
        <v>455840</v>
      </c>
      <c r="X52" s="14" t="n">
        <f aca="false">IF($A52&lt;=$G$6,0,IF(S52=0,U52*$B$6*(1+$B$7)^(($G$6+T52*($B$8+$B$10))/4),0)+IF(S52=$B$8,$B$11*$B$4*(1+$B$5)^(($G$6+$B$8+T52*($B$8+$B$10))/4)*U52,0))</f>
        <v>0</v>
      </c>
      <c r="Y52" s="21" t="n">
        <f aca="false">IF($A52&lt;=$G$6,0,IF(S52&lt;$B$8,U52,0))</f>
        <v>0</v>
      </c>
      <c r="Z52" s="21" t="n">
        <f aca="false">$A52-$G$7-1</f>
        <v>16</v>
      </c>
      <c r="AA52" s="21" t="n">
        <f aca="false">IF(Z52&lt;0,-1,MOD(Z52,$B$8+$B$10))</f>
        <v>16</v>
      </c>
      <c r="AB52" s="21" t="n">
        <f aca="false">IF(Z52&lt;0,0,INT(Z52/($B$8+$B$10)))</f>
        <v>0</v>
      </c>
      <c r="AC52" s="21" t="n">
        <f aca="false">IF($A52&lt;=$G$7,$E$7,$E$7*(1-$H$7)^(AB52+1))</f>
        <v>1000</v>
      </c>
      <c r="AD52" s="14" t="n">
        <f aca="false">IF($A52&lt;=$G$7,$E$7*$F$7/4,IF(AA52&gt;=$B$8+$B$9,AC52*$B$4*(1+$B$5)^(($G$7+$B$8+AB52*($B$8+$B$10))/4)/4,0))</f>
        <v>84241.3074404055</v>
      </c>
      <c r="AE52" s="14" t="n">
        <f aca="false">IF($A52&lt;=$G$7,$E$7*$F$7,IF(AA52&gt;=$B$8,AC52*$B$4*(1+$B$5)^(($G$7+$B$8+AB52*($B$8+$B$10))/4),0))</f>
        <v>336965.229761622</v>
      </c>
      <c r="AF52" s="14" t="n">
        <f aca="false">IF($A52&lt;=$G$7,0,IF(AA52=0,AC52*$B$6*(1+$B$7)^(($G$7+AB52*($B$8+$B$10))/4),0)+IF(AA52=$B$8,$B$11*$B$4*(1+$B$5)^(($G$7+$B$8+AB52*($B$8+$B$10))/4)*AC52,0))</f>
        <v>0</v>
      </c>
      <c r="AG52" s="21" t="n">
        <f aca="false">IF($A52&lt;=$G$7,0,IF(AA52&lt;$B$8,AC52,0))</f>
        <v>0</v>
      </c>
      <c r="AH52" s="21" t="n">
        <f aca="false">$A52-$G$8-1</f>
        <v>22</v>
      </c>
      <c r="AI52" s="21" t="n">
        <f aca="false">IF(AH52&lt;0,-1,MOD(AH52,$B$8+$B$10))</f>
        <v>22</v>
      </c>
      <c r="AJ52" s="21" t="n">
        <f aca="false">IF(AH52&lt;0,0,INT(AH52/($B$8+$B$10)))</f>
        <v>0</v>
      </c>
      <c r="AK52" s="21" t="n">
        <f aca="false">IF($A52&lt;=$G$8,$E$8,$E$8*(1-$H$8)^(AJ52+1))</f>
        <v>2160</v>
      </c>
      <c r="AL52" s="14" t="n">
        <f aca="false">IF($A52&lt;=$G$8,$E$8*$F$8/4,IF(AI52&gt;=$B$8+$B$9,AK52*$B$4*(1+$B$5)^(($G$8+$B$8+AJ52*($B$8+$B$10))/4)/4,0))</f>
        <v>168397.753270693</v>
      </c>
      <c r="AM52" s="14" t="n">
        <f aca="false">IF($A52&lt;=$G$8,$E$8*$F$8,IF(AI52&gt;=$B$8,AK52*$B$4*(1+$B$5)^(($G$8+$B$8+AJ52*($B$8+$B$10))/4),0))</f>
        <v>673591.013082772</v>
      </c>
      <c r="AN52" s="14" t="n">
        <f aca="false">IF($A52&lt;=$G$8,0,IF(AI52=0,AK52*$B$6*(1+$B$7)^(($G$8+AJ52*($B$8+$B$10))/4),0)+IF(AI52=$B$8,$B$11*$B$4*(1+$B$5)^(($G$8+$B$8+AJ52*($B$8+$B$10))/4)*AK52,0))</f>
        <v>0</v>
      </c>
      <c r="AO52" s="21" t="n">
        <f aca="false">IF($A52&lt;=$G$8,0,IF(AI52&lt;$B$8,AK52,0))</f>
        <v>0</v>
      </c>
      <c r="AP52" s="14" t="n">
        <f aca="false">F52+N52+V52+AD52+AL52</f>
        <v>1036302.3416745</v>
      </c>
      <c r="AQ52" s="14" t="n">
        <f aca="false">G52+O52+W52+AE52+AM52</f>
        <v>4145209.36669799</v>
      </c>
      <c r="AR52" s="14" t="n">
        <f aca="false">H52+P52+X52+AF52+AN52+IF($A52=$B$15,$B$14,0)</f>
        <v>0</v>
      </c>
      <c r="AS52" s="21" t="n">
        <f aca="false">I52+Q52+Y52+AG52+AO52</f>
        <v>0</v>
      </c>
      <c r="AT52" s="14" t="n">
        <f aca="false">AP52*(1-$B$12)-AS52*$B$13/4</f>
        <v>974124.201174028</v>
      </c>
      <c r="AU52" s="14" t="n">
        <f aca="false">0</f>
        <v>0</v>
      </c>
      <c r="AV52" s="14" t="n">
        <f aca="false">AT52-AR52-AU52</f>
        <v>974124.201174028</v>
      </c>
      <c r="AW52" s="21" t="n">
        <f aca="false">(1+$B$16)^(-$A52/4)</f>
        <v>0.651029467887613</v>
      </c>
      <c r="AX52" s="14" t="n">
        <f aca="false">AV52*AW52</f>
        <v>634183.560346773</v>
      </c>
      <c r="AY52" s="14" t="n">
        <f aca="false">AV52</f>
        <v>974124.201174028</v>
      </c>
    </row>
    <row r="53" customFormat="false" ht="15" hidden="false" customHeight="false" outlineLevel="0" collapsed="false">
      <c r="A53" s="0" t="n">
        <v>24</v>
      </c>
      <c r="B53" s="0" t="n">
        <f aca="false">$A53-$G$4-1</f>
        <v>13</v>
      </c>
      <c r="C53" s="0" t="n">
        <f aca="false">IF(B53&lt;0,-1,MOD(B53,$B$8+$B$10))</f>
        <v>13</v>
      </c>
      <c r="D53" s="0" t="n">
        <f aca="false">IF(B53&lt;0,0,INT(B53/($B$8+$B$10)))</f>
        <v>0</v>
      </c>
      <c r="E53" s="0" t="n">
        <f aca="false">IF($A53&lt;=$G$4,$E$4,$E$4*(1-$H$4)^(D53+1))</f>
        <v>4200</v>
      </c>
      <c r="F53" s="14" t="n">
        <f aca="false">IF($A53&lt;=$G$4,$E$4*$F$4/4,IF(C53&gt;=$B$8+$B$9,E53*$B$4*(1+$B$5)^(($G$4+$B$8+D53*($B$8+$B$10))/4)/4,0))</f>
        <v>372565.606285937</v>
      </c>
      <c r="G53" s="14" t="n">
        <f aca="false">IF($A53&lt;=$G$4,$E$4*$F$4,IF(C53&gt;=$B$8,E53*$B$4*(1+$B$5)^(($G$4+$B$8+D53*($B$8+$B$10))/4),0))</f>
        <v>1490262.42514375</v>
      </c>
      <c r="H53" s="14" t="n">
        <f aca="false">IF($A53&lt;=$G$4,0,IF(C53=0,E53*$B$6*(1+$B$7)^(($G$4+D53*($B$8+$B$10))/4),0)+IF(C53=$B$8,$B$11*$B$4*(1+$B$5)^(($G$4+$B$8+D53*($B$8+$B$10))/4)*E53,0))</f>
        <v>0</v>
      </c>
      <c r="I53" s="21" t="n">
        <f aca="false">IF($A53&lt;=$G$4,0,IF(C53&lt;$B$8,E53,0))</f>
        <v>0</v>
      </c>
      <c r="J53" s="21" t="n">
        <f aca="false">$A53-$G$5-1</f>
        <v>7</v>
      </c>
      <c r="K53" s="21" t="n">
        <f aca="false">IF(J53&lt;0,-1,MOD(J53,$B$8+$B$10))</f>
        <v>7</v>
      </c>
      <c r="L53" s="21" t="n">
        <f aca="false">IF(J53&lt;0,0,INT(J53/($B$8+$B$10)))</f>
        <v>0</v>
      </c>
      <c r="M53" s="21" t="n">
        <f aca="false">IF($A53&lt;=$G$5,$E$5,$E$5*(1-$H$5)^(L53+1))</f>
        <v>3100</v>
      </c>
      <c r="N53" s="14" t="n">
        <f aca="false">IF($A53&lt;=$G$5,$E$5*$F$5/4,IF(K53&gt;=$B$8+$B$9,M53*$B$4*(1+$B$5)^(($G$5+$B$8+L53*($B$8+$B$10))/4)/4,0))</f>
        <v>297137.674677462</v>
      </c>
      <c r="O53" s="14" t="n">
        <f aca="false">IF($A53&lt;=$G$5,$E$5*$F$5,IF(K53&gt;=$B$8,M53*$B$4*(1+$B$5)^(($G$5+$B$8+L53*($B$8+$B$10))/4),0))</f>
        <v>1188550.69870985</v>
      </c>
      <c r="P53" s="14" t="n">
        <f aca="false">IF($A53&lt;=$G$5,0,IF(K53=0,M53*$B$6*(1+$B$7)^(($G$5+L53*($B$8+$B$10))/4),0)+IF(K53=$B$8,$B$11*$B$4*(1+$B$5)^(($G$5+$B$8+L53*($B$8+$B$10))/4)*M53,0))</f>
        <v>0</v>
      </c>
      <c r="Q53" s="21" t="n">
        <f aca="false">IF($A53&lt;=$G$5,0,IF(K53&lt;$B$8,M53,0))</f>
        <v>0</v>
      </c>
      <c r="R53" s="21" t="n">
        <f aca="false">$A53-$G$6-1</f>
        <v>-3</v>
      </c>
      <c r="S53" s="21" t="n">
        <f aca="false">IF(R53&lt;0,-1,MOD(R53,$B$8+$B$10))</f>
        <v>-1</v>
      </c>
      <c r="T53" s="21" t="n">
        <f aca="false">IF(R53&lt;0,0,INT(R53/($B$8+$B$10)))</f>
        <v>0</v>
      </c>
      <c r="U53" s="14" t="n">
        <f aca="false">IF($A53&lt;=$G$6,$E$6,$E$6*(1-$H$6)^(T53+1))</f>
        <v>1540</v>
      </c>
      <c r="V53" s="14" t="n">
        <f aca="false">IF($A53&lt;=$G$6,$E$6*$F$6/4,IF(S53&gt;=$B$8+$B$9,U53*$B$4*(1+$B$5)^(($G$6+$B$8+T53*($B$8+$B$10))/4)/4,0))</f>
        <v>113960</v>
      </c>
      <c r="W53" s="14" t="n">
        <f aca="false">IF($A53&lt;=$G$6,$E$6*$F$6,IF(S53&gt;=$B$8,U53*$B$4*(1+$B$5)^(($G$6+$B$8+T53*($B$8+$B$10))/4),0))</f>
        <v>455840</v>
      </c>
      <c r="X53" s="14" t="n">
        <f aca="false">IF($A53&lt;=$G$6,0,IF(S53=0,U53*$B$6*(1+$B$7)^(($G$6+T53*($B$8+$B$10))/4),0)+IF(S53=$B$8,$B$11*$B$4*(1+$B$5)^(($G$6+$B$8+T53*($B$8+$B$10))/4)*U53,0))</f>
        <v>0</v>
      </c>
      <c r="Y53" s="21" t="n">
        <f aca="false">IF($A53&lt;=$G$6,0,IF(S53&lt;$B$8,U53,0))</f>
        <v>0</v>
      </c>
      <c r="Z53" s="21" t="n">
        <f aca="false">$A53-$G$7-1</f>
        <v>17</v>
      </c>
      <c r="AA53" s="21" t="n">
        <f aca="false">IF(Z53&lt;0,-1,MOD(Z53,$B$8+$B$10))</f>
        <v>17</v>
      </c>
      <c r="AB53" s="21" t="n">
        <f aca="false">IF(Z53&lt;0,0,INT(Z53/($B$8+$B$10)))</f>
        <v>0</v>
      </c>
      <c r="AC53" s="21" t="n">
        <f aca="false">IF($A53&lt;=$G$7,$E$7,$E$7*(1-$H$7)^(AB53+1))</f>
        <v>1000</v>
      </c>
      <c r="AD53" s="14" t="n">
        <f aca="false">IF($A53&lt;=$G$7,$E$7*$F$7/4,IF(AA53&gt;=$B$8+$B$9,AC53*$B$4*(1+$B$5)^(($G$7+$B$8+AB53*($B$8+$B$10))/4)/4,0))</f>
        <v>84241.3074404055</v>
      </c>
      <c r="AE53" s="14" t="n">
        <f aca="false">IF($A53&lt;=$G$7,$E$7*$F$7,IF(AA53&gt;=$B$8,AC53*$B$4*(1+$B$5)^(($G$7+$B$8+AB53*($B$8+$B$10))/4),0))</f>
        <v>336965.229761622</v>
      </c>
      <c r="AF53" s="14" t="n">
        <f aca="false">IF($A53&lt;=$G$7,0,IF(AA53=0,AC53*$B$6*(1+$B$7)^(($G$7+AB53*($B$8+$B$10))/4),0)+IF(AA53=$B$8,$B$11*$B$4*(1+$B$5)^(($G$7+$B$8+AB53*($B$8+$B$10))/4)*AC53,0))</f>
        <v>0</v>
      </c>
      <c r="AG53" s="21" t="n">
        <f aca="false">IF($A53&lt;=$G$7,0,IF(AA53&lt;$B$8,AC53,0))</f>
        <v>0</v>
      </c>
      <c r="AH53" s="21" t="n">
        <f aca="false">$A53-$G$8-1</f>
        <v>23</v>
      </c>
      <c r="AI53" s="21" t="n">
        <f aca="false">IF(AH53&lt;0,-1,MOD(AH53,$B$8+$B$10))</f>
        <v>0</v>
      </c>
      <c r="AJ53" s="21" t="n">
        <f aca="false">IF(AH53&lt;0,0,INT(AH53/($B$8+$B$10)))</f>
        <v>1</v>
      </c>
      <c r="AK53" s="21" t="n">
        <f aca="false">IF($A53&lt;=$G$8,$E$8,$E$8*(1-$H$8)^(AJ53+1))</f>
        <v>2160</v>
      </c>
      <c r="AL53" s="14" t="n">
        <f aca="false">IF($A53&lt;=$G$8,$E$8*$F$8/4,IF(AI53&gt;=$B$8+$B$9,AK53*$B$4*(1+$B$5)^(($G$8+$B$8+AJ53*($B$8+$B$10))/4)/4,0))</f>
        <v>0</v>
      </c>
      <c r="AM53" s="14" t="n">
        <f aca="false">IF($A53&lt;=$G$8,$E$8*$F$8,IF(AI53&gt;=$B$8,AK53*$B$4*(1+$B$5)^(($G$8+$B$8+AJ53*($B$8+$B$10))/4),0))</f>
        <v>0</v>
      </c>
      <c r="AN53" s="14" t="n">
        <f aca="false">IF($A53&lt;=$G$8,0,IF(AI53=0,AK53*$B$6*(1+$B$7)^(($G$8+AJ53*($B$8+$B$10))/4),0)+IF(AI53=$B$8,$B$11*$B$4*(1+$B$5)^(($G$8+$B$8+AJ53*($B$8+$B$10))/4)*AK53,0))</f>
        <v>1045599.26082182</v>
      </c>
      <c r="AO53" s="21" t="n">
        <f aca="false">IF($A53&lt;=$G$8,0,IF(AI53&lt;$B$8,AK53,0))</f>
        <v>2160</v>
      </c>
      <c r="AP53" s="14" t="n">
        <f aca="false">F53+N53+V53+AD53+AL53</f>
        <v>867904.588403805</v>
      </c>
      <c r="AQ53" s="14" t="n">
        <f aca="false">G53+O53+W53+AE53+AM53</f>
        <v>3471618.35361522</v>
      </c>
      <c r="AR53" s="14" t="n">
        <f aca="false">H53+P53+X53+AF53+AN53+IF($A53=$B$15,$B$14,0)</f>
        <v>1045599.26082182</v>
      </c>
      <c r="AS53" s="21" t="n">
        <f aca="false">I53+Q53+Y53+AG53+AO53</f>
        <v>2160</v>
      </c>
      <c r="AT53" s="14" t="n">
        <f aca="false">AP53*(1-$B$12)-AS53*$B$13/4</f>
        <v>786130.313099576</v>
      </c>
      <c r="AU53" s="14" t="n">
        <f aca="false">0</f>
        <v>0</v>
      </c>
      <c r="AV53" s="14" t="n">
        <f aca="false">AT53-AR53-AU53</f>
        <v>-259468.947722246</v>
      </c>
      <c r="AW53" s="21" t="n">
        <f aca="false">(1+$B$16)^(-$A53/4)</f>
        <v>0.638993333111354</v>
      </c>
      <c r="AX53" s="14" t="n">
        <f aca="false">AV53*AW53</f>
        <v>-165798.927743934</v>
      </c>
      <c r="AY53" s="14" t="n">
        <f aca="false">AV53</f>
        <v>-259468.947722246</v>
      </c>
    </row>
    <row r="54" customFormat="false" ht="15" hidden="false" customHeight="false" outlineLevel="0" collapsed="false">
      <c r="A54" s="0" t="n">
        <v>25</v>
      </c>
      <c r="B54" s="0" t="n">
        <f aca="false">$A54-$G$4-1</f>
        <v>14</v>
      </c>
      <c r="C54" s="0" t="n">
        <f aca="false">IF(B54&lt;0,-1,MOD(B54,$B$8+$B$10))</f>
        <v>14</v>
      </c>
      <c r="D54" s="0" t="n">
        <f aca="false">IF(B54&lt;0,0,INT(B54/($B$8+$B$10)))</f>
        <v>0</v>
      </c>
      <c r="E54" s="0" t="n">
        <f aca="false">IF($A54&lt;=$G$4,$E$4,$E$4*(1-$H$4)^(D54+1))</f>
        <v>4200</v>
      </c>
      <c r="F54" s="14" t="n">
        <f aca="false">IF($A54&lt;=$G$4,$E$4*$F$4/4,IF(C54&gt;=$B$8+$B$9,E54*$B$4*(1+$B$5)^(($G$4+$B$8+D54*($B$8+$B$10))/4)/4,0))</f>
        <v>372565.606285937</v>
      </c>
      <c r="G54" s="14" t="n">
        <f aca="false">IF($A54&lt;=$G$4,$E$4*$F$4,IF(C54&gt;=$B$8,E54*$B$4*(1+$B$5)^(($G$4+$B$8+D54*($B$8+$B$10))/4),0))</f>
        <v>1490262.42514375</v>
      </c>
      <c r="H54" s="14" t="n">
        <f aca="false">IF($A54&lt;=$G$4,0,IF(C54=0,E54*$B$6*(1+$B$7)^(($G$4+D54*($B$8+$B$10))/4),0)+IF(C54=$B$8,$B$11*$B$4*(1+$B$5)^(($G$4+$B$8+D54*($B$8+$B$10))/4)*E54,0))</f>
        <v>0</v>
      </c>
      <c r="I54" s="21" t="n">
        <f aca="false">IF($A54&lt;=$G$4,0,IF(C54&lt;$B$8,E54,0))</f>
        <v>0</v>
      </c>
      <c r="J54" s="21" t="n">
        <f aca="false">$A54-$G$5-1</f>
        <v>8</v>
      </c>
      <c r="K54" s="21" t="n">
        <f aca="false">IF(J54&lt;0,-1,MOD(J54,$B$8+$B$10))</f>
        <v>8</v>
      </c>
      <c r="L54" s="21" t="n">
        <f aca="false">IF(J54&lt;0,0,INT(J54/($B$8+$B$10)))</f>
        <v>0</v>
      </c>
      <c r="M54" s="21" t="n">
        <f aca="false">IF($A54&lt;=$G$5,$E$5,$E$5*(1-$H$5)^(L54+1))</f>
        <v>3100</v>
      </c>
      <c r="N54" s="14" t="n">
        <f aca="false">IF($A54&lt;=$G$5,$E$5*$F$5/4,IF(K54&gt;=$B$8+$B$9,M54*$B$4*(1+$B$5)^(($G$5+$B$8+L54*($B$8+$B$10))/4)/4,0))</f>
        <v>297137.674677462</v>
      </c>
      <c r="O54" s="14" t="n">
        <f aca="false">IF($A54&lt;=$G$5,$E$5*$F$5,IF(K54&gt;=$B$8,M54*$B$4*(1+$B$5)^(($G$5+$B$8+L54*($B$8+$B$10))/4),0))</f>
        <v>1188550.69870985</v>
      </c>
      <c r="P54" s="14" t="n">
        <f aca="false">IF($A54&lt;=$G$5,0,IF(K54=0,M54*$B$6*(1+$B$7)^(($G$5+L54*($B$8+$B$10))/4),0)+IF(K54=$B$8,$B$11*$B$4*(1+$B$5)^(($G$5+$B$8+L54*($B$8+$B$10))/4)*M54,0))</f>
        <v>0</v>
      </c>
      <c r="Q54" s="21" t="n">
        <f aca="false">IF($A54&lt;=$G$5,0,IF(K54&lt;$B$8,M54,0))</f>
        <v>0</v>
      </c>
      <c r="R54" s="21" t="n">
        <f aca="false">$A54-$G$6-1</f>
        <v>-2</v>
      </c>
      <c r="S54" s="21" t="n">
        <f aca="false">IF(R54&lt;0,-1,MOD(R54,$B$8+$B$10))</f>
        <v>-1</v>
      </c>
      <c r="T54" s="21" t="n">
        <f aca="false">IF(R54&lt;0,0,INT(R54/($B$8+$B$10)))</f>
        <v>0</v>
      </c>
      <c r="U54" s="14" t="n">
        <f aca="false">IF($A54&lt;=$G$6,$E$6,$E$6*(1-$H$6)^(T54+1))</f>
        <v>1540</v>
      </c>
      <c r="V54" s="14" t="n">
        <f aca="false">IF($A54&lt;=$G$6,$E$6*$F$6/4,IF(S54&gt;=$B$8+$B$9,U54*$B$4*(1+$B$5)^(($G$6+$B$8+T54*($B$8+$B$10))/4)/4,0))</f>
        <v>113960</v>
      </c>
      <c r="W54" s="14" t="n">
        <f aca="false">IF($A54&lt;=$G$6,$E$6*$F$6,IF(S54&gt;=$B$8,U54*$B$4*(1+$B$5)^(($G$6+$B$8+T54*($B$8+$B$10))/4),0))</f>
        <v>455840</v>
      </c>
      <c r="X54" s="14" t="n">
        <f aca="false">IF($A54&lt;=$G$6,0,IF(S54=0,U54*$B$6*(1+$B$7)^(($G$6+T54*($B$8+$B$10))/4),0)+IF(S54=$B$8,$B$11*$B$4*(1+$B$5)^(($G$6+$B$8+T54*($B$8+$B$10))/4)*U54,0))</f>
        <v>0</v>
      </c>
      <c r="Y54" s="21" t="n">
        <f aca="false">IF($A54&lt;=$G$6,0,IF(S54&lt;$B$8,U54,0))</f>
        <v>0</v>
      </c>
      <c r="Z54" s="21" t="n">
        <f aca="false">$A54-$G$7-1</f>
        <v>18</v>
      </c>
      <c r="AA54" s="21" t="n">
        <f aca="false">IF(Z54&lt;0,-1,MOD(Z54,$B$8+$B$10))</f>
        <v>18</v>
      </c>
      <c r="AB54" s="21" t="n">
        <f aca="false">IF(Z54&lt;0,0,INT(Z54/($B$8+$B$10)))</f>
        <v>0</v>
      </c>
      <c r="AC54" s="21" t="n">
        <f aca="false">IF($A54&lt;=$G$7,$E$7,$E$7*(1-$H$7)^(AB54+1))</f>
        <v>1000</v>
      </c>
      <c r="AD54" s="14" t="n">
        <f aca="false">IF($A54&lt;=$G$7,$E$7*$F$7/4,IF(AA54&gt;=$B$8+$B$9,AC54*$B$4*(1+$B$5)^(($G$7+$B$8+AB54*($B$8+$B$10))/4)/4,0))</f>
        <v>84241.3074404055</v>
      </c>
      <c r="AE54" s="14" t="n">
        <f aca="false">IF($A54&lt;=$G$7,$E$7*$F$7,IF(AA54&gt;=$B$8,AC54*$B$4*(1+$B$5)^(($G$7+$B$8+AB54*($B$8+$B$10))/4),0))</f>
        <v>336965.229761622</v>
      </c>
      <c r="AF54" s="14" t="n">
        <f aca="false">IF($A54&lt;=$G$7,0,IF(AA54=0,AC54*$B$6*(1+$B$7)^(($G$7+AB54*($B$8+$B$10))/4),0)+IF(AA54=$B$8,$B$11*$B$4*(1+$B$5)^(($G$7+$B$8+AB54*($B$8+$B$10))/4)*AC54,0))</f>
        <v>0</v>
      </c>
      <c r="AG54" s="21" t="n">
        <f aca="false">IF($A54&lt;=$G$7,0,IF(AA54&lt;$B$8,AC54,0))</f>
        <v>0</v>
      </c>
      <c r="AH54" s="21" t="n">
        <f aca="false">$A54-$G$8-1</f>
        <v>24</v>
      </c>
      <c r="AI54" s="21" t="n">
        <f aca="false">IF(AH54&lt;0,-1,MOD(AH54,$B$8+$B$10))</f>
        <v>1</v>
      </c>
      <c r="AJ54" s="21" t="n">
        <f aca="false">IF(AH54&lt;0,0,INT(AH54/($B$8+$B$10)))</f>
        <v>1</v>
      </c>
      <c r="AK54" s="21" t="n">
        <f aca="false">IF($A54&lt;=$G$8,$E$8,$E$8*(1-$H$8)^(AJ54+1))</f>
        <v>2160</v>
      </c>
      <c r="AL54" s="14" t="n">
        <f aca="false">IF($A54&lt;=$G$8,$E$8*$F$8/4,IF(AI54&gt;=$B$8+$B$9,AK54*$B$4*(1+$B$5)^(($G$8+$B$8+AJ54*($B$8+$B$10))/4)/4,0))</f>
        <v>0</v>
      </c>
      <c r="AM54" s="14" t="n">
        <f aca="false">IF($A54&lt;=$G$8,$E$8*$F$8,IF(AI54&gt;=$B$8,AK54*$B$4*(1+$B$5)^(($G$8+$B$8+AJ54*($B$8+$B$10))/4),0))</f>
        <v>0</v>
      </c>
      <c r="AN54" s="14" t="n">
        <f aca="false">IF($A54&lt;=$G$8,0,IF(AI54=0,AK54*$B$6*(1+$B$7)^(($G$8+AJ54*($B$8+$B$10))/4),0)+IF(AI54=$B$8,$B$11*$B$4*(1+$B$5)^(($G$8+$B$8+AJ54*($B$8+$B$10))/4)*AK54,0))</f>
        <v>0</v>
      </c>
      <c r="AO54" s="21" t="n">
        <f aca="false">IF($A54&lt;=$G$8,0,IF(AI54&lt;$B$8,AK54,0))</f>
        <v>2160</v>
      </c>
      <c r="AP54" s="14" t="n">
        <f aca="false">F54+N54+V54+AD54+AL54</f>
        <v>867904.588403805</v>
      </c>
      <c r="AQ54" s="14" t="n">
        <f aca="false">G54+O54+W54+AE54+AM54</f>
        <v>3471618.35361522</v>
      </c>
      <c r="AR54" s="14" t="n">
        <f aca="false">H54+P54+X54+AF54+AN54+IF($A54=$B$15,$B$14,0)</f>
        <v>0</v>
      </c>
      <c r="AS54" s="21" t="n">
        <f aca="false">I54+Q54+Y54+AG54+AO54</f>
        <v>2160</v>
      </c>
      <c r="AT54" s="14" t="n">
        <f aca="false">AP54*(1-$B$12)-AS54*$B$13/4</f>
        <v>786130.313099576</v>
      </c>
      <c r="AU54" s="14" t="n">
        <f aca="false">0</f>
        <v>0</v>
      </c>
      <c r="AV54" s="14" t="n">
        <f aca="false">AT54-AR54-AU54</f>
        <v>786130.313099576</v>
      </c>
      <c r="AW54" s="21" t="n">
        <f aca="false">(1+$B$16)^(-$A54/4)</f>
        <v>0.627179720582548</v>
      </c>
      <c r="AX54" s="14" t="n">
        <f aca="false">AV54*AW54</f>
        <v>493044.990111263</v>
      </c>
      <c r="AY54" s="14" t="n">
        <f aca="false">AV54</f>
        <v>786130.313099576</v>
      </c>
    </row>
    <row r="55" customFormat="false" ht="15" hidden="false" customHeight="false" outlineLevel="0" collapsed="false">
      <c r="A55" s="0" t="n">
        <v>26</v>
      </c>
      <c r="B55" s="0" t="n">
        <f aca="false">$A55-$G$4-1</f>
        <v>15</v>
      </c>
      <c r="C55" s="0" t="n">
        <f aca="false">IF(B55&lt;0,-1,MOD(B55,$B$8+$B$10))</f>
        <v>15</v>
      </c>
      <c r="D55" s="0" t="n">
        <f aca="false">IF(B55&lt;0,0,INT(B55/($B$8+$B$10)))</f>
        <v>0</v>
      </c>
      <c r="E55" s="0" t="n">
        <f aca="false">IF($A55&lt;=$G$4,$E$4,$E$4*(1-$H$4)^(D55+1))</f>
        <v>4200</v>
      </c>
      <c r="F55" s="14" t="n">
        <f aca="false">IF($A55&lt;=$G$4,$E$4*$F$4/4,IF(C55&gt;=$B$8+$B$9,E55*$B$4*(1+$B$5)^(($G$4+$B$8+D55*($B$8+$B$10))/4)/4,0))</f>
        <v>372565.606285937</v>
      </c>
      <c r="G55" s="14" t="n">
        <f aca="false">IF($A55&lt;=$G$4,$E$4*$F$4,IF(C55&gt;=$B$8,E55*$B$4*(1+$B$5)^(($G$4+$B$8+D55*($B$8+$B$10))/4),0))</f>
        <v>1490262.42514375</v>
      </c>
      <c r="H55" s="14" t="n">
        <f aca="false">IF($A55&lt;=$G$4,0,IF(C55=0,E55*$B$6*(1+$B$7)^(($G$4+D55*($B$8+$B$10))/4),0)+IF(C55=$B$8,$B$11*$B$4*(1+$B$5)^(($G$4+$B$8+D55*($B$8+$B$10))/4)*E55,0))</f>
        <v>0</v>
      </c>
      <c r="I55" s="21" t="n">
        <f aca="false">IF($A55&lt;=$G$4,0,IF(C55&lt;$B$8,E55,0))</f>
        <v>0</v>
      </c>
      <c r="J55" s="21" t="n">
        <f aca="false">$A55-$G$5-1</f>
        <v>9</v>
      </c>
      <c r="K55" s="21" t="n">
        <f aca="false">IF(J55&lt;0,-1,MOD(J55,$B$8+$B$10))</f>
        <v>9</v>
      </c>
      <c r="L55" s="21" t="n">
        <f aca="false">IF(J55&lt;0,0,INT(J55/($B$8+$B$10)))</f>
        <v>0</v>
      </c>
      <c r="M55" s="21" t="n">
        <f aca="false">IF($A55&lt;=$G$5,$E$5,$E$5*(1-$H$5)^(L55+1))</f>
        <v>3100</v>
      </c>
      <c r="N55" s="14" t="n">
        <f aca="false">IF($A55&lt;=$G$5,$E$5*$F$5/4,IF(K55&gt;=$B$8+$B$9,M55*$B$4*(1+$B$5)^(($G$5+$B$8+L55*($B$8+$B$10))/4)/4,0))</f>
        <v>297137.674677462</v>
      </c>
      <c r="O55" s="14" t="n">
        <f aca="false">IF($A55&lt;=$G$5,$E$5*$F$5,IF(K55&gt;=$B$8,M55*$B$4*(1+$B$5)^(($G$5+$B$8+L55*($B$8+$B$10))/4),0))</f>
        <v>1188550.69870985</v>
      </c>
      <c r="P55" s="14" t="n">
        <f aca="false">IF($A55&lt;=$G$5,0,IF(K55=0,M55*$B$6*(1+$B$7)^(($G$5+L55*($B$8+$B$10))/4),0)+IF(K55=$B$8,$B$11*$B$4*(1+$B$5)^(($G$5+$B$8+L55*($B$8+$B$10))/4)*M55,0))</f>
        <v>0</v>
      </c>
      <c r="Q55" s="21" t="n">
        <f aca="false">IF($A55&lt;=$G$5,0,IF(K55&lt;$B$8,M55,0))</f>
        <v>0</v>
      </c>
      <c r="R55" s="21" t="n">
        <f aca="false">$A55-$G$6-1</f>
        <v>-1</v>
      </c>
      <c r="S55" s="21" t="n">
        <f aca="false">IF(R55&lt;0,-1,MOD(R55,$B$8+$B$10))</f>
        <v>-1</v>
      </c>
      <c r="T55" s="21" t="n">
        <f aca="false">IF(R55&lt;0,0,INT(R55/($B$8+$B$10)))</f>
        <v>0</v>
      </c>
      <c r="U55" s="14" t="n">
        <f aca="false">IF($A55&lt;=$G$6,$E$6,$E$6*(1-$H$6)^(T55+1))</f>
        <v>1540</v>
      </c>
      <c r="V55" s="14" t="n">
        <f aca="false">IF($A55&lt;=$G$6,$E$6*$F$6/4,IF(S55&gt;=$B$8+$B$9,U55*$B$4*(1+$B$5)^(($G$6+$B$8+T55*($B$8+$B$10))/4)/4,0))</f>
        <v>113960</v>
      </c>
      <c r="W55" s="14" t="n">
        <f aca="false">IF($A55&lt;=$G$6,$E$6*$F$6,IF(S55&gt;=$B$8,U55*$B$4*(1+$B$5)^(($G$6+$B$8+T55*($B$8+$B$10))/4),0))</f>
        <v>455840</v>
      </c>
      <c r="X55" s="14" t="n">
        <f aca="false">IF($A55&lt;=$G$6,0,IF(S55=0,U55*$B$6*(1+$B$7)^(($G$6+T55*($B$8+$B$10))/4),0)+IF(S55=$B$8,$B$11*$B$4*(1+$B$5)^(($G$6+$B$8+T55*($B$8+$B$10))/4)*U55,0))</f>
        <v>0</v>
      </c>
      <c r="Y55" s="21" t="n">
        <f aca="false">IF($A55&lt;=$G$6,0,IF(S55&lt;$B$8,U55,0))</f>
        <v>0</v>
      </c>
      <c r="Z55" s="21" t="n">
        <f aca="false">$A55-$G$7-1</f>
        <v>19</v>
      </c>
      <c r="AA55" s="21" t="n">
        <f aca="false">IF(Z55&lt;0,-1,MOD(Z55,$B$8+$B$10))</f>
        <v>19</v>
      </c>
      <c r="AB55" s="21" t="n">
        <f aca="false">IF(Z55&lt;0,0,INT(Z55/($B$8+$B$10)))</f>
        <v>0</v>
      </c>
      <c r="AC55" s="21" t="n">
        <f aca="false">IF($A55&lt;=$G$7,$E$7,$E$7*(1-$H$7)^(AB55+1))</f>
        <v>1000</v>
      </c>
      <c r="AD55" s="14" t="n">
        <f aca="false">IF($A55&lt;=$G$7,$E$7*$F$7/4,IF(AA55&gt;=$B$8+$B$9,AC55*$B$4*(1+$B$5)^(($G$7+$B$8+AB55*($B$8+$B$10))/4)/4,0))</f>
        <v>84241.3074404055</v>
      </c>
      <c r="AE55" s="14" t="n">
        <f aca="false">IF($A55&lt;=$G$7,$E$7*$F$7,IF(AA55&gt;=$B$8,AC55*$B$4*(1+$B$5)^(($G$7+$B$8+AB55*($B$8+$B$10))/4),0))</f>
        <v>336965.229761622</v>
      </c>
      <c r="AF55" s="14" t="n">
        <f aca="false">IF($A55&lt;=$G$7,0,IF(AA55=0,AC55*$B$6*(1+$B$7)^(($G$7+AB55*($B$8+$B$10))/4),0)+IF(AA55=$B$8,$B$11*$B$4*(1+$B$5)^(($G$7+$B$8+AB55*($B$8+$B$10))/4)*AC55,0))</f>
        <v>0</v>
      </c>
      <c r="AG55" s="21" t="n">
        <f aca="false">IF($A55&lt;=$G$7,0,IF(AA55&lt;$B$8,AC55,0))</f>
        <v>0</v>
      </c>
      <c r="AH55" s="21" t="n">
        <f aca="false">$A55-$G$8-1</f>
        <v>25</v>
      </c>
      <c r="AI55" s="21" t="n">
        <f aca="false">IF(AH55&lt;0,-1,MOD(AH55,$B$8+$B$10))</f>
        <v>2</v>
      </c>
      <c r="AJ55" s="21" t="n">
        <f aca="false">IF(AH55&lt;0,0,INT(AH55/($B$8+$B$10)))</f>
        <v>1</v>
      </c>
      <c r="AK55" s="21" t="n">
        <f aca="false">IF($A55&lt;=$G$8,$E$8,$E$8*(1-$H$8)^(AJ55+1))</f>
        <v>2160</v>
      </c>
      <c r="AL55" s="14" t="n">
        <f aca="false">IF($A55&lt;=$G$8,$E$8*$F$8/4,IF(AI55&gt;=$B$8+$B$9,AK55*$B$4*(1+$B$5)^(($G$8+$B$8+AJ55*($B$8+$B$10))/4)/4,0))</f>
        <v>0</v>
      </c>
      <c r="AM55" s="14" t="n">
        <f aca="false">IF($A55&lt;=$G$8,$E$8*$F$8,IF(AI55&gt;=$B$8,AK55*$B$4*(1+$B$5)^(($G$8+$B$8+AJ55*($B$8+$B$10))/4),0))</f>
        <v>0</v>
      </c>
      <c r="AN55" s="14" t="n">
        <f aca="false">IF($A55&lt;=$G$8,0,IF(AI55=0,AK55*$B$6*(1+$B$7)^(($G$8+AJ55*($B$8+$B$10))/4),0)+IF(AI55=$B$8,$B$11*$B$4*(1+$B$5)^(($G$8+$B$8+AJ55*($B$8+$B$10))/4)*AK55,0))</f>
        <v>0</v>
      </c>
      <c r="AO55" s="21" t="n">
        <f aca="false">IF($A55&lt;=$G$8,0,IF(AI55&lt;$B$8,AK55,0))</f>
        <v>2160</v>
      </c>
      <c r="AP55" s="14" t="n">
        <f aca="false">F55+N55+V55+AD55+AL55</f>
        <v>867904.588403805</v>
      </c>
      <c r="AQ55" s="14" t="n">
        <f aca="false">G55+O55+W55+AE55+AM55</f>
        <v>3471618.35361522</v>
      </c>
      <c r="AR55" s="14" t="n">
        <f aca="false">H55+P55+X55+AF55+AN55+IF($A55=$B$15,$B$14,0)</f>
        <v>0</v>
      </c>
      <c r="AS55" s="21" t="n">
        <f aca="false">I55+Q55+Y55+AG55+AO55</f>
        <v>2160</v>
      </c>
      <c r="AT55" s="14" t="n">
        <f aca="false">AP55*(1-$B$12)-AS55*$B$13/4</f>
        <v>786130.313099576</v>
      </c>
      <c r="AU55" s="14" t="n">
        <f aca="false">0</f>
        <v>0</v>
      </c>
      <c r="AV55" s="14" t="n">
        <f aca="false">AT55-AR55-AU55</f>
        <v>786130.313099576</v>
      </c>
      <c r="AW55" s="21" t="n">
        <f aca="false">(1+$B$16)^(-$A55/4)</f>
        <v>0.615584516343389</v>
      </c>
      <c r="AX55" s="14" t="n">
        <f aca="false">AV55*AW55</f>
        <v>483929.64857228</v>
      </c>
      <c r="AY55" s="14" t="n">
        <f aca="false">AV55</f>
        <v>786130.313099576</v>
      </c>
    </row>
    <row r="56" customFormat="false" ht="15" hidden="false" customHeight="false" outlineLevel="0" collapsed="false">
      <c r="A56" s="0" t="n">
        <v>27</v>
      </c>
      <c r="B56" s="0" t="n">
        <f aca="false">$A56-$G$4-1</f>
        <v>16</v>
      </c>
      <c r="C56" s="0" t="n">
        <f aca="false">IF(B56&lt;0,-1,MOD(B56,$B$8+$B$10))</f>
        <v>16</v>
      </c>
      <c r="D56" s="0" t="n">
        <f aca="false">IF(B56&lt;0,0,INT(B56/($B$8+$B$10)))</f>
        <v>0</v>
      </c>
      <c r="E56" s="0" t="n">
        <f aca="false">IF($A56&lt;=$G$4,$E$4,$E$4*(1-$H$4)^(D56+1))</f>
        <v>4200</v>
      </c>
      <c r="F56" s="14" t="n">
        <f aca="false">IF($A56&lt;=$G$4,$E$4*$F$4/4,IF(C56&gt;=$B$8+$B$9,E56*$B$4*(1+$B$5)^(($G$4+$B$8+D56*($B$8+$B$10))/4)/4,0))</f>
        <v>372565.606285937</v>
      </c>
      <c r="G56" s="14" t="n">
        <f aca="false">IF($A56&lt;=$G$4,$E$4*$F$4,IF(C56&gt;=$B$8,E56*$B$4*(1+$B$5)^(($G$4+$B$8+D56*($B$8+$B$10))/4),0))</f>
        <v>1490262.42514375</v>
      </c>
      <c r="H56" s="14" t="n">
        <f aca="false">IF($A56&lt;=$G$4,0,IF(C56=0,E56*$B$6*(1+$B$7)^(($G$4+D56*($B$8+$B$10))/4),0)+IF(C56=$B$8,$B$11*$B$4*(1+$B$5)^(($G$4+$B$8+D56*($B$8+$B$10))/4)*E56,0))</f>
        <v>0</v>
      </c>
      <c r="I56" s="21" t="n">
        <f aca="false">IF($A56&lt;=$G$4,0,IF(C56&lt;$B$8,E56,0))</f>
        <v>0</v>
      </c>
      <c r="J56" s="21" t="n">
        <f aca="false">$A56-$G$5-1</f>
        <v>10</v>
      </c>
      <c r="K56" s="21" t="n">
        <f aca="false">IF(J56&lt;0,-1,MOD(J56,$B$8+$B$10))</f>
        <v>10</v>
      </c>
      <c r="L56" s="21" t="n">
        <f aca="false">IF(J56&lt;0,0,INT(J56/($B$8+$B$10)))</f>
        <v>0</v>
      </c>
      <c r="M56" s="21" t="n">
        <f aca="false">IF($A56&lt;=$G$5,$E$5,$E$5*(1-$H$5)^(L56+1))</f>
        <v>3100</v>
      </c>
      <c r="N56" s="14" t="n">
        <f aca="false">IF($A56&lt;=$G$5,$E$5*$F$5/4,IF(K56&gt;=$B$8+$B$9,M56*$B$4*(1+$B$5)^(($G$5+$B$8+L56*($B$8+$B$10))/4)/4,0))</f>
        <v>297137.674677462</v>
      </c>
      <c r="O56" s="14" t="n">
        <f aca="false">IF($A56&lt;=$G$5,$E$5*$F$5,IF(K56&gt;=$B$8,M56*$B$4*(1+$B$5)^(($G$5+$B$8+L56*($B$8+$B$10))/4),0))</f>
        <v>1188550.69870985</v>
      </c>
      <c r="P56" s="14" t="n">
        <f aca="false">IF($A56&lt;=$G$5,0,IF(K56=0,M56*$B$6*(1+$B$7)^(($G$5+L56*($B$8+$B$10))/4),0)+IF(K56=$B$8,$B$11*$B$4*(1+$B$5)^(($G$5+$B$8+L56*($B$8+$B$10))/4)*M56,0))</f>
        <v>0</v>
      </c>
      <c r="Q56" s="21" t="n">
        <f aca="false">IF($A56&lt;=$G$5,0,IF(K56&lt;$B$8,M56,0))</f>
        <v>0</v>
      </c>
      <c r="R56" s="21" t="n">
        <f aca="false">$A56-$G$6-1</f>
        <v>0</v>
      </c>
      <c r="S56" s="21" t="n">
        <f aca="false">IF(R56&lt;0,-1,MOD(R56,$B$8+$B$10))</f>
        <v>0</v>
      </c>
      <c r="T56" s="21" t="n">
        <f aca="false">IF(R56&lt;0,0,INT(R56/($B$8+$B$10)))</f>
        <v>0</v>
      </c>
      <c r="U56" s="21" t="n">
        <f aca="false">IF($A56&lt;=$G$6,$E$6,$E$6*(1-$H$6)^(T56+1))</f>
        <v>1540</v>
      </c>
      <c r="V56" s="14" t="n">
        <f aca="false">IF($A56&lt;=$G$6,$E$6*$F$6/4,IF(S56&gt;=$B$8+$B$9,U56*$B$4*(1+$B$5)^(($G$6+$B$8+T56*($B$8+$B$10))/4)/4,0))</f>
        <v>0</v>
      </c>
      <c r="W56" s="14" t="n">
        <f aca="false">IF($A56&lt;=$G$6,$E$6*$F$6,IF(S56&gt;=$B$8,U56*$B$4*(1+$B$5)^(($G$6+$B$8+T56*($B$8+$B$10))/4),0))</f>
        <v>0</v>
      </c>
      <c r="X56" s="14" t="n">
        <f aca="false">IF($A56&lt;=$G$6,0,IF(S56=0,U56*$B$6*(1+$B$7)^(($G$6+T56*($B$8+$B$10))/4),0)+IF(S56=$B$8,$B$11*$B$4*(1+$B$5)^(($G$6+$B$8+T56*($B$8+$B$10))/4)*U56,0))</f>
        <v>759407.944688937</v>
      </c>
      <c r="Y56" s="21" t="n">
        <f aca="false">IF($A56&lt;=$G$6,0,IF(S56&lt;$B$8,U56,0))</f>
        <v>1540</v>
      </c>
      <c r="Z56" s="21" t="n">
        <f aca="false">$A56-$G$7-1</f>
        <v>20</v>
      </c>
      <c r="AA56" s="21" t="n">
        <f aca="false">IF(Z56&lt;0,-1,MOD(Z56,$B$8+$B$10))</f>
        <v>20</v>
      </c>
      <c r="AB56" s="21" t="n">
        <f aca="false">IF(Z56&lt;0,0,INT(Z56/($B$8+$B$10)))</f>
        <v>0</v>
      </c>
      <c r="AC56" s="21" t="n">
        <f aca="false">IF($A56&lt;=$G$7,$E$7,$E$7*(1-$H$7)^(AB56+1))</f>
        <v>1000</v>
      </c>
      <c r="AD56" s="14" t="n">
        <f aca="false">IF($A56&lt;=$G$7,$E$7*$F$7/4,IF(AA56&gt;=$B$8+$B$9,AC56*$B$4*(1+$B$5)^(($G$7+$B$8+AB56*($B$8+$B$10))/4)/4,0))</f>
        <v>84241.3074404055</v>
      </c>
      <c r="AE56" s="14" t="n">
        <f aca="false">IF($A56&lt;=$G$7,$E$7*$F$7,IF(AA56&gt;=$B$8,AC56*$B$4*(1+$B$5)^(($G$7+$B$8+AB56*($B$8+$B$10))/4),0))</f>
        <v>336965.229761622</v>
      </c>
      <c r="AF56" s="14" t="n">
        <f aca="false">IF($A56&lt;=$G$7,0,IF(AA56=0,AC56*$B$6*(1+$B$7)^(($G$7+AB56*($B$8+$B$10))/4),0)+IF(AA56=$B$8,$B$11*$B$4*(1+$B$5)^(($G$7+$B$8+AB56*($B$8+$B$10))/4)*AC56,0))</f>
        <v>0</v>
      </c>
      <c r="AG56" s="21" t="n">
        <f aca="false">IF($A56&lt;=$G$7,0,IF(AA56&lt;$B$8,AC56,0))</f>
        <v>0</v>
      </c>
      <c r="AH56" s="21" t="n">
        <f aca="false">$A56-$G$8-1</f>
        <v>26</v>
      </c>
      <c r="AI56" s="21" t="n">
        <f aca="false">IF(AH56&lt;0,-1,MOD(AH56,$B$8+$B$10))</f>
        <v>3</v>
      </c>
      <c r="AJ56" s="21" t="n">
        <f aca="false">IF(AH56&lt;0,0,INT(AH56/($B$8+$B$10)))</f>
        <v>1</v>
      </c>
      <c r="AK56" s="21" t="n">
        <f aca="false">IF($A56&lt;=$G$8,$E$8,$E$8*(1-$H$8)^(AJ56+1))</f>
        <v>2160</v>
      </c>
      <c r="AL56" s="14" t="n">
        <f aca="false">IF($A56&lt;=$G$8,$E$8*$F$8/4,IF(AI56&gt;=$B$8+$B$9,AK56*$B$4*(1+$B$5)^(($G$8+$B$8+AJ56*($B$8+$B$10))/4)/4,0))</f>
        <v>0</v>
      </c>
      <c r="AM56" s="14" t="n">
        <f aca="false">IF($A56&lt;=$G$8,$E$8*$F$8,IF(AI56&gt;=$B$8,AK56*$B$4*(1+$B$5)^(($G$8+$B$8+AJ56*($B$8+$B$10))/4),0))</f>
        <v>906482.488079726</v>
      </c>
      <c r="AN56" s="14" t="n">
        <f aca="false">IF($A56&lt;=$G$8,0,IF(AI56=0,AK56*$B$6*(1+$B$7)^(($G$8+AJ56*($B$8+$B$10))/4),0)+IF(AI56=$B$8,$B$11*$B$4*(1+$B$5)^(($G$8+$B$8+AJ56*($B$8+$B$10))/4)*AK56,0))</f>
        <v>108777.898569567</v>
      </c>
      <c r="AO56" s="21" t="n">
        <f aca="false">IF($A56&lt;=$G$8,0,IF(AI56&lt;$B$8,AK56,0))</f>
        <v>0</v>
      </c>
      <c r="AP56" s="14" t="n">
        <f aca="false">F56+N56+V56+AD56+AL56</f>
        <v>753944.588403805</v>
      </c>
      <c r="AQ56" s="14" t="n">
        <f aca="false">G56+O56+W56+AE56+AM56</f>
        <v>3922260.84169494</v>
      </c>
      <c r="AR56" s="14" t="n">
        <f aca="false">H56+P56+X56+AF56+AN56+IF($A56=$B$15,$B$14,0)</f>
        <v>868185.843258504</v>
      </c>
      <c r="AS56" s="21" t="n">
        <f aca="false">I56+Q56+Y56+AG56+AO56</f>
        <v>1540</v>
      </c>
      <c r="AT56" s="14" t="n">
        <f aca="false">AP56*(1-$B$12)-AS56*$B$13/4</f>
        <v>687532.913099576</v>
      </c>
      <c r="AU56" s="14" t="n">
        <f aca="false">0</f>
        <v>0</v>
      </c>
      <c r="AV56" s="14" t="n">
        <f aca="false">AT56-AR56-AU56</f>
        <v>-180652.930158927</v>
      </c>
      <c r="AW56" s="21" t="n">
        <f aca="false">(1+$B$16)^(-$A56/4)</f>
        <v>0.604203682494304</v>
      </c>
      <c r="AX56" s="14" t="n">
        <f aca="false">AV56*AW56</f>
        <v>-109151.16565541</v>
      </c>
      <c r="AY56" s="14" t="n">
        <f aca="false">AV56</f>
        <v>-180652.930158927</v>
      </c>
    </row>
    <row r="57" customFormat="false" ht="15" hidden="false" customHeight="false" outlineLevel="0" collapsed="false">
      <c r="A57" s="0" t="n">
        <v>28</v>
      </c>
      <c r="B57" s="0" t="n">
        <f aca="false">$A57-$G$4-1</f>
        <v>17</v>
      </c>
      <c r="C57" s="0" t="n">
        <f aca="false">IF(B57&lt;0,-1,MOD(B57,$B$8+$B$10))</f>
        <v>17</v>
      </c>
      <c r="D57" s="0" t="n">
        <f aca="false">IF(B57&lt;0,0,INT(B57/($B$8+$B$10)))</f>
        <v>0</v>
      </c>
      <c r="E57" s="0" t="n">
        <f aca="false">IF($A57&lt;=$G$4,$E$4,$E$4*(1-$H$4)^(D57+1))</f>
        <v>4200</v>
      </c>
      <c r="F57" s="14" t="n">
        <f aca="false">IF($A57&lt;=$G$4,$E$4*$F$4/4,IF(C57&gt;=$B$8+$B$9,E57*$B$4*(1+$B$5)^(($G$4+$B$8+D57*($B$8+$B$10))/4)/4,0))</f>
        <v>372565.606285937</v>
      </c>
      <c r="G57" s="14" t="n">
        <f aca="false">IF($A57&lt;=$G$4,$E$4*$F$4,IF(C57&gt;=$B$8,E57*$B$4*(1+$B$5)^(($G$4+$B$8+D57*($B$8+$B$10))/4),0))</f>
        <v>1490262.42514375</v>
      </c>
      <c r="H57" s="14" t="n">
        <f aca="false">IF($A57&lt;=$G$4,0,IF(C57=0,E57*$B$6*(1+$B$7)^(($G$4+D57*($B$8+$B$10))/4),0)+IF(C57=$B$8,$B$11*$B$4*(1+$B$5)^(($G$4+$B$8+D57*($B$8+$B$10))/4)*E57,0))</f>
        <v>0</v>
      </c>
      <c r="I57" s="21" t="n">
        <f aca="false">IF($A57&lt;=$G$4,0,IF(C57&lt;$B$8,E57,0))</f>
        <v>0</v>
      </c>
      <c r="J57" s="21" t="n">
        <f aca="false">$A57-$G$5-1</f>
        <v>11</v>
      </c>
      <c r="K57" s="21" t="n">
        <f aca="false">IF(J57&lt;0,-1,MOD(J57,$B$8+$B$10))</f>
        <v>11</v>
      </c>
      <c r="L57" s="21" t="n">
        <f aca="false">IF(J57&lt;0,0,INT(J57/($B$8+$B$10)))</f>
        <v>0</v>
      </c>
      <c r="M57" s="21" t="n">
        <f aca="false">IF($A57&lt;=$G$5,$E$5,$E$5*(1-$H$5)^(L57+1))</f>
        <v>3100</v>
      </c>
      <c r="N57" s="14" t="n">
        <f aca="false">IF($A57&lt;=$G$5,$E$5*$F$5/4,IF(K57&gt;=$B$8+$B$9,M57*$B$4*(1+$B$5)^(($G$5+$B$8+L57*($B$8+$B$10))/4)/4,0))</f>
        <v>297137.674677462</v>
      </c>
      <c r="O57" s="14" t="n">
        <f aca="false">IF($A57&lt;=$G$5,$E$5*$F$5,IF(K57&gt;=$B$8,M57*$B$4*(1+$B$5)^(($G$5+$B$8+L57*($B$8+$B$10))/4),0))</f>
        <v>1188550.69870985</v>
      </c>
      <c r="P57" s="14" t="n">
        <f aca="false">IF($A57&lt;=$G$5,0,IF(K57=0,M57*$B$6*(1+$B$7)^(($G$5+L57*($B$8+$B$10))/4),0)+IF(K57=$B$8,$B$11*$B$4*(1+$B$5)^(($G$5+$B$8+L57*($B$8+$B$10))/4)*M57,0))</f>
        <v>0</v>
      </c>
      <c r="Q57" s="21" t="n">
        <f aca="false">IF($A57&lt;=$G$5,0,IF(K57&lt;$B$8,M57,0))</f>
        <v>0</v>
      </c>
      <c r="R57" s="21" t="n">
        <f aca="false">$A57-$G$6-1</f>
        <v>1</v>
      </c>
      <c r="S57" s="21" t="n">
        <f aca="false">IF(R57&lt;0,-1,MOD(R57,$B$8+$B$10))</f>
        <v>1</v>
      </c>
      <c r="T57" s="21" t="n">
        <f aca="false">IF(R57&lt;0,0,INT(R57/($B$8+$B$10)))</f>
        <v>0</v>
      </c>
      <c r="U57" s="21" t="n">
        <f aca="false">IF($A57&lt;=$G$6,$E$6,$E$6*(1-$H$6)^(T57+1))</f>
        <v>1540</v>
      </c>
      <c r="V57" s="14" t="n">
        <f aca="false">IF($A57&lt;=$G$6,$E$6*$F$6/4,IF(S57&gt;=$B$8+$B$9,U57*$B$4*(1+$B$5)^(($G$6+$B$8+T57*($B$8+$B$10))/4)/4,0))</f>
        <v>0</v>
      </c>
      <c r="W57" s="14" t="n">
        <f aca="false">IF($A57&lt;=$G$6,$E$6*$F$6,IF(S57&gt;=$B$8,U57*$B$4*(1+$B$5)^(($G$6+$B$8+T57*($B$8+$B$10))/4),0))</f>
        <v>0</v>
      </c>
      <c r="X57" s="14" t="n">
        <f aca="false">IF($A57&lt;=$G$6,0,IF(S57=0,U57*$B$6*(1+$B$7)^(($G$6+T57*($B$8+$B$10))/4),0)+IF(S57=$B$8,$B$11*$B$4*(1+$B$5)^(($G$6+$B$8+T57*($B$8+$B$10))/4)*U57,0))</f>
        <v>0</v>
      </c>
      <c r="Y57" s="21" t="n">
        <f aca="false">IF($A57&lt;=$G$6,0,IF(S57&lt;$B$8,U57,0))</f>
        <v>1540</v>
      </c>
      <c r="Z57" s="21" t="n">
        <f aca="false">$A57-$G$7-1</f>
        <v>21</v>
      </c>
      <c r="AA57" s="21" t="n">
        <f aca="false">IF(Z57&lt;0,-1,MOD(Z57,$B$8+$B$10))</f>
        <v>21</v>
      </c>
      <c r="AB57" s="21" t="n">
        <f aca="false">IF(Z57&lt;0,0,INT(Z57/($B$8+$B$10)))</f>
        <v>0</v>
      </c>
      <c r="AC57" s="21" t="n">
        <f aca="false">IF($A57&lt;=$G$7,$E$7,$E$7*(1-$H$7)^(AB57+1))</f>
        <v>1000</v>
      </c>
      <c r="AD57" s="14" t="n">
        <f aca="false">IF($A57&lt;=$G$7,$E$7*$F$7/4,IF(AA57&gt;=$B$8+$B$9,AC57*$B$4*(1+$B$5)^(($G$7+$B$8+AB57*($B$8+$B$10))/4)/4,0))</f>
        <v>84241.3074404055</v>
      </c>
      <c r="AE57" s="14" t="n">
        <f aca="false">IF($A57&lt;=$G$7,$E$7*$F$7,IF(AA57&gt;=$B$8,AC57*$B$4*(1+$B$5)^(($G$7+$B$8+AB57*($B$8+$B$10))/4),0))</f>
        <v>336965.229761622</v>
      </c>
      <c r="AF57" s="14" t="n">
        <f aca="false">IF($A57&lt;=$G$7,0,IF(AA57=0,AC57*$B$6*(1+$B$7)^(($G$7+AB57*($B$8+$B$10))/4),0)+IF(AA57=$B$8,$B$11*$B$4*(1+$B$5)^(($G$7+$B$8+AB57*($B$8+$B$10))/4)*AC57,0))</f>
        <v>0</v>
      </c>
      <c r="AG57" s="21" t="n">
        <f aca="false">IF($A57&lt;=$G$7,0,IF(AA57&lt;$B$8,AC57,0))</f>
        <v>0</v>
      </c>
      <c r="AH57" s="21" t="n">
        <f aca="false">$A57-$G$8-1</f>
        <v>27</v>
      </c>
      <c r="AI57" s="21" t="n">
        <f aca="false">IF(AH57&lt;0,-1,MOD(AH57,$B$8+$B$10))</f>
        <v>4</v>
      </c>
      <c r="AJ57" s="21" t="n">
        <f aca="false">IF(AH57&lt;0,0,INT(AH57/($B$8+$B$10)))</f>
        <v>1</v>
      </c>
      <c r="AK57" s="21" t="n">
        <f aca="false">IF($A57&lt;=$G$8,$E$8,$E$8*(1-$H$8)^(AJ57+1))</f>
        <v>2160</v>
      </c>
      <c r="AL57" s="14" t="n">
        <f aca="false">IF($A57&lt;=$G$8,$E$8*$F$8/4,IF(AI57&gt;=$B$8+$B$9,AK57*$B$4*(1+$B$5)^(($G$8+$B$8+AJ57*($B$8+$B$10))/4)/4,0))</f>
        <v>0</v>
      </c>
      <c r="AM57" s="14" t="n">
        <f aca="false">IF($A57&lt;=$G$8,$E$8*$F$8,IF(AI57&gt;=$B$8,AK57*$B$4*(1+$B$5)^(($G$8+$B$8+AJ57*($B$8+$B$10))/4),0))</f>
        <v>906482.488079726</v>
      </c>
      <c r="AN57" s="14" t="n">
        <f aca="false">IF($A57&lt;=$G$8,0,IF(AI57=0,AK57*$B$6*(1+$B$7)^(($G$8+AJ57*($B$8+$B$10))/4),0)+IF(AI57=$B$8,$B$11*$B$4*(1+$B$5)^(($G$8+$B$8+AJ57*($B$8+$B$10))/4)*AK57,0))</f>
        <v>0</v>
      </c>
      <c r="AO57" s="21" t="n">
        <f aca="false">IF($A57&lt;=$G$8,0,IF(AI57&lt;$B$8,AK57,0))</f>
        <v>0</v>
      </c>
      <c r="AP57" s="14" t="n">
        <f aca="false">F57+N57+V57+AD57+AL57</f>
        <v>753944.588403805</v>
      </c>
      <c r="AQ57" s="14" t="n">
        <f aca="false">G57+O57+W57+AE57+AM57</f>
        <v>3922260.84169494</v>
      </c>
      <c r="AR57" s="14" t="n">
        <f aca="false">H57+P57+X57+AF57+AN57+IF($A57=$B$15,$B$14,0)</f>
        <v>0</v>
      </c>
      <c r="AS57" s="21" t="n">
        <f aca="false">I57+Q57+Y57+AG57+AO57</f>
        <v>1540</v>
      </c>
      <c r="AT57" s="14" t="n">
        <f aca="false">AP57*(1-$B$12)-AS57*$B$13/4</f>
        <v>687532.913099576</v>
      </c>
      <c r="AU57" s="14" t="n">
        <f aca="false">0</f>
        <v>0</v>
      </c>
      <c r="AV57" s="14" t="n">
        <f aca="false">AT57-AR57-AU57</f>
        <v>687532.913099576</v>
      </c>
      <c r="AW57" s="21" t="n">
        <f aca="false">(1+$B$16)^(-$A57/4)</f>
        <v>0.5930332557878</v>
      </c>
      <c r="AX57" s="14" t="n">
        <f aca="false">AV57*AW57</f>
        <v>407729.881916712</v>
      </c>
      <c r="AY57" s="14" t="n">
        <f aca="false">AV57</f>
        <v>687532.913099576</v>
      </c>
    </row>
    <row r="58" customFormat="false" ht="15" hidden="false" customHeight="false" outlineLevel="0" collapsed="false">
      <c r="A58" s="0" t="n">
        <v>29</v>
      </c>
      <c r="B58" s="0" t="n">
        <f aca="false">$A58-$G$4-1</f>
        <v>18</v>
      </c>
      <c r="C58" s="0" t="n">
        <f aca="false">IF(B58&lt;0,-1,MOD(B58,$B$8+$B$10))</f>
        <v>18</v>
      </c>
      <c r="D58" s="0" t="n">
        <f aca="false">IF(B58&lt;0,0,INT(B58/($B$8+$B$10)))</f>
        <v>0</v>
      </c>
      <c r="E58" s="0" t="n">
        <f aca="false">IF($A58&lt;=$G$4,$E$4,$E$4*(1-$H$4)^(D58+1))</f>
        <v>4200</v>
      </c>
      <c r="F58" s="14" t="n">
        <f aca="false">IF($A58&lt;=$G$4,$E$4*$F$4/4,IF(C58&gt;=$B$8+$B$9,E58*$B$4*(1+$B$5)^(($G$4+$B$8+D58*($B$8+$B$10))/4)/4,0))</f>
        <v>372565.606285937</v>
      </c>
      <c r="G58" s="14" t="n">
        <f aca="false">IF($A58&lt;=$G$4,$E$4*$F$4,IF(C58&gt;=$B$8,E58*$B$4*(1+$B$5)^(($G$4+$B$8+D58*($B$8+$B$10))/4),0))</f>
        <v>1490262.42514375</v>
      </c>
      <c r="H58" s="14" t="n">
        <f aca="false">IF($A58&lt;=$G$4,0,IF(C58=0,E58*$B$6*(1+$B$7)^(($G$4+D58*($B$8+$B$10))/4),0)+IF(C58=$B$8,$B$11*$B$4*(1+$B$5)^(($G$4+$B$8+D58*($B$8+$B$10))/4)*E58,0))</f>
        <v>0</v>
      </c>
      <c r="I58" s="21" t="n">
        <f aca="false">IF($A58&lt;=$G$4,0,IF(C58&lt;$B$8,E58,0))</f>
        <v>0</v>
      </c>
      <c r="J58" s="21" t="n">
        <f aca="false">$A58-$G$5-1</f>
        <v>12</v>
      </c>
      <c r="K58" s="21" t="n">
        <f aca="false">IF(J58&lt;0,-1,MOD(J58,$B$8+$B$10))</f>
        <v>12</v>
      </c>
      <c r="L58" s="21" t="n">
        <f aca="false">IF(J58&lt;0,0,INT(J58/($B$8+$B$10)))</f>
        <v>0</v>
      </c>
      <c r="M58" s="21" t="n">
        <f aca="false">IF($A58&lt;=$G$5,$E$5,$E$5*(1-$H$5)^(L58+1))</f>
        <v>3100</v>
      </c>
      <c r="N58" s="14" t="n">
        <f aca="false">IF($A58&lt;=$G$5,$E$5*$F$5/4,IF(K58&gt;=$B$8+$B$9,M58*$B$4*(1+$B$5)^(($G$5+$B$8+L58*($B$8+$B$10))/4)/4,0))</f>
        <v>297137.674677462</v>
      </c>
      <c r="O58" s="14" t="n">
        <f aca="false">IF($A58&lt;=$G$5,$E$5*$F$5,IF(K58&gt;=$B$8,M58*$B$4*(1+$B$5)^(($G$5+$B$8+L58*($B$8+$B$10))/4),0))</f>
        <v>1188550.69870985</v>
      </c>
      <c r="P58" s="14" t="n">
        <f aca="false">IF($A58&lt;=$G$5,0,IF(K58=0,M58*$B$6*(1+$B$7)^(($G$5+L58*($B$8+$B$10))/4),0)+IF(K58=$B$8,$B$11*$B$4*(1+$B$5)^(($G$5+$B$8+L58*($B$8+$B$10))/4)*M58,0))</f>
        <v>0</v>
      </c>
      <c r="Q58" s="21" t="n">
        <f aca="false">IF($A58&lt;=$G$5,0,IF(K58&lt;$B$8,M58,0))</f>
        <v>0</v>
      </c>
      <c r="R58" s="21" t="n">
        <f aca="false">$A58-$G$6-1</f>
        <v>2</v>
      </c>
      <c r="S58" s="21" t="n">
        <f aca="false">IF(R58&lt;0,-1,MOD(R58,$B$8+$B$10))</f>
        <v>2</v>
      </c>
      <c r="T58" s="21" t="n">
        <f aca="false">IF(R58&lt;0,0,INT(R58/($B$8+$B$10)))</f>
        <v>0</v>
      </c>
      <c r="U58" s="21" t="n">
        <f aca="false">IF($A58&lt;=$G$6,$E$6,$E$6*(1-$H$6)^(T58+1))</f>
        <v>1540</v>
      </c>
      <c r="V58" s="14" t="n">
        <f aca="false">IF($A58&lt;=$G$6,$E$6*$F$6/4,IF(S58&gt;=$B$8+$B$9,U58*$B$4*(1+$B$5)^(($G$6+$B$8+T58*($B$8+$B$10))/4)/4,0))</f>
        <v>0</v>
      </c>
      <c r="W58" s="14" t="n">
        <f aca="false">IF($A58&lt;=$G$6,$E$6*$F$6,IF(S58&gt;=$B$8,U58*$B$4*(1+$B$5)^(($G$6+$B$8+T58*($B$8+$B$10))/4),0))</f>
        <v>0</v>
      </c>
      <c r="X58" s="14" t="n">
        <f aca="false">IF($A58&lt;=$G$6,0,IF(S58=0,U58*$B$6*(1+$B$7)^(($G$6+T58*($B$8+$B$10))/4),0)+IF(S58=$B$8,$B$11*$B$4*(1+$B$5)^(($G$6+$B$8+T58*($B$8+$B$10))/4)*U58,0))</f>
        <v>0</v>
      </c>
      <c r="Y58" s="21" t="n">
        <f aca="false">IF($A58&lt;=$G$6,0,IF(S58&lt;$B$8,U58,0))</f>
        <v>1540</v>
      </c>
      <c r="Z58" s="21" t="n">
        <f aca="false">$A58-$G$7-1</f>
        <v>22</v>
      </c>
      <c r="AA58" s="21" t="n">
        <f aca="false">IF(Z58&lt;0,-1,MOD(Z58,$B$8+$B$10))</f>
        <v>22</v>
      </c>
      <c r="AB58" s="21" t="n">
        <f aca="false">IF(Z58&lt;0,0,INT(Z58/($B$8+$B$10)))</f>
        <v>0</v>
      </c>
      <c r="AC58" s="21" t="n">
        <f aca="false">IF($A58&lt;=$G$7,$E$7,$E$7*(1-$H$7)^(AB58+1))</f>
        <v>1000</v>
      </c>
      <c r="AD58" s="14" t="n">
        <f aca="false">IF($A58&lt;=$G$7,$E$7*$F$7/4,IF(AA58&gt;=$B$8+$B$9,AC58*$B$4*(1+$B$5)^(($G$7+$B$8+AB58*($B$8+$B$10))/4)/4,0))</f>
        <v>84241.3074404055</v>
      </c>
      <c r="AE58" s="14" t="n">
        <f aca="false">IF($A58&lt;=$G$7,$E$7*$F$7,IF(AA58&gt;=$B$8,AC58*$B$4*(1+$B$5)^(($G$7+$B$8+AB58*($B$8+$B$10))/4),0))</f>
        <v>336965.229761622</v>
      </c>
      <c r="AF58" s="14" t="n">
        <f aca="false">IF($A58&lt;=$G$7,0,IF(AA58=0,AC58*$B$6*(1+$B$7)^(($G$7+AB58*($B$8+$B$10))/4),0)+IF(AA58=$B$8,$B$11*$B$4*(1+$B$5)^(($G$7+$B$8+AB58*($B$8+$B$10))/4)*AC58,0))</f>
        <v>0</v>
      </c>
      <c r="AG58" s="21" t="n">
        <f aca="false">IF($A58&lt;=$G$7,0,IF(AA58&lt;$B$8,AC58,0))</f>
        <v>0</v>
      </c>
      <c r="AH58" s="21" t="n">
        <f aca="false">$A58-$G$8-1</f>
        <v>28</v>
      </c>
      <c r="AI58" s="21" t="n">
        <f aca="false">IF(AH58&lt;0,-1,MOD(AH58,$B$8+$B$10))</f>
        <v>5</v>
      </c>
      <c r="AJ58" s="21" t="n">
        <f aca="false">IF(AH58&lt;0,0,INT(AH58/($B$8+$B$10)))</f>
        <v>1</v>
      </c>
      <c r="AK58" s="21" t="n">
        <f aca="false">IF($A58&lt;=$G$8,$E$8,$E$8*(1-$H$8)^(AJ58+1))</f>
        <v>2160</v>
      </c>
      <c r="AL58" s="14" t="n">
        <f aca="false">IF($A58&lt;=$G$8,$E$8*$F$8/4,IF(AI58&gt;=$B$8+$B$9,AK58*$B$4*(1+$B$5)^(($G$8+$B$8+AJ58*($B$8+$B$10))/4)/4,0))</f>
        <v>0</v>
      </c>
      <c r="AM58" s="14" t="n">
        <f aca="false">IF($A58&lt;=$G$8,$E$8*$F$8,IF(AI58&gt;=$B$8,AK58*$B$4*(1+$B$5)^(($G$8+$B$8+AJ58*($B$8+$B$10))/4),0))</f>
        <v>906482.488079726</v>
      </c>
      <c r="AN58" s="14" t="n">
        <f aca="false">IF($A58&lt;=$G$8,0,IF(AI58=0,AK58*$B$6*(1+$B$7)^(($G$8+AJ58*($B$8+$B$10))/4),0)+IF(AI58=$B$8,$B$11*$B$4*(1+$B$5)^(($G$8+$B$8+AJ58*($B$8+$B$10))/4)*AK58,0))</f>
        <v>0</v>
      </c>
      <c r="AO58" s="21" t="n">
        <f aca="false">IF($A58&lt;=$G$8,0,IF(AI58&lt;$B$8,AK58,0))</f>
        <v>0</v>
      </c>
      <c r="AP58" s="14" t="n">
        <f aca="false">F58+N58+V58+AD58+AL58</f>
        <v>753944.588403805</v>
      </c>
      <c r="AQ58" s="14" t="n">
        <f aca="false">G58+O58+W58+AE58+AM58</f>
        <v>3922260.84169494</v>
      </c>
      <c r="AR58" s="14" t="n">
        <f aca="false">H58+P58+X58+AF58+AN58+IF($A58=$B$15,$B$14,0)</f>
        <v>0</v>
      </c>
      <c r="AS58" s="21" t="n">
        <f aca="false">I58+Q58+Y58+AG58+AO58</f>
        <v>1540</v>
      </c>
      <c r="AT58" s="14" t="n">
        <f aca="false">AP58*(1-$B$12)-AS58*$B$13/4</f>
        <v>687532.913099576</v>
      </c>
      <c r="AU58" s="14" t="n">
        <f aca="false">0</f>
        <v>0</v>
      </c>
      <c r="AV58" s="14" t="n">
        <f aca="false">AT58-AR58-AU58</f>
        <v>687532.913099576</v>
      </c>
      <c r="AW58" s="21" t="n">
        <f aca="false">(1+$B$16)^(-$A58/4)</f>
        <v>0.582069346248305</v>
      </c>
      <c r="AX58" s="14" t="n">
        <f aca="false">AV58*AW58</f>
        <v>400191.833252063</v>
      </c>
      <c r="AY58" s="14" t="n">
        <f aca="false">AV58</f>
        <v>687532.913099576</v>
      </c>
    </row>
    <row r="59" customFormat="false" ht="15" hidden="false" customHeight="false" outlineLevel="0" collapsed="false">
      <c r="A59" s="0" t="n">
        <v>30</v>
      </c>
      <c r="B59" s="0" t="n">
        <f aca="false">$A59-$G$4-1</f>
        <v>19</v>
      </c>
      <c r="C59" s="0" t="n">
        <f aca="false">IF(B59&lt;0,-1,MOD(B59,$B$8+$B$10))</f>
        <v>19</v>
      </c>
      <c r="D59" s="0" t="n">
        <f aca="false">IF(B59&lt;0,0,INT(B59/($B$8+$B$10)))</f>
        <v>0</v>
      </c>
      <c r="E59" s="0" t="n">
        <f aca="false">IF($A59&lt;=$G$4,$E$4,$E$4*(1-$H$4)^(D59+1))</f>
        <v>4200</v>
      </c>
      <c r="F59" s="14" t="n">
        <f aca="false">IF($A59&lt;=$G$4,$E$4*$F$4/4,IF(C59&gt;=$B$8+$B$9,E59*$B$4*(1+$B$5)^(($G$4+$B$8+D59*($B$8+$B$10))/4)/4,0))</f>
        <v>372565.606285937</v>
      </c>
      <c r="G59" s="14" t="n">
        <f aca="false">IF($A59&lt;=$G$4,$E$4*$F$4,IF(C59&gt;=$B$8,E59*$B$4*(1+$B$5)^(($G$4+$B$8+D59*($B$8+$B$10))/4),0))</f>
        <v>1490262.42514375</v>
      </c>
      <c r="H59" s="14" t="n">
        <f aca="false">IF($A59&lt;=$G$4,0,IF(C59=0,E59*$B$6*(1+$B$7)^(($G$4+D59*($B$8+$B$10))/4),0)+IF(C59=$B$8,$B$11*$B$4*(1+$B$5)^(($G$4+$B$8+D59*($B$8+$B$10))/4)*E59,0))</f>
        <v>0</v>
      </c>
      <c r="I59" s="21" t="n">
        <f aca="false">IF($A59&lt;=$G$4,0,IF(C59&lt;$B$8,E59,0))</f>
        <v>0</v>
      </c>
      <c r="J59" s="21" t="n">
        <f aca="false">$A59-$G$5-1</f>
        <v>13</v>
      </c>
      <c r="K59" s="21" t="n">
        <f aca="false">IF(J59&lt;0,-1,MOD(J59,$B$8+$B$10))</f>
        <v>13</v>
      </c>
      <c r="L59" s="21" t="n">
        <f aca="false">IF(J59&lt;0,0,INT(J59/($B$8+$B$10)))</f>
        <v>0</v>
      </c>
      <c r="M59" s="21" t="n">
        <f aca="false">IF($A59&lt;=$G$5,$E$5,$E$5*(1-$H$5)^(L59+1))</f>
        <v>3100</v>
      </c>
      <c r="N59" s="14" t="n">
        <f aca="false">IF($A59&lt;=$G$5,$E$5*$F$5/4,IF(K59&gt;=$B$8+$B$9,M59*$B$4*(1+$B$5)^(($G$5+$B$8+L59*($B$8+$B$10))/4)/4,0))</f>
        <v>297137.674677462</v>
      </c>
      <c r="O59" s="14" t="n">
        <f aca="false">IF($A59&lt;=$G$5,$E$5*$F$5,IF(K59&gt;=$B$8,M59*$B$4*(1+$B$5)^(($G$5+$B$8+L59*($B$8+$B$10))/4),0))</f>
        <v>1188550.69870985</v>
      </c>
      <c r="P59" s="14" t="n">
        <f aca="false">IF($A59&lt;=$G$5,0,IF(K59=0,M59*$B$6*(1+$B$7)^(($G$5+L59*($B$8+$B$10))/4),0)+IF(K59=$B$8,$B$11*$B$4*(1+$B$5)^(($G$5+$B$8+L59*($B$8+$B$10))/4)*M59,0))</f>
        <v>0</v>
      </c>
      <c r="Q59" s="21" t="n">
        <f aca="false">IF($A59&lt;=$G$5,0,IF(K59&lt;$B$8,M59,0))</f>
        <v>0</v>
      </c>
      <c r="R59" s="21" t="n">
        <f aca="false">$A59-$G$6-1</f>
        <v>3</v>
      </c>
      <c r="S59" s="21" t="n">
        <f aca="false">IF(R59&lt;0,-1,MOD(R59,$B$8+$B$10))</f>
        <v>3</v>
      </c>
      <c r="T59" s="21" t="n">
        <f aca="false">IF(R59&lt;0,0,INT(R59/($B$8+$B$10)))</f>
        <v>0</v>
      </c>
      <c r="U59" s="21" t="n">
        <f aca="false">IF($A59&lt;=$G$6,$E$6,$E$6*(1-$H$6)^(T59+1))</f>
        <v>1540</v>
      </c>
      <c r="V59" s="14" t="n">
        <f aca="false">IF($A59&lt;=$G$6,$E$6*$F$6/4,IF(S59&gt;=$B$8+$B$9,U59*$B$4*(1+$B$5)^(($G$6+$B$8+T59*($B$8+$B$10))/4)/4,0))</f>
        <v>0</v>
      </c>
      <c r="W59" s="14" t="n">
        <f aca="false">IF($A59&lt;=$G$6,$E$6*$F$6,IF(S59&gt;=$B$8,U59*$B$4*(1+$B$5)^(($G$6+$B$8+T59*($B$8+$B$10))/4),0))</f>
        <v>671811.860232781</v>
      </c>
      <c r="X59" s="14" t="n">
        <f aca="false">IF($A59&lt;=$G$6,0,IF(S59=0,U59*$B$6*(1+$B$7)^(($G$6+T59*($B$8+$B$10))/4),0)+IF(S59=$B$8,$B$11*$B$4*(1+$B$5)^(($G$6+$B$8+T59*($B$8+$B$10))/4)*U59,0))</f>
        <v>80617.4232279337</v>
      </c>
      <c r="Y59" s="21" t="n">
        <f aca="false">IF($A59&lt;=$G$6,0,IF(S59&lt;$B$8,U59,0))</f>
        <v>0</v>
      </c>
      <c r="Z59" s="21" t="n">
        <f aca="false">$A59-$G$7-1</f>
        <v>23</v>
      </c>
      <c r="AA59" s="21" t="n">
        <f aca="false">IF(Z59&lt;0,-1,MOD(Z59,$B$8+$B$10))</f>
        <v>0</v>
      </c>
      <c r="AB59" s="21" t="n">
        <f aca="false">IF(Z59&lt;0,0,INT(Z59/($B$8+$B$10)))</f>
        <v>1</v>
      </c>
      <c r="AC59" s="21" t="n">
        <f aca="false">IF($A59&lt;=$G$7,$E$7,$E$7*(1-$H$7)^(AB59+1))</f>
        <v>1000</v>
      </c>
      <c r="AD59" s="14" t="n">
        <f aca="false">IF($A59&lt;=$G$7,$E$7*$F$7/4,IF(AA59&gt;=$B$8+$B$9,AC59*$B$4*(1+$B$5)^(($G$7+$B$8+AB59*($B$8+$B$10))/4)/4,0))</f>
        <v>0</v>
      </c>
      <c r="AE59" s="14" t="n">
        <f aca="false">IF($A59&lt;=$G$7,$E$7*$F$7,IF(AA59&gt;=$B$8,AC59*$B$4*(1+$B$5)^(($G$7+$B$8+AB59*($B$8+$B$10))/4),0))</f>
        <v>0</v>
      </c>
      <c r="AF59" s="14" t="n">
        <f aca="false">IF($A59&lt;=$G$7,0,IF(AA59=0,AC59*$B$6*(1+$B$7)^(($G$7+AB59*($B$8+$B$10))/4),0)+IF(AA59=$B$8,$B$11*$B$4*(1+$B$5)^(($G$7+$B$8+AB59*($B$8+$B$10))/4)*AC59,0))</f>
        <v>502339.483236654</v>
      </c>
      <c r="AG59" s="21" t="n">
        <f aca="false">IF($A59&lt;=$G$7,0,IF(AA59&lt;$B$8,AC59,0))</f>
        <v>1000</v>
      </c>
      <c r="AH59" s="21" t="n">
        <f aca="false">$A59-$G$8-1</f>
        <v>29</v>
      </c>
      <c r="AI59" s="21" t="n">
        <f aca="false">IF(AH59&lt;0,-1,MOD(AH59,$B$8+$B$10))</f>
        <v>6</v>
      </c>
      <c r="AJ59" s="21" t="n">
        <f aca="false">IF(AH59&lt;0,0,INT(AH59/($B$8+$B$10)))</f>
        <v>1</v>
      </c>
      <c r="AK59" s="21" t="n">
        <f aca="false">IF($A59&lt;=$G$8,$E$8,$E$8*(1-$H$8)^(AJ59+1))</f>
        <v>2160</v>
      </c>
      <c r="AL59" s="14" t="n">
        <f aca="false">IF($A59&lt;=$G$8,$E$8*$F$8/4,IF(AI59&gt;=$B$8+$B$9,AK59*$B$4*(1+$B$5)^(($G$8+$B$8+AJ59*($B$8+$B$10))/4)/4,0))</f>
        <v>226620.622019932</v>
      </c>
      <c r="AM59" s="14" t="n">
        <f aca="false">IF($A59&lt;=$G$8,$E$8*$F$8,IF(AI59&gt;=$B$8,AK59*$B$4*(1+$B$5)^(($G$8+$B$8+AJ59*($B$8+$B$10))/4),0))</f>
        <v>906482.488079726</v>
      </c>
      <c r="AN59" s="14" t="n">
        <f aca="false">IF($A59&lt;=$G$8,0,IF(AI59=0,AK59*$B$6*(1+$B$7)^(($G$8+AJ59*($B$8+$B$10))/4),0)+IF(AI59=$B$8,$B$11*$B$4*(1+$B$5)^(($G$8+$B$8+AJ59*($B$8+$B$10))/4)*AK59,0))</f>
        <v>0</v>
      </c>
      <c r="AO59" s="21" t="n">
        <f aca="false">IF($A59&lt;=$G$8,0,IF(AI59&lt;$B$8,AK59,0))</f>
        <v>0</v>
      </c>
      <c r="AP59" s="14" t="n">
        <f aca="false">F59+N59+V59+AD59+AL59</f>
        <v>896323.902983331</v>
      </c>
      <c r="AQ59" s="14" t="n">
        <f aca="false">G59+O59+W59+AE59+AM59</f>
        <v>4257107.4721661</v>
      </c>
      <c r="AR59" s="14" t="n">
        <f aca="false">H59+P59+X59+AF59+AN59+IF($A59=$B$15,$B$14,0)</f>
        <v>582956.906464588</v>
      </c>
      <c r="AS59" s="21" t="n">
        <f aca="false">I59+Q59+Y59+AG59+AO59</f>
        <v>1000</v>
      </c>
      <c r="AT59" s="14" t="n">
        <f aca="false">AP59*(1-$B$12)-AS59*$B$13/4</f>
        <v>828794.468804331</v>
      </c>
      <c r="AU59" s="14" t="n">
        <f aca="false">0</f>
        <v>0</v>
      </c>
      <c r="AV59" s="14" t="n">
        <f aca="false">AT59-AR59-AU59</f>
        <v>245837.562339743</v>
      </c>
      <c r="AW59" s="21" t="n">
        <f aca="false">(1+$B$16)^(-$A59/4)</f>
        <v>0.571308135817531</v>
      </c>
      <c r="AX59" s="14" t="n">
        <f aca="false">AV59*AW59</f>
        <v>140448.999454245</v>
      </c>
      <c r="AY59" s="14" t="n">
        <f aca="false">AV59</f>
        <v>245837.562339743</v>
      </c>
    </row>
    <row r="60" customFormat="false" ht="15" hidden="false" customHeight="false" outlineLevel="0" collapsed="false">
      <c r="A60" s="0" t="n">
        <v>31</v>
      </c>
      <c r="B60" s="0" t="n">
        <f aca="false">$A60-$G$4-1</f>
        <v>20</v>
      </c>
      <c r="C60" s="0" t="n">
        <f aca="false">IF(B60&lt;0,-1,MOD(B60,$B$8+$B$10))</f>
        <v>20</v>
      </c>
      <c r="D60" s="0" t="n">
        <f aca="false">IF(B60&lt;0,0,INT(B60/($B$8+$B$10)))</f>
        <v>0</v>
      </c>
      <c r="E60" s="0" t="n">
        <f aca="false">IF($A60&lt;=$G$4,$E$4,$E$4*(1-$H$4)^(D60+1))</f>
        <v>4200</v>
      </c>
      <c r="F60" s="14" t="n">
        <f aca="false">IF($A60&lt;=$G$4,$E$4*$F$4/4,IF(C60&gt;=$B$8+$B$9,E60*$B$4*(1+$B$5)^(($G$4+$B$8+D60*($B$8+$B$10))/4)/4,0))</f>
        <v>372565.606285937</v>
      </c>
      <c r="G60" s="14" t="n">
        <f aca="false">IF($A60&lt;=$G$4,$E$4*$F$4,IF(C60&gt;=$B$8,E60*$B$4*(1+$B$5)^(($G$4+$B$8+D60*($B$8+$B$10))/4),0))</f>
        <v>1490262.42514375</v>
      </c>
      <c r="H60" s="14" t="n">
        <f aca="false">IF($A60&lt;=$G$4,0,IF(C60=0,E60*$B$6*(1+$B$7)^(($G$4+D60*($B$8+$B$10))/4),0)+IF(C60=$B$8,$B$11*$B$4*(1+$B$5)^(($G$4+$B$8+D60*($B$8+$B$10))/4)*E60,0))</f>
        <v>0</v>
      </c>
      <c r="I60" s="21" t="n">
        <f aca="false">IF($A60&lt;=$G$4,0,IF(C60&lt;$B$8,E60,0))</f>
        <v>0</v>
      </c>
      <c r="J60" s="21" t="n">
        <f aca="false">$A60-$G$5-1</f>
        <v>14</v>
      </c>
      <c r="K60" s="21" t="n">
        <f aca="false">IF(J60&lt;0,-1,MOD(J60,$B$8+$B$10))</f>
        <v>14</v>
      </c>
      <c r="L60" s="21" t="n">
        <f aca="false">IF(J60&lt;0,0,INT(J60/($B$8+$B$10)))</f>
        <v>0</v>
      </c>
      <c r="M60" s="21" t="n">
        <f aca="false">IF($A60&lt;=$G$5,$E$5,$E$5*(1-$H$5)^(L60+1))</f>
        <v>3100</v>
      </c>
      <c r="N60" s="14" t="n">
        <f aca="false">IF($A60&lt;=$G$5,$E$5*$F$5/4,IF(K60&gt;=$B$8+$B$9,M60*$B$4*(1+$B$5)^(($G$5+$B$8+L60*($B$8+$B$10))/4)/4,0))</f>
        <v>297137.674677462</v>
      </c>
      <c r="O60" s="14" t="n">
        <f aca="false">IF($A60&lt;=$G$5,$E$5*$F$5,IF(K60&gt;=$B$8,M60*$B$4*(1+$B$5)^(($G$5+$B$8+L60*($B$8+$B$10))/4),0))</f>
        <v>1188550.69870985</v>
      </c>
      <c r="P60" s="14" t="n">
        <f aca="false">IF($A60&lt;=$G$5,0,IF(K60=0,M60*$B$6*(1+$B$7)^(($G$5+L60*($B$8+$B$10))/4),0)+IF(K60=$B$8,$B$11*$B$4*(1+$B$5)^(($G$5+$B$8+L60*($B$8+$B$10))/4)*M60,0))</f>
        <v>0</v>
      </c>
      <c r="Q60" s="21" t="n">
        <f aca="false">IF($A60&lt;=$G$5,0,IF(K60&lt;$B$8,M60,0))</f>
        <v>0</v>
      </c>
      <c r="R60" s="21" t="n">
        <f aca="false">$A60-$G$6-1</f>
        <v>4</v>
      </c>
      <c r="S60" s="21" t="n">
        <f aca="false">IF(R60&lt;0,-1,MOD(R60,$B$8+$B$10))</f>
        <v>4</v>
      </c>
      <c r="T60" s="21" t="n">
        <f aca="false">IF(R60&lt;0,0,INT(R60/($B$8+$B$10)))</f>
        <v>0</v>
      </c>
      <c r="U60" s="21" t="n">
        <f aca="false">IF($A60&lt;=$G$6,$E$6,$E$6*(1-$H$6)^(T60+1))</f>
        <v>1540</v>
      </c>
      <c r="V60" s="14" t="n">
        <f aca="false">IF($A60&lt;=$G$6,$E$6*$F$6/4,IF(S60&gt;=$B$8+$B$9,U60*$B$4*(1+$B$5)^(($G$6+$B$8+T60*($B$8+$B$10))/4)/4,0))</f>
        <v>0</v>
      </c>
      <c r="W60" s="14" t="n">
        <f aca="false">IF($A60&lt;=$G$6,$E$6*$F$6,IF(S60&gt;=$B$8,U60*$B$4*(1+$B$5)^(($G$6+$B$8+T60*($B$8+$B$10))/4),0))</f>
        <v>671811.860232781</v>
      </c>
      <c r="X60" s="14" t="n">
        <f aca="false">IF($A60&lt;=$G$6,0,IF(S60=0,U60*$B$6*(1+$B$7)^(($G$6+T60*($B$8+$B$10))/4),0)+IF(S60=$B$8,$B$11*$B$4*(1+$B$5)^(($G$6+$B$8+T60*($B$8+$B$10))/4)*U60,0))</f>
        <v>0</v>
      </c>
      <c r="Y60" s="21" t="n">
        <f aca="false">IF($A60&lt;=$G$6,0,IF(S60&lt;$B$8,U60,0))</f>
        <v>0</v>
      </c>
      <c r="Z60" s="21" t="n">
        <f aca="false">$A60-$G$7-1</f>
        <v>24</v>
      </c>
      <c r="AA60" s="21" t="n">
        <f aca="false">IF(Z60&lt;0,-1,MOD(Z60,$B$8+$B$10))</f>
        <v>1</v>
      </c>
      <c r="AB60" s="21" t="n">
        <f aca="false">IF(Z60&lt;0,0,INT(Z60/($B$8+$B$10)))</f>
        <v>1</v>
      </c>
      <c r="AC60" s="21" t="n">
        <f aca="false">IF($A60&lt;=$G$7,$E$7,$E$7*(1-$H$7)^(AB60+1))</f>
        <v>1000</v>
      </c>
      <c r="AD60" s="14" t="n">
        <f aca="false">IF($A60&lt;=$G$7,$E$7*$F$7/4,IF(AA60&gt;=$B$8+$B$9,AC60*$B$4*(1+$B$5)^(($G$7+$B$8+AB60*($B$8+$B$10))/4)/4,0))</f>
        <v>0</v>
      </c>
      <c r="AE60" s="14" t="n">
        <f aca="false">IF($A60&lt;=$G$7,$E$7*$F$7,IF(AA60&gt;=$B$8,AC60*$B$4*(1+$B$5)^(($G$7+$B$8+AB60*($B$8+$B$10))/4),0))</f>
        <v>0</v>
      </c>
      <c r="AF60" s="14" t="n">
        <f aca="false">IF($A60&lt;=$G$7,0,IF(AA60=0,AC60*$B$6*(1+$B$7)^(($G$7+AB60*($B$8+$B$10))/4),0)+IF(AA60=$B$8,$B$11*$B$4*(1+$B$5)^(($G$7+$B$8+AB60*($B$8+$B$10))/4)*AC60,0))</f>
        <v>0</v>
      </c>
      <c r="AG60" s="21" t="n">
        <f aca="false">IF($A60&lt;=$G$7,0,IF(AA60&lt;$B$8,AC60,0))</f>
        <v>1000</v>
      </c>
      <c r="AH60" s="21" t="n">
        <f aca="false">$A60-$G$8-1</f>
        <v>30</v>
      </c>
      <c r="AI60" s="21" t="n">
        <f aca="false">IF(AH60&lt;0,-1,MOD(AH60,$B$8+$B$10))</f>
        <v>7</v>
      </c>
      <c r="AJ60" s="21" t="n">
        <f aca="false">IF(AH60&lt;0,0,INT(AH60/($B$8+$B$10)))</f>
        <v>1</v>
      </c>
      <c r="AK60" s="21" t="n">
        <f aca="false">IF($A60&lt;=$G$8,$E$8,$E$8*(1-$H$8)^(AJ60+1))</f>
        <v>2160</v>
      </c>
      <c r="AL60" s="14" t="n">
        <f aca="false">IF($A60&lt;=$G$8,$E$8*$F$8/4,IF(AI60&gt;=$B$8+$B$9,AK60*$B$4*(1+$B$5)^(($G$8+$B$8+AJ60*($B$8+$B$10))/4)/4,0))</f>
        <v>226620.622019932</v>
      </c>
      <c r="AM60" s="14" t="n">
        <f aca="false">IF($A60&lt;=$G$8,$E$8*$F$8,IF(AI60&gt;=$B$8,AK60*$B$4*(1+$B$5)^(($G$8+$B$8+AJ60*($B$8+$B$10))/4),0))</f>
        <v>906482.488079726</v>
      </c>
      <c r="AN60" s="14" t="n">
        <f aca="false">IF($A60&lt;=$G$8,0,IF(AI60=0,AK60*$B$6*(1+$B$7)^(($G$8+AJ60*($B$8+$B$10))/4),0)+IF(AI60=$B$8,$B$11*$B$4*(1+$B$5)^(($G$8+$B$8+AJ60*($B$8+$B$10))/4)*AK60,0))</f>
        <v>0</v>
      </c>
      <c r="AO60" s="21" t="n">
        <f aca="false">IF($A60&lt;=$G$8,0,IF(AI60&lt;$B$8,AK60,0))</f>
        <v>0</v>
      </c>
      <c r="AP60" s="14" t="n">
        <f aca="false">F60+N60+V60+AD60+AL60</f>
        <v>896323.902983331</v>
      </c>
      <c r="AQ60" s="14" t="n">
        <f aca="false">G60+O60+W60+AE60+AM60</f>
        <v>4257107.4721661</v>
      </c>
      <c r="AR60" s="14" t="n">
        <f aca="false">H60+P60+X60+AF60+AN60+IF($A60=$B$15,$B$14,0)</f>
        <v>0</v>
      </c>
      <c r="AS60" s="21" t="n">
        <f aca="false">I60+Q60+Y60+AG60+AO60</f>
        <v>1000</v>
      </c>
      <c r="AT60" s="14" t="n">
        <f aca="false">AP60*(1-$B$12)-AS60*$B$13/4</f>
        <v>828794.468804331</v>
      </c>
      <c r="AU60" s="14" t="n">
        <f aca="false">0</f>
        <v>0</v>
      </c>
      <c r="AV60" s="14" t="n">
        <f aca="false">AT60-AR60-AU60</f>
        <v>828794.468804331</v>
      </c>
      <c r="AW60" s="21" t="n">
        <f aca="false">(1+$B$16)^(-$A60/4)</f>
        <v>0.560745877024877</v>
      </c>
      <c r="AX60" s="14" t="n">
        <f aca="false">AV60*AW60</f>
        <v>464743.081283051</v>
      </c>
      <c r="AY60" s="14" t="n">
        <f aca="false">AV60</f>
        <v>828794.468804331</v>
      </c>
    </row>
    <row r="61" customFormat="false" ht="15" hidden="false" customHeight="false" outlineLevel="0" collapsed="false">
      <c r="A61" s="0" t="n">
        <v>32</v>
      </c>
      <c r="B61" s="0" t="n">
        <f aca="false">$A61-$G$4-1</f>
        <v>21</v>
      </c>
      <c r="C61" s="0" t="n">
        <f aca="false">IF(B61&lt;0,-1,MOD(B61,$B$8+$B$10))</f>
        <v>21</v>
      </c>
      <c r="D61" s="0" t="n">
        <f aca="false">IF(B61&lt;0,0,INT(B61/($B$8+$B$10)))</f>
        <v>0</v>
      </c>
      <c r="E61" s="0" t="n">
        <f aca="false">IF($A61&lt;=$G$4,$E$4,$E$4*(1-$H$4)^(D61+1))</f>
        <v>4200</v>
      </c>
      <c r="F61" s="14" t="n">
        <f aca="false">IF($A61&lt;=$G$4,$E$4*$F$4/4,IF(C61&gt;=$B$8+$B$9,E61*$B$4*(1+$B$5)^(($G$4+$B$8+D61*($B$8+$B$10))/4)/4,0))</f>
        <v>372565.606285937</v>
      </c>
      <c r="G61" s="14" t="n">
        <f aca="false">IF($A61&lt;=$G$4,$E$4*$F$4,IF(C61&gt;=$B$8,E61*$B$4*(1+$B$5)^(($G$4+$B$8+D61*($B$8+$B$10))/4),0))</f>
        <v>1490262.42514375</v>
      </c>
      <c r="H61" s="14" t="n">
        <f aca="false">IF($A61&lt;=$G$4,0,IF(C61=0,E61*$B$6*(1+$B$7)^(($G$4+D61*($B$8+$B$10))/4),0)+IF(C61=$B$8,$B$11*$B$4*(1+$B$5)^(($G$4+$B$8+D61*($B$8+$B$10))/4)*E61,0))</f>
        <v>0</v>
      </c>
      <c r="I61" s="21" t="n">
        <f aca="false">IF($A61&lt;=$G$4,0,IF(C61&lt;$B$8,E61,0))</f>
        <v>0</v>
      </c>
      <c r="J61" s="21" t="n">
        <f aca="false">$A61-$G$5-1</f>
        <v>15</v>
      </c>
      <c r="K61" s="21" t="n">
        <f aca="false">IF(J61&lt;0,-1,MOD(J61,$B$8+$B$10))</f>
        <v>15</v>
      </c>
      <c r="L61" s="21" t="n">
        <f aca="false">IF(J61&lt;0,0,INT(J61/($B$8+$B$10)))</f>
        <v>0</v>
      </c>
      <c r="M61" s="21" t="n">
        <f aca="false">IF($A61&lt;=$G$5,$E$5,$E$5*(1-$H$5)^(L61+1))</f>
        <v>3100</v>
      </c>
      <c r="N61" s="14" t="n">
        <f aca="false">IF($A61&lt;=$G$5,$E$5*$F$5/4,IF(K61&gt;=$B$8+$B$9,M61*$B$4*(1+$B$5)^(($G$5+$B$8+L61*($B$8+$B$10))/4)/4,0))</f>
        <v>297137.674677462</v>
      </c>
      <c r="O61" s="14" t="n">
        <f aca="false">IF($A61&lt;=$G$5,$E$5*$F$5,IF(K61&gt;=$B$8,M61*$B$4*(1+$B$5)^(($G$5+$B$8+L61*($B$8+$B$10))/4),0))</f>
        <v>1188550.69870985</v>
      </c>
      <c r="P61" s="14" t="n">
        <f aca="false">IF($A61&lt;=$G$5,0,IF(K61=0,M61*$B$6*(1+$B$7)^(($G$5+L61*($B$8+$B$10))/4),0)+IF(K61=$B$8,$B$11*$B$4*(1+$B$5)^(($G$5+$B$8+L61*($B$8+$B$10))/4)*M61,0))</f>
        <v>0</v>
      </c>
      <c r="Q61" s="21" t="n">
        <f aca="false">IF($A61&lt;=$G$5,0,IF(K61&lt;$B$8,M61,0))</f>
        <v>0</v>
      </c>
      <c r="R61" s="21" t="n">
        <f aca="false">$A61-$G$6-1</f>
        <v>5</v>
      </c>
      <c r="S61" s="21" t="n">
        <f aca="false">IF(R61&lt;0,-1,MOD(R61,$B$8+$B$10))</f>
        <v>5</v>
      </c>
      <c r="T61" s="21" t="n">
        <f aca="false">IF(R61&lt;0,0,INT(R61/($B$8+$B$10)))</f>
        <v>0</v>
      </c>
      <c r="U61" s="21" t="n">
        <f aca="false">IF($A61&lt;=$G$6,$E$6,$E$6*(1-$H$6)^(T61+1))</f>
        <v>1540</v>
      </c>
      <c r="V61" s="14" t="n">
        <f aca="false">IF($A61&lt;=$G$6,$E$6*$F$6/4,IF(S61&gt;=$B$8+$B$9,U61*$B$4*(1+$B$5)^(($G$6+$B$8+T61*($B$8+$B$10))/4)/4,0))</f>
        <v>0</v>
      </c>
      <c r="W61" s="14" t="n">
        <f aca="false">IF($A61&lt;=$G$6,$E$6*$F$6,IF(S61&gt;=$B$8,U61*$B$4*(1+$B$5)^(($G$6+$B$8+T61*($B$8+$B$10))/4),0))</f>
        <v>671811.860232781</v>
      </c>
      <c r="X61" s="14" t="n">
        <f aca="false">IF($A61&lt;=$G$6,0,IF(S61=0,U61*$B$6*(1+$B$7)^(($G$6+T61*($B$8+$B$10))/4),0)+IF(S61=$B$8,$B$11*$B$4*(1+$B$5)^(($G$6+$B$8+T61*($B$8+$B$10))/4)*U61,0))</f>
        <v>0</v>
      </c>
      <c r="Y61" s="21" t="n">
        <f aca="false">IF($A61&lt;=$G$6,0,IF(S61&lt;$B$8,U61,0))</f>
        <v>0</v>
      </c>
      <c r="Z61" s="21" t="n">
        <f aca="false">$A61-$G$7-1</f>
        <v>25</v>
      </c>
      <c r="AA61" s="21" t="n">
        <f aca="false">IF(Z61&lt;0,-1,MOD(Z61,$B$8+$B$10))</f>
        <v>2</v>
      </c>
      <c r="AB61" s="21" t="n">
        <f aca="false">IF(Z61&lt;0,0,INT(Z61/($B$8+$B$10)))</f>
        <v>1</v>
      </c>
      <c r="AC61" s="21" t="n">
        <f aca="false">IF($A61&lt;=$G$7,$E$7,$E$7*(1-$H$7)^(AB61+1))</f>
        <v>1000</v>
      </c>
      <c r="AD61" s="14" t="n">
        <f aca="false">IF($A61&lt;=$G$7,$E$7*$F$7/4,IF(AA61&gt;=$B$8+$B$9,AC61*$B$4*(1+$B$5)^(($G$7+$B$8+AB61*($B$8+$B$10))/4)/4,0))</f>
        <v>0</v>
      </c>
      <c r="AE61" s="14" t="n">
        <f aca="false">IF($A61&lt;=$G$7,$E$7*$F$7,IF(AA61&gt;=$B$8,AC61*$B$4*(1+$B$5)^(($G$7+$B$8+AB61*($B$8+$B$10))/4),0))</f>
        <v>0</v>
      </c>
      <c r="AF61" s="14" t="n">
        <f aca="false">IF($A61&lt;=$G$7,0,IF(AA61=0,AC61*$B$6*(1+$B$7)^(($G$7+AB61*($B$8+$B$10))/4),0)+IF(AA61=$B$8,$B$11*$B$4*(1+$B$5)^(($G$7+$B$8+AB61*($B$8+$B$10))/4)*AC61,0))</f>
        <v>0</v>
      </c>
      <c r="AG61" s="21" t="n">
        <f aca="false">IF($A61&lt;=$G$7,0,IF(AA61&lt;$B$8,AC61,0))</f>
        <v>1000</v>
      </c>
      <c r="AH61" s="21" t="n">
        <f aca="false">$A61-$G$8-1</f>
        <v>31</v>
      </c>
      <c r="AI61" s="21" t="n">
        <f aca="false">IF(AH61&lt;0,-1,MOD(AH61,$B$8+$B$10))</f>
        <v>8</v>
      </c>
      <c r="AJ61" s="21" t="n">
        <f aca="false">IF(AH61&lt;0,0,INT(AH61/($B$8+$B$10)))</f>
        <v>1</v>
      </c>
      <c r="AK61" s="21" t="n">
        <f aca="false">IF($A61&lt;=$G$8,$E$8,$E$8*(1-$H$8)^(AJ61+1))</f>
        <v>2160</v>
      </c>
      <c r="AL61" s="14" t="n">
        <f aca="false">IF($A61&lt;=$G$8,$E$8*$F$8/4,IF(AI61&gt;=$B$8+$B$9,AK61*$B$4*(1+$B$5)^(($G$8+$B$8+AJ61*($B$8+$B$10))/4)/4,0))</f>
        <v>226620.622019932</v>
      </c>
      <c r="AM61" s="14" t="n">
        <f aca="false">IF($A61&lt;=$G$8,$E$8*$F$8,IF(AI61&gt;=$B$8,AK61*$B$4*(1+$B$5)^(($G$8+$B$8+AJ61*($B$8+$B$10))/4),0))</f>
        <v>906482.488079726</v>
      </c>
      <c r="AN61" s="14" t="n">
        <f aca="false">IF($A61&lt;=$G$8,0,IF(AI61=0,AK61*$B$6*(1+$B$7)^(($G$8+AJ61*($B$8+$B$10))/4),0)+IF(AI61=$B$8,$B$11*$B$4*(1+$B$5)^(($G$8+$B$8+AJ61*($B$8+$B$10))/4)*AK61,0))</f>
        <v>0</v>
      </c>
      <c r="AO61" s="21" t="n">
        <f aca="false">IF($A61&lt;=$G$8,0,IF(AI61&lt;$B$8,AK61,0))</f>
        <v>0</v>
      </c>
      <c r="AP61" s="14" t="n">
        <f aca="false">F61+N61+V61+AD61+AL61</f>
        <v>896323.902983331</v>
      </c>
      <c r="AQ61" s="14" t="n">
        <f aca="false">G61+O61+W61+AE61+AM61</f>
        <v>4257107.4721661</v>
      </c>
      <c r="AR61" s="14" t="n">
        <f aca="false">H61+P61+X61+AF61+AN61+IF($A61=$B$15,$B$14,0)</f>
        <v>0</v>
      </c>
      <c r="AS61" s="21" t="n">
        <f aca="false">I61+Q61+Y61+AG61+AO61</f>
        <v>1000</v>
      </c>
      <c r="AT61" s="14" t="n">
        <f aca="false">AP61*(1-$B$12)-AS61*$B$13/4</f>
        <v>828794.468804331</v>
      </c>
      <c r="AU61" s="14" t="n">
        <f aca="false">0</f>
        <v>0</v>
      </c>
      <c r="AV61" s="14" t="n">
        <f aca="false">AT61-AR61-AU61</f>
        <v>828794.468804331</v>
      </c>
      <c r="AW61" s="21" t="n">
        <f aca="false">(1+$B$16)^(-$A61/4)</f>
        <v>0.550378891682413</v>
      </c>
      <c r="AX61" s="14" t="n">
        <f aca="false">AV61*AW61</f>
        <v>456150.981173042</v>
      </c>
      <c r="AY61" s="14" t="n">
        <f aca="false">AV61</f>
        <v>828794.468804331</v>
      </c>
    </row>
    <row r="62" customFormat="false" ht="15" hidden="false" customHeight="false" outlineLevel="0" collapsed="false">
      <c r="A62" s="0" t="n">
        <v>33</v>
      </c>
      <c r="B62" s="0" t="n">
        <f aca="false">$A62-$G$4-1</f>
        <v>22</v>
      </c>
      <c r="C62" s="0" t="n">
        <f aca="false">IF(B62&lt;0,-1,MOD(B62,$B$8+$B$10))</f>
        <v>22</v>
      </c>
      <c r="D62" s="0" t="n">
        <f aca="false">IF(B62&lt;0,0,INT(B62/($B$8+$B$10)))</f>
        <v>0</v>
      </c>
      <c r="E62" s="0" t="n">
        <f aca="false">IF($A62&lt;=$G$4,$E$4,$E$4*(1-$H$4)^(D62+1))</f>
        <v>4200</v>
      </c>
      <c r="F62" s="14" t="n">
        <f aca="false">IF($A62&lt;=$G$4,$E$4*$F$4/4,IF(C62&gt;=$B$8+$B$9,E62*$B$4*(1+$B$5)^(($G$4+$B$8+D62*($B$8+$B$10))/4)/4,0))</f>
        <v>372565.606285937</v>
      </c>
      <c r="G62" s="14" t="n">
        <f aca="false">IF($A62&lt;=$G$4,$E$4*$F$4,IF(C62&gt;=$B$8,E62*$B$4*(1+$B$5)^(($G$4+$B$8+D62*($B$8+$B$10))/4),0))</f>
        <v>1490262.42514375</v>
      </c>
      <c r="H62" s="14" t="n">
        <f aca="false">IF($A62&lt;=$G$4,0,IF(C62=0,E62*$B$6*(1+$B$7)^(($G$4+D62*($B$8+$B$10))/4),0)+IF(C62=$B$8,$B$11*$B$4*(1+$B$5)^(($G$4+$B$8+D62*($B$8+$B$10))/4)*E62,0))</f>
        <v>0</v>
      </c>
      <c r="I62" s="21" t="n">
        <f aca="false">IF($A62&lt;=$G$4,0,IF(C62&lt;$B$8,E62,0))</f>
        <v>0</v>
      </c>
      <c r="J62" s="21" t="n">
        <f aca="false">$A62-$G$5-1</f>
        <v>16</v>
      </c>
      <c r="K62" s="21" t="n">
        <f aca="false">IF(J62&lt;0,-1,MOD(J62,$B$8+$B$10))</f>
        <v>16</v>
      </c>
      <c r="L62" s="21" t="n">
        <f aca="false">IF(J62&lt;0,0,INT(J62/($B$8+$B$10)))</f>
        <v>0</v>
      </c>
      <c r="M62" s="21" t="n">
        <f aca="false">IF($A62&lt;=$G$5,$E$5,$E$5*(1-$H$5)^(L62+1))</f>
        <v>3100</v>
      </c>
      <c r="N62" s="14" t="n">
        <f aca="false">IF($A62&lt;=$G$5,$E$5*$F$5/4,IF(K62&gt;=$B$8+$B$9,M62*$B$4*(1+$B$5)^(($G$5+$B$8+L62*($B$8+$B$10))/4)/4,0))</f>
        <v>297137.674677462</v>
      </c>
      <c r="O62" s="14" t="n">
        <f aca="false">IF($A62&lt;=$G$5,$E$5*$F$5,IF(K62&gt;=$B$8,M62*$B$4*(1+$B$5)^(($G$5+$B$8+L62*($B$8+$B$10))/4),0))</f>
        <v>1188550.69870985</v>
      </c>
      <c r="P62" s="14" t="n">
        <f aca="false">IF($A62&lt;=$G$5,0,IF(K62=0,M62*$B$6*(1+$B$7)^(($G$5+L62*($B$8+$B$10))/4),0)+IF(K62=$B$8,$B$11*$B$4*(1+$B$5)^(($G$5+$B$8+L62*($B$8+$B$10))/4)*M62,0))</f>
        <v>0</v>
      </c>
      <c r="Q62" s="21" t="n">
        <f aca="false">IF($A62&lt;=$G$5,0,IF(K62&lt;$B$8,M62,0))</f>
        <v>0</v>
      </c>
      <c r="R62" s="21" t="n">
        <f aca="false">$A62-$G$6-1</f>
        <v>6</v>
      </c>
      <c r="S62" s="21" t="n">
        <f aca="false">IF(R62&lt;0,-1,MOD(R62,$B$8+$B$10))</f>
        <v>6</v>
      </c>
      <c r="T62" s="21" t="n">
        <f aca="false">IF(R62&lt;0,0,INT(R62/($B$8+$B$10)))</f>
        <v>0</v>
      </c>
      <c r="U62" s="21" t="n">
        <f aca="false">IF($A62&lt;=$G$6,$E$6,$E$6*(1-$H$6)^(T62+1))</f>
        <v>1540</v>
      </c>
      <c r="V62" s="14" t="n">
        <f aca="false">IF($A62&lt;=$G$6,$E$6*$F$6/4,IF(S62&gt;=$B$8+$B$9,U62*$B$4*(1+$B$5)^(($G$6+$B$8+T62*($B$8+$B$10))/4)/4,0))</f>
        <v>167952.965058195</v>
      </c>
      <c r="W62" s="14" t="n">
        <f aca="false">IF($A62&lt;=$G$6,$E$6*$F$6,IF(S62&gt;=$B$8,U62*$B$4*(1+$B$5)^(($G$6+$B$8+T62*($B$8+$B$10))/4),0))</f>
        <v>671811.860232781</v>
      </c>
      <c r="X62" s="14" t="n">
        <f aca="false">IF($A62&lt;=$G$6,0,IF(S62=0,U62*$B$6*(1+$B$7)^(($G$6+T62*($B$8+$B$10))/4),0)+IF(S62=$B$8,$B$11*$B$4*(1+$B$5)^(($G$6+$B$8+T62*($B$8+$B$10))/4)*U62,0))</f>
        <v>0</v>
      </c>
      <c r="Y62" s="21" t="n">
        <f aca="false">IF($A62&lt;=$G$6,0,IF(S62&lt;$B$8,U62,0))</f>
        <v>0</v>
      </c>
      <c r="Z62" s="21" t="n">
        <f aca="false">$A62-$G$7-1</f>
        <v>26</v>
      </c>
      <c r="AA62" s="21" t="n">
        <f aca="false">IF(Z62&lt;0,-1,MOD(Z62,$B$8+$B$10))</f>
        <v>3</v>
      </c>
      <c r="AB62" s="21" t="n">
        <f aca="false">IF(Z62&lt;0,0,INT(Z62/($B$8+$B$10)))</f>
        <v>1</v>
      </c>
      <c r="AC62" s="21" t="n">
        <f aca="false">IF($A62&lt;=$G$7,$E$7,$E$7*(1-$H$7)^(AB62+1))</f>
        <v>1000</v>
      </c>
      <c r="AD62" s="14" t="n">
        <f aca="false">IF($A62&lt;=$G$7,$E$7*$F$7/4,IF(AA62&gt;=$B$8+$B$9,AC62*$B$4*(1+$B$5)^(($G$7+$B$8+AB62*($B$8+$B$10))/4)/4,0))</f>
        <v>0</v>
      </c>
      <c r="AE62" s="14" t="n">
        <f aca="false">IF($A62&lt;=$G$7,$E$7*$F$7,IF(AA62&gt;=$B$8,AC62*$B$4*(1+$B$5)^(($G$7+$B$8+AB62*($B$8+$B$10))/4),0))</f>
        <v>453469.6484039</v>
      </c>
      <c r="AF62" s="14" t="n">
        <f aca="false">IF($A62&lt;=$G$7,0,IF(AA62=0,AC62*$B$6*(1+$B$7)^(($G$7+AB62*($B$8+$B$10))/4),0)+IF(AA62=$B$8,$B$11*$B$4*(1+$B$5)^(($G$7+$B$8+AB62*($B$8+$B$10))/4)*AC62,0))</f>
        <v>54416.357808468</v>
      </c>
      <c r="AG62" s="21" t="n">
        <f aca="false">IF($A62&lt;=$G$7,0,IF(AA62&lt;$B$8,AC62,0))</f>
        <v>0</v>
      </c>
      <c r="AH62" s="21" t="n">
        <f aca="false">$A62-$G$8-1</f>
        <v>32</v>
      </c>
      <c r="AI62" s="21" t="n">
        <f aca="false">IF(AH62&lt;0,-1,MOD(AH62,$B$8+$B$10))</f>
        <v>9</v>
      </c>
      <c r="AJ62" s="21" t="n">
        <f aca="false">IF(AH62&lt;0,0,INT(AH62/($B$8+$B$10)))</f>
        <v>1</v>
      </c>
      <c r="AK62" s="21" t="n">
        <f aca="false">IF($A62&lt;=$G$8,$E$8,$E$8*(1-$H$8)^(AJ62+1))</f>
        <v>2160</v>
      </c>
      <c r="AL62" s="14" t="n">
        <f aca="false">IF($A62&lt;=$G$8,$E$8*$F$8/4,IF(AI62&gt;=$B$8+$B$9,AK62*$B$4*(1+$B$5)^(($G$8+$B$8+AJ62*($B$8+$B$10))/4)/4,0))</f>
        <v>226620.622019932</v>
      </c>
      <c r="AM62" s="14" t="n">
        <f aca="false">IF($A62&lt;=$G$8,$E$8*$F$8,IF(AI62&gt;=$B$8,AK62*$B$4*(1+$B$5)^(($G$8+$B$8+AJ62*($B$8+$B$10))/4),0))</f>
        <v>906482.488079726</v>
      </c>
      <c r="AN62" s="14" t="n">
        <f aca="false">IF($A62&lt;=$G$8,0,IF(AI62=0,AK62*$B$6*(1+$B$7)^(($G$8+AJ62*($B$8+$B$10))/4),0)+IF(AI62=$B$8,$B$11*$B$4*(1+$B$5)^(($G$8+$B$8+AJ62*($B$8+$B$10))/4)*AK62,0))</f>
        <v>0</v>
      </c>
      <c r="AO62" s="21" t="n">
        <f aca="false">IF($A62&lt;=$G$8,0,IF(AI62&lt;$B$8,AK62,0))</f>
        <v>0</v>
      </c>
      <c r="AP62" s="14" t="n">
        <f aca="false">F62+N62+V62+AD62+AL62</f>
        <v>1064276.86804153</v>
      </c>
      <c r="AQ62" s="14" t="n">
        <f aca="false">G62+O62+W62+AE62+AM62</f>
        <v>4710577.12057</v>
      </c>
      <c r="AR62" s="14" t="n">
        <f aca="false">H62+P62+X62+AF62+AN62+IF($A62=$B$15,$B$14,0)</f>
        <v>54416.357808468</v>
      </c>
      <c r="AS62" s="21" t="n">
        <f aca="false">I62+Q62+Y62+AG62+AO62</f>
        <v>0</v>
      </c>
      <c r="AT62" s="14" t="n">
        <f aca="false">AP62*(1-$B$12)-AS62*$B$13/4</f>
        <v>1000420.25595903</v>
      </c>
      <c r="AU62" s="14" t="n">
        <f aca="false">0</f>
        <v>0</v>
      </c>
      <c r="AV62" s="14" t="n">
        <f aca="false">AT62-AR62-AU62</f>
        <v>946003.898150566</v>
      </c>
      <c r="AW62" s="21" t="n">
        <f aca="false">(1+$B$16)^(-$A62/4)</f>
        <v>0.540203569603995</v>
      </c>
      <c r="AX62" s="14" t="n">
        <f aca="false">AV62*AW62</f>
        <v>511034.68264023</v>
      </c>
      <c r="AY62" s="14" t="n">
        <f aca="false">AV62</f>
        <v>946003.898150566</v>
      </c>
    </row>
    <row r="63" customFormat="false" ht="15" hidden="false" customHeight="false" outlineLevel="0" collapsed="false">
      <c r="A63" s="0" t="n">
        <v>34</v>
      </c>
      <c r="B63" s="0" t="n">
        <f aca="false">$A63-$G$4-1</f>
        <v>23</v>
      </c>
      <c r="C63" s="0" t="n">
        <f aca="false">IF(B63&lt;0,-1,MOD(B63,$B$8+$B$10))</f>
        <v>0</v>
      </c>
      <c r="D63" s="0" t="n">
        <f aca="false">IF(B63&lt;0,0,INT(B63/($B$8+$B$10)))</f>
        <v>1</v>
      </c>
      <c r="E63" s="0" t="n">
        <f aca="false">IF($A63&lt;=$G$4,$E$4,$E$4*(1-$H$4)^(D63+1))</f>
        <v>4200</v>
      </c>
      <c r="F63" s="14" t="n">
        <f aca="false">IF($A63&lt;=$G$4,$E$4*$F$4/4,IF(C63&gt;=$B$8+$B$9,E63*$B$4*(1+$B$5)^(($G$4+$B$8+D63*($B$8+$B$10))/4)/4,0))</f>
        <v>0</v>
      </c>
      <c r="G63" s="14" t="n">
        <f aca="false">IF($A63&lt;=$G$4,$E$4*$F$4,IF(C63&gt;=$B$8,E63*$B$4*(1+$B$5)^(($G$4+$B$8+D63*($B$8+$B$10))/4),0))</f>
        <v>0</v>
      </c>
      <c r="H63" s="14" t="n">
        <f aca="false">IF($A63&lt;=$G$4,0,IF(C63=0,E63*$B$6*(1+$B$7)^(($G$4+D63*($B$8+$B$10))/4),0)+IF(C63=$B$8,$B$11*$B$4*(1+$B$5)^(($G$4+$B$8+D63*($B$8+$B$10))/4)*E63,0))</f>
        <v>2162571.4753338</v>
      </c>
      <c r="I63" s="21" t="n">
        <f aca="false">IF($A63&lt;=$G$4,0,IF(C63&lt;$B$8,E63,0))</f>
        <v>4200</v>
      </c>
      <c r="J63" s="21" t="n">
        <f aca="false">$A63-$G$5-1</f>
        <v>17</v>
      </c>
      <c r="K63" s="21" t="n">
        <f aca="false">IF(J63&lt;0,-1,MOD(J63,$B$8+$B$10))</f>
        <v>17</v>
      </c>
      <c r="L63" s="21" t="n">
        <f aca="false">IF(J63&lt;0,0,INT(J63/($B$8+$B$10)))</f>
        <v>0</v>
      </c>
      <c r="M63" s="21" t="n">
        <f aca="false">IF($A63&lt;=$G$5,$E$5,$E$5*(1-$H$5)^(L63+1))</f>
        <v>3100</v>
      </c>
      <c r="N63" s="14" t="n">
        <f aca="false">IF($A63&lt;=$G$5,$E$5*$F$5/4,IF(K63&gt;=$B$8+$B$9,M63*$B$4*(1+$B$5)^(($G$5+$B$8+L63*($B$8+$B$10))/4)/4,0))</f>
        <v>297137.674677462</v>
      </c>
      <c r="O63" s="14" t="n">
        <f aca="false">IF($A63&lt;=$G$5,$E$5*$F$5,IF(K63&gt;=$B$8,M63*$B$4*(1+$B$5)^(($G$5+$B$8+L63*($B$8+$B$10))/4),0))</f>
        <v>1188550.69870985</v>
      </c>
      <c r="P63" s="14" t="n">
        <f aca="false">IF($A63&lt;=$G$5,0,IF(K63=0,M63*$B$6*(1+$B$7)^(($G$5+L63*($B$8+$B$10))/4),0)+IF(K63=$B$8,$B$11*$B$4*(1+$B$5)^(($G$5+$B$8+L63*($B$8+$B$10))/4)*M63,0))</f>
        <v>0</v>
      </c>
      <c r="Q63" s="21" t="n">
        <f aca="false">IF($A63&lt;=$G$5,0,IF(K63&lt;$B$8,M63,0))</f>
        <v>0</v>
      </c>
      <c r="R63" s="21" t="n">
        <f aca="false">$A63-$G$6-1</f>
        <v>7</v>
      </c>
      <c r="S63" s="21" t="n">
        <f aca="false">IF(R63&lt;0,-1,MOD(R63,$B$8+$B$10))</f>
        <v>7</v>
      </c>
      <c r="T63" s="21" t="n">
        <f aca="false">IF(R63&lt;0,0,INT(R63/($B$8+$B$10)))</f>
        <v>0</v>
      </c>
      <c r="U63" s="21" t="n">
        <f aca="false">IF($A63&lt;=$G$6,$E$6,$E$6*(1-$H$6)^(T63+1))</f>
        <v>1540</v>
      </c>
      <c r="V63" s="14" t="n">
        <f aca="false">IF($A63&lt;=$G$6,$E$6*$F$6/4,IF(S63&gt;=$B$8+$B$9,U63*$B$4*(1+$B$5)^(($G$6+$B$8+T63*($B$8+$B$10))/4)/4,0))</f>
        <v>167952.965058195</v>
      </c>
      <c r="W63" s="14" t="n">
        <f aca="false">IF($A63&lt;=$G$6,$E$6*$F$6,IF(S63&gt;=$B$8,U63*$B$4*(1+$B$5)^(($G$6+$B$8+T63*($B$8+$B$10))/4),0))</f>
        <v>671811.860232781</v>
      </c>
      <c r="X63" s="14" t="n">
        <f aca="false">IF($A63&lt;=$G$6,0,IF(S63=0,U63*$B$6*(1+$B$7)^(($G$6+T63*($B$8+$B$10))/4),0)+IF(S63=$B$8,$B$11*$B$4*(1+$B$5)^(($G$6+$B$8+T63*($B$8+$B$10))/4)*U63,0))</f>
        <v>0</v>
      </c>
      <c r="Y63" s="21" t="n">
        <f aca="false">IF($A63&lt;=$G$6,0,IF(S63&lt;$B$8,U63,0))</f>
        <v>0</v>
      </c>
      <c r="Z63" s="21" t="n">
        <f aca="false">$A63-$G$7-1</f>
        <v>27</v>
      </c>
      <c r="AA63" s="21" t="n">
        <f aca="false">IF(Z63&lt;0,-1,MOD(Z63,$B$8+$B$10))</f>
        <v>4</v>
      </c>
      <c r="AB63" s="21" t="n">
        <f aca="false">IF(Z63&lt;0,0,INT(Z63/($B$8+$B$10)))</f>
        <v>1</v>
      </c>
      <c r="AC63" s="21" t="n">
        <f aca="false">IF($A63&lt;=$G$7,$E$7,$E$7*(1-$H$7)^(AB63+1))</f>
        <v>1000</v>
      </c>
      <c r="AD63" s="14" t="n">
        <f aca="false">IF($A63&lt;=$G$7,$E$7*$F$7/4,IF(AA63&gt;=$B$8+$B$9,AC63*$B$4*(1+$B$5)^(($G$7+$B$8+AB63*($B$8+$B$10))/4)/4,0))</f>
        <v>0</v>
      </c>
      <c r="AE63" s="14" t="n">
        <f aca="false">IF($A63&lt;=$G$7,$E$7*$F$7,IF(AA63&gt;=$B$8,AC63*$B$4*(1+$B$5)^(($G$7+$B$8+AB63*($B$8+$B$10))/4),0))</f>
        <v>453469.6484039</v>
      </c>
      <c r="AF63" s="14" t="n">
        <f aca="false">IF($A63&lt;=$G$7,0,IF(AA63=0,AC63*$B$6*(1+$B$7)^(($G$7+AB63*($B$8+$B$10))/4),0)+IF(AA63=$B$8,$B$11*$B$4*(1+$B$5)^(($G$7+$B$8+AB63*($B$8+$B$10))/4)*AC63,0))</f>
        <v>0</v>
      </c>
      <c r="AG63" s="21" t="n">
        <f aca="false">IF($A63&lt;=$G$7,0,IF(AA63&lt;$B$8,AC63,0))</f>
        <v>0</v>
      </c>
      <c r="AH63" s="21" t="n">
        <f aca="false">$A63-$G$8-1</f>
        <v>33</v>
      </c>
      <c r="AI63" s="21" t="n">
        <f aca="false">IF(AH63&lt;0,-1,MOD(AH63,$B$8+$B$10))</f>
        <v>10</v>
      </c>
      <c r="AJ63" s="21" t="n">
        <f aca="false">IF(AH63&lt;0,0,INT(AH63/($B$8+$B$10)))</f>
        <v>1</v>
      </c>
      <c r="AK63" s="21" t="n">
        <f aca="false">IF($A63&lt;=$G$8,$E$8,$E$8*(1-$H$8)^(AJ63+1))</f>
        <v>2160</v>
      </c>
      <c r="AL63" s="14" t="n">
        <f aca="false">IF($A63&lt;=$G$8,$E$8*$F$8/4,IF(AI63&gt;=$B$8+$B$9,AK63*$B$4*(1+$B$5)^(($G$8+$B$8+AJ63*($B$8+$B$10))/4)/4,0))</f>
        <v>226620.622019932</v>
      </c>
      <c r="AM63" s="14" t="n">
        <f aca="false">IF($A63&lt;=$G$8,$E$8*$F$8,IF(AI63&gt;=$B$8,AK63*$B$4*(1+$B$5)^(($G$8+$B$8+AJ63*($B$8+$B$10))/4),0))</f>
        <v>906482.488079726</v>
      </c>
      <c r="AN63" s="14" t="n">
        <f aca="false">IF($A63&lt;=$G$8,0,IF(AI63=0,AK63*$B$6*(1+$B$7)^(($G$8+AJ63*($B$8+$B$10))/4),0)+IF(AI63=$B$8,$B$11*$B$4*(1+$B$5)^(($G$8+$B$8+AJ63*($B$8+$B$10))/4)*AK63,0))</f>
        <v>0</v>
      </c>
      <c r="AO63" s="21" t="n">
        <f aca="false">IF($A63&lt;=$G$8,0,IF(AI63&lt;$B$8,AK63,0))</f>
        <v>0</v>
      </c>
      <c r="AP63" s="14" t="n">
        <f aca="false">F63+N63+V63+AD63+AL63</f>
        <v>691711.261755589</v>
      </c>
      <c r="AQ63" s="14" t="n">
        <f aca="false">G63+O63+W63+AE63+AM63</f>
        <v>3220314.69542625</v>
      </c>
      <c r="AR63" s="14" t="n">
        <f aca="false">H63+P63+X63+AF63+AN63+IF($A63=$B$15,$B$14,0)</f>
        <v>2162571.4753338</v>
      </c>
      <c r="AS63" s="21" t="n">
        <f aca="false">I63+Q63+Y63+AG63+AO63</f>
        <v>4200</v>
      </c>
      <c r="AT63" s="14" t="n">
        <f aca="false">AP63*(1-$B$12)-AS63*$B$13/4</f>
        <v>592458.586050253</v>
      </c>
      <c r="AU63" s="14" t="n">
        <f aca="false">0</f>
        <v>0</v>
      </c>
      <c r="AV63" s="14" t="n">
        <f aca="false">AT63-AR63-AU63</f>
        <v>-1570112.88928354</v>
      </c>
      <c r="AW63" s="21" t="n">
        <f aca="false">(1+$B$16)^(-$A63/4)</f>
        <v>0.530216367348056</v>
      </c>
      <c r="AX63" s="14" t="n">
        <f aca="false">AV63*AW63</f>
        <v>-832499.552482281</v>
      </c>
      <c r="AY63" s="14" t="n">
        <f aca="false">AV63</f>
        <v>-1570112.88928354</v>
      </c>
    </row>
    <row r="64" customFormat="false" ht="15" hidden="false" customHeight="false" outlineLevel="0" collapsed="false">
      <c r="A64" s="0" t="n">
        <v>35</v>
      </c>
      <c r="B64" s="0" t="n">
        <f aca="false">$A64-$G$4-1</f>
        <v>24</v>
      </c>
      <c r="C64" s="0" t="n">
        <f aca="false">IF(B64&lt;0,-1,MOD(B64,$B$8+$B$10))</f>
        <v>1</v>
      </c>
      <c r="D64" s="0" t="n">
        <f aca="false">IF(B64&lt;0,0,INT(B64/($B$8+$B$10)))</f>
        <v>1</v>
      </c>
      <c r="E64" s="0" t="n">
        <f aca="false">IF($A64&lt;=$G$4,$E$4,$E$4*(1-$H$4)^(D64+1))</f>
        <v>4200</v>
      </c>
      <c r="F64" s="14" t="n">
        <f aca="false">IF($A64&lt;=$G$4,$E$4*$F$4/4,IF(C64&gt;=$B$8+$B$9,E64*$B$4*(1+$B$5)^(($G$4+$B$8+D64*($B$8+$B$10))/4)/4,0))</f>
        <v>0</v>
      </c>
      <c r="G64" s="14" t="n">
        <f aca="false">IF($A64&lt;=$G$4,$E$4*$F$4,IF(C64&gt;=$B$8,E64*$B$4*(1+$B$5)^(($G$4+$B$8+D64*($B$8+$B$10))/4),0))</f>
        <v>0</v>
      </c>
      <c r="H64" s="14" t="n">
        <f aca="false">IF($A64&lt;=$G$4,0,IF(C64=0,E64*$B$6*(1+$B$7)^(($G$4+D64*($B$8+$B$10))/4),0)+IF(C64=$B$8,$B$11*$B$4*(1+$B$5)^(($G$4+$B$8+D64*($B$8+$B$10))/4)*E64,0))</f>
        <v>0</v>
      </c>
      <c r="I64" s="21" t="n">
        <f aca="false">IF($A64&lt;=$G$4,0,IF(C64&lt;$B$8,E64,0))</f>
        <v>4200</v>
      </c>
      <c r="J64" s="21" t="n">
        <f aca="false">$A64-$G$5-1</f>
        <v>18</v>
      </c>
      <c r="K64" s="21" t="n">
        <f aca="false">IF(J64&lt;0,-1,MOD(J64,$B$8+$B$10))</f>
        <v>18</v>
      </c>
      <c r="L64" s="21" t="n">
        <f aca="false">IF(J64&lt;0,0,INT(J64/($B$8+$B$10)))</f>
        <v>0</v>
      </c>
      <c r="M64" s="21" t="n">
        <f aca="false">IF($A64&lt;=$G$5,$E$5,$E$5*(1-$H$5)^(L64+1))</f>
        <v>3100</v>
      </c>
      <c r="N64" s="14" t="n">
        <f aca="false">IF($A64&lt;=$G$5,$E$5*$F$5/4,IF(K64&gt;=$B$8+$B$9,M64*$B$4*(1+$B$5)^(($G$5+$B$8+L64*($B$8+$B$10))/4)/4,0))</f>
        <v>297137.674677462</v>
      </c>
      <c r="O64" s="14" t="n">
        <f aca="false">IF($A64&lt;=$G$5,$E$5*$F$5,IF(K64&gt;=$B$8,M64*$B$4*(1+$B$5)^(($G$5+$B$8+L64*($B$8+$B$10))/4),0))</f>
        <v>1188550.69870985</v>
      </c>
      <c r="P64" s="14" t="n">
        <f aca="false">IF($A64&lt;=$G$5,0,IF(K64=0,M64*$B$6*(1+$B$7)^(($G$5+L64*($B$8+$B$10))/4),0)+IF(K64=$B$8,$B$11*$B$4*(1+$B$5)^(($G$5+$B$8+L64*($B$8+$B$10))/4)*M64,0))</f>
        <v>0</v>
      </c>
      <c r="Q64" s="21" t="n">
        <f aca="false">IF($A64&lt;=$G$5,0,IF(K64&lt;$B$8,M64,0))</f>
        <v>0</v>
      </c>
      <c r="R64" s="21" t="n">
        <f aca="false">$A64-$G$6-1</f>
        <v>8</v>
      </c>
      <c r="S64" s="21" t="n">
        <f aca="false">IF(R64&lt;0,-1,MOD(R64,$B$8+$B$10))</f>
        <v>8</v>
      </c>
      <c r="T64" s="21" t="n">
        <f aca="false">IF(R64&lt;0,0,INT(R64/($B$8+$B$10)))</f>
        <v>0</v>
      </c>
      <c r="U64" s="21" t="n">
        <f aca="false">IF($A64&lt;=$G$6,$E$6,$E$6*(1-$H$6)^(T64+1))</f>
        <v>1540</v>
      </c>
      <c r="V64" s="14" t="n">
        <f aca="false">IF($A64&lt;=$G$6,$E$6*$F$6/4,IF(S64&gt;=$B$8+$B$9,U64*$B$4*(1+$B$5)^(($G$6+$B$8+T64*($B$8+$B$10))/4)/4,0))</f>
        <v>167952.965058195</v>
      </c>
      <c r="W64" s="14" t="n">
        <f aca="false">IF($A64&lt;=$G$6,$E$6*$F$6,IF(S64&gt;=$B$8,U64*$B$4*(1+$B$5)^(($G$6+$B$8+T64*($B$8+$B$10))/4),0))</f>
        <v>671811.860232781</v>
      </c>
      <c r="X64" s="14" t="n">
        <f aca="false">IF($A64&lt;=$G$6,0,IF(S64=0,U64*$B$6*(1+$B$7)^(($G$6+T64*($B$8+$B$10))/4),0)+IF(S64=$B$8,$B$11*$B$4*(1+$B$5)^(($G$6+$B$8+T64*($B$8+$B$10))/4)*U64,0))</f>
        <v>0</v>
      </c>
      <c r="Y64" s="21" t="n">
        <f aca="false">IF($A64&lt;=$G$6,0,IF(S64&lt;$B$8,U64,0))</f>
        <v>0</v>
      </c>
      <c r="Z64" s="21" t="n">
        <f aca="false">$A64-$G$7-1</f>
        <v>28</v>
      </c>
      <c r="AA64" s="21" t="n">
        <f aca="false">IF(Z64&lt;0,-1,MOD(Z64,$B$8+$B$10))</f>
        <v>5</v>
      </c>
      <c r="AB64" s="21" t="n">
        <f aca="false">IF(Z64&lt;0,0,INT(Z64/($B$8+$B$10)))</f>
        <v>1</v>
      </c>
      <c r="AC64" s="21" t="n">
        <f aca="false">IF($A64&lt;=$G$7,$E$7,$E$7*(1-$H$7)^(AB64+1))</f>
        <v>1000</v>
      </c>
      <c r="AD64" s="14" t="n">
        <f aca="false">IF($A64&lt;=$G$7,$E$7*$F$7/4,IF(AA64&gt;=$B$8+$B$9,AC64*$B$4*(1+$B$5)^(($G$7+$B$8+AB64*($B$8+$B$10))/4)/4,0))</f>
        <v>0</v>
      </c>
      <c r="AE64" s="14" t="n">
        <f aca="false">IF($A64&lt;=$G$7,$E$7*$F$7,IF(AA64&gt;=$B$8,AC64*$B$4*(1+$B$5)^(($G$7+$B$8+AB64*($B$8+$B$10))/4),0))</f>
        <v>453469.6484039</v>
      </c>
      <c r="AF64" s="14" t="n">
        <f aca="false">IF($A64&lt;=$G$7,0,IF(AA64=0,AC64*$B$6*(1+$B$7)^(($G$7+AB64*($B$8+$B$10))/4),0)+IF(AA64=$B$8,$B$11*$B$4*(1+$B$5)^(($G$7+$B$8+AB64*($B$8+$B$10))/4)*AC64,0))</f>
        <v>0</v>
      </c>
      <c r="AG64" s="21" t="n">
        <f aca="false">IF($A64&lt;=$G$7,0,IF(AA64&lt;$B$8,AC64,0))</f>
        <v>0</v>
      </c>
      <c r="AH64" s="21" t="n">
        <f aca="false">$A64-$G$8-1</f>
        <v>34</v>
      </c>
      <c r="AI64" s="21" t="n">
        <f aca="false">IF(AH64&lt;0,-1,MOD(AH64,$B$8+$B$10))</f>
        <v>11</v>
      </c>
      <c r="AJ64" s="21" t="n">
        <f aca="false">IF(AH64&lt;0,0,INT(AH64/($B$8+$B$10)))</f>
        <v>1</v>
      </c>
      <c r="AK64" s="21" t="n">
        <f aca="false">IF($A64&lt;=$G$8,$E$8,$E$8*(1-$H$8)^(AJ64+1))</f>
        <v>2160</v>
      </c>
      <c r="AL64" s="14" t="n">
        <f aca="false">IF($A64&lt;=$G$8,$E$8*$F$8/4,IF(AI64&gt;=$B$8+$B$9,AK64*$B$4*(1+$B$5)^(($G$8+$B$8+AJ64*($B$8+$B$10))/4)/4,0))</f>
        <v>226620.622019932</v>
      </c>
      <c r="AM64" s="14" t="n">
        <f aca="false">IF($A64&lt;=$G$8,$E$8*$F$8,IF(AI64&gt;=$B$8,AK64*$B$4*(1+$B$5)^(($G$8+$B$8+AJ64*($B$8+$B$10))/4),0))</f>
        <v>906482.488079726</v>
      </c>
      <c r="AN64" s="14" t="n">
        <f aca="false">IF($A64&lt;=$G$8,0,IF(AI64=0,AK64*$B$6*(1+$B$7)^(($G$8+AJ64*($B$8+$B$10))/4),0)+IF(AI64=$B$8,$B$11*$B$4*(1+$B$5)^(($G$8+$B$8+AJ64*($B$8+$B$10))/4)*AK64,0))</f>
        <v>0</v>
      </c>
      <c r="AO64" s="21" t="n">
        <f aca="false">IF($A64&lt;=$G$8,0,IF(AI64&lt;$B$8,AK64,0))</f>
        <v>0</v>
      </c>
      <c r="AP64" s="14" t="n">
        <f aca="false">F64+N64+V64+AD64+AL64</f>
        <v>691711.261755589</v>
      </c>
      <c r="AQ64" s="14" t="n">
        <f aca="false">G64+O64+W64+AE64+AM64</f>
        <v>3220314.69542625</v>
      </c>
      <c r="AR64" s="14" t="n">
        <f aca="false">H64+P64+X64+AF64+AN64+IF($A64=$B$15,$B$14,0)</f>
        <v>0</v>
      </c>
      <c r="AS64" s="21" t="n">
        <f aca="false">I64+Q64+Y64+AG64+AO64</f>
        <v>4200</v>
      </c>
      <c r="AT64" s="14" t="n">
        <f aca="false">AP64*(1-$B$12)-AS64*$B$13/4</f>
        <v>592458.586050253</v>
      </c>
      <c r="AU64" s="14" t="n">
        <f aca="false">0</f>
        <v>0</v>
      </c>
      <c r="AV64" s="14" t="n">
        <f aca="false">AT64-AR64-AU64</f>
        <v>592458.586050253</v>
      </c>
      <c r="AW64" s="21" t="n">
        <f aca="false">(1+$B$16)^(-$A64/4)</f>
        <v>0.520413806983644</v>
      </c>
      <c r="AX64" s="14" t="n">
        <f aca="false">AV64*AW64</f>
        <v>308323.628246559</v>
      </c>
      <c r="AY64" s="14" t="n">
        <f aca="false">AV64</f>
        <v>592458.586050253</v>
      </c>
    </row>
    <row r="65" customFormat="false" ht="15" hidden="false" customHeight="false" outlineLevel="0" collapsed="false">
      <c r="A65" s="0" t="n">
        <v>36</v>
      </c>
      <c r="B65" s="0" t="n">
        <f aca="false">$A65-$G$4-1</f>
        <v>25</v>
      </c>
      <c r="C65" s="0" t="n">
        <f aca="false">IF(B65&lt;0,-1,MOD(B65,$B$8+$B$10))</f>
        <v>2</v>
      </c>
      <c r="D65" s="0" t="n">
        <f aca="false">IF(B65&lt;0,0,INT(B65/($B$8+$B$10)))</f>
        <v>1</v>
      </c>
      <c r="E65" s="0" t="n">
        <f aca="false">IF($A65&lt;=$G$4,$E$4,$E$4*(1-$H$4)^(D65+1))</f>
        <v>4200</v>
      </c>
      <c r="F65" s="14" t="n">
        <f aca="false">IF($A65&lt;=$G$4,$E$4*$F$4/4,IF(C65&gt;=$B$8+$B$9,E65*$B$4*(1+$B$5)^(($G$4+$B$8+D65*($B$8+$B$10))/4)/4,0))</f>
        <v>0</v>
      </c>
      <c r="G65" s="14" t="n">
        <f aca="false">IF($A65&lt;=$G$4,$E$4*$F$4,IF(C65&gt;=$B$8,E65*$B$4*(1+$B$5)^(($G$4+$B$8+D65*($B$8+$B$10))/4),0))</f>
        <v>0</v>
      </c>
      <c r="H65" s="14" t="n">
        <f aca="false">IF($A65&lt;=$G$4,0,IF(C65=0,E65*$B$6*(1+$B$7)^(($G$4+D65*($B$8+$B$10))/4),0)+IF(C65=$B$8,$B$11*$B$4*(1+$B$5)^(($G$4+$B$8+D65*($B$8+$B$10))/4)*E65,0))</f>
        <v>0</v>
      </c>
      <c r="I65" s="21" t="n">
        <f aca="false">IF($A65&lt;=$G$4,0,IF(C65&lt;$B$8,E65,0))</f>
        <v>4200</v>
      </c>
      <c r="J65" s="21" t="n">
        <f aca="false">$A65-$G$5-1</f>
        <v>19</v>
      </c>
      <c r="K65" s="21" t="n">
        <f aca="false">IF(J65&lt;0,-1,MOD(J65,$B$8+$B$10))</f>
        <v>19</v>
      </c>
      <c r="L65" s="21" t="n">
        <f aca="false">IF(J65&lt;0,0,INT(J65/($B$8+$B$10)))</f>
        <v>0</v>
      </c>
      <c r="M65" s="21" t="n">
        <f aca="false">IF($A65&lt;=$G$5,$E$5,$E$5*(1-$H$5)^(L65+1))</f>
        <v>3100</v>
      </c>
      <c r="N65" s="14" t="n">
        <f aca="false">IF($A65&lt;=$G$5,$E$5*$F$5/4,IF(K65&gt;=$B$8+$B$9,M65*$B$4*(1+$B$5)^(($G$5+$B$8+L65*($B$8+$B$10))/4)/4,0))</f>
        <v>297137.674677462</v>
      </c>
      <c r="O65" s="14" t="n">
        <f aca="false">IF($A65&lt;=$G$5,$E$5*$F$5,IF(K65&gt;=$B$8,M65*$B$4*(1+$B$5)^(($G$5+$B$8+L65*($B$8+$B$10))/4),0))</f>
        <v>1188550.69870985</v>
      </c>
      <c r="P65" s="14" t="n">
        <f aca="false">IF($A65&lt;=$G$5,0,IF(K65=0,M65*$B$6*(1+$B$7)^(($G$5+L65*($B$8+$B$10))/4),0)+IF(K65=$B$8,$B$11*$B$4*(1+$B$5)^(($G$5+$B$8+L65*($B$8+$B$10))/4)*M65,0))</f>
        <v>0</v>
      </c>
      <c r="Q65" s="21" t="n">
        <f aca="false">IF($A65&lt;=$G$5,0,IF(K65&lt;$B$8,M65,0))</f>
        <v>0</v>
      </c>
      <c r="R65" s="21" t="n">
        <f aca="false">$A65-$G$6-1</f>
        <v>9</v>
      </c>
      <c r="S65" s="21" t="n">
        <f aca="false">IF(R65&lt;0,-1,MOD(R65,$B$8+$B$10))</f>
        <v>9</v>
      </c>
      <c r="T65" s="21" t="n">
        <f aca="false">IF(R65&lt;0,0,INT(R65/($B$8+$B$10)))</f>
        <v>0</v>
      </c>
      <c r="U65" s="21" t="n">
        <f aca="false">IF($A65&lt;=$G$6,$E$6,$E$6*(1-$H$6)^(T65+1))</f>
        <v>1540</v>
      </c>
      <c r="V65" s="14" t="n">
        <f aca="false">IF($A65&lt;=$G$6,$E$6*$F$6/4,IF(S65&gt;=$B$8+$B$9,U65*$B$4*(1+$B$5)^(($G$6+$B$8+T65*($B$8+$B$10))/4)/4,0))</f>
        <v>167952.965058195</v>
      </c>
      <c r="W65" s="14" t="n">
        <f aca="false">IF($A65&lt;=$G$6,$E$6*$F$6,IF(S65&gt;=$B$8,U65*$B$4*(1+$B$5)^(($G$6+$B$8+T65*($B$8+$B$10))/4),0))</f>
        <v>671811.860232781</v>
      </c>
      <c r="X65" s="14" t="n">
        <f aca="false">IF($A65&lt;=$G$6,0,IF(S65=0,U65*$B$6*(1+$B$7)^(($G$6+T65*($B$8+$B$10))/4),0)+IF(S65=$B$8,$B$11*$B$4*(1+$B$5)^(($G$6+$B$8+T65*($B$8+$B$10))/4)*U65,0))</f>
        <v>0</v>
      </c>
      <c r="Y65" s="21" t="n">
        <f aca="false">IF($A65&lt;=$G$6,0,IF(S65&lt;$B$8,U65,0))</f>
        <v>0</v>
      </c>
      <c r="Z65" s="21" t="n">
        <f aca="false">$A65-$G$7-1</f>
        <v>29</v>
      </c>
      <c r="AA65" s="21" t="n">
        <f aca="false">IF(Z65&lt;0,-1,MOD(Z65,$B$8+$B$10))</f>
        <v>6</v>
      </c>
      <c r="AB65" s="21" t="n">
        <f aca="false">IF(Z65&lt;0,0,INT(Z65/($B$8+$B$10)))</f>
        <v>1</v>
      </c>
      <c r="AC65" s="21" t="n">
        <f aca="false">IF($A65&lt;=$G$7,$E$7,$E$7*(1-$H$7)^(AB65+1))</f>
        <v>1000</v>
      </c>
      <c r="AD65" s="14" t="n">
        <f aca="false">IF($A65&lt;=$G$7,$E$7*$F$7/4,IF(AA65&gt;=$B$8+$B$9,AC65*$B$4*(1+$B$5)^(($G$7+$B$8+AB65*($B$8+$B$10))/4)/4,0))</f>
        <v>113367.412100975</v>
      </c>
      <c r="AE65" s="14" t="n">
        <f aca="false">IF($A65&lt;=$G$7,$E$7*$F$7,IF(AA65&gt;=$B$8,AC65*$B$4*(1+$B$5)^(($G$7+$B$8+AB65*($B$8+$B$10))/4),0))</f>
        <v>453469.6484039</v>
      </c>
      <c r="AF65" s="14" t="n">
        <f aca="false">IF($A65&lt;=$G$7,0,IF(AA65=0,AC65*$B$6*(1+$B$7)^(($G$7+AB65*($B$8+$B$10))/4),0)+IF(AA65=$B$8,$B$11*$B$4*(1+$B$5)^(($G$7+$B$8+AB65*($B$8+$B$10))/4)*AC65,0))</f>
        <v>0</v>
      </c>
      <c r="AG65" s="21" t="n">
        <f aca="false">IF($A65&lt;=$G$7,0,IF(AA65&lt;$B$8,AC65,0))</f>
        <v>0</v>
      </c>
      <c r="AH65" s="21" t="n">
        <f aca="false">$A65-$G$8-1</f>
        <v>35</v>
      </c>
      <c r="AI65" s="21" t="n">
        <f aca="false">IF(AH65&lt;0,-1,MOD(AH65,$B$8+$B$10))</f>
        <v>12</v>
      </c>
      <c r="AJ65" s="21" t="n">
        <f aca="false">IF(AH65&lt;0,0,INT(AH65/($B$8+$B$10)))</f>
        <v>1</v>
      </c>
      <c r="AK65" s="21" t="n">
        <f aca="false">IF($A65&lt;=$G$8,$E$8,$E$8*(1-$H$8)^(AJ65+1))</f>
        <v>2160</v>
      </c>
      <c r="AL65" s="14" t="n">
        <f aca="false">IF($A65&lt;=$G$8,$E$8*$F$8/4,IF(AI65&gt;=$B$8+$B$9,AK65*$B$4*(1+$B$5)^(($G$8+$B$8+AJ65*($B$8+$B$10))/4)/4,0))</f>
        <v>226620.622019932</v>
      </c>
      <c r="AM65" s="14" t="n">
        <f aca="false">IF($A65&lt;=$G$8,$E$8*$F$8,IF(AI65&gt;=$B$8,AK65*$B$4*(1+$B$5)^(($G$8+$B$8+AJ65*($B$8+$B$10))/4),0))</f>
        <v>906482.488079726</v>
      </c>
      <c r="AN65" s="14" t="n">
        <f aca="false">IF($A65&lt;=$G$8,0,IF(AI65=0,AK65*$B$6*(1+$B$7)^(($G$8+AJ65*($B$8+$B$10))/4),0)+IF(AI65=$B$8,$B$11*$B$4*(1+$B$5)^(($G$8+$B$8+AJ65*($B$8+$B$10))/4)*AK65,0))</f>
        <v>0</v>
      </c>
      <c r="AO65" s="21" t="n">
        <f aca="false">IF($A65&lt;=$G$8,0,IF(AI65&lt;$B$8,AK65,0))</f>
        <v>0</v>
      </c>
      <c r="AP65" s="14" t="n">
        <f aca="false">F65+N65+V65+AD65+AL65</f>
        <v>805078.673856564</v>
      </c>
      <c r="AQ65" s="14" t="n">
        <f aca="false">G65+O65+W65+AE65+AM65</f>
        <v>3220314.69542625</v>
      </c>
      <c r="AR65" s="14" t="n">
        <f aca="false">H65+P65+X65+AF65+AN65+IF($A65=$B$15,$B$14,0)</f>
        <v>0</v>
      </c>
      <c r="AS65" s="21" t="n">
        <f aca="false">I65+Q65+Y65+AG65+AO65</f>
        <v>4200</v>
      </c>
      <c r="AT65" s="14" t="n">
        <f aca="false">AP65*(1-$B$12)-AS65*$B$13/4</f>
        <v>699023.95342517</v>
      </c>
      <c r="AU65" s="14" t="n">
        <f aca="false">0</f>
        <v>0</v>
      </c>
      <c r="AV65" s="14" t="n">
        <f aca="false">AT65-AR65-AU65</f>
        <v>699023.95342517</v>
      </c>
      <c r="AW65" s="21" t="n">
        <f aca="false">(1+$B$16)^(-$A65/4)</f>
        <v>0.51079247487927</v>
      </c>
      <c r="AX65" s="14" t="n">
        <f aca="false">AV65*AW65</f>
        <v>357056.175169934</v>
      </c>
      <c r="AY65" s="14" t="n">
        <f aca="false">AV65</f>
        <v>699023.95342517</v>
      </c>
    </row>
    <row r="66" customFormat="false" ht="15" hidden="false" customHeight="false" outlineLevel="0" collapsed="false">
      <c r="A66" s="0" t="n">
        <v>37</v>
      </c>
      <c r="B66" s="0" t="n">
        <f aca="false">$A66-$G$4-1</f>
        <v>26</v>
      </c>
      <c r="C66" s="0" t="n">
        <f aca="false">IF(B66&lt;0,-1,MOD(B66,$B$8+$B$10))</f>
        <v>3</v>
      </c>
      <c r="D66" s="0" t="n">
        <f aca="false">IF(B66&lt;0,0,INT(B66/($B$8+$B$10)))</f>
        <v>1</v>
      </c>
      <c r="E66" s="0" t="n">
        <f aca="false">IF($A66&lt;=$G$4,$E$4,$E$4*(1-$H$4)^(D66+1))</f>
        <v>4200</v>
      </c>
      <c r="F66" s="14" t="n">
        <f aca="false">IF($A66&lt;=$G$4,$E$4*$F$4/4,IF(C66&gt;=$B$8+$B$9,E66*$B$4*(1+$B$5)^(($G$4+$B$8+D66*($B$8+$B$10))/4)/4,0))</f>
        <v>0</v>
      </c>
      <c r="G66" s="14" t="n">
        <f aca="false">IF($A66&lt;=$G$4,$E$4*$F$4,IF(C66&gt;=$B$8,E66*$B$4*(1+$B$5)^(($G$4+$B$8+D66*($B$8+$B$10))/4),0))</f>
        <v>2005514.86703109</v>
      </c>
      <c r="H66" s="14" t="n">
        <f aca="false">IF($A66&lt;=$G$4,0,IF(C66=0,E66*$B$6*(1+$B$7)^(($G$4+D66*($B$8+$B$10))/4),0)+IF(C66=$B$8,$B$11*$B$4*(1+$B$5)^(($G$4+$B$8+D66*($B$8+$B$10))/4)*E66,0))</f>
        <v>240661.784043731</v>
      </c>
      <c r="I66" s="21" t="n">
        <f aca="false">IF($A66&lt;=$G$4,0,IF(C66&lt;$B$8,E66,0))</f>
        <v>0</v>
      </c>
      <c r="J66" s="21" t="n">
        <f aca="false">$A66-$G$5-1</f>
        <v>20</v>
      </c>
      <c r="K66" s="21" t="n">
        <f aca="false">IF(J66&lt;0,-1,MOD(J66,$B$8+$B$10))</f>
        <v>20</v>
      </c>
      <c r="L66" s="21" t="n">
        <f aca="false">IF(J66&lt;0,0,INT(J66/($B$8+$B$10)))</f>
        <v>0</v>
      </c>
      <c r="M66" s="21" t="n">
        <f aca="false">IF($A66&lt;=$G$5,$E$5,$E$5*(1-$H$5)^(L66+1))</f>
        <v>3100</v>
      </c>
      <c r="N66" s="14" t="n">
        <f aca="false">IF($A66&lt;=$G$5,$E$5*$F$5/4,IF(K66&gt;=$B$8+$B$9,M66*$B$4*(1+$B$5)^(($G$5+$B$8+L66*($B$8+$B$10))/4)/4,0))</f>
        <v>297137.674677462</v>
      </c>
      <c r="O66" s="14" t="n">
        <f aca="false">IF($A66&lt;=$G$5,$E$5*$F$5,IF(K66&gt;=$B$8,M66*$B$4*(1+$B$5)^(($G$5+$B$8+L66*($B$8+$B$10))/4),0))</f>
        <v>1188550.69870985</v>
      </c>
      <c r="P66" s="14" t="n">
        <f aca="false">IF($A66&lt;=$G$5,0,IF(K66=0,M66*$B$6*(1+$B$7)^(($G$5+L66*($B$8+$B$10))/4),0)+IF(K66=$B$8,$B$11*$B$4*(1+$B$5)^(($G$5+$B$8+L66*($B$8+$B$10))/4)*M66,0))</f>
        <v>0</v>
      </c>
      <c r="Q66" s="21" t="n">
        <f aca="false">IF($A66&lt;=$G$5,0,IF(K66&lt;$B$8,M66,0))</f>
        <v>0</v>
      </c>
      <c r="R66" s="21" t="n">
        <f aca="false">$A66-$G$6-1</f>
        <v>10</v>
      </c>
      <c r="S66" s="21" t="n">
        <f aca="false">IF(R66&lt;0,-1,MOD(R66,$B$8+$B$10))</f>
        <v>10</v>
      </c>
      <c r="T66" s="21" t="n">
        <f aca="false">IF(R66&lt;0,0,INT(R66/($B$8+$B$10)))</f>
        <v>0</v>
      </c>
      <c r="U66" s="21" t="n">
        <f aca="false">IF($A66&lt;=$G$6,$E$6,$E$6*(1-$H$6)^(T66+1))</f>
        <v>1540</v>
      </c>
      <c r="V66" s="14" t="n">
        <f aca="false">IF($A66&lt;=$G$6,$E$6*$F$6/4,IF(S66&gt;=$B$8+$B$9,U66*$B$4*(1+$B$5)^(($G$6+$B$8+T66*($B$8+$B$10))/4)/4,0))</f>
        <v>167952.965058195</v>
      </c>
      <c r="W66" s="14" t="n">
        <f aca="false">IF($A66&lt;=$G$6,$E$6*$F$6,IF(S66&gt;=$B$8,U66*$B$4*(1+$B$5)^(($G$6+$B$8+T66*($B$8+$B$10))/4),0))</f>
        <v>671811.860232781</v>
      </c>
      <c r="X66" s="14" t="n">
        <f aca="false">IF($A66&lt;=$G$6,0,IF(S66=0,U66*$B$6*(1+$B$7)^(($G$6+T66*($B$8+$B$10))/4),0)+IF(S66=$B$8,$B$11*$B$4*(1+$B$5)^(($G$6+$B$8+T66*($B$8+$B$10))/4)*U66,0))</f>
        <v>0</v>
      </c>
      <c r="Y66" s="21" t="n">
        <f aca="false">IF($A66&lt;=$G$6,0,IF(S66&lt;$B$8,U66,0))</f>
        <v>0</v>
      </c>
      <c r="Z66" s="21" t="n">
        <f aca="false">$A66-$G$7-1</f>
        <v>30</v>
      </c>
      <c r="AA66" s="21" t="n">
        <f aca="false">IF(Z66&lt;0,-1,MOD(Z66,$B$8+$B$10))</f>
        <v>7</v>
      </c>
      <c r="AB66" s="21" t="n">
        <f aca="false">IF(Z66&lt;0,0,INT(Z66/($B$8+$B$10)))</f>
        <v>1</v>
      </c>
      <c r="AC66" s="21" t="n">
        <f aca="false">IF($A66&lt;=$G$7,$E$7,$E$7*(1-$H$7)^(AB66+1))</f>
        <v>1000</v>
      </c>
      <c r="AD66" s="14" t="n">
        <f aca="false">IF($A66&lt;=$G$7,$E$7*$F$7/4,IF(AA66&gt;=$B$8+$B$9,AC66*$B$4*(1+$B$5)^(($G$7+$B$8+AB66*($B$8+$B$10))/4)/4,0))</f>
        <v>113367.412100975</v>
      </c>
      <c r="AE66" s="14" t="n">
        <f aca="false">IF($A66&lt;=$G$7,$E$7*$F$7,IF(AA66&gt;=$B$8,AC66*$B$4*(1+$B$5)^(($G$7+$B$8+AB66*($B$8+$B$10))/4),0))</f>
        <v>453469.6484039</v>
      </c>
      <c r="AF66" s="14" t="n">
        <f aca="false">IF($A66&lt;=$G$7,0,IF(AA66=0,AC66*$B$6*(1+$B$7)^(($G$7+AB66*($B$8+$B$10))/4),0)+IF(AA66=$B$8,$B$11*$B$4*(1+$B$5)^(($G$7+$B$8+AB66*($B$8+$B$10))/4)*AC66,0))</f>
        <v>0</v>
      </c>
      <c r="AG66" s="21" t="n">
        <f aca="false">IF($A66&lt;=$G$7,0,IF(AA66&lt;$B$8,AC66,0))</f>
        <v>0</v>
      </c>
      <c r="AH66" s="21" t="n">
        <f aca="false">$A66-$G$8-1</f>
        <v>36</v>
      </c>
      <c r="AI66" s="21" t="n">
        <f aca="false">IF(AH66&lt;0,-1,MOD(AH66,$B$8+$B$10))</f>
        <v>13</v>
      </c>
      <c r="AJ66" s="21" t="n">
        <f aca="false">IF(AH66&lt;0,0,INT(AH66/($B$8+$B$10)))</f>
        <v>1</v>
      </c>
      <c r="AK66" s="21" t="n">
        <f aca="false">IF($A66&lt;=$G$8,$E$8,$E$8*(1-$H$8)^(AJ66+1))</f>
        <v>2160</v>
      </c>
      <c r="AL66" s="14" t="n">
        <f aca="false">IF($A66&lt;=$G$8,$E$8*$F$8/4,IF(AI66&gt;=$B$8+$B$9,AK66*$B$4*(1+$B$5)^(($G$8+$B$8+AJ66*($B$8+$B$10))/4)/4,0))</f>
        <v>226620.622019932</v>
      </c>
      <c r="AM66" s="14" t="n">
        <f aca="false">IF($A66&lt;=$G$8,$E$8*$F$8,IF(AI66&gt;=$B$8,AK66*$B$4*(1+$B$5)^(($G$8+$B$8+AJ66*($B$8+$B$10))/4),0))</f>
        <v>906482.488079726</v>
      </c>
      <c r="AN66" s="14" t="n">
        <f aca="false">IF($A66&lt;=$G$8,0,IF(AI66=0,AK66*$B$6*(1+$B$7)^(($G$8+AJ66*($B$8+$B$10))/4),0)+IF(AI66=$B$8,$B$11*$B$4*(1+$B$5)^(($G$8+$B$8+AJ66*($B$8+$B$10))/4)*AK66,0))</f>
        <v>0</v>
      </c>
      <c r="AO66" s="21" t="n">
        <f aca="false">IF($A66&lt;=$G$8,0,IF(AI66&lt;$B$8,AK66,0))</f>
        <v>0</v>
      </c>
      <c r="AP66" s="14" t="n">
        <f aca="false">F66+N66+V66+AD66+AL66</f>
        <v>805078.673856564</v>
      </c>
      <c r="AQ66" s="14" t="n">
        <f aca="false">G66+O66+W66+AE66+AM66</f>
        <v>5225829.56245734</v>
      </c>
      <c r="AR66" s="14" t="n">
        <f aca="false">H66+P66+X66+AF66+AN66+IF($A66=$B$15,$B$14,0)</f>
        <v>240661.784043731</v>
      </c>
      <c r="AS66" s="21" t="n">
        <f aca="false">I66+Q66+Y66+AG66+AO66</f>
        <v>0</v>
      </c>
      <c r="AT66" s="14" t="n">
        <f aca="false">AP66*(1-$B$12)-AS66*$B$13/4</f>
        <v>756773.95342517</v>
      </c>
      <c r="AU66" s="14" t="n">
        <f aca="false">0</f>
        <v>0</v>
      </c>
      <c r="AV66" s="14" t="n">
        <f aca="false">AT66-AR66-AU66</f>
        <v>516112.169381439</v>
      </c>
      <c r="AW66" s="21" t="n">
        <f aca="false">(1+$B$16)^(-$A66/4)</f>
        <v>0.501349020514149</v>
      </c>
      <c r="AX66" s="14" t="n">
        <f aca="false">AV66*AW66</f>
        <v>258752.330594817</v>
      </c>
      <c r="AY66" s="14" t="n">
        <f aca="false">AV66</f>
        <v>516112.169381439</v>
      </c>
    </row>
    <row r="67" customFormat="false" ht="15" hidden="false" customHeight="false" outlineLevel="0" collapsed="false">
      <c r="A67" s="0" t="n">
        <v>38</v>
      </c>
      <c r="B67" s="0" t="n">
        <f aca="false">$A67-$G$4-1</f>
        <v>27</v>
      </c>
      <c r="C67" s="0" t="n">
        <f aca="false">IF(B67&lt;0,-1,MOD(B67,$B$8+$B$10))</f>
        <v>4</v>
      </c>
      <c r="D67" s="0" t="n">
        <f aca="false">IF(B67&lt;0,0,INT(B67/($B$8+$B$10)))</f>
        <v>1</v>
      </c>
      <c r="E67" s="0" t="n">
        <f aca="false">IF($A67&lt;=$G$4,$E$4,$E$4*(1-$H$4)^(D67+1))</f>
        <v>4200</v>
      </c>
      <c r="F67" s="14" t="n">
        <f aca="false">IF($A67&lt;=$G$4,$E$4*$F$4/4,IF(C67&gt;=$B$8+$B$9,E67*$B$4*(1+$B$5)^(($G$4+$B$8+D67*($B$8+$B$10))/4)/4,0))</f>
        <v>0</v>
      </c>
      <c r="G67" s="14" t="n">
        <f aca="false">IF($A67&lt;=$G$4,$E$4*$F$4,IF(C67&gt;=$B$8,E67*$B$4*(1+$B$5)^(($G$4+$B$8+D67*($B$8+$B$10))/4),0))</f>
        <v>2005514.86703109</v>
      </c>
      <c r="H67" s="14" t="n">
        <f aca="false">IF($A67&lt;=$G$4,0,IF(C67=0,E67*$B$6*(1+$B$7)^(($G$4+D67*($B$8+$B$10))/4),0)+IF(C67=$B$8,$B$11*$B$4*(1+$B$5)^(($G$4+$B$8+D67*($B$8+$B$10))/4)*E67,0))</f>
        <v>0</v>
      </c>
      <c r="I67" s="21" t="n">
        <f aca="false">IF($A67&lt;=$G$4,0,IF(C67&lt;$B$8,E67,0))</f>
        <v>0</v>
      </c>
      <c r="J67" s="21" t="n">
        <f aca="false">$A67-$G$5-1</f>
        <v>21</v>
      </c>
      <c r="K67" s="21" t="n">
        <f aca="false">IF(J67&lt;0,-1,MOD(J67,$B$8+$B$10))</f>
        <v>21</v>
      </c>
      <c r="L67" s="21" t="n">
        <f aca="false">IF(J67&lt;0,0,INT(J67/($B$8+$B$10)))</f>
        <v>0</v>
      </c>
      <c r="M67" s="21" t="n">
        <f aca="false">IF($A67&lt;=$G$5,$E$5,$E$5*(1-$H$5)^(L67+1))</f>
        <v>3100</v>
      </c>
      <c r="N67" s="14" t="n">
        <f aca="false">IF($A67&lt;=$G$5,$E$5*$F$5/4,IF(K67&gt;=$B$8+$B$9,M67*$B$4*(1+$B$5)^(($G$5+$B$8+L67*($B$8+$B$10))/4)/4,0))</f>
        <v>297137.674677462</v>
      </c>
      <c r="O67" s="14" t="n">
        <f aca="false">IF($A67&lt;=$G$5,$E$5*$F$5,IF(K67&gt;=$B$8,M67*$B$4*(1+$B$5)^(($G$5+$B$8+L67*($B$8+$B$10))/4),0))</f>
        <v>1188550.69870985</v>
      </c>
      <c r="P67" s="14" t="n">
        <f aca="false">IF($A67&lt;=$G$5,0,IF(K67=0,M67*$B$6*(1+$B$7)^(($G$5+L67*($B$8+$B$10))/4),0)+IF(K67=$B$8,$B$11*$B$4*(1+$B$5)^(($G$5+$B$8+L67*($B$8+$B$10))/4)*M67,0))</f>
        <v>0</v>
      </c>
      <c r="Q67" s="21" t="n">
        <f aca="false">IF($A67&lt;=$G$5,0,IF(K67&lt;$B$8,M67,0))</f>
        <v>0</v>
      </c>
      <c r="R67" s="21" t="n">
        <f aca="false">$A67-$G$6-1</f>
        <v>11</v>
      </c>
      <c r="S67" s="21" t="n">
        <f aca="false">IF(R67&lt;0,-1,MOD(R67,$B$8+$B$10))</f>
        <v>11</v>
      </c>
      <c r="T67" s="21" t="n">
        <f aca="false">IF(R67&lt;0,0,INT(R67/($B$8+$B$10)))</f>
        <v>0</v>
      </c>
      <c r="U67" s="21" t="n">
        <f aca="false">IF($A67&lt;=$G$6,$E$6,$E$6*(1-$H$6)^(T67+1))</f>
        <v>1540</v>
      </c>
      <c r="V67" s="14" t="n">
        <f aca="false">IF($A67&lt;=$G$6,$E$6*$F$6/4,IF(S67&gt;=$B$8+$B$9,U67*$B$4*(1+$B$5)^(($G$6+$B$8+T67*($B$8+$B$10))/4)/4,0))</f>
        <v>167952.965058195</v>
      </c>
      <c r="W67" s="14" t="n">
        <f aca="false">IF($A67&lt;=$G$6,$E$6*$F$6,IF(S67&gt;=$B$8,U67*$B$4*(1+$B$5)^(($G$6+$B$8+T67*($B$8+$B$10))/4),0))</f>
        <v>671811.860232781</v>
      </c>
      <c r="X67" s="14" t="n">
        <f aca="false">IF($A67&lt;=$G$6,0,IF(S67=0,U67*$B$6*(1+$B$7)^(($G$6+T67*($B$8+$B$10))/4),0)+IF(S67=$B$8,$B$11*$B$4*(1+$B$5)^(($G$6+$B$8+T67*($B$8+$B$10))/4)*U67,0))</f>
        <v>0</v>
      </c>
      <c r="Y67" s="21" t="n">
        <f aca="false">IF($A67&lt;=$G$6,0,IF(S67&lt;$B$8,U67,0))</f>
        <v>0</v>
      </c>
      <c r="Z67" s="21" t="n">
        <f aca="false">$A67-$G$7-1</f>
        <v>31</v>
      </c>
      <c r="AA67" s="21" t="n">
        <f aca="false">IF(Z67&lt;0,-1,MOD(Z67,$B$8+$B$10))</f>
        <v>8</v>
      </c>
      <c r="AB67" s="21" t="n">
        <f aca="false">IF(Z67&lt;0,0,INT(Z67/($B$8+$B$10)))</f>
        <v>1</v>
      </c>
      <c r="AC67" s="21" t="n">
        <f aca="false">IF($A67&lt;=$G$7,$E$7,$E$7*(1-$H$7)^(AB67+1))</f>
        <v>1000</v>
      </c>
      <c r="AD67" s="14" t="n">
        <f aca="false">IF($A67&lt;=$G$7,$E$7*$F$7/4,IF(AA67&gt;=$B$8+$B$9,AC67*$B$4*(1+$B$5)^(($G$7+$B$8+AB67*($B$8+$B$10))/4)/4,0))</f>
        <v>113367.412100975</v>
      </c>
      <c r="AE67" s="14" t="n">
        <f aca="false">IF($A67&lt;=$G$7,$E$7*$F$7,IF(AA67&gt;=$B$8,AC67*$B$4*(1+$B$5)^(($G$7+$B$8+AB67*($B$8+$B$10))/4),0))</f>
        <v>453469.6484039</v>
      </c>
      <c r="AF67" s="14" t="n">
        <f aca="false">IF($A67&lt;=$G$7,0,IF(AA67=0,AC67*$B$6*(1+$B$7)^(($G$7+AB67*($B$8+$B$10))/4),0)+IF(AA67=$B$8,$B$11*$B$4*(1+$B$5)^(($G$7+$B$8+AB67*($B$8+$B$10))/4)*AC67,0))</f>
        <v>0</v>
      </c>
      <c r="AG67" s="21" t="n">
        <f aca="false">IF($A67&lt;=$G$7,0,IF(AA67&lt;$B$8,AC67,0))</f>
        <v>0</v>
      </c>
      <c r="AH67" s="21" t="n">
        <f aca="false">$A67-$G$8-1</f>
        <v>37</v>
      </c>
      <c r="AI67" s="21" t="n">
        <f aca="false">IF(AH67&lt;0,-1,MOD(AH67,$B$8+$B$10))</f>
        <v>14</v>
      </c>
      <c r="AJ67" s="21" t="n">
        <f aca="false">IF(AH67&lt;0,0,INT(AH67/($B$8+$B$10)))</f>
        <v>1</v>
      </c>
      <c r="AK67" s="21" t="n">
        <f aca="false">IF($A67&lt;=$G$8,$E$8,$E$8*(1-$H$8)^(AJ67+1))</f>
        <v>2160</v>
      </c>
      <c r="AL67" s="14" t="n">
        <f aca="false">IF($A67&lt;=$G$8,$E$8*$F$8/4,IF(AI67&gt;=$B$8+$B$9,AK67*$B$4*(1+$B$5)^(($G$8+$B$8+AJ67*($B$8+$B$10))/4)/4,0))</f>
        <v>226620.622019932</v>
      </c>
      <c r="AM67" s="14" t="n">
        <f aca="false">IF($A67&lt;=$G$8,$E$8*$F$8,IF(AI67&gt;=$B$8,AK67*$B$4*(1+$B$5)^(($G$8+$B$8+AJ67*($B$8+$B$10))/4),0))</f>
        <v>906482.488079726</v>
      </c>
      <c r="AN67" s="14" t="n">
        <f aca="false">IF($A67&lt;=$G$8,0,IF(AI67=0,AK67*$B$6*(1+$B$7)^(($G$8+AJ67*($B$8+$B$10))/4),0)+IF(AI67=$B$8,$B$11*$B$4*(1+$B$5)^(($G$8+$B$8+AJ67*($B$8+$B$10))/4)*AK67,0))</f>
        <v>0</v>
      </c>
      <c r="AO67" s="21" t="n">
        <f aca="false">IF($A67&lt;=$G$8,0,IF(AI67&lt;$B$8,AK67,0))</f>
        <v>0</v>
      </c>
      <c r="AP67" s="14" t="n">
        <f aca="false">F67+N67+V67+AD67+AL67</f>
        <v>805078.673856564</v>
      </c>
      <c r="AQ67" s="14" t="n">
        <f aca="false">G67+O67+W67+AE67+AM67</f>
        <v>5225829.56245734</v>
      </c>
      <c r="AR67" s="14" t="n">
        <f aca="false">H67+P67+X67+AF67+AN67+IF($A67=$B$15,$B$14,0)</f>
        <v>0</v>
      </c>
      <c r="AS67" s="21" t="n">
        <f aca="false">I67+Q67+Y67+AG67+AO67</f>
        <v>0</v>
      </c>
      <c r="AT67" s="14" t="n">
        <f aca="false">AP67*(1-$B$12)-AS67*$B$13/4</f>
        <v>756773.95342517</v>
      </c>
      <c r="AU67" s="14" t="n">
        <f aca="false">0</f>
        <v>0</v>
      </c>
      <c r="AV67" s="14" t="n">
        <f aca="false">AT67-AR67-AU67</f>
        <v>756773.95342517</v>
      </c>
      <c r="AW67" s="21" t="n">
        <f aca="false">(1+$B$16)^(-$A67/4)</f>
        <v>0.492080155311421</v>
      </c>
      <c r="AX67" s="14" t="n">
        <f aca="false">AV67*AW67</f>
        <v>372393.444537096</v>
      </c>
      <c r="AY67" s="14" t="n">
        <f aca="false">AV67</f>
        <v>756773.95342517</v>
      </c>
    </row>
    <row r="68" customFormat="false" ht="15" hidden="false" customHeight="false" outlineLevel="0" collapsed="false">
      <c r="A68" s="0" t="n">
        <v>39</v>
      </c>
      <c r="B68" s="0" t="n">
        <f aca="false">$A68-$G$4-1</f>
        <v>28</v>
      </c>
      <c r="C68" s="0" t="n">
        <f aca="false">IF(B68&lt;0,-1,MOD(B68,$B$8+$B$10))</f>
        <v>5</v>
      </c>
      <c r="D68" s="0" t="n">
        <f aca="false">IF(B68&lt;0,0,INT(B68/($B$8+$B$10)))</f>
        <v>1</v>
      </c>
      <c r="E68" s="0" t="n">
        <f aca="false">IF($A68&lt;=$G$4,$E$4,$E$4*(1-$H$4)^(D68+1))</f>
        <v>4200</v>
      </c>
      <c r="F68" s="14" t="n">
        <f aca="false">IF($A68&lt;=$G$4,$E$4*$F$4/4,IF(C68&gt;=$B$8+$B$9,E68*$B$4*(1+$B$5)^(($G$4+$B$8+D68*($B$8+$B$10))/4)/4,0))</f>
        <v>0</v>
      </c>
      <c r="G68" s="14" t="n">
        <f aca="false">IF($A68&lt;=$G$4,$E$4*$F$4,IF(C68&gt;=$B$8,E68*$B$4*(1+$B$5)^(($G$4+$B$8+D68*($B$8+$B$10))/4),0))</f>
        <v>2005514.86703109</v>
      </c>
      <c r="H68" s="14" t="n">
        <f aca="false">IF($A68&lt;=$G$4,0,IF(C68=0,E68*$B$6*(1+$B$7)^(($G$4+D68*($B$8+$B$10))/4),0)+IF(C68=$B$8,$B$11*$B$4*(1+$B$5)^(($G$4+$B$8+D68*($B$8+$B$10))/4)*E68,0))</f>
        <v>0</v>
      </c>
      <c r="I68" s="21" t="n">
        <f aca="false">IF($A68&lt;=$G$4,0,IF(C68&lt;$B$8,E68,0))</f>
        <v>0</v>
      </c>
      <c r="J68" s="21" t="n">
        <f aca="false">$A68-$G$5-1</f>
        <v>22</v>
      </c>
      <c r="K68" s="21" t="n">
        <f aca="false">IF(J68&lt;0,-1,MOD(J68,$B$8+$B$10))</f>
        <v>22</v>
      </c>
      <c r="L68" s="21" t="n">
        <f aca="false">IF(J68&lt;0,0,INT(J68/($B$8+$B$10)))</f>
        <v>0</v>
      </c>
      <c r="M68" s="21" t="n">
        <f aca="false">IF($A68&lt;=$G$5,$E$5,$E$5*(1-$H$5)^(L68+1))</f>
        <v>3100</v>
      </c>
      <c r="N68" s="14" t="n">
        <f aca="false">IF($A68&lt;=$G$5,$E$5*$F$5/4,IF(K68&gt;=$B$8+$B$9,M68*$B$4*(1+$B$5)^(($G$5+$B$8+L68*($B$8+$B$10))/4)/4,0))</f>
        <v>297137.674677462</v>
      </c>
      <c r="O68" s="14" t="n">
        <f aca="false">IF($A68&lt;=$G$5,$E$5*$F$5,IF(K68&gt;=$B$8,M68*$B$4*(1+$B$5)^(($G$5+$B$8+L68*($B$8+$B$10))/4),0))</f>
        <v>1188550.69870985</v>
      </c>
      <c r="P68" s="14" t="n">
        <f aca="false">IF($A68&lt;=$G$5,0,IF(K68=0,M68*$B$6*(1+$B$7)^(($G$5+L68*($B$8+$B$10))/4),0)+IF(K68=$B$8,$B$11*$B$4*(1+$B$5)^(($G$5+$B$8+L68*($B$8+$B$10))/4)*M68,0))</f>
        <v>0</v>
      </c>
      <c r="Q68" s="21" t="n">
        <f aca="false">IF($A68&lt;=$G$5,0,IF(K68&lt;$B$8,M68,0))</f>
        <v>0</v>
      </c>
      <c r="R68" s="21" t="n">
        <f aca="false">$A68-$G$6-1</f>
        <v>12</v>
      </c>
      <c r="S68" s="21" t="n">
        <f aca="false">IF(R68&lt;0,-1,MOD(R68,$B$8+$B$10))</f>
        <v>12</v>
      </c>
      <c r="T68" s="21" t="n">
        <f aca="false">IF(R68&lt;0,0,INT(R68/($B$8+$B$10)))</f>
        <v>0</v>
      </c>
      <c r="U68" s="21" t="n">
        <f aca="false">IF($A68&lt;=$G$6,$E$6,$E$6*(1-$H$6)^(T68+1))</f>
        <v>1540</v>
      </c>
      <c r="V68" s="14" t="n">
        <f aca="false">IF($A68&lt;=$G$6,$E$6*$F$6/4,IF(S68&gt;=$B$8+$B$9,U68*$B$4*(1+$B$5)^(($G$6+$B$8+T68*($B$8+$B$10))/4)/4,0))</f>
        <v>167952.965058195</v>
      </c>
      <c r="W68" s="14" t="n">
        <f aca="false">IF($A68&lt;=$G$6,$E$6*$F$6,IF(S68&gt;=$B$8,U68*$B$4*(1+$B$5)^(($G$6+$B$8+T68*($B$8+$B$10))/4),0))</f>
        <v>671811.860232781</v>
      </c>
      <c r="X68" s="14" t="n">
        <f aca="false">IF($A68&lt;=$G$6,0,IF(S68=0,U68*$B$6*(1+$B$7)^(($G$6+T68*($B$8+$B$10))/4),0)+IF(S68=$B$8,$B$11*$B$4*(1+$B$5)^(($G$6+$B$8+T68*($B$8+$B$10))/4)*U68,0))</f>
        <v>0</v>
      </c>
      <c r="Y68" s="21" t="n">
        <f aca="false">IF($A68&lt;=$G$6,0,IF(S68&lt;$B$8,U68,0))</f>
        <v>0</v>
      </c>
      <c r="Z68" s="21" t="n">
        <f aca="false">$A68-$G$7-1</f>
        <v>32</v>
      </c>
      <c r="AA68" s="21" t="n">
        <f aca="false">IF(Z68&lt;0,-1,MOD(Z68,$B$8+$B$10))</f>
        <v>9</v>
      </c>
      <c r="AB68" s="21" t="n">
        <f aca="false">IF(Z68&lt;0,0,INT(Z68/($B$8+$B$10)))</f>
        <v>1</v>
      </c>
      <c r="AC68" s="21" t="n">
        <f aca="false">IF($A68&lt;=$G$7,$E$7,$E$7*(1-$H$7)^(AB68+1))</f>
        <v>1000</v>
      </c>
      <c r="AD68" s="14" t="n">
        <f aca="false">IF($A68&lt;=$G$7,$E$7*$F$7/4,IF(AA68&gt;=$B$8+$B$9,AC68*$B$4*(1+$B$5)^(($G$7+$B$8+AB68*($B$8+$B$10))/4)/4,0))</f>
        <v>113367.412100975</v>
      </c>
      <c r="AE68" s="14" t="n">
        <f aca="false">IF($A68&lt;=$G$7,$E$7*$F$7,IF(AA68&gt;=$B$8,AC68*$B$4*(1+$B$5)^(($G$7+$B$8+AB68*($B$8+$B$10))/4),0))</f>
        <v>453469.6484039</v>
      </c>
      <c r="AF68" s="14" t="n">
        <f aca="false">IF($A68&lt;=$G$7,0,IF(AA68=0,AC68*$B$6*(1+$B$7)^(($G$7+AB68*($B$8+$B$10))/4),0)+IF(AA68=$B$8,$B$11*$B$4*(1+$B$5)^(($G$7+$B$8+AB68*($B$8+$B$10))/4)*AC68,0))</f>
        <v>0</v>
      </c>
      <c r="AG68" s="21" t="n">
        <f aca="false">IF($A68&lt;=$G$7,0,IF(AA68&lt;$B$8,AC68,0))</f>
        <v>0</v>
      </c>
      <c r="AH68" s="21" t="n">
        <f aca="false">$A68-$G$8-1</f>
        <v>38</v>
      </c>
      <c r="AI68" s="21" t="n">
        <f aca="false">IF(AH68&lt;0,-1,MOD(AH68,$B$8+$B$10))</f>
        <v>15</v>
      </c>
      <c r="AJ68" s="21" t="n">
        <f aca="false">IF(AH68&lt;0,0,INT(AH68/($B$8+$B$10)))</f>
        <v>1</v>
      </c>
      <c r="AK68" s="21" t="n">
        <f aca="false">IF($A68&lt;=$G$8,$E$8,$E$8*(1-$H$8)^(AJ68+1))</f>
        <v>2160</v>
      </c>
      <c r="AL68" s="14" t="n">
        <f aca="false">IF($A68&lt;=$G$8,$E$8*$F$8/4,IF(AI68&gt;=$B$8+$B$9,AK68*$B$4*(1+$B$5)^(($G$8+$B$8+AJ68*($B$8+$B$10))/4)/4,0))</f>
        <v>226620.622019932</v>
      </c>
      <c r="AM68" s="14" t="n">
        <f aca="false">IF($A68&lt;=$G$8,$E$8*$F$8,IF(AI68&gt;=$B$8,AK68*$B$4*(1+$B$5)^(($G$8+$B$8+AJ68*($B$8+$B$10))/4),0))</f>
        <v>906482.488079726</v>
      </c>
      <c r="AN68" s="14" t="n">
        <f aca="false">IF($A68&lt;=$G$8,0,IF(AI68=0,AK68*$B$6*(1+$B$7)^(($G$8+AJ68*($B$8+$B$10))/4),0)+IF(AI68=$B$8,$B$11*$B$4*(1+$B$5)^(($G$8+$B$8+AJ68*($B$8+$B$10))/4)*AK68,0))</f>
        <v>0</v>
      </c>
      <c r="AO68" s="21" t="n">
        <f aca="false">IF($A68&lt;=$G$8,0,IF(AI68&lt;$B$8,AK68,0))</f>
        <v>0</v>
      </c>
      <c r="AP68" s="14" t="n">
        <f aca="false">F68+N68+V68+AD68+AL68</f>
        <v>805078.673856564</v>
      </c>
      <c r="AQ68" s="14" t="n">
        <f aca="false">G68+O68+W68+AE68+AM68</f>
        <v>5225829.56245734</v>
      </c>
      <c r="AR68" s="14" t="n">
        <f aca="false">H68+P68+X68+AF68+AN68+IF($A68=$B$15,$B$14,0)</f>
        <v>0</v>
      </c>
      <c r="AS68" s="21" t="n">
        <f aca="false">I68+Q68+Y68+AG68+AO68</f>
        <v>0</v>
      </c>
      <c r="AT68" s="14" t="n">
        <f aca="false">AP68*(1-$B$12)-AS68*$B$13/4</f>
        <v>756773.95342517</v>
      </c>
      <c r="AU68" s="14" t="n">
        <f aca="false">0</f>
        <v>0</v>
      </c>
      <c r="AV68" s="14" t="n">
        <f aca="false">AT68-AR68-AU68</f>
        <v>756773.95342517</v>
      </c>
      <c r="AW68" s="21" t="n">
        <f aca="false">(1+$B$16)^(-$A68/4)</f>
        <v>0.482982651492941</v>
      </c>
      <c r="AX68" s="14" t="n">
        <f aca="false">AV68*AW68</f>
        <v>365508.690606084</v>
      </c>
      <c r="AY68" s="14" t="n">
        <f aca="false">AV68</f>
        <v>756773.95342517</v>
      </c>
    </row>
    <row r="69" customFormat="false" ht="15" hidden="false" customHeight="false" outlineLevel="0" collapsed="false">
      <c r="A69" s="0" t="n">
        <v>40</v>
      </c>
      <c r="B69" s="0" t="n">
        <f aca="false">$A69-$G$4-1</f>
        <v>29</v>
      </c>
      <c r="C69" s="0" t="n">
        <f aca="false">IF(B69&lt;0,-1,MOD(B69,$B$8+$B$10))</f>
        <v>6</v>
      </c>
      <c r="D69" s="0" t="n">
        <f aca="false">IF(B69&lt;0,0,INT(B69/($B$8+$B$10)))</f>
        <v>1</v>
      </c>
      <c r="E69" s="0" t="n">
        <f aca="false">IF($A69&lt;=$G$4,$E$4,$E$4*(1-$H$4)^(D69+1))</f>
        <v>4200</v>
      </c>
      <c r="F69" s="14" t="n">
        <f aca="false">IF($A69&lt;=$G$4,$E$4*$F$4/4,IF(C69&gt;=$B$8+$B$9,E69*$B$4*(1+$B$5)^(($G$4+$B$8+D69*($B$8+$B$10))/4)/4,0))</f>
        <v>501378.716757772</v>
      </c>
      <c r="G69" s="14" t="n">
        <f aca="false">IF($A69&lt;=$G$4,$E$4*$F$4,IF(C69&gt;=$B$8,E69*$B$4*(1+$B$5)^(($G$4+$B$8+D69*($B$8+$B$10))/4),0))</f>
        <v>2005514.86703109</v>
      </c>
      <c r="H69" s="14" t="n">
        <f aca="false">IF($A69&lt;=$G$4,0,IF(C69=0,E69*$B$6*(1+$B$7)^(($G$4+D69*($B$8+$B$10))/4),0)+IF(C69=$B$8,$B$11*$B$4*(1+$B$5)^(($G$4+$B$8+D69*($B$8+$B$10))/4)*E69,0))</f>
        <v>0</v>
      </c>
      <c r="I69" s="21" t="n">
        <f aca="false">IF($A69&lt;=$G$4,0,IF(C69&lt;$B$8,E69,0))</f>
        <v>0</v>
      </c>
      <c r="J69" s="21" t="n">
        <f aca="false">$A69-$G$5-1</f>
        <v>23</v>
      </c>
      <c r="K69" s="21" t="n">
        <f aca="false">IF(J69&lt;0,-1,MOD(J69,$B$8+$B$10))</f>
        <v>0</v>
      </c>
      <c r="L69" s="21" t="n">
        <f aca="false">IF(J69&lt;0,0,INT(J69/($B$8+$B$10)))</f>
        <v>1</v>
      </c>
      <c r="M69" s="21" t="n">
        <f aca="false">IF($A69&lt;=$G$5,$E$5,$E$5*(1-$H$5)^(L69+1))</f>
        <v>3100</v>
      </c>
      <c r="N69" s="14" t="n">
        <f aca="false">IF($A69&lt;=$G$5,$E$5*$F$5/4,IF(K69&gt;=$B$8+$B$9,M69*$B$4*(1+$B$5)^(($G$5+$B$8+L69*($B$8+$B$10))/4)/4,0))</f>
        <v>0</v>
      </c>
      <c r="O69" s="14" t="n">
        <f aca="false">IF($A69&lt;=$G$5,$E$5*$F$5,IF(K69&gt;=$B$8,M69*$B$4*(1+$B$5)^(($G$5+$B$8+L69*($B$8+$B$10))/4),0))</f>
        <v>0</v>
      </c>
      <c r="P69" s="14" t="n">
        <f aca="false">IF($A69&lt;=$G$5,0,IF(K69=0,M69*$B$6*(1+$B$7)^(($G$5+L69*($B$8+$B$10))/4),0)+IF(K69=$B$8,$B$11*$B$4*(1+$B$5)^(($G$5+$B$8+L69*($B$8+$B$10))/4)*M69,0))</f>
        <v>1656413.15825074</v>
      </c>
      <c r="Q69" s="21" t="n">
        <f aca="false">IF($A69&lt;=$G$5,0,IF(K69&lt;$B$8,M69,0))</f>
        <v>3100</v>
      </c>
      <c r="R69" s="21" t="n">
        <f aca="false">$A69-$G$6-1</f>
        <v>13</v>
      </c>
      <c r="S69" s="21" t="n">
        <f aca="false">IF(R69&lt;0,-1,MOD(R69,$B$8+$B$10))</f>
        <v>13</v>
      </c>
      <c r="T69" s="21" t="n">
        <f aca="false">IF(R69&lt;0,0,INT(R69/($B$8+$B$10)))</f>
        <v>0</v>
      </c>
      <c r="U69" s="21" t="n">
        <f aca="false">IF($A69&lt;=$G$6,$E$6,$E$6*(1-$H$6)^(T69+1))</f>
        <v>1540</v>
      </c>
      <c r="V69" s="14" t="n">
        <f aca="false">IF($A69&lt;=$G$6,$E$6*$F$6/4,IF(S69&gt;=$B$8+$B$9,U69*$B$4*(1+$B$5)^(($G$6+$B$8+T69*($B$8+$B$10))/4)/4,0))</f>
        <v>167952.965058195</v>
      </c>
      <c r="W69" s="14" t="n">
        <f aca="false">IF($A69&lt;=$G$6,$E$6*$F$6,IF(S69&gt;=$B$8,U69*$B$4*(1+$B$5)^(($G$6+$B$8+T69*($B$8+$B$10))/4),0))</f>
        <v>671811.860232781</v>
      </c>
      <c r="X69" s="14" t="n">
        <f aca="false">IF($A69&lt;=$G$6,0,IF(S69=0,U69*$B$6*(1+$B$7)^(($G$6+T69*($B$8+$B$10))/4),0)+IF(S69=$B$8,$B$11*$B$4*(1+$B$5)^(($G$6+$B$8+T69*($B$8+$B$10))/4)*U69,0))</f>
        <v>0</v>
      </c>
      <c r="Y69" s="21" t="n">
        <f aca="false">IF($A69&lt;=$G$6,0,IF(S69&lt;$B$8,U69,0))</f>
        <v>0</v>
      </c>
      <c r="Z69" s="21" t="n">
        <f aca="false">$A69-$G$7-1</f>
        <v>33</v>
      </c>
      <c r="AA69" s="21" t="n">
        <f aca="false">IF(Z69&lt;0,-1,MOD(Z69,$B$8+$B$10))</f>
        <v>10</v>
      </c>
      <c r="AB69" s="21" t="n">
        <f aca="false">IF(Z69&lt;0,0,INT(Z69/($B$8+$B$10)))</f>
        <v>1</v>
      </c>
      <c r="AC69" s="21" t="n">
        <f aca="false">IF($A69&lt;=$G$7,$E$7,$E$7*(1-$H$7)^(AB69+1))</f>
        <v>1000</v>
      </c>
      <c r="AD69" s="14" t="n">
        <f aca="false">IF($A69&lt;=$G$7,$E$7*$F$7/4,IF(AA69&gt;=$B$8+$B$9,AC69*$B$4*(1+$B$5)^(($G$7+$B$8+AB69*($B$8+$B$10))/4)/4,0))</f>
        <v>113367.412100975</v>
      </c>
      <c r="AE69" s="14" t="n">
        <f aca="false">IF($A69&lt;=$G$7,$E$7*$F$7,IF(AA69&gt;=$B$8,AC69*$B$4*(1+$B$5)^(($G$7+$B$8+AB69*($B$8+$B$10))/4),0))</f>
        <v>453469.6484039</v>
      </c>
      <c r="AF69" s="14" t="n">
        <f aca="false">IF($A69&lt;=$G$7,0,IF(AA69=0,AC69*$B$6*(1+$B$7)^(($G$7+AB69*($B$8+$B$10))/4),0)+IF(AA69=$B$8,$B$11*$B$4*(1+$B$5)^(($G$7+$B$8+AB69*($B$8+$B$10))/4)*AC69,0))</f>
        <v>0</v>
      </c>
      <c r="AG69" s="21" t="n">
        <f aca="false">IF($A69&lt;=$G$7,0,IF(AA69&lt;$B$8,AC69,0))</f>
        <v>0</v>
      </c>
      <c r="AH69" s="21" t="n">
        <f aca="false">$A69-$G$8-1</f>
        <v>39</v>
      </c>
      <c r="AI69" s="21" t="n">
        <f aca="false">IF(AH69&lt;0,-1,MOD(AH69,$B$8+$B$10))</f>
        <v>16</v>
      </c>
      <c r="AJ69" s="21" t="n">
        <f aca="false">IF(AH69&lt;0,0,INT(AH69/($B$8+$B$10)))</f>
        <v>1</v>
      </c>
      <c r="AK69" s="21" t="n">
        <f aca="false">IF($A69&lt;=$G$8,$E$8,$E$8*(1-$H$8)^(AJ69+1))</f>
        <v>2160</v>
      </c>
      <c r="AL69" s="14" t="n">
        <f aca="false">IF($A69&lt;=$G$8,$E$8*$F$8/4,IF(AI69&gt;=$B$8+$B$9,AK69*$B$4*(1+$B$5)^(($G$8+$B$8+AJ69*($B$8+$B$10))/4)/4,0))</f>
        <v>226620.622019932</v>
      </c>
      <c r="AM69" s="14" t="n">
        <f aca="false">IF($A69&lt;=$G$8,$E$8*$F$8,IF(AI69&gt;=$B$8,AK69*$B$4*(1+$B$5)^(($G$8+$B$8+AJ69*($B$8+$B$10))/4),0))</f>
        <v>906482.488079726</v>
      </c>
      <c r="AN69" s="14" t="n">
        <f aca="false">IF($A69&lt;=$G$8,0,IF(AI69=0,AK69*$B$6*(1+$B$7)^(($G$8+AJ69*($B$8+$B$10))/4),0)+IF(AI69=$B$8,$B$11*$B$4*(1+$B$5)^(($G$8+$B$8+AJ69*($B$8+$B$10))/4)*AK69,0))</f>
        <v>0</v>
      </c>
      <c r="AO69" s="21" t="n">
        <f aca="false">IF($A69&lt;=$G$8,0,IF(AI69&lt;$B$8,AK69,0))</f>
        <v>0</v>
      </c>
      <c r="AP69" s="14" t="n">
        <f aca="false">F69+N69+V69+AD69+AL69</f>
        <v>1009319.71593687</v>
      </c>
      <c r="AQ69" s="14" t="n">
        <f aca="false">G69+O69+W69+AE69+AM69</f>
        <v>4037278.8637475</v>
      </c>
      <c r="AR69" s="14" t="n">
        <f aca="false">H69+P69+X69+AF69+AN69+IF($A69=$B$15,$B$14,0)</f>
        <v>1656413.15825074</v>
      </c>
      <c r="AS69" s="21" t="n">
        <f aca="false">I69+Q69+Y69+AG69+AO69</f>
        <v>3100</v>
      </c>
      <c r="AT69" s="14" t="n">
        <f aca="false">AP69*(1-$B$12)-AS69*$B$13/4</f>
        <v>906135.532980662</v>
      </c>
      <c r="AU69" s="14" t="n">
        <f aca="false">0</f>
        <v>0</v>
      </c>
      <c r="AV69" s="14" t="n">
        <f aca="false">AT69-AR69-AU69</f>
        <v>-750277.625270082</v>
      </c>
      <c r="AW69" s="21" t="n">
        <f aca="false">(1+$B$16)^(-$A69/4)</f>
        <v>0.474053340955239</v>
      </c>
      <c r="AX69" s="14" t="n">
        <f aca="false">AV69*AW69</f>
        <v>-355671.614903245</v>
      </c>
      <c r="AY69" s="14" t="n">
        <f aca="false">AV69+$J$9</f>
        <v>74104336.8354017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4" min="3" style="0" width="16"/>
    <col collapsed="false" customWidth="true" hidden="false" outlineLevel="0" max="6" min="5" style="0" width="14"/>
  </cols>
  <sheetData>
    <row r="1" customFormat="false" ht="16.15" hidden="false" customHeight="false" outlineLevel="0" collapsed="false">
      <c r="A1" s="5" t="s">
        <v>339</v>
      </c>
    </row>
    <row r="3" customFormat="false" ht="15" hidden="false" customHeight="false" outlineLevel="0" collapsed="false">
      <c r="A3" s="0" t="s">
        <v>340</v>
      </c>
      <c r="B3" s="20" t="s">
        <v>341</v>
      </c>
      <c r="C3" s="20" t="s">
        <v>342</v>
      </c>
      <c r="D3" s="20" t="s">
        <v>343</v>
      </c>
      <c r="E3" s="20" t="s">
        <v>344</v>
      </c>
      <c r="F3" s="20" t="s">
        <v>345</v>
      </c>
    </row>
    <row r="4" customFormat="false" ht="15" hidden="false" customHeight="false" outlineLevel="0" collapsed="false">
      <c r="A4" s="0" t="s">
        <v>346</v>
      </c>
      <c r="C4" s="14" t="n">
        <f aca="false">'5. Value'!$B$12</f>
        <v>32551199.8950229</v>
      </c>
      <c r="D4" s="14" t="n">
        <v>0</v>
      </c>
      <c r="E4" s="23" t="n">
        <v>0</v>
      </c>
      <c r="F4" s="18" t="n">
        <f aca="false">'5. Value'!B19</f>
        <v>0.0432289434713613</v>
      </c>
    </row>
    <row r="5" customFormat="false" ht="15" hidden="false" customHeight="false" outlineLevel="0" collapsed="false">
      <c r="A5" s="0" t="s">
        <v>347</v>
      </c>
      <c r="B5" s="0" t="s">
        <v>142</v>
      </c>
      <c r="C5" s="14" t="n">
        <f aca="false">'S01 Void of 15 months'!J13</f>
        <v>31567926.7912539</v>
      </c>
      <c r="D5" s="14" t="n">
        <f aca="false">'S01 Void of 15 months'!J18</f>
        <v>-983273.103769053</v>
      </c>
      <c r="E5" s="23" t="n">
        <f aca="false">'S01 Void of 15 months'!J19</f>
        <v>-0.0302069695415251</v>
      </c>
      <c r="F5" s="18" t="n">
        <f aca="false">'S01 Void of 15 months'!J15</f>
        <v>0.0401170966620172</v>
      </c>
    </row>
    <row r="6" customFormat="false" ht="15" hidden="false" customHeight="false" outlineLevel="0" collapsed="false">
      <c r="A6" s="0" t="s">
        <v>348</v>
      </c>
      <c r="B6" s="0" t="s">
        <v>142</v>
      </c>
      <c r="C6" s="14" t="n">
        <f aca="false">'S02 Void of 3 months'!J13</f>
        <v>34696411.6410712</v>
      </c>
      <c r="D6" s="14" t="n">
        <f aca="false">'S02 Void of 3 months'!J18</f>
        <v>2145211.74604831</v>
      </c>
      <c r="E6" s="23" t="n">
        <f aca="false">'S02 Void of 3 months'!J19</f>
        <v>0.0659026933866214</v>
      </c>
      <c r="F6" s="18" t="n">
        <f aca="false">'S02 Void of 3 months'!J15</f>
        <v>0.0505865864526172</v>
      </c>
    </row>
    <row r="7" customFormat="false" ht="15" hidden="false" customHeight="false" outlineLevel="0" collapsed="false">
      <c r="A7" s="0" t="s">
        <v>349</v>
      </c>
      <c r="B7" s="0" t="s">
        <v>142</v>
      </c>
      <c r="C7" s="14" t="n">
        <f aca="false">'S03 No void at all'!J13</f>
        <v>35560448.8676478</v>
      </c>
      <c r="D7" s="14" t="n">
        <f aca="false">'S03 No void at all'!J18</f>
        <v>3009248.97262492</v>
      </c>
      <c r="E7" s="23" t="n">
        <f aca="false">'S03 No void at all'!J19</f>
        <v>0.09244663736912</v>
      </c>
      <c r="F7" s="18" t="n">
        <f aca="false">'S03 No void at all'!J15</f>
        <v>0.0533937223309904</v>
      </c>
    </row>
    <row r="8" customFormat="false" ht="15" hidden="false" customHeight="false" outlineLevel="0" collapsed="false">
      <c r="A8" s="0" t="s">
        <v>350</v>
      </c>
      <c r="B8" s="0" t="s">
        <v>131</v>
      </c>
      <c r="C8" s="14" t="n">
        <f aca="false">'S04 Exit yield 5.75 per cent'!J13</f>
        <v>36886184.6009989</v>
      </c>
      <c r="D8" s="14" t="n">
        <f aca="false">'S04 Exit yield 5.75 per cent'!J18</f>
        <v>4334984.70597604</v>
      </c>
      <c r="E8" s="23" t="n">
        <f aca="false">'S04 Exit yield 5.75 per cent'!J19</f>
        <v>0.133174344416068</v>
      </c>
      <c r="F8" s="18" t="n">
        <f aca="false">'S04 Exit yield 5.75 per cent'!J15</f>
        <v>0.0587282923782302</v>
      </c>
    </row>
    <row r="9" customFormat="false" ht="15" hidden="false" customHeight="false" outlineLevel="0" collapsed="false">
      <c r="A9" s="0" t="s">
        <v>351</v>
      </c>
      <c r="B9" s="0" t="s">
        <v>131</v>
      </c>
      <c r="C9" s="14" t="n">
        <f aca="false">'S05 Exit yield 7.75 per cent'!J13</f>
        <v>29334920.9196214</v>
      </c>
      <c r="D9" s="14" t="n">
        <f aca="false">'S05 Exit yield 7.75 per cent'!J18</f>
        <v>-3216278.97540147</v>
      </c>
      <c r="E9" s="23" t="n">
        <f aca="false">'S05 Exit yield 7.75 per cent'!J19</f>
        <v>-0.0988067716635306</v>
      </c>
      <c r="F9" s="18" t="n">
        <f aca="false">'S05 Exit yield 7.75 per cent'!J15</f>
        <v>0.030141843304581</v>
      </c>
    </row>
    <row r="10" customFormat="false" ht="15" hidden="false" customHeight="false" outlineLevel="0" collapsed="false">
      <c r="A10" s="0" t="s">
        <v>352</v>
      </c>
      <c r="B10" s="0" t="s">
        <v>185</v>
      </c>
      <c r="C10" s="14" t="n">
        <f aca="false">'S06 Tenants take 5 per cent les'!J13</f>
        <v>30335800.5238962</v>
      </c>
      <c r="D10" s="14" t="n">
        <f aca="false">'S06 Tenants take 5 per cent les'!J18</f>
        <v>-2215399.37112673</v>
      </c>
      <c r="E10" s="23" t="n">
        <f aca="false">'S06 Tenants take 5 per cent les'!J19</f>
        <v>-0.0680589157472339</v>
      </c>
      <c r="F10" s="18" t="n">
        <f aca="false">'S06 Tenants take 5 per cent les'!J15</f>
        <v>0.034332736029123</v>
      </c>
    </row>
    <row r="11" customFormat="false" ht="15" hidden="false" customHeight="false" outlineLevel="0" collapsed="false">
      <c r="A11" s="0" t="s">
        <v>353</v>
      </c>
      <c r="B11" s="0" t="s">
        <v>185</v>
      </c>
      <c r="C11" s="14" t="n">
        <f aca="false">'S07 Tenants take 10 per cent le'!J13</f>
        <v>28216680.5386014</v>
      </c>
      <c r="D11" s="14" t="n">
        <f aca="false">'S07 Tenants take 10 per cent le'!J18</f>
        <v>-4334519.3564215</v>
      </c>
      <c r="E11" s="23" t="n">
        <f aca="false">'S07 Tenants take 10 per cent le'!J19</f>
        <v>-0.133160048489772</v>
      </c>
      <c r="F11" s="18" t="n">
        <f aca="false">'S07 Tenants take 10 per cent le'!J15</f>
        <v>0.0250732698188842</v>
      </c>
    </row>
    <row r="12" customFormat="false" ht="15" hidden="false" customHeight="false" outlineLevel="0" collapsed="false">
      <c r="A12" s="0" t="s">
        <v>354</v>
      </c>
      <c r="B12" s="0" t="s">
        <v>185</v>
      </c>
      <c r="C12" s="14" t="n">
        <f aca="false">'S08 Tenants take 15 per cent le'!J13</f>
        <v>26193839.9391387</v>
      </c>
      <c r="D12" s="14" t="n">
        <f aca="false">'S08 Tenants take 15 per cent le'!J18</f>
        <v>-6357359.95588421</v>
      </c>
      <c r="E12" s="23" t="n">
        <f aca="false">'S08 Tenants take 15 per cent le'!J19</f>
        <v>-0.195303398227611</v>
      </c>
      <c r="F12" s="18" t="n">
        <f aca="false">'S08 Tenants take 15 per cent le'!J15</f>
        <v>0.0154162378436478</v>
      </c>
    </row>
    <row r="13" customFormat="false" ht="15" hidden="false" customHeight="false" outlineLevel="0" collapsed="false">
      <c r="A13" s="0" t="s">
        <v>355</v>
      </c>
      <c r="B13" s="0" t="s">
        <v>185</v>
      </c>
      <c r="C13" s="14" t="n">
        <f aca="false">'S09 Tenants take 20 per cent le'!J13</f>
        <v>24267278.725508</v>
      </c>
      <c r="D13" s="14" t="n">
        <f aca="false">'S09 Tenants take 20 per cent le'!J18</f>
        <v>-8283921.16951488</v>
      </c>
      <c r="E13" s="23" t="n">
        <f aca="false">'S09 Tenants take 20 per cent le'!J19</f>
        <v>-0.254488964960751</v>
      </c>
      <c r="F13" s="18" t="n">
        <f aca="false">'S09 Tenants take 20 per cent le'!J15</f>
        <v>0.00532194338516279</v>
      </c>
    </row>
    <row r="14" customFormat="false" ht="15" hidden="false" customHeight="false" outlineLevel="0" collapsed="false">
      <c r="A14" s="0" t="s">
        <v>356</v>
      </c>
      <c r="B14" s="0" t="s">
        <v>198</v>
      </c>
      <c r="C14" s="14" t="n">
        <f aca="false">'S10 Term certain of 10 years'!J13</f>
        <v>36239762.4665534</v>
      </c>
      <c r="D14" s="14" t="n">
        <f aca="false">'S10 Term certain of 10 years'!J18</f>
        <v>3688562.57153047</v>
      </c>
      <c r="E14" s="23" t="n">
        <f aca="false">'S10 Term certain of 10 years'!J19</f>
        <v>0.113315717498158</v>
      </c>
      <c r="F14" s="18" t="n">
        <f aca="false">'S10 Term certain of 10 years'!J15</f>
        <v>0.0559933506324584</v>
      </c>
    </row>
    <row r="15" customFormat="false" ht="15" hidden="false" customHeight="false" outlineLevel="0" collapsed="false">
      <c r="A15" s="0" t="s">
        <v>357</v>
      </c>
      <c r="B15" s="0" t="s">
        <v>198</v>
      </c>
      <c r="C15" s="14" t="n">
        <f aca="false">'S11 No rental growth'!J13</f>
        <v>29130314.2200465</v>
      </c>
      <c r="D15" s="14" t="n">
        <f aca="false">'S11 No rental growth'!J18</f>
        <v>-3420885.67497637</v>
      </c>
      <c r="E15" s="23" t="n">
        <f aca="false">'S11 No rental growth'!J19</f>
        <v>-0.105092460063183</v>
      </c>
      <c r="F15" s="18" t="n">
        <f aca="false">'S11 No rental growth'!J15</f>
        <v>0.0294760335836057</v>
      </c>
    </row>
    <row r="16" customFormat="false" ht="15" hidden="false" customHeight="false" outlineLevel="0" collapsed="false">
      <c r="A16" s="0" t="s">
        <v>358</v>
      </c>
      <c r="B16" s="0" t="s">
        <v>198</v>
      </c>
      <c r="C16" s="14" t="n">
        <f aca="false">'S12 Market rent 270'!J13</f>
        <v>29147347.5507211</v>
      </c>
      <c r="D16" s="14" t="n">
        <f aca="false">'S12 Market rent 270'!J18</f>
        <v>-3403852.34430181</v>
      </c>
      <c r="E16" s="23" t="n">
        <f aca="false">'S12 Market rent 270'!J19</f>
        <v>-0.104569181943498</v>
      </c>
      <c r="F16" s="18" t="n">
        <f aca="false">'S12 Market rent 270'!J15</f>
        <v>0.0298962506093108</v>
      </c>
    </row>
    <row r="17" customFormat="false" ht="15" hidden="false" customHeight="false" outlineLevel="0" collapsed="false">
      <c r="A17" s="0" t="s">
        <v>359</v>
      </c>
      <c r="B17" s="0" t="s">
        <v>198</v>
      </c>
      <c r="C17" s="14" t="n">
        <f aca="false">'S13 Market rent 330'!J13</f>
        <v>35955052.2393248</v>
      </c>
      <c r="D17" s="14" t="n">
        <f aca="false">'S13 Market rent 330'!J18</f>
        <v>3403852.34430194</v>
      </c>
      <c r="E17" s="23" t="n">
        <f aca="false">'S13 Market rent 330'!J19</f>
        <v>0.104569181943502</v>
      </c>
      <c r="F17" s="18" t="n">
        <f aca="false">'S13 Market rent 330'!J15</f>
        <v>0.0553570588543537</v>
      </c>
    </row>
    <row r="18" customFormat="false" ht="15" hidden="false" customHeight="false" outlineLevel="0" collapsed="false">
      <c r="A18" s="0" t="s">
        <v>360</v>
      </c>
      <c r="B18" s="0" t="s">
        <v>198</v>
      </c>
      <c r="C18" s="14" t="n">
        <f aca="false">'S14 Fit-out 550'!J13</f>
        <v>30235790.8117203</v>
      </c>
      <c r="D18" s="14" t="n">
        <f aca="false">'S14 Fit-out 550'!J18</f>
        <v>-2315409.08330263</v>
      </c>
      <c r="E18" s="23" t="n">
        <f aca="false">'S14 Fit-out 550'!J19</f>
        <v>-0.0711312974873364</v>
      </c>
      <c r="F18" s="18" t="n">
        <f aca="false">'S14 Fit-out 550'!J15</f>
        <v>0.0354592559241043</v>
      </c>
    </row>
    <row r="19" customFormat="false" ht="15" hidden="false" customHeight="false" outlineLevel="0" collapsed="false">
      <c r="A19" s="0" t="s">
        <v>361</v>
      </c>
      <c r="B19" s="0" t="s">
        <v>198</v>
      </c>
      <c r="C19" s="14" t="n">
        <f aca="false">'S15 Six assumptions for the ven'!J13</f>
        <v>43317890.8573559</v>
      </c>
      <c r="D19" s="14" t="n">
        <f aca="false">'S15 Six assumptions for the ven'!J18</f>
        <v>10766690.962333</v>
      </c>
      <c r="E19" s="23" t="n">
        <f aca="false">'S15 Six assumptions for the ven'!J19</f>
        <v>0.330761722979656</v>
      </c>
      <c r="F19" s="18" t="n">
        <f aca="false">'S15 Six assumptions for the ven'!J15</f>
        <v>0.0784408476114005</v>
      </c>
    </row>
    <row r="20" customFormat="false" ht="15" hidden="false" customHeight="false" outlineLevel="0" collapsed="false">
      <c r="A20" s="0" t="s">
        <v>362</v>
      </c>
      <c r="B20" s="0" t="s">
        <v>159</v>
      </c>
      <c r="C20" s="14" t="n">
        <f aca="false">'S16 Energy standard not met'!J13</f>
        <v>19721722.2752656</v>
      </c>
      <c r="D20" s="14" t="n">
        <f aca="false">'S16 Energy standard not met'!J18</f>
        <v>-12829477.6197573</v>
      </c>
      <c r="E20" s="23" t="n">
        <f aca="false">'S16 Energy standard not met'!J19</f>
        <v>-0.394132248922686</v>
      </c>
      <c r="F20" s="18" t="n">
        <f aca="false">'S16 Energy standard not met'!J15</f>
        <v>-0.014859027443314</v>
      </c>
    </row>
    <row r="21" customFormat="false" ht="15" hidden="false" customHeight="false" outlineLevel="0" collapsed="false">
      <c r="A21" s="0" t="s">
        <v>363</v>
      </c>
      <c r="B21" s="0" t="s">
        <v>168</v>
      </c>
      <c r="C21" s="14" t="n">
        <f aca="false">'S17 Let as it stands'!J13</f>
        <v>25403184.6509495</v>
      </c>
      <c r="D21" s="14" t="n">
        <f aca="false">'S17 Let as it stands'!J18</f>
        <v>-7148015.24407338</v>
      </c>
      <c r="E21" s="23" t="n">
        <f aca="false">'S17 Let as it stands'!J19</f>
        <v>-0.219592987881418</v>
      </c>
      <c r="F21" s="18" t="n">
        <f aca="false">'S17 Let as it stands'!J15</f>
        <v>0.0114667303713112</v>
      </c>
    </row>
    <row r="22" customFormat="false" ht="15" hidden="false" customHeight="false" outlineLevel="0" collapsed="false">
      <c r="A22" s="0" t="s">
        <v>364</v>
      </c>
      <c r="B22" s="0" t="s">
        <v>173</v>
      </c>
      <c r="C22" s="14" t="n">
        <f aca="false">'S18 Fit-out at the income cliff'!J13</f>
        <v>20061348.9745152</v>
      </c>
      <c r="D22" s="14" t="n">
        <f aca="false">'S18 Fit-out at the income cliff'!J18</f>
        <v>-12489850.9205077</v>
      </c>
      <c r="E22" s="23" t="n">
        <f aca="false">'S18 Fit-out at the income cliff'!J19</f>
        <v>-0.383698633561506</v>
      </c>
      <c r="F22" s="18" t="n">
        <f aca="false">'S18 Fit-out at the income cliff'!J15</f>
        <v>0.000342595608621821</v>
      </c>
    </row>
    <row r="23" customFormat="false" ht="15" hidden="false" customHeight="false" outlineLevel="0" collapsed="false">
      <c r="A23" s="0" t="s">
        <v>365</v>
      </c>
      <c r="B23" s="0" t="s">
        <v>173</v>
      </c>
      <c r="C23" s="14" t="n">
        <f aca="false">'S19 Fit-out at the value cliff'!J13</f>
        <v>4944399.28641395</v>
      </c>
      <c r="D23" s="14" t="n">
        <f aca="false">'S19 Fit-out at the value cliff'!J18</f>
        <v>-27606800.608609</v>
      </c>
      <c r="E23" s="23" t="n">
        <f aca="false">'S19 Fit-out at the value cliff'!J19</f>
        <v>-0.848103931579802</v>
      </c>
      <c r="F23" s="18" t="n">
        <f aca="false">'S19 Fit-out at the value cliff'!J15</f>
        <v>-0.0558169410266501</v>
      </c>
    </row>
    <row r="24" customFormat="false" ht="15" hidden="false" customHeight="false" outlineLevel="0" collapsed="false">
      <c r="A24" s="0" t="s">
        <v>366</v>
      </c>
      <c r="B24" s="0" t="s">
        <v>198</v>
      </c>
      <c r="C24" s="14" t="n">
        <f aca="false">'S20 Required market rent'!J13</f>
        <v>42989680.4175487</v>
      </c>
      <c r="D24" s="14" t="n">
        <f aca="false">'S20 Required market rent'!J18</f>
        <v>10438480.5225258</v>
      </c>
      <c r="E24" s="23" t="n">
        <f aca="false">'S20 Required market rent'!J19</f>
        <v>0.320678824626734</v>
      </c>
      <c r="F24" s="18" t="n">
        <f aca="false">'S20 Required market rent'!J15</f>
        <v>0.0774700002278959</v>
      </c>
    </row>
    <row r="25" customFormat="false" ht="15" hidden="false" customHeight="false" outlineLevel="0" collapsed="false">
      <c r="A25" s="0" t="s">
        <v>367</v>
      </c>
      <c r="B25" s="0" t="s">
        <v>198</v>
      </c>
      <c r="C25" s="14" t="n">
        <f aca="false">'S21 Required exit yield'!J13</f>
        <v>42972011.34421</v>
      </c>
      <c r="D25" s="14" t="n">
        <f aca="false">'S21 Required exit yield'!J18</f>
        <v>10420811.4491871</v>
      </c>
      <c r="E25" s="23" t="n">
        <f aca="false">'S21 Required exit yield'!J19</f>
        <v>0.320136015962361</v>
      </c>
      <c r="F25" s="18" t="n">
        <f aca="false">'S21 Required exit yield'!J15</f>
        <v>0.0774207246513552</v>
      </c>
    </row>
    <row r="26" customFormat="false" ht="15" hidden="false" customHeight="false" outlineLevel="0" collapsed="false">
      <c r="A26" s="0" t="s">
        <v>368</v>
      </c>
      <c r="B26" s="0" t="s">
        <v>198</v>
      </c>
      <c r="C26" s="14" t="n">
        <f aca="false">'S22 Required fit-out'!J13</f>
        <v>43006162.4480897</v>
      </c>
      <c r="D26" s="14" t="n">
        <f aca="false">'S22 Required fit-out'!J18</f>
        <v>10454962.5530668</v>
      </c>
      <c r="E26" s="23" t="n">
        <f aca="false">'S22 Required fit-out'!J19</f>
        <v>0.321185166346676</v>
      </c>
      <c r="F26" s="18" t="n">
        <f aca="false">'S22 Required fit-out'!J15</f>
        <v>0.0775198835135333</v>
      </c>
    </row>
    <row r="27" customFormat="false" ht="15" hidden="false" customHeight="false" outlineLevel="0" collapsed="false">
      <c r="A27" s="0" t="s">
        <v>369</v>
      </c>
      <c r="B27" s="0" t="s">
        <v>198</v>
      </c>
      <c r="C27" s="14" t="n">
        <f aca="false">'S23 Required rental growth'!J13</f>
        <v>42999594.7896073</v>
      </c>
      <c r="D27" s="14" t="n">
        <f aca="false">'S23 Required rental growth'!J18</f>
        <v>10448394.8945844</v>
      </c>
      <c r="E27" s="23" t="n">
        <f aca="false">'S23 Required rental growth'!J19</f>
        <v>0.320983402402379</v>
      </c>
      <c r="F27" s="18" t="n">
        <f aca="false">'S23 Required rental growth'!J15</f>
        <v>0.0774988426028878</v>
      </c>
    </row>
    <row r="29" customFormat="false" ht="15" hidden="false" customHeight="false" outlineLevel="0" collapsed="false">
      <c r="A29" s="22" t="s">
        <v>370</v>
      </c>
    </row>
    <row r="30" customFormat="false" ht="15" hidden="false" customHeight="false" outlineLevel="0" collapsed="false">
      <c r="A30" s="0" t="s">
        <v>371</v>
      </c>
      <c r="B30" s="14" t="n">
        <f aca="false">'S14 Fit-out 550'!J18/('S14 Fit-out 550'!B6-'2. Inputs'!B5)</f>
        <v>-17810.8391023279</v>
      </c>
    </row>
    <row r="31" customFormat="false" ht="15" hidden="false" customHeight="false" outlineLevel="0" collapsed="false">
      <c r="A31" s="0" t="s">
        <v>372</v>
      </c>
      <c r="B31" s="14" t="n">
        <f aca="false">'S04 Exit yield 5.75 per cent'!J13-'S05 Exit yield 7.75 per cent'!J13</f>
        <v>7551263.68137751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18"/>
    <col collapsed="false" customWidth="true" hidden="false" outlineLevel="0" max="4" min="4" style="0" width="16"/>
  </cols>
  <sheetData>
    <row r="1" customFormat="false" ht="16.15" hidden="false" customHeight="false" outlineLevel="0" collapsed="false">
      <c r="A1" s="5" t="s">
        <v>373</v>
      </c>
    </row>
    <row r="3" customFormat="false" ht="15" hidden="false" customHeight="false" outlineLevel="0" collapsed="false">
      <c r="A3" s="0" t="s">
        <v>374</v>
      </c>
      <c r="B3" s="20" t="s">
        <v>375</v>
      </c>
      <c r="C3" s="20" t="s">
        <v>376</v>
      </c>
    </row>
    <row r="4" customFormat="false" ht="15" hidden="false" customHeight="false" outlineLevel="0" collapsed="false">
      <c r="A4" s="0" t="s">
        <v>377</v>
      </c>
      <c r="B4" s="14" t="n">
        <f aca="false">'5. Value'!B9</f>
        <v>8894115.06377497</v>
      </c>
      <c r="C4" s="23" t="n">
        <f aca="false">B4/B6</f>
        <v>0.256558338155158</v>
      </c>
    </row>
    <row r="5" customFormat="false" ht="15" hidden="false" customHeight="false" outlineLevel="0" collapsed="false">
      <c r="A5" s="0" t="s">
        <v>378</v>
      </c>
      <c r="B5" s="14" t="n">
        <f aca="false">'5. Value'!B10</f>
        <v>25772912.8244244</v>
      </c>
      <c r="C5" s="23" t="n">
        <f aca="false">B5/B6</f>
        <v>0.743441661844842</v>
      </c>
    </row>
    <row r="6" customFormat="false" ht="15" hidden="false" customHeight="false" outlineLevel="0" collapsed="false">
      <c r="A6" s="0" t="s">
        <v>379</v>
      </c>
      <c r="B6" s="14" t="n">
        <f aca="false">B4+B5</f>
        <v>34667027.8881994</v>
      </c>
      <c r="C6" s="23" t="n">
        <f aca="false">C4+C5</f>
        <v>1</v>
      </c>
    </row>
    <row r="8" customFormat="false" ht="15" hidden="false" customHeight="false" outlineLevel="0" collapsed="false">
      <c r="A8" s="0" t="s">
        <v>380</v>
      </c>
      <c r="B8" s="20" t="s">
        <v>260</v>
      </c>
    </row>
    <row r="9" customFormat="false" ht="15" hidden="false" customHeight="false" outlineLevel="0" collapsed="false">
      <c r="A9" s="0" t="s">
        <v>381</v>
      </c>
      <c r="B9" s="14" t="n">
        <f aca="false">'5. Value'!B8/(1-'2. Inputs'!B18)</f>
        <v>55195041.2956815</v>
      </c>
    </row>
    <row r="10" customFormat="false" ht="15" hidden="false" customHeight="false" outlineLevel="0" collapsed="false">
      <c r="A10" s="0" t="s">
        <v>382</v>
      </c>
      <c r="B10" s="23" t="n">
        <f aca="false">'5. Value'!B7/(B9*(1+'2. Inputs'!B17))</f>
        <v>0.0652823353909939</v>
      </c>
    </row>
    <row r="11" customFormat="false" ht="15" hidden="false" customHeight="false" outlineLevel="0" collapsed="false">
      <c r="A11" s="0" t="s">
        <v>383</v>
      </c>
      <c r="B11" s="23" t="n">
        <f aca="false">('5. Value'!B5*(1-'2. Inputs'!B11)-(('5. Value'!B5*(1-'2. Inputs'!B11)+'2. Inputs'!B12)*'2. Inputs'!B7/4+'5. Value'!B5*(1-'2. Inputs'!B11)*'2. Inputs'!B8/4+'2. Inputs'!B10*'5. Value'!B5+'5. Value'!B6)/(('2. Inputs'!B9+'2. Inputs'!B7)/4))*SUM('3. Leases'!B3:B7)/(B9*(1+'2. Inputs'!B17))</f>
        <v>0.0272853767731573</v>
      </c>
    </row>
    <row r="13" customFormat="false" ht="15" hidden="false" customHeight="false" outlineLevel="0" collapsed="false">
      <c r="A13" s="0" t="s">
        <v>384</v>
      </c>
      <c r="B13" s="20" t="s">
        <v>375</v>
      </c>
    </row>
    <row r="14" customFormat="false" ht="15" hidden="false" customHeight="false" outlineLevel="0" collapsed="false">
      <c r="A14" s="0" t="s">
        <v>385</v>
      </c>
      <c r="B14" s="14" t="n">
        <f aca="false">'5. Value'!$B$12</f>
        <v>32551199.8950229</v>
      </c>
    </row>
    <row r="15" customFormat="false" ht="15" hidden="false" customHeight="false" outlineLevel="0" collapsed="false">
      <c r="A15" s="0" t="s">
        <v>386</v>
      </c>
      <c r="B15" s="14" t="n">
        <f aca="false">'S16 Energy standard not met'!J13</f>
        <v>19721722.2752656</v>
      </c>
    </row>
    <row r="16" customFormat="false" ht="15" hidden="false" customHeight="false" outlineLevel="0" collapsed="false">
      <c r="A16" s="0" t="s">
        <v>387</v>
      </c>
      <c r="B16" s="14" t="n">
        <f aca="false">B14-B15</f>
        <v>12829477.6197573</v>
      </c>
    </row>
    <row r="17" customFormat="false" ht="15" hidden="false" customHeight="false" outlineLevel="0" collapsed="false">
      <c r="A17" s="0" t="s">
        <v>388</v>
      </c>
      <c r="B17" s="14" t="n">
        <f aca="false">'2. Inputs'!B13*(1+'2. Inputs'!B15)^(-'2. Inputs'!B14/4)/(1+'2. Inputs'!B17)</f>
        <v>1426107.14800636</v>
      </c>
    </row>
    <row r="18" customFormat="false" ht="15" hidden="false" customHeight="false" outlineLevel="0" collapsed="false">
      <c r="A18" s="0" t="s">
        <v>389</v>
      </c>
      <c r="B18" s="14" t="n">
        <f aca="false">B16+B17</f>
        <v>14255584.7677636</v>
      </c>
    </row>
    <row r="19" customFormat="false" ht="15" hidden="false" customHeight="false" outlineLevel="0" collapsed="false">
      <c r="A19" s="0" t="s">
        <v>390</v>
      </c>
      <c r="B19" s="16" t="n">
        <f aca="false">B18/'2. Inputs'!B13</f>
        <v>7.50293935145454</v>
      </c>
    </row>
    <row r="20" customFormat="false" ht="15" hidden="false" customHeight="false" outlineLevel="0" collapsed="false">
      <c r="A20" s="22" t="s">
        <v>391</v>
      </c>
    </row>
    <row r="22" customFormat="false" ht="15" hidden="false" customHeight="false" outlineLevel="0" collapsed="false">
      <c r="A22" s="0" t="s">
        <v>392</v>
      </c>
      <c r="B22" s="20" t="s">
        <v>375</v>
      </c>
    </row>
    <row r="23" customFormat="false" ht="15" hidden="false" customHeight="false" outlineLevel="0" collapsed="false">
      <c r="A23" s="0" t="s">
        <v>393</v>
      </c>
      <c r="B23" s="14" t="n">
        <f aca="false">'5. Value'!$B$12</f>
        <v>32551199.8950229</v>
      </c>
    </row>
    <row r="24" customFormat="false" ht="15" hidden="false" customHeight="false" outlineLevel="0" collapsed="false">
      <c r="A24" s="0" t="s">
        <v>394</v>
      </c>
      <c r="B24" s="14" t="n">
        <f aca="false">'S17 Let as it stands'!J13</f>
        <v>25403184.6509495</v>
      </c>
    </row>
    <row r="25" customFormat="false" ht="15" hidden="false" customHeight="false" outlineLevel="0" collapsed="false">
      <c r="A25" s="0" t="s">
        <v>395</v>
      </c>
      <c r="B25" s="14" t="n">
        <f aca="false">B23-B24</f>
        <v>7148015.24407338</v>
      </c>
    </row>
    <row r="26" customFormat="false" ht="15" hidden="false" customHeight="false" outlineLevel="0" collapsed="false">
      <c r="A26" s="0" t="s">
        <v>396</v>
      </c>
      <c r="B26" s="14" t="n">
        <f aca="false">('2. Inputs'!B5-'S17 Let as it stands'!B6)*SUM('3. Leases'!B3:B7)</f>
        <v>3960000</v>
      </c>
    </row>
    <row r="27" customFormat="false" ht="15" hidden="false" customHeight="false" outlineLevel="0" collapsed="false">
      <c r="A27" s="0" t="s">
        <v>172</v>
      </c>
      <c r="B27" s="16" t="n">
        <f aca="false">B25/B26</f>
        <v>1.80505435456399</v>
      </c>
    </row>
    <row r="29" customFormat="false" ht="15" hidden="false" customHeight="false" outlineLevel="0" collapsed="false">
      <c r="A29" s="0" t="s">
        <v>397</v>
      </c>
      <c r="B29" s="20" t="s">
        <v>398</v>
      </c>
      <c r="C29" s="20" t="s">
        <v>342</v>
      </c>
      <c r="D29" s="20" t="s">
        <v>399</v>
      </c>
    </row>
    <row r="30" customFormat="false" ht="15" hidden="false" customHeight="false" outlineLevel="0" collapsed="false">
      <c r="A30" s="0" t="s">
        <v>400</v>
      </c>
      <c r="B30" s="16" t="n">
        <f aca="false">'2. Inputs'!B5</f>
        <v>420</v>
      </c>
      <c r="C30" s="14" t="n">
        <f aca="false">'5. Value'!$B$12</f>
        <v>32551199.8950229</v>
      </c>
    </row>
    <row r="31" customFormat="false" ht="15" hidden="false" customHeight="false" outlineLevel="0" collapsed="false">
      <c r="A31" s="0" t="s">
        <v>401</v>
      </c>
      <c r="B31" s="16" t="n">
        <f aca="false">'S18 Fit-out at the income cliff'!B6</f>
        <v>1121.25</v>
      </c>
      <c r="C31" s="14" t="n">
        <f aca="false">'S18 Fit-out at the income cliff'!J13</f>
        <v>20061348.9745152</v>
      </c>
      <c r="D31" s="23" t="n">
        <f aca="false">B30/B31</f>
        <v>0.374581939799331</v>
      </c>
    </row>
    <row r="32" customFormat="false" ht="15" hidden="false" customHeight="false" outlineLevel="0" collapsed="false">
      <c r="A32" s="0" t="s">
        <v>402</v>
      </c>
      <c r="B32" s="16" t="n">
        <f aca="false">'S19 Fit-out at the value cliff'!B6</f>
        <v>1970</v>
      </c>
      <c r="C32" s="14" t="n">
        <f aca="false">'S19 Fit-out at the value cliff'!J13</f>
        <v>4944399.28641395</v>
      </c>
      <c r="D32" s="23" t="n">
        <f aca="false">B30/B32</f>
        <v>0.213197969543147</v>
      </c>
    </row>
    <row r="33" customFormat="false" ht="15" hidden="false" customHeight="false" outlineLevel="0" collapsed="false">
      <c r="A33" s="0" t="s">
        <v>403</v>
      </c>
      <c r="C33" s="11" t="n">
        <v>4945816.07290804</v>
      </c>
    </row>
    <row r="34" customFormat="false" ht="15" hidden="false" customHeight="false" outlineLevel="0" collapsed="false">
      <c r="A34" s="0" t="s">
        <v>404</v>
      </c>
      <c r="B34" s="14" t="n">
        <f aca="false">'S18 Fit-out at the income cliff'!J10</f>
        <v>-3116191.28473692</v>
      </c>
      <c r="C34" s="23" t="n">
        <f aca="false">B34/'S18 Fit-out at the income cliff'!J12</f>
        <v>-0.145852664745665</v>
      </c>
    </row>
    <row r="35" customFormat="false" ht="15" hidden="false" customHeight="false" outlineLevel="0" collapsed="false">
      <c r="A35" s="0" t="s">
        <v>405</v>
      </c>
      <c r="B35" s="14" t="n">
        <f aca="false">'S18 Fit-out at the income cliff'!J11</f>
        <v>24481527.9425956</v>
      </c>
      <c r="C35" s="23" t="n">
        <f aca="false">B35/'S18 Fit-out at the income cliff'!J12</f>
        <v>1.14585266474566</v>
      </c>
    </row>
    <row r="36" customFormat="false" ht="15" hidden="false" customHeight="false" outlineLevel="0" collapsed="false">
      <c r="A36" s="0" t="s">
        <v>406</v>
      </c>
      <c r="B36" s="14" t="n">
        <f aca="false">'S18 Fit-out at the income cliff'!J12</f>
        <v>21365336.6578587</v>
      </c>
    </row>
    <row r="37" customFormat="false" ht="15" hidden="false" customHeight="false" outlineLevel="0" collapsed="false">
      <c r="A37" s="0" t="s">
        <v>407</v>
      </c>
      <c r="B37" s="16" t="n">
        <f aca="false">LN(B31/B30)/LN((1+'2. Inputs'!B6)/(1+'2. Inputs'!B4))</f>
        <v>100.157557366206</v>
      </c>
    </row>
    <row r="38" customFormat="false" ht="15" hidden="false" customHeight="false" outlineLevel="0" collapsed="false">
      <c r="A38" s="0" t="s">
        <v>184</v>
      </c>
      <c r="B38" s="16" t="n">
        <f aca="false">LN(B31/B30)/LN(1+'2. Inputs'!B6)</f>
        <v>39.766739890395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0"/>
  </cols>
  <sheetData>
    <row r="1" customFormat="false" ht="16.15" hidden="false" customHeight="false" outlineLevel="0" collapsed="false">
      <c r="A1" s="5" t="s">
        <v>408</v>
      </c>
    </row>
    <row r="3" customFormat="false" ht="15" hidden="false" customHeight="false" outlineLevel="0" collapsed="false">
      <c r="A3" s="0" t="s">
        <v>409</v>
      </c>
      <c r="B3" s="20" t="s">
        <v>410</v>
      </c>
      <c r="C3" s="20" t="s">
        <v>411</v>
      </c>
      <c r="D3" s="20" t="s">
        <v>412</v>
      </c>
      <c r="E3" s="20" t="s">
        <v>413</v>
      </c>
    </row>
    <row r="4" customFormat="false" ht="15" hidden="false" customHeight="false" outlineLevel="0" collapsed="false">
      <c r="A4" s="0" t="s">
        <v>414</v>
      </c>
      <c r="B4" s="28" t="n">
        <v>300</v>
      </c>
    </row>
    <row r="5" customFormat="false" ht="15" hidden="false" customHeight="false" outlineLevel="0" collapsed="false">
      <c r="A5" s="0" t="s">
        <v>415</v>
      </c>
      <c r="B5" s="7" t="n">
        <v>0.0725</v>
      </c>
    </row>
    <row r="6" customFormat="false" ht="15" hidden="false" customHeight="false" outlineLevel="0" collapsed="false">
      <c r="A6" s="0" t="s">
        <v>416</v>
      </c>
      <c r="B6" s="7" t="n">
        <v>0.095</v>
      </c>
    </row>
    <row r="7" customFormat="false" ht="15" hidden="false" customHeight="false" outlineLevel="0" collapsed="false">
      <c r="A7" s="0" t="str">
        <f aca="false">'3. Leases'!A3</f>
        <v>Tenant A</v>
      </c>
      <c r="B7" s="14" t="n">
        <f aca="false">'3. Leases'!B3*$B$4*(1-'2. Inputs'!$B$11)/$B$5</f>
        <v>16336551.7241379</v>
      </c>
      <c r="C7" s="14" t="n">
        <f aca="false">MAX(D7,0)</f>
        <v>151843.788074713</v>
      </c>
      <c r="D7" s="14" t="n">
        <f aca="false">('3. Leases'!C3-$B$4)*'3. Leases'!B3*(1-'2. Inputs'!$B$11)*(1-(1+$B$6)^(-E7))/$B$6</f>
        <v>151843.788074713</v>
      </c>
      <c r="E7" s="21" t="n">
        <f aca="false">'3. Leases'!D3/4</f>
        <v>2.5</v>
      </c>
    </row>
    <row r="8" customFormat="false" ht="15" hidden="false" customHeight="false" outlineLevel="0" collapsed="false">
      <c r="A8" s="0" t="str">
        <f aca="false">'3. Leases'!A4</f>
        <v>Tenant B</v>
      </c>
      <c r="B8" s="14" t="n">
        <f aca="false">'3. Leases'!B4*$B$4*(1-'2. Inputs'!$B$11)/$B$5</f>
        <v>12057931.0344828</v>
      </c>
      <c r="C8" s="14" t="n">
        <f aca="false">MAX(D8,0)</f>
        <v>46689.2899362462</v>
      </c>
      <c r="D8" s="14" t="n">
        <f aca="false">('3. Leases'!C4-$B$4)*'3. Leases'!B4*(1-'2. Inputs'!$B$11)*(1-(1+$B$6)^(-E8))/$B$6</f>
        <v>46689.2899362462</v>
      </c>
      <c r="E8" s="21" t="n">
        <f aca="false">'3. Leases'!D4/4</f>
        <v>4</v>
      </c>
    </row>
    <row r="9" customFormat="false" ht="15" hidden="false" customHeight="false" outlineLevel="0" collapsed="false">
      <c r="A9" s="0" t="str">
        <f aca="false">'3. Leases'!A5</f>
        <v>Tenant C</v>
      </c>
      <c r="B9" s="14" t="n">
        <f aca="false">'3. Leases'!B5*$B$4*(1-'2. Inputs'!$B$11)/$B$5</f>
        <v>5990068.96551724</v>
      </c>
      <c r="C9" s="14" t="n">
        <f aca="false">MAX(D9,0)</f>
        <v>0</v>
      </c>
      <c r="D9" s="14" t="n">
        <f aca="false">('3. Leases'!C5-$B$4)*'3. Leases'!B5*(1-'2. Inputs'!$B$11)*(1-(1+$B$6)^(-E9))/$B$6</f>
        <v>-27161.1903858917</v>
      </c>
      <c r="E9" s="21" t="n">
        <f aca="false">'3. Leases'!D5/4</f>
        <v>6.5</v>
      </c>
    </row>
    <row r="10" customFormat="false" ht="15" hidden="false" customHeight="false" outlineLevel="0" collapsed="false">
      <c r="A10" s="0" t="str">
        <f aca="false">'3. Leases'!A6</f>
        <v>Tenant D</v>
      </c>
      <c r="B10" s="14" t="n">
        <f aca="false">'3. Leases'!B6*$B$4*(1-'2. Inputs'!$B$11)/$B$5</f>
        <v>3889655.17241379</v>
      </c>
      <c r="C10" s="14" t="n">
        <f aca="false">MAX(D10,0)</f>
        <v>15111.8964987001</v>
      </c>
      <c r="D10" s="14" t="n">
        <f aca="false">('3. Leases'!C6-$B$4)*'3. Leases'!B6*(1-'2. Inputs'!$B$11)*(1-(1+$B$6)^(-E10))/$B$6</f>
        <v>15111.8964987001</v>
      </c>
      <c r="E10" s="21" t="n">
        <f aca="false">'3. Leases'!D6/4</f>
        <v>1.5</v>
      </c>
    </row>
    <row r="11" customFormat="false" ht="15" hidden="false" customHeight="false" outlineLevel="0" collapsed="false">
      <c r="A11" s="0" t="s">
        <v>417</v>
      </c>
      <c r="B11" s="14" t="n">
        <f aca="false">'3. Leases'!B7*$B$4*(1-'2. Inputs'!$B$11)/$B$5/(1+$B$5)^('2. Inputs'!B7/4)-'3. Leases'!B7*'2. Inputs'!B5</f>
        <v>7064792.42307985</v>
      </c>
      <c r="C11" s="14" t="n">
        <v>0</v>
      </c>
      <c r="D11" s="14" t="n">
        <v>0</v>
      </c>
    </row>
    <row r="12" customFormat="false" ht="15" hidden="false" customHeight="false" outlineLevel="0" collapsed="false">
      <c r="A12" s="20" t="s">
        <v>379</v>
      </c>
      <c r="B12" s="14" t="n">
        <f aca="false">SUM(B7:B11)</f>
        <v>45338999.3196316</v>
      </c>
      <c r="C12" s="14" t="n">
        <f aca="false">SUM(C7:C11)</f>
        <v>213644.974509659</v>
      </c>
      <c r="D12" s="14" t="n">
        <f aca="false">SUM(D7:D11)</f>
        <v>186483.784123767</v>
      </c>
    </row>
    <row r="13" customFormat="false" ht="15" hidden="false" customHeight="false" outlineLevel="0" collapsed="false">
      <c r="A13" s="0" t="s">
        <v>418</v>
      </c>
      <c r="B13" s="14" t="n">
        <f aca="false">B12+C12</f>
        <v>45552644.2941412</v>
      </c>
      <c r="C13" s="14"/>
      <c r="D13" s="14"/>
    </row>
    <row r="14" customFormat="false" ht="15" hidden="false" customHeight="false" outlineLevel="0" collapsed="false">
      <c r="A14" s="0" t="s">
        <v>419</v>
      </c>
      <c r="B14" s="14" t="n">
        <f aca="false">B13/(1+'2. Inputs'!B17)</f>
        <v>42772435.9569401</v>
      </c>
      <c r="C14" s="14"/>
      <c r="D14" s="14"/>
    </row>
    <row r="15" customFormat="false" ht="15" hidden="false" customHeight="false" outlineLevel="0" collapsed="false">
      <c r="A15" s="0" t="s">
        <v>420</v>
      </c>
      <c r="B15" s="14" t="n">
        <f aca="false">SUMPRODUCT('3. Leases'!B3:B6,'3. Leases'!C3:C6-$B$4)</f>
        <v>96940</v>
      </c>
      <c r="C15" s="14"/>
      <c r="D15" s="14"/>
    </row>
    <row r="16" customFormat="false" ht="15" hidden="false" customHeight="false" outlineLevel="0" collapsed="false">
      <c r="A16" s="0" t="s">
        <v>421</v>
      </c>
      <c r="B16" s="14" t="n">
        <f aca="false">B15*(1-'2. Inputs'!B11)/'7. Year by year'!B18*'2. Inputs'!B19*(1+'2. Inputs'!B17)</f>
        <v>1519001.08968989</v>
      </c>
      <c r="C16" s="14"/>
      <c r="D16" s="14"/>
    </row>
    <row r="17" customFormat="false" ht="15" hidden="false" customHeight="false" outlineLevel="0" collapsed="false">
      <c r="A17" s="0" t="s">
        <v>422</v>
      </c>
      <c r="B17" s="29" t="n">
        <f aca="false">B16/C12</f>
        <v>7.10993129221122</v>
      </c>
    </row>
    <row r="18" customFormat="false" ht="15" hidden="false" customHeight="false" outlineLevel="0" collapsed="false">
      <c r="A18" s="22" t="s">
        <v>423</v>
      </c>
    </row>
    <row r="20" customFormat="false" ht="15" hidden="false" customHeight="false" outlineLevel="0" collapsed="false">
      <c r="A20" s="0" t="s">
        <v>424</v>
      </c>
      <c r="B20" s="20" t="s">
        <v>375</v>
      </c>
    </row>
    <row r="21" customFormat="false" ht="15" hidden="false" customHeight="false" outlineLevel="0" collapsed="false">
      <c r="A21" s="0" t="s">
        <v>425</v>
      </c>
      <c r="B21" s="14" t="n">
        <f aca="false">B14</f>
        <v>42772435.9569401</v>
      </c>
      <c r="C21" s="14"/>
      <c r="D21" s="14"/>
    </row>
    <row r="22" customFormat="false" ht="15" hidden="false" customHeight="false" outlineLevel="0" collapsed="false">
      <c r="A22" s="0" t="s">
        <v>426</v>
      </c>
      <c r="B22" s="14" t="n">
        <f aca="false">SUMPRODUCT('3. Leases'!B3:B6*('2. Inputs'!B5+1.5*$B$4+'2. Inputs'!B10*$B$4)/(1+$B$5)^('3. Leases'!D3:D6/4))/(1+'2. Inputs'!B17)</f>
        <v>6589742.89706481</v>
      </c>
      <c r="C22" s="14"/>
      <c r="D22" s="14"/>
    </row>
    <row r="23" customFormat="false" ht="15" hidden="false" customHeight="false" outlineLevel="0" collapsed="false">
      <c r="A23" s="0" t="s">
        <v>427</v>
      </c>
      <c r="B23" s="14" t="n">
        <f aca="false">'3. Leases'!B7*(0.75*$B$4+'2. Inputs'!B10*$B$4)/(1+'2. Inputs'!B17)</f>
        <v>529352.112676056</v>
      </c>
      <c r="C23" s="14"/>
      <c r="D23" s="14"/>
    </row>
    <row r="24" customFormat="false" ht="15" hidden="false" customHeight="false" outlineLevel="0" collapsed="false">
      <c r="A24" s="0" t="s">
        <v>428</v>
      </c>
      <c r="B24" s="14" t="n">
        <f aca="false">B21-B22-B23</f>
        <v>35653340.9471993</v>
      </c>
      <c r="C24" s="14"/>
      <c r="D24" s="14"/>
    </row>
    <row r="25" customFormat="false" ht="15" hidden="false" customHeight="false" outlineLevel="0" collapsed="false">
      <c r="A25" s="0" t="s">
        <v>429</v>
      </c>
      <c r="B25" s="14" t="n">
        <f aca="false">B24-'5. Value'!$B$12</f>
        <v>3102141.05217636</v>
      </c>
      <c r="C25" s="14"/>
      <c r="D25" s="14"/>
    </row>
    <row r="26" customFormat="false" ht="15" hidden="false" customHeight="false" outlineLevel="0" collapsed="false">
      <c r="A26" s="0" t="s">
        <v>430</v>
      </c>
      <c r="B26" s="14" t="n">
        <f aca="false">'5. Value'!$B$12</f>
        <v>32551199.8950229</v>
      </c>
      <c r="C26" s="14"/>
      <c r="D26" s="14"/>
    </row>
    <row r="27" customFormat="false" ht="15" hidden="false" customHeight="false" outlineLevel="0" collapsed="false">
      <c r="A27" s="0" t="s">
        <v>431</v>
      </c>
      <c r="B27" s="18" t="n">
        <f aca="false">(B22+B23)/'2. Inputs'!B19</f>
        <v>0.165560349063741</v>
      </c>
    </row>
    <row r="28" customFormat="false" ht="15" hidden="false" customHeight="false" outlineLevel="0" collapsed="false">
      <c r="A28" s="0" t="s">
        <v>432</v>
      </c>
      <c r="B28" s="14" t="n">
        <f aca="false">B21-B26</f>
        <v>10221236.0619172</v>
      </c>
      <c r="C28" s="14"/>
      <c r="D28" s="14"/>
    </row>
    <row r="29" customFormat="false" ht="15" hidden="false" customHeight="false" outlineLevel="0" collapsed="false">
      <c r="A29" s="0" t="s">
        <v>433</v>
      </c>
      <c r="B29" s="18" t="n">
        <f aca="false">B28/B26</f>
        <v>0.314004893671525</v>
      </c>
    </row>
    <row r="30" customFormat="false" ht="15" hidden="false" customHeight="false" outlineLevel="0" collapsed="false">
      <c r="A30" s="22" t="s">
        <v>434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5" min="4" style="0" width="18"/>
  </cols>
  <sheetData>
    <row r="1" customFormat="false" ht="16.15" hidden="false" customHeight="false" outlineLevel="0" collapsed="false">
      <c r="A1" s="5" t="s">
        <v>435</v>
      </c>
    </row>
    <row r="3" customFormat="false" ht="15" hidden="false" customHeight="false" outlineLevel="0" collapsed="false">
      <c r="A3" s="0" t="s">
        <v>436</v>
      </c>
      <c r="B3" s="20" t="s">
        <v>437</v>
      </c>
      <c r="C3" s="20" t="s">
        <v>438</v>
      </c>
    </row>
    <row r="4" customFormat="false" ht="15" hidden="false" customHeight="false" outlineLevel="0" collapsed="false">
      <c r="A4" s="0" t="s">
        <v>439</v>
      </c>
      <c r="B4" s="14" t="n">
        <f aca="false">'2. Inputs'!B19</f>
        <v>43000000</v>
      </c>
      <c r="C4" s="14" t="n">
        <f aca="false">'5. Value'!$B$12</f>
        <v>32551199.8950229</v>
      </c>
      <c r="D4" s="14"/>
      <c r="E4" s="14"/>
    </row>
    <row r="5" customFormat="false" ht="15" hidden="false" customHeight="false" outlineLevel="0" collapsed="false">
      <c r="A5" s="0" t="s">
        <v>440</v>
      </c>
      <c r="B5" s="7" t="n">
        <v>0.0285</v>
      </c>
      <c r="C5" s="18"/>
    </row>
    <row r="6" customFormat="false" ht="15" hidden="false" customHeight="false" outlineLevel="0" collapsed="false">
      <c r="A6" s="0" t="s">
        <v>441</v>
      </c>
      <c r="B6" s="7" t="n">
        <v>0.025</v>
      </c>
      <c r="C6" s="18"/>
    </row>
    <row r="7" customFormat="false" ht="15" hidden="false" customHeight="false" outlineLevel="0" collapsed="false">
      <c r="A7" s="0" t="s">
        <v>442</v>
      </c>
      <c r="B7" s="7" t="n">
        <v>0.55</v>
      </c>
      <c r="C7" s="18"/>
    </row>
    <row r="8" customFormat="false" ht="15" hidden="false" customHeight="false" outlineLevel="0" collapsed="false">
      <c r="A8" s="0" t="s">
        <v>443</v>
      </c>
      <c r="B8" s="28" t="n">
        <v>2</v>
      </c>
    </row>
    <row r="9" customFormat="false" ht="15" hidden="false" customHeight="false" outlineLevel="0" collapsed="false">
      <c r="A9" s="0" t="s">
        <v>444</v>
      </c>
      <c r="B9" s="7" t="n">
        <v>0.09</v>
      </c>
      <c r="C9" s="18"/>
    </row>
    <row r="10" customFormat="false" ht="15" hidden="false" customHeight="false" outlineLevel="0" collapsed="false">
      <c r="A10" s="0" t="s">
        <v>445</v>
      </c>
      <c r="B10" s="14" t="n">
        <f aca="false">'7. Year by year'!B18</f>
        <v>2747203.6</v>
      </c>
      <c r="C10" s="14" t="n">
        <f aca="false">'7. Year by year'!B18</f>
        <v>2747203.6</v>
      </c>
      <c r="D10" s="14"/>
      <c r="E10" s="14"/>
    </row>
    <row r="11" customFormat="false" ht="15" hidden="false" customHeight="false" outlineLevel="0" collapsed="false">
      <c r="A11" s="0" t="s">
        <v>446</v>
      </c>
      <c r="B11" s="14" t="n">
        <f aca="false">B4*$B$7</f>
        <v>23650000</v>
      </c>
      <c r="C11" s="14" t="n">
        <f aca="false">C4*$B$7</f>
        <v>17903159.9422626</v>
      </c>
      <c r="D11" s="14"/>
      <c r="E11" s="14"/>
    </row>
    <row r="12" customFormat="false" ht="15" hidden="false" customHeight="false" outlineLevel="0" collapsed="false">
      <c r="A12" s="0" t="s">
        <v>447</v>
      </c>
      <c r="B12" s="14" t="n">
        <f aca="false">B10/($B$8*($B$5+$B$6))</f>
        <v>25674800</v>
      </c>
      <c r="C12" s="14" t="n">
        <f aca="false">C10/($B$8*($B$5+$B$6))</f>
        <v>25674800</v>
      </c>
      <c r="D12" s="14"/>
      <c r="E12" s="14"/>
    </row>
    <row r="13" customFormat="false" ht="15" hidden="false" customHeight="false" outlineLevel="0" collapsed="false">
      <c r="A13" s="0" t="s">
        <v>448</v>
      </c>
      <c r="B13" s="14" t="n">
        <f aca="false">B10/$B$9</f>
        <v>30524484.4444444</v>
      </c>
      <c r="C13" s="14" t="n">
        <f aca="false">C10/$B$9</f>
        <v>30524484.4444444</v>
      </c>
      <c r="D13" s="14"/>
      <c r="E13" s="14"/>
    </row>
    <row r="14" customFormat="false" ht="15" hidden="false" customHeight="false" outlineLevel="0" collapsed="false">
      <c r="A14" s="20" t="s">
        <v>449</v>
      </c>
      <c r="B14" s="14" t="n">
        <f aca="false">MIN(B11:B13)</f>
        <v>23650000</v>
      </c>
      <c r="C14" s="14" t="n">
        <f aca="false">MIN(C11:C13)</f>
        <v>17903159.9422626</v>
      </c>
      <c r="D14" s="14"/>
      <c r="E14" s="14"/>
    </row>
    <row r="15" customFormat="false" ht="15" hidden="false" customHeight="false" outlineLevel="0" collapsed="false">
      <c r="A15" s="0" t="s">
        <v>450</v>
      </c>
      <c r="B15" s="14" t="n">
        <f aca="false">B4*(1+'2. Inputs'!B17)-B14</f>
        <v>22145000</v>
      </c>
      <c r="C15" s="14" t="n">
        <f aca="false">C4*(1+'2. Inputs'!B17)-C14</f>
        <v>16763867.9459368</v>
      </c>
      <c r="D15" s="14"/>
      <c r="E15" s="14"/>
    </row>
    <row r="16" customFormat="false" ht="15" hidden="false" customHeight="false" outlineLevel="0" collapsed="false">
      <c r="A16" s="0" t="s">
        <v>451</v>
      </c>
      <c r="B16" s="18" t="n">
        <f aca="false">(1+IRR(B21:B61,0.01))^4-1</f>
        <v>0.0326704745892972</v>
      </c>
      <c r="C16" s="18" t="n">
        <f aca="false">(1+IRR(C21:C61,0.01))^4-1</f>
        <v>0.0954473060189054</v>
      </c>
    </row>
    <row r="17" customFormat="false" ht="15" hidden="false" customHeight="false" outlineLevel="0" collapsed="false">
      <c r="A17" s="0" t="s">
        <v>452</v>
      </c>
      <c r="B17" s="18" t="n">
        <f aca="false">(1+IRR(D21:D61,0.01))^4-1</f>
        <v>0.0432289434713613</v>
      </c>
      <c r="C17" s="18" t="n">
        <f aca="false">(1+IRR(E21:E61,0.01))^4-1</f>
        <v>0.0774999999999588</v>
      </c>
    </row>
    <row r="18" customFormat="false" ht="15" hidden="false" customHeight="false" outlineLevel="0" collapsed="false">
      <c r="A18" s="0" t="s">
        <v>453</v>
      </c>
      <c r="B18" s="13" t="n">
        <f aca="false">(C17-B17)*10000</f>
        <v>342.710565285975</v>
      </c>
    </row>
    <row r="19" customFormat="false" ht="15" hidden="false" customHeight="false" outlineLevel="0" collapsed="false">
      <c r="A19" s="0" t="s">
        <v>454</v>
      </c>
      <c r="B19" s="13" t="n">
        <f aca="false">(C16-B16)*10000</f>
        <v>627.768314296082</v>
      </c>
    </row>
    <row r="20" customFormat="false" ht="15" hidden="false" customHeight="false" outlineLevel="0" collapsed="false">
      <c r="A20" s="20" t="s">
        <v>50</v>
      </c>
      <c r="B20" s="20" t="s">
        <v>455</v>
      </c>
      <c r="C20" s="20" t="s">
        <v>456</v>
      </c>
      <c r="D20" s="20" t="s">
        <v>457</v>
      </c>
      <c r="E20" s="20" t="s">
        <v>458</v>
      </c>
    </row>
    <row r="21" customFormat="false" ht="15" hidden="false" customHeight="false" outlineLevel="0" collapsed="false">
      <c r="A21" s="0" t="n">
        <v>0</v>
      </c>
      <c r="B21" s="14" t="n">
        <f aca="false">-B15</f>
        <v>-22145000</v>
      </c>
      <c r="C21" s="14" t="n">
        <f aca="false">-C15</f>
        <v>-16763867.9459368</v>
      </c>
      <c r="D21" s="14" t="n">
        <f aca="false">-B4*(1+'2. Inputs'!B17)</f>
        <v>-45795000</v>
      </c>
      <c r="E21" s="14" t="n">
        <f aca="false">-C4*(1+'2. Inputs'!B17)</f>
        <v>-34667027.8881994</v>
      </c>
    </row>
    <row r="22" customFormat="false" ht="15" hidden="false" customHeight="false" outlineLevel="0" collapsed="false">
      <c r="A22" s="0" t="n">
        <v>1</v>
      </c>
      <c r="B22" s="14" t="n">
        <f aca="false">'4. Cash flow'!AQ4-B$14*($B$5+$B$6)/4</f>
        <v>-536717.85</v>
      </c>
      <c r="C22" s="14" t="n">
        <f aca="false">'4. Cash flow'!AQ4-C$14*($B$5+$B$6)/4</f>
        <v>-459853.864227762</v>
      </c>
      <c r="D22" s="14" t="n">
        <f aca="false">'4. Cash flow'!AQ4</f>
        <v>-220399.1</v>
      </c>
      <c r="E22" s="14" t="n">
        <f aca="false">'4. Cash flow'!AQ4</f>
        <v>-220399.1</v>
      </c>
    </row>
    <row r="23" customFormat="false" ht="15" hidden="false" customHeight="false" outlineLevel="0" collapsed="false">
      <c r="A23" s="0" t="n">
        <v>2</v>
      </c>
      <c r="B23" s="14" t="n">
        <f aca="false">'4. Cash flow'!AQ5-B$14*($B$5+$B$6)/4</f>
        <v>370482.15</v>
      </c>
      <c r="C23" s="14" t="n">
        <f aca="false">'4. Cash flow'!AQ5-C$14*($B$5+$B$6)/4</f>
        <v>447346.135772238</v>
      </c>
      <c r="D23" s="14" t="n">
        <f aca="false">'4. Cash flow'!AQ5</f>
        <v>686800.9</v>
      </c>
      <c r="E23" s="14" t="n">
        <f aca="false">'4. Cash flow'!AQ5</f>
        <v>686800.9</v>
      </c>
    </row>
    <row r="24" customFormat="false" ht="15" hidden="false" customHeight="false" outlineLevel="0" collapsed="false">
      <c r="A24" s="0" t="n">
        <v>3</v>
      </c>
      <c r="B24" s="14" t="n">
        <f aca="false">'4. Cash flow'!AQ6-B$14*($B$5+$B$6)/4</f>
        <v>370482.15</v>
      </c>
      <c r="C24" s="14" t="n">
        <f aca="false">'4. Cash flow'!AQ6-C$14*($B$5+$B$6)/4</f>
        <v>447346.135772238</v>
      </c>
      <c r="D24" s="14" t="n">
        <f aca="false">'4. Cash flow'!AQ6</f>
        <v>686800.9</v>
      </c>
      <c r="E24" s="14" t="n">
        <f aca="false">'4. Cash flow'!AQ6</f>
        <v>686800.9</v>
      </c>
    </row>
    <row r="25" customFormat="false" ht="15" hidden="false" customHeight="false" outlineLevel="0" collapsed="false">
      <c r="A25" s="0" t="n">
        <v>4</v>
      </c>
      <c r="B25" s="14" t="n">
        <f aca="false">'4. Cash flow'!AQ7-B$14*($B$5+$B$6)/4</f>
        <v>321548.9800841</v>
      </c>
      <c r="C25" s="14" t="n">
        <f aca="false">'4. Cash flow'!AQ7-C$14*($B$5+$B$6)/4</f>
        <v>398412.965856338</v>
      </c>
      <c r="D25" s="14" t="n">
        <f aca="false">'4. Cash flow'!AQ7</f>
        <v>637867.730084101</v>
      </c>
      <c r="E25" s="14" t="n">
        <f aca="false">'4. Cash flow'!AQ7</f>
        <v>637867.730084101</v>
      </c>
    </row>
    <row r="26" customFormat="false" ht="15" hidden="false" customHeight="false" outlineLevel="0" collapsed="false">
      <c r="A26" s="0" t="n">
        <v>5</v>
      </c>
      <c r="B26" s="14" t="n">
        <f aca="false">'4. Cash flow'!AQ8-B$14*($B$5+$B$6)/4</f>
        <v>400182.15</v>
      </c>
      <c r="C26" s="14" t="n">
        <f aca="false">'4. Cash flow'!AQ8-C$14*($B$5+$B$6)/4</f>
        <v>477046.135772238</v>
      </c>
      <c r="D26" s="14" t="n">
        <f aca="false">'4. Cash flow'!AQ8</f>
        <v>716500.9</v>
      </c>
      <c r="E26" s="14" t="n">
        <f aca="false">'4. Cash flow'!AQ8</f>
        <v>716500.9</v>
      </c>
    </row>
    <row r="27" customFormat="false" ht="15" hidden="false" customHeight="false" outlineLevel="0" collapsed="false">
      <c r="A27" s="0" t="n">
        <v>6</v>
      </c>
      <c r="B27" s="14" t="n">
        <f aca="false">'4. Cash flow'!AQ9-B$14*($B$5+$B$6)/4</f>
        <v>400182.15</v>
      </c>
      <c r="C27" s="14" t="n">
        <f aca="false">'4. Cash flow'!AQ9-C$14*($B$5+$B$6)/4</f>
        <v>477046.135772238</v>
      </c>
      <c r="D27" s="14" t="n">
        <f aca="false">'4. Cash flow'!AQ9</f>
        <v>716500.9</v>
      </c>
      <c r="E27" s="14" t="n">
        <f aca="false">'4. Cash flow'!AQ9</f>
        <v>716500.9</v>
      </c>
    </row>
    <row r="28" customFormat="false" ht="15" hidden="false" customHeight="false" outlineLevel="0" collapsed="false">
      <c r="A28" s="0" t="n">
        <v>7</v>
      </c>
      <c r="B28" s="14" t="n">
        <f aca="false">'4. Cash flow'!AQ10-B$14*($B$5+$B$6)/4</f>
        <v>31254.0766103802</v>
      </c>
      <c r="C28" s="14" t="n">
        <f aca="false">'4. Cash flow'!AQ10-C$14*($B$5+$B$6)/4</f>
        <v>108118.062382618</v>
      </c>
      <c r="D28" s="14" t="n">
        <f aca="false">'4. Cash flow'!AQ10</f>
        <v>347572.82661038</v>
      </c>
      <c r="E28" s="14" t="n">
        <f aca="false">'4. Cash flow'!AQ10</f>
        <v>347572.82661038</v>
      </c>
    </row>
    <row r="29" customFormat="false" ht="15" hidden="false" customHeight="false" outlineLevel="0" collapsed="false">
      <c r="A29" s="0" t="n">
        <v>8</v>
      </c>
      <c r="B29" s="14" t="n">
        <f aca="false">'4. Cash flow'!AQ11-B$14*($B$5+$B$6)/4</f>
        <v>467102.10775197</v>
      </c>
      <c r="C29" s="14" t="n">
        <f aca="false">'4. Cash flow'!AQ11-C$14*($B$5+$B$6)/4</f>
        <v>543966.093524208</v>
      </c>
      <c r="D29" s="14" t="n">
        <f aca="false">'4. Cash flow'!AQ11</f>
        <v>783420.85775197</v>
      </c>
      <c r="E29" s="14" t="n">
        <f aca="false">'4. Cash flow'!AQ11</f>
        <v>783420.85775197</v>
      </c>
    </row>
    <row r="30" customFormat="false" ht="15" hidden="false" customHeight="false" outlineLevel="0" collapsed="false">
      <c r="A30" s="0" t="n">
        <v>9</v>
      </c>
      <c r="B30" s="14" t="n">
        <f aca="false">'4. Cash flow'!AQ12-B$14*($B$5+$B$6)/4</f>
        <v>467102.10775197</v>
      </c>
      <c r="C30" s="14" t="n">
        <f aca="false">'4. Cash flow'!AQ12-C$14*($B$5+$B$6)/4</f>
        <v>543966.093524208</v>
      </c>
      <c r="D30" s="14" t="n">
        <f aca="false">'4. Cash flow'!AQ12</f>
        <v>783420.85775197</v>
      </c>
      <c r="E30" s="14" t="n">
        <f aca="false">'4. Cash flow'!AQ12</f>
        <v>783420.85775197</v>
      </c>
    </row>
    <row r="31" customFormat="false" ht="15" hidden="false" customHeight="false" outlineLevel="0" collapsed="false">
      <c r="A31" s="0" t="n">
        <v>10</v>
      </c>
      <c r="B31" s="14" t="n">
        <f aca="false">'4. Cash flow'!AQ13-B$14*($B$5+$B$6)/4</f>
        <v>443625.702928525</v>
      </c>
      <c r="C31" s="14" t="n">
        <f aca="false">'4. Cash flow'!AQ13-C$14*($B$5+$B$6)/4</f>
        <v>520489.688700763</v>
      </c>
      <c r="D31" s="14" t="n">
        <f aca="false">'4. Cash flow'!AQ13</f>
        <v>759944.452928525</v>
      </c>
      <c r="E31" s="14" t="n">
        <f aca="false">'4. Cash flow'!AQ13</f>
        <v>759944.452928525</v>
      </c>
    </row>
    <row r="32" customFormat="false" ht="15" hidden="false" customHeight="false" outlineLevel="0" collapsed="false">
      <c r="A32" s="0" t="n">
        <v>11</v>
      </c>
      <c r="B32" s="14" t="n">
        <f aca="false">'4. Cash flow'!AQ14-B$14*($B$5+$B$6)/4</f>
        <v>-1767089.66631257</v>
      </c>
      <c r="C32" s="14" t="n">
        <f aca="false">'4. Cash flow'!AQ14-C$14*($B$5+$B$6)/4</f>
        <v>-1690225.68054034</v>
      </c>
      <c r="D32" s="14" t="n">
        <f aca="false">'4. Cash flow'!AQ14</f>
        <v>-1450770.91631257</v>
      </c>
      <c r="E32" s="14" t="n">
        <f aca="false">'4. Cash flow'!AQ14</f>
        <v>-1450770.91631257</v>
      </c>
    </row>
    <row r="33" customFormat="false" ht="15" hidden="false" customHeight="false" outlineLevel="0" collapsed="false">
      <c r="A33" s="0" t="n">
        <v>12</v>
      </c>
      <c r="B33" s="14" t="n">
        <f aca="false">'4. Cash flow'!AQ15-B$14*($B$5+$B$6)/4</f>
        <v>-1790763.89224803</v>
      </c>
      <c r="C33" s="14" t="n">
        <f aca="false">'4. Cash flow'!AQ15-C$14*($B$5+$B$6)/4</f>
        <v>-1713899.90647579</v>
      </c>
      <c r="D33" s="14" t="n">
        <f aca="false">'4. Cash flow'!AQ15</f>
        <v>-1474445.14224803</v>
      </c>
      <c r="E33" s="14" t="n">
        <f aca="false">'4. Cash flow'!AQ15</f>
        <v>-1474445.14224803</v>
      </c>
    </row>
    <row r="34" customFormat="false" ht="15" hidden="false" customHeight="false" outlineLevel="0" collapsed="false">
      <c r="A34" s="0" t="n">
        <v>13</v>
      </c>
      <c r="B34" s="14" t="n">
        <f aca="false">'4. Cash flow'!AQ16-B$14*($B$5+$B$6)/4</f>
        <v>182137.817197883</v>
      </c>
      <c r="C34" s="14" t="n">
        <f aca="false">'4. Cash flow'!AQ16-C$14*($B$5+$B$6)/4</f>
        <v>259001.80297012</v>
      </c>
      <c r="D34" s="14" t="n">
        <f aca="false">'4. Cash flow'!AQ16</f>
        <v>498456.567197883</v>
      </c>
      <c r="E34" s="14" t="n">
        <f aca="false">'4. Cash flow'!AQ16</f>
        <v>498456.567197883</v>
      </c>
    </row>
    <row r="35" customFormat="false" ht="15" hidden="false" customHeight="false" outlineLevel="0" collapsed="false">
      <c r="A35" s="0" t="n">
        <v>14</v>
      </c>
      <c r="B35" s="14" t="n">
        <f aca="false">'4. Cash flow'!AQ17-B$14*($B$5+$B$6)/4</f>
        <v>81191.6534355371</v>
      </c>
      <c r="C35" s="14" t="n">
        <f aca="false">'4. Cash flow'!AQ17-C$14*($B$5+$B$6)/4</f>
        <v>158055.639207775</v>
      </c>
      <c r="D35" s="14" t="n">
        <f aca="false">'4. Cash flow'!AQ17</f>
        <v>397510.403435537</v>
      </c>
      <c r="E35" s="14" t="n">
        <f aca="false">'4. Cash flow'!AQ17</f>
        <v>397510.403435537</v>
      </c>
    </row>
    <row r="36" customFormat="false" ht="15" hidden="false" customHeight="false" outlineLevel="0" collapsed="false">
      <c r="A36" s="0" t="n">
        <v>15</v>
      </c>
      <c r="B36" s="14" t="n">
        <f aca="false">'4. Cash flow'!AQ18-B$14*($B$5+$B$6)/4</f>
        <v>239887.817197883</v>
      </c>
      <c r="C36" s="14" t="n">
        <f aca="false">'4. Cash flow'!AQ18-C$14*($B$5+$B$6)/4</f>
        <v>316751.80297012</v>
      </c>
      <c r="D36" s="14" t="n">
        <f aca="false">'4. Cash flow'!AQ18</f>
        <v>556206.567197883</v>
      </c>
      <c r="E36" s="14" t="n">
        <f aca="false">'4. Cash flow'!AQ18</f>
        <v>556206.567197883</v>
      </c>
    </row>
    <row r="37" customFormat="false" ht="15" hidden="false" customHeight="false" outlineLevel="0" collapsed="false">
      <c r="A37" s="0" t="n">
        <v>16</v>
      </c>
      <c r="B37" s="14" t="n">
        <f aca="false">'4. Cash flow'!AQ19-B$14*($B$5+$B$6)/4</f>
        <v>239887.817197883</v>
      </c>
      <c r="C37" s="14" t="n">
        <f aca="false">'4. Cash flow'!AQ19-C$14*($B$5+$B$6)/4</f>
        <v>316751.80297012</v>
      </c>
      <c r="D37" s="14" t="n">
        <f aca="false">'4. Cash flow'!AQ19</f>
        <v>556206.567197883</v>
      </c>
      <c r="E37" s="14" t="n">
        <f aca="false">'4. Cash flow'!AQ19</f>
        <v>556206.567197883</v>
      </c>
    </row>
    <row r="38" customFormat="false" ht="15" hidden="false" customHeight="false" outlineLevel="0" collapsed="false">
      <c r="A38" s="0" t="n">
        <v>17</v>
      </c>
      <c r="B38" s="14" t="n">
        <f aca="false">'4. Cash flow'!AQ20-B$14*($B$5+$B$6)/4</f>
        <v>-1151314.07902794</v>
      </c>
      <c r="C38" s="14" t="n">
        <f aca="false">'4. Cash flow'!AQ20-C$14*($B$5+$B$6)/4</f>
        <v>-1074450.0932557</v>
      </c>
      <c r="D38" s="14" t="n">
        <f aca="false">'4. Cash flow'!AQ20</f>
        <v>-834995.32902794</v>
      </c>
      <c r="E38" s="14" t="n">
        <f aca="false">'4. Cash flow'!AQ20</f>
        <v>-834995.32902794</v>
      </c>
    </row>
    <row r="39" customFormat="false" ht="15" hidden="false" customHeight="false" outlineLevel="0" collapsed="false">
      <c r="A39" s="0" t="n">
        <v>18</v>
      </c>
      <c r="B39" s="14" t="n">
        <f aca="false">'4. Cash flow'!AQ21-B$14*($B$5+$B$6)/4</f>
        <v>285850.304565809</v>
      </c>
      <c r="C39" s="14" t="n">
        <f aca="false">'4. Cash flow'!AQ21-C$14*($B$5+$B$6)/4</f>
        <v>362714.290338047</v>
      </c>
      <c r="D39" s="14" t="n">
        <f aca="false">'4. Cash flow'!AQ21</f>
        <v>602169.054565809</v>
      </c>
      <c r="E39" s="14" t="n">
        <f aca="false">'4. Cash flow'!AQ21</f>
        <v>602169.054565809</v>
      </c>
    </row>
    <row r="40" customFormat="false" ht="15" hidden="false" customHeight="false" outlineLevel="0" collapsed="false">
      <c r="A40" s="0" t="n">
        <v>19</v>
      </c>
      <c r="B40" s="14" t="n">
        <f aca="false">'4. Cash flow'!AQ22-B$14*($B$5+$B$6)/4</f>
        <v>285850.304565809</v>
      </c>
      <c r="C40" s="14" t="n">
        <f aca="false">'4. Cash flow'!AQ22-C$14*($B$5+$B$6)/4</f>
        <v>362714.290338047</v>
      </c>
      <c r="D40" s="14" t="n">
        <f aca="false">'4. Cash flow'!AQ22</f>
        <v>602169.054565809</v>
      </c>
      <c r="E40" s="14" t="n">
        <f aca="false">'4. Cash flow'!AQ22</f>
        <v>602169.054565809</v>
      </c>
    </row>
    <row r="41" customFormat="false" ht="15" hidden="false" customHeight="false" outlineLevel="0" collapsed="false">
      <c r="A41" s="0" t="n">
        <v>20</v>
      </c>
      <c r="B41" s="14" t="n">
        <f aca="false">'4. Cash flow'!AQ23-B$14*($B$5+$B$6)/4</f>
        <v>208697.073409144</v>
      </c>
      <c r="C41" s="14" t="n">
        <f aca="false">'4. Cash flow'!AQ23-C$14*($B$5+$B$6)/4</f>
        <v>285561.059181382</v>
      </c>
      <c r="D41" s="14" t="n">
        <f aca="false">'4. Cash flow'!AQ23</f>
        <v>525015.823409144</v>
      </c>
      <c r="E41" s="14" t="n">
        <f aca="false">'4. Cash flow'!AQ23</f>
        <v>525015.823409144</v>
      </c>
    </row>
    <row r="42" customFormat="false" ht="15" hidden="false" customHeight="false" outlineLevel="0" collapsed="false">
      <c r="A42" s="0" t="n">
        <v>21</v>
      </c>
      <c r="B42" s="14" t="n">
        <f aca="false">'4. Cash flow'!AQ24-B$14*($B$5+$B$6)/4</f>
        <v>328475.304565809</v>
      </c>
      <c r="C42" s="14" t="n">
        <f aca="false">'4. Cash flow'!AQ24-C$14*($B$5+$B$6)/4</f>
        <v>405339.290338047</v>
      </c>
      <c r="D42" s="14" t="n">
        <f aca="false">'4. Cash flow'!AQ24</f>
        <v>644794.054565809</v>
      </c>
      <c r="E42" s="14" t="n">
        <f aca="false">'4. Cash flow'!AQ24</f>
        <v>644794.054565809</v>
      </c>
    </row>
    <row r="43" customFormat="false" ht="15" hidden="false" customHeight="false" outlineLevel="0" collapsed="false">
      <c r="A43" s="0" t="n">
        <v>22</v>
      </c>
      <c r="B43" s="14" t="n">
        <f aca="false">'4. Cash flow'!AQ25-B$14*($B$5+$B$6)/4</f>
        <v>328475.304565809</v>
      </c>
      <c r="C43" s="14" t="n">
        <f aca="false">'4. Cash flow'!AQ25-C$14*($B$5+$B$6)/4</f>
        <v>405339.290338047</v>
      </c>
      <c r="D43" s="14" t="n">
        <f aca="false">'4. Cash flow'!AQ25</f>
        <v>644794.054565809</v>
      </c>
      <c r="E43" s="14" t="n">
        <f aca="false">'4. Cash flow'!AQ25</f>
        <v>644794.054565809</v>
      </c>
    </row>
    <row r="44" customFormat="false" ht="15" hidden="false" customHeight="false" outlineLevel="0" collapsed="false">
      <c r="A44" s="0" t="n">
        <v>23</v>
      </c>
      <c r="B44" s="14" t="n">
        <f aca="false">'4. Cash flow'!AQ26-B$14*($B$5+$B$6)/4</f>
        <v>563041.007247612</v>
      </c>
      <c r="C44" s="14" t="n">
        <f aca="false">'4. Cash flow'!AQ26-C$14*($B$5+$B$6)/4</f>
        <v>639904.99301985</v>
      </c>
      <c r="D44" s="14" t="n">
        <f aca="false">'4. Cash flow'!AQ26</f>
        <v>879359.757247612</v>
      </c>
      <c r="E44" s="14" t="n">
        <f aca="false">'4. Cash flow'!AQ26</f>
        <v>879359.757247612</v>
      </c>
    </row>
    <row r="45" customFormat="false" ht="15" hidden="false" customHeight="false" outlineLevel="0" collapsed="false">
      <c r="A45" s="0" t="n">
        <v>24</v>
      </c>
      <c r="B45" s="14" t="n">
        <f aca="false">'4. Cash flow'!AQ27-B$14*($B$5+$B$6)/4</f>
        <v>-666248.21132618</v>
      </c>
      <c r="C45" s="14" t="n">
        <f aca="false">'4. Cash flow'!AQ27-C$14*($B$5+$B$6)/4</f>
        <v>-589384.225553942</v>
      </c>
      <c r="D45" s="14" t="n">
        <f aca="false">'4. Cash flow'!AQ27</f>
        <v>-349929.46132618</v>
      </c>
      <c r="E45" s="14" t="n">
        <f aca="false">'4. Cash flow'!AQ27</f>
        <v>-349929.46132618</v>
      </c>
    </row>
    <row r="46" customFormat="false" ht="15" hidden="false" customHeight="false" outlineLevel="0" collapsed="false">
      <c r="A46" s="0" t="n">
        <v>25</v>
      </c>
      <c r="B46" s="14" t="n">
        <f aca="false">'4. Cash flow'!AQ28-B$14*($B$5+$B$6)/4</f>
        <v>379351.049495643</v>
      </c>
      <c r="C46" s="14" t="n">
        <f aca="false">'4. Cash flow'!AQ28-C$14*($B$5+$B$6)/4</f>
        <v>456215.03526788</v>
      </c>
      <c r="D46" s="14" t="n">
        <f aca="false">'4. Cash flow'!AQ28</f>
        <v>695669.799495643</v>
      </c>
      <c r="E46" s="14" t="n">
        <f aca="false">'4. Cash flow'!AQ28</f>
        <v>695669.799495643</v>
      </c>
    </row>
    <row r="47" customFormat="false" ht="15" hidden="false" customHeight="false" outlineLevel="0" collapsed="false">
      <c r="A47" s="0" t="n">
        <v>26</v>
      </c>
      <c r="B47" s="14" t="n">
        <f aca="false">'4. Cash flow'!AQ29-B$14*($B$5+$B$6)/4</f>
        <v>379351.049495643</v>
      </c>
      <c r="C47" s="14" t="n">
        <f aca="false">'4. Cash flow'!AQ29-C$14*($B$5+$B$6)/4</f>
        <v>456215.03526788</v>
      </c>
      <c r="D47" s="14" t="n">
        <f aca="false">'4. Cash flow'!AQ29</f>
        <v>695669.799495643</v>
      </c>
      <c r="E47" s="14" t="n">
        <f aca="false">'4. Cash flow'!AQ29</f>
        <v>695669.799495643</v>
      </c>
    </row>
    <row r="48" customFormat="false" ht="15" hidden="false" customHeight="false" outlineLevel="0" collapsed="false">
      <c r="A48" s="0" t="n">
        <v>27</v>
      </c>
      <c r="B48" s="14" t="n">
        <f aca="false">'4. Cash flow'!AQ30-B$14*($B$5+$B$6)/4</f>
        <v>-564315.765917393</v>
      </c>
      <c r="C48" s="14" t="n">
        <f aca="false">'4. Cash flow'!AQ30-C$14*($B$5+$B$6)/4</f>
        <v>-487451.780145156</v>
      </c>
      <c r="D48" s="14" t="n">
        <f aca="false">'4. Cash flow'!AQ30</f>
        <v>-247997.015917393</v>
      </c>
      <c r="E48" s="14" t="n">
        <f aca="false">'4. Cash flow'!AQ30</f>
        <v>-247997.015917393</v>
      </c>
    </row>
    <row r="49" customFormat="false" ht="15" hidden="false" customHeight="false" outlineLevel="0" collapsed="false">
      <c r="A49" s="0" t="n">
        <v>28</v>
      </c>
      <c r="B49" s="14" t="n">
        <f aca="false">'4. Cash flow'!AQ31-B$14*($B$5+$B$6)/4</f>
        <v>280753.649495643</v>
      </c>
      <c r="C49" s="14" t="n">
        <f aca="false">'4. Cash flow'!AQ31-C$14*($B$5+$B$6)/4</f>
        <v>357617.63526788</v>
      </c>
      <c r="D49" s="14" t="n">
        <f aca="false">'4. Cash flow'!AQ31</f>
        <v>597072.399495643</v>
      </c>
      <c r="E49" s="14" t="n">
        <f aca="false">'4. Cash flow'!AQ31</f>
        <v>597072.399495643</v>
      </c>
    </row>
    <row r="50" customFormat="false" ht="15" hidden="false" customHeight="false" outlineLevel="0" collapsed="false">
      <c r="A50" s="0" t="n">
        <v>29</v>
      </c>
      <c r="B50" s="14" t="n">
        <f aca="false">'4. Cash flow'!AQ32-B$14*($B$5+$B$6)/4</f>
        <v>280753.649495643</v>
      </c>
      <c r="C50" s="14" t="n">
        <f aca="false">'4. Cash flow'!AQ32-C$14*($B$5+$B$6)/4</f>
        <v>357617.63526788</v>
      </c>
      <c r="D50" s="14" t="n">
        <f aca="false">'4. Cash flow'!AQ32</f>
        <v>597072.399495643</v>
      </c>
      <c r="E50" s="14" t="n">
        <f aca="false">'4. Cash flow'!AQ32</f>
        <v>597072.399495643</v>
      </c>
    </row>
    <row r="51" customFormat="false" ht="15" hidden="false" customHeight="false" outlineLevel="0" collapsed="false">
      <c r="A51" s="0" t="n">
        <v>30</v>
      </c>
      <c r="B51" s="14" t="n">
        <f aca="false">'4. Cash flow'!AQ33-B$14*($B$5+$B$6)/4</f>
        <v>-181068.081760732</v>
      </c>
      <c r="C51" s="14" t="n">
        <f aca="false">'4. Cash flow'!AQ33-C$14*($B$5+$B$6)/4</f>
        <v>-104204.095988494</v>
      </c>
      <c r="D51" s="14" t="n">
        <f aca="false">'4. Cash flow'!AQ33</f>
        <v>135250.668239268</v>
      </c>
      <c r="E51" s="14" t="n">
        <f aca="false">'4. Cash flow'!AQ33</f>
        <v>135250.668239268</v>
      </c>
    </row>
    <row r="52" customFormat="false" ht="15" hidden="false" customHeight="false" outlineLevel="0" collapsed="false">
      <c r="A52" s="0" t="n">
        <v>31</v>
      </c>
      <c r="B52" s="14" t="n">
        <f aca="false">'4. Cash flow'!AQ34-B$14*($B$5+$B$6)/4</f>
        <v>383030.653551091</v>
      </c>
      <c r="C52" s="14" t="n">
        <f aca="false">'4. Cash flow'!AQ34-C$14*($B$5+$B$6)/4</f>
        <v>459894.639323329</v>
      </c>
      <c r="D52" s="14" t="n">
        <f aca="false">'4. Cash flow'!AQ34</f>
        <v>699349.403551091</v>
      </c>
      <c r="E52" s="14" t="n">
        <f aca="false">'4. Cash flow'!AQ34</f>
        <v>699349.403551091</v>
      </c>
    </row>
    <row r="53" customFormat="false" ht="15" hidden="false" customHeight="false" outlineLevel="0" collapsed="false">
      <c r="A53" s="0" t="n">
        <v>32</v>
      </c>
      <c r="B53" s="14" t="n">
        <f aca="false">'4. Cash flow'!AQ35-B$14*($B$5+$B$6)/4</f>
        <v>383030.653551091</v>
      </c>
      <c r="C53" s="14" t="n">
        <f aca="false">'4. Cash flow'!AQ35-C$14*($B$5+$B$6)/4</f>
        <v>459894.639323329</v>
      </c>
      <c r="D53" s="14" t="n">
        <f aca="false">'4. Cash flow'!AQ35</f>
        <v>699349.403551091</v>
      </c>
      <c r="E53" s="14" t="n">
        <f aca="false">'4. Cash flow'!AQ35</f>
        <v>699349.403551091</v>
      </c>
    </row>
    <row r="54" customFormat="false" ht="15" hidden="false" customHeight="false" outlineLevel="0" collapsed="false">
      <c r="A54" s="0" t="n">
        <v>33</v>
      </c>
      <c r="B54" s="14" t="n">
        <f aca="false">'4. Cash flow'!AQ36-B$14*($B$5+$B$6)/4</f>
        <v>477172.122414199</v>
      </c>
      <c r="C54" s="14" t="n">
        <f aca="false">'4. Cash flow'!AQ36-C$14*($B$5+$B$6)/4</f>
        <v>554036.108186436</v>
      </c>
      <c r="D54" s="14" t="n">
        <f aca="false">'4. Cash flow'!AQ36</f>
        <v>793490.872414199</v>
      </c>
      <c r="E54" s="14" t="n">
        <f aca="false">'4. Cash flow'!AQ36</f>
        <v>793490.872414199</v>
      </c>
    </row>
    <row r="55" customFormat="false" ht="15" hidden="false" customHeight="false" outlineLevel="0" collapsed="false">
      <c r="A55" s="0" t="n">
        <v>34</v>
      </c>
      <c r="B55" s="14" t="n">
        <f aca="false">'4. Cash flow'!AQ37-B$14*($B$5+$B$6)/4</f>
        <v>-2013375.60717009</v>
      </c>
      <c r="C55" s="14" t="n">
        <f aca="false">'4. Cash flow'!AQ37-C$14*($B$5+$B$6)/4</f>
        <v>-1936511.62139785</v>
      </c>
      <c r="D55" s="14" t="n">
        <f aca="false">'4. Cash flow'!AQ37</f>
        <v>-1697056.85717009</v>
      </c>
      <c r="E55" s="14" t="n">
        <f aca="false">'4. Cash flow'!AQ37</f>
        <v>-1697056.85717009</v>
      </c>
    </row>
    <row r="56" customFormat="false" ht="15" hidden="false" customHeight="false" outlineLevel="0" collapsed="false">
      <c r="A56" s="0" t="n">
        <v>35</v>
      </c>
      <c r="B56" s="14" t="n">
        <f aca="false">'4. Cash flow'!AQ38-B$14*($B$5+$B$6)/4</f>
        <v>149195.868163703</v>
      </c>
      <c r="C56" s="14" t="n">
        <f aca="false">'4. Cash flow'!AQ38-C$14*($B$5+$B$6)/4</f>
        <v>226059.853935941</v>
      </c>
      <c r="D56" s="14" t="n">
        <f aca="false">'4. Cash flow'!AQ38</f>
        <v>465514.618163703</v>
      </c>
      <c r="E56" s="14" t="n">
        <f aca="false">'4. Cash flow'!AQ38</f>
        <v>465514.618163703</v>
      </c>
    </row>
    <row r="57" customFormat="false" ht="15" hidden="false" customHeight="false" outlineLevel="0" collapsed="false">
      <c r="A57" s="0" t="n">
        <v>36</v>
      </c>
      <c r="B57" s="14" t="n">
        <f aca="false">'4. Cash flow'!AQ39-B$14*($B$5+$B$6)/4</f>
        <v>228613.595518672</v>
      </c>
      <c r="C57" s="14" t="n">
        <f aca="false">'4. Cash flow'!AQ39-C$14*($B$5+$B$6)/4</f>
        <v>305477.58129091</v>
      </c>
      <c r="D57" s="14" t="n">
        <f aca="false">'4. Cash flow'!AQ39</f>
        <v>544932.345518672</v>
      </c>
      <c r="E57" s="14" t="n">
        <f aca="false">'4. Cash flow'!AQ39</f>
        <v>544932.345518672</v>
      </c>
    </row>
    <row r="58" customFormat="false" ht="15" hidden="false" customHeight="false" outlineLevel="0" collapsed="false">
      <c r="A58" s="0" t="n">
        <v>37</v>
      </c>
      <c r="B58" s="14" t="n">
        <f aca="false">'4. Cash flow'!AQ40-B$14*($B$5+$B$6)/4</f>
        <v>113483.031239064</v>
      </c>
      <c r="C58" s="14" t="n">
        <f aca="false">'4. Cash flow'!AQ40-C$14*($B$5+$B$6)/4</f>
        <v>190347.017011301</v>
      </c>
      <c r="D58" s="14" t="n">
        <f aca="false">'4. Cash flow'!AQ40</f>
        <v>429801.781239064</v>
      </c>
      <c r="E58" s="14" t="n">
        <f aca="false">'4. Cash flow'!AQ40</f>
        <v>429801.781239064</v>
      </c>
    </row>
    <row r="59" customFormat="false" ht="15" hidden="false" customHeight="false" outlineLevel="0" collapsed="false">
      <c r="A59" s="0" t="n">
        <v>38</v>
      </c>
      <c r="B59" s="14" t="n">
        <f aca="false">'4. Cash flow'!AQ41-B$14*($B$5+$B$6)/4</f>
        <v>286363.595518672</v>
      </c>
      <c r="C59" s="14" t="n">
        <f aca="false">'4. Cash flow'!AQ41-C$14*($B$5+$B$6)/4</f>
        <v>363227.58129091</v>
      </c>
      <c r="D59" s="14" t="n">
        <f aca="false">'4. Cash flow'!AQ41</f>
        <v>602682.345518672</v>
      </c>
      <c r="E59" s="14" t="n">
        <f aca="false">'4. Cash flow'!AQ41</f>
        <v>602682.345518672</v>
      </c>
    </row>
    <row r="60" customFormat="false" ht="15" hidden="false" customHeight="false" outlineLevel="0" collapsed="false">
      <c r="A60" s="0" t="n">
        <v>39</v>
      </c>
      <c r="B60" s="14" t="n">
        <f aca="false">'4. Cash flow'!AQ42-B$14*($B$5+$B$6)/4</f>
        <v>286363.595518672</v>
      </c>
      <c r="C60" s="14" t="n">
        <f aca="false">'4. Cash flow'!AQ42-C$14*($B$5+$B$6)/4</f>
        <v>363227.58129091</v>
      </c>
      <c r="D60" s="14" t="n">
        <f aca="false">'4. Cash flow'!AQ42</f>
        <v>602682.345518672</v>
      </c>
      <c r="E60" s="14" t="n">
        <f aca="false">'4. Cash flow'!AQ42</f>
        <v>602682.345518672</v>
      </c>
    </row>
    <row r="61" customFormat="false" ht="15" hidden="false" customHeight="false" outlineLevel="0" collapsed="false">
      <c r="A61" s="0" t="n">
        <v>40</v>
      </c>
      <c r="B61" s="14" t="n">
        <f aca="false">'4. Cash flow'!AQ43+'5. Value'!B8-B$14*($B$5+$B$6)/4-B$14</f>
        <v>29408433.1825467</v>
      </c>
      <c r="C61" s="14" t="n">
        <f aca="false">'4. Cash flow'!AQ43+'5. Value'!B8-C$14*($B$5+$B$6)/4-C$14</f>
        <v>35232137.2260563</v>
      </c>
      <c r="D61" s="14" t="n">
        <f aca="false">'4. Cash flow'!AQ43+'5. Value'!B8</f>
        <v>53374751.9325467</v>
      </c>
      <c r="E61" s="14" t="n">
        <f aca="false">'4. Cash flow'!AQ43+'5. Value'!B8</f>
        <v>53374751.9325467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2026-08-25T08:48:10Z</dcterms:created>
  <dc:creator>openpyxl</dc:creator>
  <dc:description/>
  <dc:language>en-US</dc:language>
  <cp:lastModifiedBy/>
  <dcterms:modified xsi:type="dcterms:W3CDTF">2026-09-23T22:52:38Z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