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model" sheetId="2" state="visible" r:id="rId4"/>
    <sheet name="2. The book" sheetId="3" state="visible" r:id="rId5"/>
    <sheet name="3. Compensation" sheetId="4" state="visible" r:id="rId6"/>
    <sheet name="4. Weights" sheetId="5" state="visible" r:id="rId7"/>
    <sheet name="5. Fragility"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<sst xmlns="http://schemas.openxmlformats.org/spreadsheetml/2006/main" count="158" uniqueCount="141">
  <si>
    <t xml:space="preserve">Breaking the Rating Model</t>
  </si>
  <si>
    <t xml:space="preserve">Companion workbook to Operational Due Diligence in Private Equity, Appendix E — Julian R. Sterling</t>
  </si>
  <si>
    <t xml:space="preserve">What this workbook does</t>
  </si>
  <si>
    <t xml:space="preserve">Chapter 3 gives this discipline its sharpest warning: never average your way to comfort. The warning is correct and unquantified, which is a strange thing for a warning about arithmetic. This workbook quantifies it.</t>
  </si>
  <si>
    <t xml:space="preserve">Amber cells are inputs. Change them. Grey cells are computed and will move.</t>
  </si>
  <si>
    <t xml:space="preserve">The finding</t>
  </si>
  <si>
    <t xml:space="preserve">Three of twelve managers carry a flaw the book calls terminal. The averaging model gives all three its TOP rating.</t>
  </si>
  <si>
    <t xml:space="preserve">And a manager with no independent custody of client assets scores 1.500, against 2.250 for a manager with no fatal flaw at all. The model does not merely fail to catch the fatal flaw. It ranks it three quarters of a point HIGHER.</t>
  </si>
  <si>
    <t xml:space="preserve">Three things nobody is told</t>
  </si>
  <si>
    <t xml:space="preserve">1. One domain at 5 is buried whenever the other seven average 1.571 or better. Not perfection elsewhere - just 'good' elsewhere.</t>
  </si>
  <si>
    <t xml:space="preserve">2. Refining the rubric makes it WORSE. More domains means less weight on the fatal one: the average needed to bury a 5 rises from 1.571 at eight domains to 1.800 at sixteen.</t>
  </si>
  <si>
    <t xml:space="preserve">3. Weights change nothing. Three weighting schemes, zero decision changes out of twelve. Replacing averaging with veto rules changes five.</t>
  </si>
  <si>
    <t xml:space="preserve">The sheets</t>
  </si>
  <si>
    <t xml:space="preserve">1. The model — domains, veto flags, thresholds.</t>
  </si>
  <si>
    <t xml:space="preserve">2. The book — twelve managers scored, both decision rules side by side.</t>
  </si>
  <si>
    <t xml:space="preserve">3. Compensation — how good the rest has to be, and the granularity paradox.</t>
  </si>
  <si>
    <t xml:space="preserve">4. Weights — three schemes, and what they change.</t>
  </si>
  <si>
    <t xml:space="preserve">5. Fragility — how far each manager sits from a different answer, in analyst-points.</t>
  </si>
  <si>
    <t xml:space="preserve">6. Checks — every figure in Appendix E, tested.</t>
  </si>
  <si>
    <t xml:space="preserve">Risk domains</t>
  </si>
  <si>
    <t xml:space="preserve">Domain</t>
  </si>
  <si>
    <t xml:space="preserve">Veto?</t>
  </si>
  <si>
    <t xml:space="preserve">Weight</t>
  </si>
  <si>
    <t xml:space="preserve">Governance</t>
  </si>
  <si>
    <t xml:space="preserve">Structure &amp; terms</t>
  </si>
  <si>
    <t xml:space="preserve">Finance &amp; controls</t>
  </si>
  <si>
    <t xml:space="preserve">Admin, custody, cash</t>
  </si>
  <si>
    <t xml:space="preserve">YES</t>
  </si>
  <si>
    <t xml:space="preserve">Service providers</t>
  </si>
  <si>
    <t xml:space="preserve">Compliance &amp; conflicts</t>
  </si>
  <si>
    <t xml:space="preserve">Technology &amp; resilience</t>
  </si>
  <si>
    <t xml:space="preserve">Valuation</t>
  </si>
  <si>
    <t xml:space="preserve">Domains</t>
  </si>
  <si>
    <t xml:space="preserve">Approve at or below</t>
  </si>
  <si>
    <t xml:space="preserve">Overall score. 1 = low concern, 5 = high.</t>
  </si>
  <si>
    <t xml:space="preserve">Approve with conditions at or below</t>
  </si>
  <si>
    <t xml:space="preserve">Not yet at or below</t>
  </si>
  <si>
    <t xml:space="preserve">Above this, reject.</t>
  </si>
  <si>
    <t xml:space="preserve">A veto domain at this score disqualifies</t>
  </si>
  <si>
    <t xml:space="preserve">A veto domain at this score caps at 'Not yet'</t>
  </si>
  <si>
    <t xml:space="preserve">The three veto domains are the three Chapter 3 itself names as capable of being terminal: no independent custody, an unmanageable conflict, self-marked valuations with no oversight.</t>
  </si>
  <si>
    <t xml:space="preserve">Manager</t>
  </si>
  <si>
    <t xml:space="preserve">Average</t>
  </si>
  <si>
    <t xml:space="preserve">Worst domain</t>
  </si>
  <si>
    <t xml:space="preserve">Worst VETO domain</t>
  </si>
  <si>
    <t xml:space="preserve">Decision: AVERAGE</t>
  </si>
  <si>
    <t xml:space="preserve">Decision: VETO</t>
  </si>
  <si>
    <t xml:space="preserve">Differs?</t>
  </si>
  <si>
    <t xml:space="preserve">Alderman Credit</t>
  </si>
  <si>
    <t xml:space="preserve">Brightmoor Partners</t>
  </si>
  <si>
    <t xml:space="preserve">Caldwell Special Sits</t>
  </si>
  <si>
    <t xml:space="preserve">Draycott Infrastructure</t>
  </si>
  <si>
    <t xml:space="preserve">Ellerby Growth</t>
  </si>
  <si>
    <t xml:space="preserve">Fenwick Real Assets</t>
  </si>
  <si>
    <t xml:space="preserve">Garrow Mid-Market</t>
  </si>
  <si>
    <t xml:space="preserve">Halstead Ventures</t>
  </si>
  <si>
    <t xml:space="preserve">Inverleith Secondaries</t>
  </si>
  <si>
    <t xml:space="preserve">Jarrow Opportunistic</t>
  </si>
  <si>
    <t xml:space="preserve">Kelsall Private Credit</t>
  </si>
  <si>
    <t xml:space="preserve">Larkhall Buyout</t>
  </si>
  <si>
    <t xml:space="preserve">Managers carrying a fatal flaw (a veto domain at 5)</t>
  </si>
  <si>
    <t xml:space="preserve">...of whom the AVERAGE gives the top rating 'Approve'</t>
  </si>
  <si>
    <t xml:space="preserve">Three. All of them.</t>
  </si>
  <si>
    <t xml:space="preserve">Decisions the veto rules change</t>
  </si>
  <si>
    <t xml:space="preserve">Alderman Credit (no independent custody)</t>
  </si>
  <si>
    <t xml:space="preserve">Caldwell Special Sits (no fatal flaw at all)</t>
  </si>
  <si>
    <t xml:space="preserve">The model ranks the dangerous one HIGHER by</t>
  </si>
  <si>
    <t xml:space="preserve">Three quarters of a point.</t>
  </si>
  <si>
    <t xml:space="preserve">veto flags (helper)</t>
  </si>
  <si>
    <t xml:space="preserve">How good the rest has to be, and why refining the rubric makes it worse</t>
  </si>
  <si>
    <t xml:space="preserve">Score of the fatal domain</t>
  </si>
  <si>
    <t xml:space="preserve">Approval threshold</t>
  </si>
  <si>
    <t xml:space="preserve">The granularity paradox</t>
  </si>
  <si>
    <t xml:space="preserve">Average needed elsewhere</t>
  </si>
  <si>
    <t xml:space="preserve">Weight of the fatal domain</t>
  </si>
  <si>
    <t xml:space="preserve">At eight domains, the other seven need only</t>
  </si>
  <si>
    <t xml:space="preserve">Not perfection. Just 'good'.</t>
  </si>
  <si>
    <t xml:space="preserve">At sixteen domains they need only</t>
  </si>
  <si>
    <t xml:space="preserve">Refining the rubric made it EASIER to hide a fatal flaw.</t>
  </si>
  <si>
    <t xml:space="preserve">The rubric got 'better' and the bar got</t>
  </si>
  <si>
    <t xml:space="preserve">points lower.</t>
  </si>
  <si>
    <t xml:space="preserve">A team that splits eight domains into sixteen to capture more nuance has halved the weight of the one domain that could kill the fund. Nobody running that exercise would describe it that way. If the model needs to be stronger, add veto rules, not domains.</t>
  </si>
  <si>
    <t xml:space="preserve">Three weighting schemes, and what they change</t>
  </si>
  <si>
    <t xml:space="preserve">Scheme</t>
  </si>
  <si>
    <t xml:space="preserve">Gov</t>
  </si>
  <si>
    <t xml:space="preserve">Struct</t>
  </si>
  <si>
    <t xml:space="preserve">Fin</t>
  </si>
  <si>
    <t xml:space="preserve">Cust</t>
  </si>
  <si>
    <t xml:space="preserve">Serv</t>
  </si>
  <si>
    <t xml:space="preserve">Compl</t>
  </si>
  <si>
    <t xml:space="preserve">Tech</t>
  </si>
  <si>
    <t xml:space="preserve">Val</t>
  </si>
  <si>
    <t xml:space="preserve">Equal</t>
  </si>
  <si>
    <t xml:space="preserve">Controls-heavy</t>
  </si>
  <si>
    <t xml:space="preserve">Governance-heavy</t>
  </si>
  <si>
    <t xml:space="preserve">Dec: equal</t>
  </si>
  <si>
    <t xml:space="preserve">Dec: controls</t>
  </si>
  <si>
    <t xml:space="preserve">Dec: governance</t>
  </si>
  <si>
    <t xml:space="preserve">Decisions changed by the controls-heavy scheme</t>
  </si>
  <si>
    <t xml:space="preserve">Decisions changed by the governance-heavy scheme</t>
  </si>
  <si>
    <t xml:space="preserve">Decisions changed by the VETO rules instead</t>
  </si>
  <si>
    <t xml:space="preserve">Zero from re-weighting. Five from restructuring.</t>
  </si>
  <si>
    <t xml:space="preserve">Committee time spent debating weights is time that cannot change an outcome. The design decision that determines every outcome - whether the model can say 'this one issue is disqualifying' - is usually taken in a sentence and never revisited.</t>
  </si>
  <si>
    <t xml:space="preserve">How far each manager sits from a different answer</t>
  </si>
  <si>
    <t xml:space="preserve">An analyst-point is one notch of disagreement on one domain. Divide the distance to the nearest threshold by one over the number of domains.</t>
  </si>
  <si>
    <t xml:space="preserve">Nearest threshold</t>
  </si>
  <si>
    <t xml:space="preserve">Distance</t>
  </si>
  <si>
    <t xml:space="preserve">Analyst-points</t>
  </si>
  <si>
    <t xml:space="preserve">Median distance to a different recommendation</t>
  </si>
  <si>
    <t xml:space="preserve">Analyst-points, out of eight domains.</t>
  </si>
  <si>
    <t xml:space="preserve">Managers two analyst-points or fewer from a different answer</t>
  </si>
  <si>
    <t xml:space="preserve">...out of</t>
  </si>
  <si>
    <t xml:space="preserve">Two analysts who disagree by a single notch on two of eight domains hand the investment committee different recommendations on more than half the book. This is not an argument against scoring. It is an argument for printing the distance to the threshold next to the score - a rating of 2.10 one point from a boundary and a rating of 1.20 eight points from one are not the same statement about a manager.</t>
  </si>
  <si>
    <t xml:space="preserve">#</t>
  </si>
  <si>
    <t xml:space="preserve">What is tested</t>
  </si>
  <si>
    <t xml:space="preserve">Value</t>
  </si>
  <si>
    <t xml:space="preserve">Verdict</t>
  </si>
  <si>
    <t xml:space="preserve">Eight risk domains, as Chapter 3 names them</t>
  </si>
  <si>
    <t xml:space="preserve">Three of the twelve managers carry a fatal flaw</t>
  </si>
  <si>
    <t xml:space="preserve">THE AVERAGE GIVES ALL THREE ITS TOP RATING</t>
  </si>
  <si>
    <t xml:space="preserve">Alderman Credit, with no independent custody, scores 1.500</t>
  </si>
  <si>
    <t xml:space="preserve">Caldwell, with no fatal flaw at all, scores 2.250</t>
  </si>
  <si>
    <t xml:space="preserve">THE MODEL RANKS THE DANGEROUS ONE HIGHER, by 0.750</t>
  </si>
  <si>
    <t xml:space="preserve">Alderman's worst domain is a 5</t>
  </si>
  <si>
    <t xml:space="preserve">...and it is in a VETO domain</t>
  </si>
  <si>
    <t xml:space="preserve">...yet the average says Approve</t>
  </si>
  <si>
    <t xml:space="preserve">...and the veto rules say Reject</t>
  </si>
  <si>
    <t xml:space="preserve">At eight domains, the other seven need only 1.571</t>
  </si>
  <si>
    <t xml:space="preserve">At twelve domains they need only 1.727</t>
  </si>
  <si>
    <t xml:space="preserve">At sixteen domains they need only 1.800</t>
  </si>
  <si>
    <t xml:space="preserve">GRANULARITY PARADOX: refining the rubric LOWERS the bar</t>
  </si>
  <si>
    <t xml:space="preserve">The fatal domain carries 12.5% of an eight-domain score</t>
  </si>
  <si>
    <t xml:space="preserve">...and only 6.2% of a sixteen-domain score</t>
  </si>
  <si>
    <t xml:space="preserve">Controls-heavy weighting changes ZERO decisions</t>
  </si>
  <si>
    <t xml:space="preserve">Governance-heavy weighting changes ZERO decisions</t>
  </si>
  <si>
    <t xml:space="preserve">THE VETO RULES CHANGE FIVE</t>
  </si>
  <si>
    <t xml:space="preserve">Structure decides; weighting does not</t>
  </si>
  <si>
    <t xml:space="preserve">Median distance to a different answer is 2 analyst-points</t>
  </si>
  <si>
    <t xml:space="preserve">Seven of twelve sit two analyst-points or fewer away</t>
  </si>
  <si>
    <t xml:space="preserve">Inverleith, flat at 1, is the furthest from a boundary</t>
  </si>
  <si>
    <t xml:space="preserve">Kelsall sits ONE analyst-point from a different answer</t>
  </si>
</sst>
</file>

<file path=xl/styles.xml><?xml version="1.0" encoding="utf-8"?>
<styleSheet xmlns="http://schemas.openxmlformats.org/spreadsheetml/2006/main">
  <numFmts count="8">
    <numFmt numFmtId="164" formatCode="General"/>
    <numFmt numFmtId="165" formatCode="General"/>
    <numFmt numFmtId="166" formatCode="0.00"/>
    <numFmt numFmtId="167" formatCode="0"/>
    <numFmt numFmtId="168" formatCode="0.000"/>
    <numFmt numFmtId="169" formatCode="0.0%"/>
    <numFmt numFmtId="170" formatCode="0.00%"/>
    <numFmt numFmtId="171" formatCode="0.0"/>
  </numFmts>
  <fonts count="10">
    <font>
      <sz val="11"/>
      <color theme="1"/>
      <name val="Calibri"/>
      <family val="2"/>
      <charset val="1"/>
    </font>
    <font>
      <sz val="10"/>
      <name val="Arial"/>
      <family val="0"/>
    </font>
    <font>
      <sz val="10"/>
      <name val="Arial"/>
      <family val="0"/>
    </font>
    <font>
      <sz val="10"/>
      <name val="Arial"/>
      <family val="0"/>
    </font>
    <font>
      <b val="true"/>
      <sz val="16"/>
      <color rgb="FF172A42"/>
      <name val="Cambria"/>
      <family val="0"/>
      <charset val="1"/>
    </font>
    <font>
      <i val="true"/>
      <sz val="11"/>
      <color rgb="FF172A42"/>
      <name val="Cambria"/>
      <family val="0"/>
      <charset val="1"/>
    </font>
    <font>
      <b val="true"/>
      <sz val="12"/>
      <color rgb="FF172A42"/>
      <name val="Cambria"/>
      <family val="0"/>
      <charset val="1"/>
    </font>
    <font>
      <b val="true"/>
      <sz val="11"/>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8" fontId="9" fillId="4" borderId="1" xfId="0" applyFont="tru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9" fontId="0" fillId="4"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3"/>
    </row>
    <row r="4" customFormat="false" ht="15" hidden="false" customHeight="true" outlineLevel="0" collapsed="false">
      <c r="A4" s="4" t="s">
        <v>2</v>
      </c>
    </row>
    <row r="5" customFormat="false" ht="45" hidden="false" customHeight="true" outlineLevel="0" collapsed="false">
      <c r="A5" s="3" t="s">
        <v>3</v>
      </c>
    </row>
    <row r="6" customFormat="false" ht="15" hidden="false" customHeight="true" outlineLevel="0" collapsed="false">
      <c r="A6" s="3"/>
    </row>
    <row r="7" customFormat="false" ht="15" hidden="false" customHeight="true" outlineLevel="0" collapsed="false">
      <c r="A7" s="5" t="s">
        <v>4</v>
      </c>
    </row>
    <row r="8" customFormat="false" ht="15" hidden="false" customHeight="true" outlineLevel="0" collapsed="false">
      <c r="A8" s="3"/>
    </row>
    <row r="9" customFormat="false" ht="15" hidden="false" customHeight="true" outlineLevel="0" collapsed="false">
      <c r="A9" s="4" t="s">
        <v>5</v>
      </c>
    </row>
    <row r="10" customFormat="false" ht="30" hidden="false" customHeight="true" outlineLevel="0" collapsed="false">
      <c r="A10" s="3" t="s">
        <v>6</v>
      </c>
    </row>
    <row r="11" customFormat="false" ht="45" hidden="false" customHeight="true" outlineLevel="0" collapsed="false">
      <c r="A11" s="3" t="s">
        <v>7</v>
      </c>
    </row>
    <row r="12" customFormat="false" ht="15" hidden="false" customHeight="true" outlineLevel="0" collapsed="false">
      <c r="A12" s="3"/>
    </row>
    <row r="13" customFormat="false" ht="15" hidden="false" customHeight="true" outlineLevel="0" collapsed="false">
      <c r="A13" s="4" t="s">
        <v>8</v>
      </c>
    </row>
    <row r="14" customFormat="false" ht="30" hidden="false" customHeight="true" outlineLevel="0" collapsed="false">
      <c r="A14" s="3" t="s">
        <v>9</v>
      </c>
    </row>
    <row r="15" customFormat="false" ht="30" hidden="false" customHeight="true" outlineLevel="0" collapsed="false">
      <c r="A15" s="3" t="s">
        <v>10</v>
      </c>
    </row>
    <row r="16" customFormat="false" ht="30" hidden="false" customHeight="true" outlineLevel="0" collapsed="false">
      <c r="A16" s="3" t="s">
        <v>11</v>
      </c>
    </row>
    <row r="17" customFormat="false" ht="15" hidden="false" customHeight="true" outlineLevel="0" collapsed="false">
      <c r="A17" s="3"/>
    </row>
    <row r="18" customFormat="false" ht="15" hidden="false" customHeight="true" outlineLevel="0" collapsed="false">
      <c r="A18" s="4" t="s">
        <v>12</v>
      </c>
    </row>
    <row r="19" customFormat="false" ht="15" hidden="false" customHeight="true" outlineLevel="0" collapsed="false">
      <c r="A19" s="3" t="s">
        <v>13</v>
      </c>
    </row>
    <row r="20" customFormat="false" ht="15" hidden="false" customHeight="true" outlineLevel="0" collapsed="false">
      <c r="A20" s="3" t="s">
        <v>14</v>
      </c>
    </row>
    <row r="21" customFormat="false" ht="15" hidden="false" customHeight="true" outlineLevel="0" collapsed="false">
      <c r="A21" s="3" t="s">
        <v>15</v>
      </c>
    </row>
    <row r="22" customFormat="false" ht="15" hidden="false" customHeight="true" outlineLevel="0" collapsed="false">
      <c r="A22" s="3" t="s">
        <v>16</v>
      </c>
    </row>
    <row r="23" customFormat="false" ht="15" hidden="false" customHeight="true" outlineLevel="0" collapsed="false">
      <c r="A23" s="3" t="s">
        <v>17</v>
      </c>
    </row>
    <row r="24" customFormat="false" ht="15" hidden="false" customHeight="true" outlineLevel="0" collapsed="false">
      <c r="A24"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3" min="2" style="0" width="12"/>
    <col collapsed="false" customWidth="true" hidden="false" outlineLevel="0" max="4" min="4" style="0" width="50"/>
  </cols>
  <sheetData>
    <row r="1" customFormat="false" ht="15" hidden="false" customHeight="false" outlineLevel="0" collapsed="false">
      <c r="A1" s="6" t="s">
        <v>19</v>
      </c>
    </row>
    <row r="2" customFormat="false" ht="15" hidden="false" customHeight="false" outlineLevel="0" collapsed="false">
      <c r="A2" s="7" t="s">
        <v>20</v>
      </c>
      <c r="B2" s="7" t="s">
        <v>21</v>
      </c>
      <c r="C2" s="7" t="s">
        <v>22</v>
      </c>
      <c r="D2" s="7"/>
    </row>
    <row r="3" customFormat="false" ht="15" hidden="false" customHeight="false" outlineLevel="0" collapsed="false">
      <c r="A3" s="8" t="s">
        <v>23</v>
      </c>
      <c r="B3" s="9"/>
      <c r="C3" s="9" t="n">
        <v>1</v>
      </c>
    </row>
    <row r="4" customFormat="false" ht="15" hidden="false" customHeight="false" outlineLevel="0" collapsed="false">
      <c r="A4" s="8" t="s">
        <v>24</v>
      </c>
      <c r="B4" s="9"/>
      <c r="C4" s="9" t="n">
        <v>1</v>
      </c>
    </row>
    <row r="5" customFormat="false" ht="15" hidden="false" customHeight="false" outlineLevel="0" collapsed="false">
      <c r="A5" s="8" t="s">
        <v>25</v>
      </c>
      <c r="B5" s="9"/>
      <c r="C5" s="9" t="n">
        <v>1</v>
      </c>
    </row>
    <row r="6" customFormat="false" ht="15" hidden="false" customHeight="false" outlineLevel="0" collapsed="false">
      <c r="A6" s="8" t="s">
        <v>26</v>
      </c>
      <c r="B6" s="9" t="s">
        <v>27</v>
      </c>
      <c r="C6" s="9" t="n">
        <v>1</v>
      </c>
    </row>
    <row r="7" customFormat="false" ht="15" hidden="false" customHeight="false" outlineLevel="0" collapsed="false">
      <c r="A7" s="8" t="s">
        <v>28</v>
      </c>
      <c r="B7" s="9"/>
      <c r="C7" s="9" t="n">
        <v>1</v>
      </c>
    </row>
    <row r="8" customFormat="false" ht="15" hidden="false" customHeight="false" outlineLevel="0" collapsed="false">
      <c r="A8" s="8" t="s">
        <v>29</v>
      </c>
      <c r="B8" s="9" t="s">
        <v>27</v>
      </c>
      <c r="C8" s="9" t="n">
        <v>1</v>
      </c>
    </row>
    <row r="9" customFormat="false" ht="15" hidden="false" customHeight="false" outlineLevel="0" collapsed="false">
      <c r="A9" s="8" t="s">
        <v>30</v>
      </c>
      <c r="B9" s="9"/>
      <c r="C9" s="9" t="n">
        <v>1</v>
      </c>
    </row>
    <row r="10" customFormat="false" ht="15" hidden="false" customHeight="false" outlineLevel="0" collapsed="false">
      <c r="A10" s="8" t="s">
        <v>31</v>
      </c>
      <c r="B10" s="9" t="s">
        <v>27</v>
      </c>
      <c r="C10" s="9" t="n">
        <v>1</v>
      </c>
    </row>
    <row r="11" customFormat="false" ht="15" hidden="false" customHeight="false" outlineLevel="0" collapsed="false">
      <c r="A11" s="10" t="s">
        <v>32</v>
      </c>
      <c r="B11" s="11" t="n">
        <f aca="false">COUNTA(A3:A10)</f>
        <v>8</v>
      </c>
    </row>
    <row r="13" customFormat="false" ht="55.2" hidden="false" customHeight="false" outlineLevel="0" collapsed="false">
      <c r="A13" s="8" t="s">
        <v>33</v>
      </c>
      <c r="B13" s="12" t="n">
        <v>2</v>
      </c>
      <c r="C13" s="13" t="s">
        <v>34</v>
      </c>
    </row>
    <row r="14" customFormat="false" ht="15" hidden="false" customHeight="false" outlineLevel="0" collapsed="false">
      <c r="A14" s="8" t="s">
        <v>35</v>
      </c>
      <c r="B14" s="12" t="n">
        <v>3</v>
      </c>
      <c r="C14" s="13"/>
    </row>
    <row r="15" customFormat="false" ht="28.35" hidden="false" customHeight="false" outlineLevel="0" collapsed="false">
      <c r="A15" s="8" t="s">
        <v>36</v>
      </c>
      <c r="B15" s="12" t="n">
        <v>3.5</v>
      </c>
      <c r="C15" s="13" t="s">
        <v>37</v>
      </c>
    </row>
    <row r="17" customFormat="false" ht="15" hidden="false" customHeight="false" outlineLevel="0" collapsed="false">
      <c r="A17" s="8" t="s">
        <v>38</v>
      </c>
      <c r="B17" s="14" t="n">
        <v>5</v>
      </c>
      <c r="C17" s="13"/>
    </row>
    <row r="18" customFormat="false" ht="15" hidden="false" customHeight="false" outlineLevel="0" collapsed="false">
      <c r="A18" s="8" t="s">
        <v>39</v>
      </c>
      <c r="B18" s="14" t="n">
        <v>4</v>
      </c>
      <c r="C18" s="13"/>
    </row>
    <row r="20" customFormat="false" ht="95.5" hidden="false" customHeight="false" outlineLevel="0" collapsed="false">
      <c r="A20" s="15"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9" min="2" style="0" width="11"/>
    <col collapsed="false" customWidth="true" hidden="false" outlineLevel="0" max="10" min="10" style="0" width="10"/>
    <col collapsed="false" customWidth="true" hidden="false" outlineLevel="0" max="11" min="11" style="0" width="13"/>
    <col collapsed="false" customWidth="true" hidden="false" outlineLevel="0" max="12" min="12" style="0" width="17"/>
    <col collapsed="false" customWidth="true" hidden="false" outlineLevel="0" max="13" min="13" style="0" width="24"/>
    <col collapsed="false" customWidth="true" hidden="false" outlineLevel="0" max="14" min="14" style="0" width="22"/>
    <col collapsed="false" customWidth="true" hidden="false" outlineLevel="0" max="15" min="15" style="0" width="10"/>
  </cols>
  <sheetData>
    <row r="1" customFormat="false" ht="41.75" hidden="false" customHeight="false" outlineLevel="0" collapsed="false">
      <c r="A1" s="7" t="s">
        <v>41</v>
      </c>
      <c r="B1" s="7" t="s">
        <v>23</v>
      </c>
      <c r="C1" s="7" t="s">
        <v>24</v>
      </c>
      <c r="D1" s="7" t="s">
        <v>25</v>
      </c>
      <c r="E1" s="7" t="s">
        <v>26</v>
      </c>
      <c r="F1" s="7" t="s">
        <v>28</v>
      </c>
      <c r="G1" s="7" t="s">
        <v>29</v>
      </c>
      <c r="H1" s="7" t="s">
        <v>30</v>
      </c>
      <c r="I1" s="7" t="s">
        <v>31</v>
      </c>
      <c r="J1" s="7" t="s">
        <v>42</v>
      </c>
      <c r="K1" s="7" t="s">
        <v>43</v>
      </c>
      <c r="L1" s="7" t="s">
        <v>44</v>
      </c>
      <c r="M1" s="7" t="s">
        <v>45</v>
      </c>
      <c r="N1" s="7" t="s">
        <v>46</v>
      </c>
      <c r="O1" s="7" t="s">
        <v>47</v>
      </c>
    </row>
    <row r="2" customFormat="false" ht="15" hidden="false" customHeight="false" outlineLevel="0" collapsed="false">
      <c r="A2" s="8" t="s">
        <v>48</v>
      </c>
      <c r="B2" s="9" t="n">
        <v>1</v>
      </c>
      <c r="C2" s="9" t="n">
        <v>1</v>
      </c>
      <c r="D2" s="9" t="n">
        <v>1</v>
      </c>
      <c r="E2" s="9" t="n">
        <v>5</v>
      </c>
      <c r="F2" s="9" t="n">
        <v>1</v>
      </c>
      <c r="G2" s="9" t="n">
        <v>1</v>
      </c>
      <c r="H2" s="9" t="n">
        <v>1</v>
      </c>
      <c r="I2" s="9" t="n">
        <v>1</v>
      </c>
      <c r="J2" s="16" t="n">
        <f aca="false">AVERAGE(B2:I2)</f>
        <v>1.5</v>
      </c>
      <c r="K2" s="17" t="n">
        <f aca="false">MAX(B2:I2)</f>
        <v>5</v>
      </c>
      <c r="L2" s="17" t="n">
        <f aca="false">MAX(B2*B$30,C2*C$30,D2*D$30,E2*E$30,F2*F$30,G2*G$30,H2*H$30,I2*I$30)</f>
        <v>5</v>
      </c>
      <c r="M2" s="18" t="str">
        <f aca="false">IF(J2&lt;='1. The model'!$B$13,"Approve",IF(J2&lt;='1. The model'!$B$14,"Approve with conditions",IF(J2&lt;='1. The model'!$B$15,"Not yet","Reject")))</f>
        <v>Approve</v>
      </c>
      <c r="N2" s="18" t="str">
        <f aca="false">IF(L2&gt;='1. The model'!$B$17,"Reject (veto)",IF(L2&gt;='1. The model'!$B$18,"Not yet (veto)",M2))</f>
        <v>Reject (veto)</v>
      </c>
      <c r="O2" s="11" t="str">
        <f aca="false">IF(M2=N2,"","CHANGED")</f>
        <v>CHANGED</v>
      </c>
    </row>
    <row r="3" customFormat="false" ht="15" hidden="false" customHeight="false" outlineLevel="0" collapsed="false">
      <c r="A3" s="8" t="s">
        <v>49</v>
      </c>
      <c r="B3" s="9" t="n">
        <v>1</v>
      </c>
      <c r="C3" s="9" t="n">
        <v>2</v>
      </c>
      <c r="D3" s="9" t="n">
        <v>1</v>
      </c>
      <c r="E3" s="9" t="n">
        <v>1</v>
      </c>
      <c r="F3" s="9" t="n">
        <v>1</v>
      </c>
      <c r="G3" s="9" t="n">
        <v>1</v>
      </c>
      <c r="H3" s="9" t="n">
        <v>2</v>
      </c>
      <c r="I3" s="9" t="n">
        <v>1</v>
      </c>
      <c r="J3" s="16" t="n">
        <f aca="false">AVERAGE(B3:I3)</f>
        <v>1.25</v>
      </c>
      <c r="K3" s="17" t="n">
        <f aca="false">MAX(B3:I3)</f>
        <v>2</v>
      </c>
      <c r="L3" s="17" t="n">
        <f aca="false">MAX(B3*B$30,C3*C$30,D3*D$30,E3*E$30,F3*F$30,G3*G$30,H3*H$30,I3*I$30)</f>
        <v>1</v>
      </c>
      <c r="M3" s="18" t="str">
        <f aca="false">IF(J3&lt;='1. The model'!$B$13,"Approve",IF(J3&lt;='1. The model'!$B$14,"Approve with conditions",IF(J3&lt;='1. The model'!$B$15,"Not yet","Reject")))</f>
        <v>Approve</v>
      </c>
      <c r="N3" s="18" t="str">
        <f aca="false">IF(L3&gt;='1. The model'!$B$17,"Reject (veto)",IF(L3&gt;='1. The model'!$B$18,"Not yet (veto)",M3))</f>
        <v>Approve</v>
      </c>
      <c r="O3" s="11" t="str">
        <f aca="false">IF(M3=N3,"","CHANGED")</f>
        <v/>
      </c>
    </row>
    <row r="4" customFormat="false" ht="15" hidden="false" customHeight="false" outlineLevel="0" collapsed="false">
      <c r="A4" s="8" t="s">
        <v>50</v>
      </c>
      <c r="B4" s="9" t="n">
        <v>2</v>
      </c>
      <c r="C4" s="9" t="n">
        <v>2</v>
      </c>
      <c r="D4" s="9" t="n">
        <v>3</v>
      </c>
      <c r="E4" s="9" t="n">
        <v>2</v>
      </c>
      <c r="F4" s="9" t="n">
        <v>2</v>
      </c>
      <c r="G4" s="9" t="n">
        <v>2</v>
      </c>
      <c r="H4" s="9" t="n">
        <v>3</v>
      </c>
      <c r="I4" s="9" t="n">
        <v>2</v>
      </c>
      <c r="J4" s="16" t="n">
        <f aca="false">AVERAGE(B4:I4)</f>
        <v>2.25</v>
      </c>
      <c r="K4" s="17" t="n">
        <f aca="false">MAX(B4:I4)</f>
        <v>3</v>
      </c>
      <c r="L4" s="17" t="n">
        <f aca="false">MAX(B4*B$30,C4*C$30,D4*D$30,E4*E$30,F4*F$30,G4*G$30,H4*H$30,I4*I$30)</f>
        <v>2</v>
      </c>
      <c r="M4" s="18" t="str">
        <f aca="false">IF(J4&lt;='1. The model'!$B$13,"Approve",IF(J4&lt;='1. The model'!$B$14,"Approve with conditions",IF(J4&lt;='1. The model'!$B$15,"Not yet","Reject")))</f>
        <v>Approve with conditions</v>
      </c>
      <c r="N4" s="18" t="str">
        <f aca="false">IF(L4&gt;='1. The model'!$B$17,"Reject (veto)",IF(L4&gt;='1. The model'!$B$18,"Not yet (veto)",M4))</f>
        <v>Approve with conditions</v>
      </c>
      <c r="O4" s="11" t="str">
        <f aca="false">IF(M4=N4,"","CHANGED")</f>
        <v/>
      </c>
    </row>
    <row r="5" customFormat="false" ht="15" hidden="false" customHeight="false" outlineLevel="0" collapsed="false">
      <c r="A5" s="8" t="s">
        <v>51</v>
      </c>
      <c r="B5" s="9" t="n">
        <v>1</v>
      </c>
      <c r="C5" s="9" t="n">
        <v>1</v>
      </c>
      <c r="D5" s="9" t="n">
        <v>2</v>
      </c>
      <c r="E5" s="9" t="n">
        <v>1</v>
      </c>
      <c r="F5" s="9" t="n">
        <v>1</v>
      </c>
      <c r="G5" s="9" t="n">
        <v>5</v>
      </c>
      <c r="H5" s="9" t="n">
        <v>1</v>
      </c>
      <c r="I5" s="9" t="n">
        <v>1</v>
      </c>
      <c r="J5" s="16" t="n">
        <f aca="false">AVERAGE(B5:I5)</f>
        <v>1.625</v>
      </c>
      <c r="K5" s="17" t="n">
        <f aca="false">MAX(B5:I5)</f>
        <v>5</v>
      </c>
      <c r="L5" s="17" t="n">
        <f aca="false">MAX(B5*B$30,C5*C$30,D5*D$30,E5*E$30,F5*F$30,G5*G$30,H5*H$30,I5*I$30)</f>
        <v>5</v>
      </c>
      <c r="M5" s="18" t="str">
        <f aca="false">IF(J5&lt;='1. The model'!$B$13,"Approve",IF(J5&lt;='1. The model'!$B$14,"Approve with conditions",IF(J5&lt;='1. The model'!$B$15,"Not yet","Reject")))</f>
        <v>Approve</v>
      </c>
      <c r="N5" s="18" t="str">
        <f aca="false">IF(L5&gt;='1. The model'!$B$17,"Reject (veto)",IF(L5&gt;='1. The model'!$B$18,"Not yet (veto)",M5))</f>
        <v>Reject (veto)</v>
      </c>
      <c r="O5" s="11" t="str">
        <f aca="false">IF(M5=N5,"","CHANGED")</f>
        <v>CHANGED</v>
      </c>
    </row>
    <row r="6" customFormat="false" ht="15" hidden="false" customHeight="false" outlineLevel="0" collapsed="false">
      <c r="A6" s="8" t="s">
        <v>52</v>
      </c>
      <c r="B6" s="9" t="n">
        <v>3</v>
      </c>
      <c r="C6" s="9" t="n">
        <v>3</v>
      </c>
      <c r="D6" s="9" t="n">
        <v>3</v>
      </c>
      <c r="E6" s="9" t="n">
        <v>3</v>
      </c>
      <c r="F6" s="9" t="n">
        <v>3</v>
      </c>
      <c r="G6" s="9" t="n">
        <v>3</v>
      </c>
      <c r="H6" s="9" t="n">
        <v>3</v>
      </c>
      <c r="I6" s="9" t="n">
        <v>3</v>
      </c>
      <c r="J6" s="16" t="n">
        <f aca="false">AVERAGE(B6:I6)</f>
        <v>3</v>
      </c>
      <c r="K6" s="17" t="n">
        <f aca="false">MAX(B6:I6)</f>
        <v>3</v>
      </c>
      <c r="L6" s="17" t="n">
        <f aca="false">MAX(B6*B$30,C6*C$30,D6*D$30,E6*E$30,F6*F$30,G6*G$30,H6*H$30,I6*I$30)</f>
        <v>3</v>
      </c>
      <c r="M6" s="18" t="str">
        <f aca="false">IF(J6&lt;='1. The model'!$B$13,"Approve",IF(J6&lt;='1. The model'!$B$14,"Approve with conditions",IF(J6&lt;='1. The model'!$B$15,"Not yet","Reject")))</f>
        <v>Approve with conditions</v>
      </c>
      <c r="N6" s="18" t="str">
        <f aca="false">IF(L6&gt;='1. The model'!$B$17,"Reject (veto)",IF(L6&gt;='1. The model'!$B$18,"Not yet (veto)",M6))</f>
        <v>Approve with conditions</v>
      </c>
      <c r="O6" s="11" t="str">
        <f aca="false">IF(M6=N6,"","CHANGED")</f>
        <v/>
      </c>
    </row>
    <row r="7" customFormat="false" ht="15" hidden="false" customHeight="false" outlineLevel="0" collapsed="false">
      <c r="A7" s="8" t="s">
        <v>53</v>
      </c>
      <c r="B7" s="9" t="n">
        <v>1</v>
      </c>
      <c r="C7" s="9" t="n">
        <v>1</v>
      </c>
      <c r="D7" s="9" t="n">
        <v>1</v>
      </c>
      <c r="E7" s="9" t="n">
        <v>1</v>
      </c>
      <c r="F7" s="9" t="n">
        <v>1</v>
      </c>
      <c r="G7" s="9" t="n">
        <v>1</v>
      </c>
      <c r="H7" s="9" t="n">
        <v>1</v>
      </c>
      <c r="I7" s="9" t="n">
        <v>5</v>
      </c>
      <c r="J7" s="16" t="n">
        <f aca="false">AVERAGE(B7:I7)</f>
        <v>1.5</v>
      </c>
      <c r="K7" s="17" t="n">
        <f aca="false">MAX(B7:I7)</f>
        <v>5</v>
      </c>
      <c r="L7" s="17" t="n">
        <f aca="false">MAX(B7*B$30,C7*C$30,D7*D$30,E7*E$30,F7*F$30,G7*G$30,H7*H$30,I7*I$30)</f>
        <v>5</v>
      </c>
      <c r="M7" s="18" t="str">
        <f aca="false">IF(J7&lt;='1. The model'!$B$13,"Approve",IF(J7&lt;='1. The model'!$B$14,"Approve with conditions",IF(J7&lt;='1. The model'!$B$15,"Not yet","Reject")))</f>
        <v>Approve</v>
      </c>
      <c r="N7" s="18" t="str">
        <f aca="false">IF(L7&gt;='1. The model'!$B$17,"Reject (veto)",IF(L7&gt;='1. The model'!$B$18,"Not yet (veto)",M7))</f>
        <v>Reject (veto)</v>
      </c>
      <c r="O7" s="11" t="str">
        <f aca="false">IF(M7=N7,"","CHANGED")</f>
        <v>CHANGED</v>
      </c>
    </row>
    <row r="8" customFormat="false" ht="15" hidden="false" customHeight="false" outlineLevel="0" collapsed="false">
      <c r="A8" s="8" t="s">
        <v>54</v>
      </c>
      <c r="B8" s="9" t="n">
        <v>2</v>
      </c>
      <c r="C8" s="9" t="n">
        <v>3</v>
      </c>
      <c r="D8" s="9" t="n">
        <v>2</v>
      </c>
      <c r="E8" s="9" t="n">
        <v>2</v>
      </c>
      <c r="F8" s="9" t="n">
        <v>2</v>
      </c>
      <c r="G8" s="9" t="n">
        <v>2</v>
      </c>
      <c r="H8" s="9" t="n">
        <v>2</v>
      </c>
      <c r="I8" s="9" t="n">
        <v>3</v>
      </c>
      <c r="J8" s="16" t="n">
        <f aca="false">AVERAGE(B8:I8)</f>
        <v>2.25</v>
      </c>
      <c r="K8" s="17" t="n">
        <f aca="false">MAX(B8:I8)</f>
        <v>3</v>
      </c>
      <c r="L8" s="17" t="n">
        <f aca="false">MAX(B8*B$30,C8*C$30,D8*D$30,E8*E$30,F8*F$30,G8*G$30,H8*H$30,I8*I$30)</f>
        <v>3</v>
      </c>
      <c r="M8" s="18" t="str">
        <f aca="false">IF(J8&lt;='1. The model'!$B$13,"Approve",IF(J8&lt;='1. The model'!$B$14,"Approve with conditions",IF(J8&lt;='1. The model'!$B$15,"Not yet","Reject")))</f>
        <v>Approve with conditions</v>
      </c>
      <c r="N8" s="18" t="str">
        <f aca="false">IF(L8&gt;='1. The model'!$B$17,"Reject (veto)",IF(L8&gt;='1. The model'!$B$18,"Not yet (veto)",M8))</f>
        <v>Approve with conditions</v>
      </c>
      <c r="O8" s="11" t="str">
        <f aca="false">IF(M8=N8,"","CHANGED")</f>
        <v/>
      </c>
    </row>
    <row r="9" customFormat="false" ht="15" hidden="false" customHeight="false" outlineLevel="0" collapsed="false">
      <c r="A9" s="8" t="s">
        <v>55</v>
      </c>
      <c r="B9" s="9" t="n">
        <v>4</v>
      </c>
      <c r="C9" s="9" t="n">
        <v>3</v>
      </c>
      <c r="D9" s="9" t="n">
        <v>4</v>
      </c>
      <c r="E9" s="9" t="n">
        <v>3</v>
      </c>
      <c r="F9" s="9" t="n">
        <v>4</v>
      </c>
      <c r="G9" s="9" t="n">
        <v>3</v>
      </c>
      <c r="H9" s="9" t="n">
        <v>4</v>
      </c>
      <c r="I9" s="9" t="n">
        <v>3</v>
      </c>
      <c r="J9" s="16" t="n">
        <f aca="false">AVERAGE(B9:I9)</f>
        <v>3.5</v>
      </c>
      <c r="K9" s="17" t="n">
        <f aca="false">MAX(B9:I9)</f>
        <v>4</v>
      </c>
      <c r="L9" s="17" t="n">
        <f aca="false">MAX(B9*B$30,C9*C$30,D9*D$30,E9*E$30,F9*F$30,G9*G$30,H9*H$30,I9*I$30)</f>
        <v>3</v>
      </c>
      <c r="M9" s="18" t="str">
        <f aca="false">IF(J9&lt;='1. The model'!$B$13,"Approve",IF(J9&lt;='1. The model'!$B$14,"Approve with conditions",IF(J9&lt;='1. The model'!$B$15,"Not yet","Reject")))</f>
        <v>Not yet</v>
      </c>
      <c r="N9" s="18" t="str">
        <f aca="false">IF(L9&gt;='1. The model'!$B$17,"Reject (veto)",IF(L9&gt;='1. The model'!$B$18,"Not yet (veto)",M9))</f>
        <v>Not yet</v>
      </c>
      <c r="O9" s="11" t="str">
        <f aca="false">IF(M9=N9,"","CHANGED")</f>
        <v/>
      </c>
    </row>
    <row r="10" customFormat="false" ht="15" hidden="false" customHeight="false" outlineLevel="0" collapsed="false">
      <c r="A10" s="8" t="s">
        <v>56</v>
      </c>
      <c r="B10" s="9" t="n">
        <v>1</v>
      </c>
      <c r="C10" s="9" t="n">
        <v>1</v>
      </c>
      <c r="D10" s="9" t="n">
        <v>1</v>
      </c>
      <c r="E10" s="9" t="n">
        <v>1</v>
      </c>
      <c r="F10" s="9" t="n">
        <v>1</v>
      </c>
      <c r="G10" s="9" t="n">
        <v>1</v>
      </c>
      <c r="H10" s="9" t="n">
        <v>1</v>
      </c>
      <c r="I10" s="9" t="n">
        <v>1</v>
      </c>
      <c r="J10" s="16" t="n">
        <f aca="false">AVERAGE(B10:I10)</f>
        <v>1</v>
      </c>
      <c r="K10" s="17" t="n">
        <f aca="false">MAX(B10:I10)</f>
        <v>1</v>
      </c>
      <c r="L10" s="17" t="n">
        <f aca="false">MAX(B10*B$30,C10*C$30,D10*D$30,E10*E$30,F10*F$30,G10*G$30,H10*H$30,I10*I$30)</f>
        <v>1</v>
      </c>
      <c r="M10" s="18" t="str">
        <f aca="false">IF(J10&lt;='1. The model'!$B$13,"Approve",IF(J10&lt;='1. The model'!$B$14,"Approve with conditions",IF(J10&lt;='1. The model'!$B$15,"Not yet","Reject")))</f>
        <v>Approve</v>
      </c>
      <c r="N10" s="18" t="str">
        <f aca="false">IF(L10&gt;='1. The model'!$B$17,"Reject (veto)",IF(L10&gt;='1. The model'!$B$18,"Not yet (veto)",M10))</f>
        <v>Approve</v>
      </c>
      <c r="O10" s="11" t="str">
        <f aca="false">IF(M10=N10,"","CHANGED")</f>
        <v/>
      </c>
    </row>
    <row r="11" customFormat="false" ht="15" hidden="false" customHeight="false" outlineLevel="0" collapsed="false">
      <c r="A11" s="8" t="s">
        <v>57</v>
      </c>
      <c r="B11" s="9" t="n">
        <v>3</v>
      </c>
      <c r="C11" s="9" t="n">
        <v>4</v>
      </c>
      <c r="D11" s="9" t="n">
        <v>4</v>
      </c>
      <c r="E11" s="9" t="n">
        <v>4</v>
      </c>
      <c r="F11" s="9" t="n">
        <v>3</v>
      </c>
      <c r="G11" s="9" t="n">
        <v>4</v>
      </c>
      <c r="H11" s="9" t="n">
        <v>3</v>
      </c>
      <c r="I11" s="9" t="n">
        <v>4</v>
      </c>
      <c r="J11" s="16" t="n">
        <f aca="false">AVERAGE(B11:I11)</f>
        <v>3.625</v>
      </c>
      <c r="K11" s="17" t="n">
        <f aca="false">MAX(B11:I11)</f>
        <v>4</v>
      </c>
      <c r="L11" s="17" t="n">
        <f aca="false">MAX(B11*B$30,C11*C$30,D11*D$30,E11*E$30,F11*F$30,G11*G$30,H11*H$30,I11*I$30)</f>
        <v>4</v>
      </c>
      <c r="M11" s="18" t="str">
        <f aca="false">IF(J11&lt;='1. The model'!$B$13,"Approve",IF(J11&lt;='1. The model'!$B$14,"Approve with conditions",IF(J11&lt;='1. The model'!$B$15,"Not yet","Reject")))</f>
        <v>Reject</v>
      </c>
      <c r="N11" s="18" t="str">
        <f aca="false">IF(L11&gt;='1. The model'!$B$17,"Reject (veto)",IF(L11&gt;='1. The model'!$B$18,"Not yet (veto)",M11))</f>
        <v>Not yet (veto)</v>
      </c>
      <c r="O11" s="11" t="str">
        <f aca="false">IF(M11=N11,"","CHANGED")</f>
        <v>CHANGED</v>
      </c>
    </row>
    <row r="12" customFormat="false" ht="15" hidden="false" customHeight="false" outlineLevel="0" collapsed="false">
      <c r="A12" s="8" t="s">
        <v>58</v>
      </c>
      <c r="B12" s="9" t="n">
        <v>2</v>
      </c>
      <c r="C12" s="9" t="n">
        <v>2</v>
      </c>
      <c r="D12" s="9" t="n">
        <v>3</v>
      </c>
      <c r="E12" s="9" t="n">
        <v>2</v>
      </c>
      <c r="F12" s="9" t="n">
        <v>2</v>
      </c>
      <c r="G12" s="9" t="n">
        <v>2</v>
      </c>
      <c r="H12" s="9" t="n">
        <v>2</v>
      </c>
      <c r="I12" s="9" t="n">
        <v>2</v>
      </c>
      <c r="J12" s="16" t="n">
        <f aca="false">AVERAGE(B12:I12)</f>
        <v>2.125</v>
      </c>
      <c r="K12" s="17" t="n">
        <f aca="false">MAX(B12:I12)</f>
        <v>3</v>
      </c>
      <c r="L12" s="17" t="n">
        <f aca="false">MAX(B12*B$30,C12*C$30,D12*D$30,E12*E$30,F12*F$30,G12*G$30,H12*H$30,I12*I$30)</f>
        <v>2</v>
      </c>
      <c r="M12" s="18" t="str">
        <f aca="false">IF(J12&lt;='1. The model'!$B$13,"Approve",IF(J12&lt;='1. The model'!$B$14,"Approve with conditions",IF(J12&lt;='1. The model'!$B$15,"Not yet","Reject")))</f>
        <v>Approve with conditions</v>
      </c>
      <c r="N12" s="18" t="str">
        <f aca="false">IF(L12&gt;='1. The model'!$B$17,"Reject (veto)",IF(L12&gt;='1. The model'!$B$18,"Not yet (veto)",M12))</f>
        <v>Approve with conditions</v>
      </c>
      <c r="O12" s="11" t="str">
        <f aca="false">IF(M12=N12,"","CHANGED")</f>
        <v/>
      </c>
    </row>
    <row r="13" customFormat="false" ht="15" hidden="false" customHeight="false" outlineLevel="0" collapsed="false">
      <c r="A13" s="8" t="s">
        <v>59</v>
      </c>
      <c r="B13" s="9" t="n">
        <v>2</v>
      </c>
      <c r="C13" s="9" t="n">
        <v>2</v>
      </c>
      <c r="D13" s="9" t="n">
        <v>2</v>
      </c>
      <c r="E13" s="9" t="n">
        <v>4</v>
      </c>
      <c r="F13" s="9" t="n">
        <v>2</v>
      </c>
      <c r="G13" s="9" t="n">
        <v>2</v>
      </c>
      <c r="H13" s="9" t="n">
        <v>2</v>
      </c>
      <c r="I13" s="9" t="n">
        <v>2</v>
      </c>
      <c r="J13" s="16" t="n">
        <f aca="false">AVERAGE(B13:I13)</f>
        <v>2.25</v>
      </c>
      <c r="K13" s="17" t="n">
        <f aca="false">MAX(B13:I13)</f>
        <v>4</v>
      </c>
      <c r="L13" s="17" t="n">
        <f aca="false">MAX(B13*B$30,C13*C$30,D13*D$30,E13*E$30,F13*F$30,G13*G$30,H13*H$30,I13*I$30)</f>
        <v>4</v>
      </c>
      <c r="M13" s="18" t="str">
        <f aca="false">IF(J13&lt;='1. The model'!$B$13,"Approve",IF(J13&lt;='1. The model'!$B$14,"Approve with conditions",IF(J13&lt;='1. The model'!$B$15,"Not yet","Reject")))</f>
        <v>Approve with conditions</v>
      </c>
      <c r="N13" s="18" t="str">
        <f aca="false">IF(L13&gt;='1. The model'!$B$17,"Reject (veto)",IF(L13&gt;='1. The model'!$B$18,"Not yet (veto)",M13))</f>
        <v>Not yet (veto)</v>
      </c>
      <c r="O13" s="11" t="str">
        <f aca="false">IF(M13=N13,"","CHANGED")</f>
        <v>CHANGED</v>
      </c>
    </row>
    <row r="15" customFormat="false" ht="15" hidden="false" customHeight="false" outlineLevel="0" collapsed="false">
      <c r="A15" s="19" t="s">
        <v>60</v>
      </c>
      <c r="B15" s="19"/>
      <c r="C15" s="19"/>
      <c r="D15" s="19"/>
      <c r="E15" s="19"/>
      <c r="F15" s="19"/>
      <c r="G15" s="19"/>
      <c r="H15" s="19"/>
      <c r="I15" s="19"/>
      <c r="J15" s="11" t="n">
        <f aca="false">COUNTIF(L2:L13,'1. The model'!$B$17)</f>
        <v>3</v>
      </c>
      <c r="M15" s="13"/>
    </row>
    <row r="16" customFormat="false" ht="15" hidden="false" customHeight="false" outlineLevel="0" collapsed="false">
      <c r="A16" s="19" t="s">
        <v>61</v>
      </c>
      <c r="B16" s="19"/>
      <c r="C16" s="19"/>
      <c r="D16" s="19"/>
      <c r="E16" s="19"/>
      <c r="F16" s="19"/>
      <c r="G16" s="19"/>
      <c r="H16" s="19"/>
      <c r="I16" s="19"/>
      <c r="J16" s="11" t="n">
        <f aca="false">SUMPRODUCT((L2:L13='1. The model'!$B$17)*(M2:M13="Approve"))</f>
        <v>3</v>
      </c>
      <c r="M16" s="13" t="s">
        <v>62</v>
      </c>
    </row>
    <row r="17" customFormat="false" ht="15" hidden="false" customHeight="false" outlineLevel="0" collapsed="false">
      <c r="A17" s="19" t="s">
        <v>63</v>
      </c>
      <c r="B17" s="19"/>
      <c r="C17" s="19"/>
      <c r="D17" s="19"/>
      <c r="E17" s="19"/>
      <c r="F17" s="19"/>
      <c r="G17" s="19"/>
      <c r="H17" s="19"/>
      <c r="I17" s="19"/>
      <c r="J17" s="11" t="n">
        <f aca="false">COUNTIF(O2:O13,"CHANGED")</f>
        <v>5</v>
      </c>
      <c r="M17" s="13"/>
    </row>
    <row r="19" customFormat="false" ht="15" hidden="false" customHeight="false" outlineLevel="0" collapsed="false">
      <c r="A19" s="19" t="s">
        <v>64</v>
      </c>
      <c r="B19" s="19"/>
      <c r="C19" s="19"/>
      <c r="D19" s="19"/>
      <c r="E19" s="19"/>
      <c r="F19" s="19"/>
      <c r="G19" s="19"/>
      <c r="H19" s="19"/>
      <c r="I19" s="19"/>
      <c r="J19" s="20" t="n">
        <f aca="false">J2</f>
        <v>1.5</v>
      </c>
      <c r="M19" s="13"/>
    </row>
    <row r="20" customFormat="false" ht="15" hidden="false" customHeight="false" outlineLevel="0" collapsed="false">
      <c r="A20" s="19" t="s">
        <v>65</v>
      </c>
      <c r="B20" s="19"/>
      <c r="C20" s="19"/>
      <c r="D20" s="19"/>
      <c r="E20" s="19"/>
      <c r="F20" s="19"/>
      <c r="G20" s="19"/>
      <c r="H20" s="19"/>
      <c r="I20" s="19"/>
      <c r="J20" s="20" t="n">
        <f aca="false">J4</f>
        <v>2.25</v>
      </c>
      <c r="M20" s="13"/>
    </row>
    <row r="21" customFormat="false" ht="15" hidden="false" customHeight="false" outlineLevel="0" collapsed="false">
      <c r="A21" s="19" t="s">
        <v>66</v>
      </c>
      <c r="B21" s="19"/>
      <c r="C21" s="19"/>
      <c r="D21" s="19"/>
      <c r="E21" s="19"/>
      <c r="F21" s="19"/>
      <c r="G21" s="19"/>
      <c r="H21" s="19"/>
      <c r="I21" s="19"/>
      <c r="J21" s="20" t="n">
        <f aca="false">J4-J2</f>
        <v>0.75</v>
      </c>
      <c r="M21" s="13" t="s">
        <v>67</v>
      </c>
    </row>
    <row r="30" customFormat="false" ht="15" hidden="true" customHeight="false" outlineLevel="0" collapsed="false">
      <c r="A30" s="0" t="s">
        <v>68</v>
      </c>
      <c r="B30" s="0" t="n">
        <f aca="false">IF('1. The model'!$B$3="YES",1,0)</f>
        <v>0</v>
      </c>
      <c r="C30" s="0" t="n">
        <f aca="false">IF('1. The model'!$B$4="YES",1,0)</f>
        <v>0</v>
      </c>
      <c r="D30" s="0" t="n">
        <f aca="false">IF('1. The model'!$B$5="YES",1,0)</f>
        <v>0</v>
      </c>
      <c r="E30" s="0" t="n">
        <f aca="false">IF('1. The model'!$B$6="YES",1,0)</f>
        <v>1</v>
      </c>
      <c r="F30" s="0" t="n">
        <f aca="false">IF('1. The model'!$B$7="YES",1,0)</f>
        <v>0</v>
      </c>
      <c r="G30" s="0" t="n">
        <f aca="false">IF('1. The model'!$B$8="YES",1,0)</f>
        <v>1</v>
      </c>
      <c r="H30" s="0" t="n">
        <f aca="false">IF('1. The model'!$B$9="YES",1,0)</f>
        <v>0</v>
      </c>
      <c r="I30" s="0" t="n">
        <f aca="false">IF('1. The model'!$B$10="YES",1,0)</f>
        <v>1</v>
      </c>
    </row>
  </sheetData>
  <mergeCells count="6">
    <mergeCell ref="A15:I15"/>
    <mergeCell ref="A16:I16"/>
    <mergeCell ref="A17:I17"/>
    <mergeCell ref="A19:I19"/>
    <mergeCell ref="A20:I20"/>
    <mergeCell ref="A21:I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22"/>
    <col collapsed="false" customWidth="true" hidden="false" outlineLevel="0" max="4" min="4" style="0" width="52"/>
  </cols>
  <sheetData>
    <row r="1" customFormat="false" ht="15" hidden="false" customHeight="false" outlineLevel="0" collapsed="false">
      <c r="A1" s="6" t="s">
        <v>69</v>
      </c>
    </row>
    <row r="3" customFormat="false" ht="15" hidden="false" customHeight="false" outlineLevel="0" collapsed="false">
      <c r="A3" s="8" t="s">
        <v>70</v>
      </c>
      <c r="B3" s="9" t="n">
        <v>5</v>
      </c>
      <c r="C3" s="13"/>
    </row>
    <row r="4" customFormat="false" ht="15" hidden="false" customHeight="false" outlineLevel="0" collapsed="false">
      <c r="A4" s="8" t="s">
        <v>71</v>
      </c>
      <c r="B4" s="21" t="n">
        <f aca="false">'1. The model'!B13</f>
        <v>2</v>
      </c>
      <c r="C4" s="13"/>
    </row>
    <row r="6" customFormat="false" ht="15" hidden="false" customHeight="false" outlineLevel="0" collapsed="false">
      <c r="A6" s="6" t="s">
        <v>72</v>
      </c>
    </row>
    <row r="7" customFormat="false" ht="28.35" hidden="false" customHeight="false" outlineLevel="0" collapsed="false">
      <c r="A7" s="7" t="s">
        <v>32</v>
      </c>
      <c r="B7" s="7" t="s">
        <v>73</v>
      </c>
      <c r="C7" s="7" t="s">
        <v>74</v>
      </c>
      <c r="D7" s="7"/>
    </row>
    <row r="8" customFormat="false" ht="15" hidden="false" customHeight="false" outlineLevel="0" collapsed="false">
      <c r="A8" s="9" t="n">
        <v>5</v>
      </c>
      <c r="B8" s="16" t="n">
        <f aca="false">($B$4*A8-$B$3)/(A8-1)</f>
        <v>1.25</v>
      </c>
      <c r="C8" s="22" t="n">
        <f aca="false">1/A8</f>
        <v>0.2</v>
      </c>
    </row>
    <row r="9" customFormat="false" ht="15" hidden="false" customHeight="false" outlineLevel="0" collapsed="false">
      <c r="A9" s="9" t="n">
        <v>8</v>
      </c>
      <c r="B9" s="16" t="n">
        <f aca="false">($B$4*A9-$B$3)/(A9-1)</f>
        <v>1.57142857142857</v>
      </c>
      <c r="C9" s="22" t="n">
        <f aca="false">1/A9</f>
        <v>0.125</v>
      </c>
    </row>
    <row r="10" customFormat="false" ht="15" hidden="false" customHeight="false" outlineLevel="0" collapsed="false">
      <c r="A10" s="9" t="n">
        <v>10</v>
      </c>
      <c r="B10" s="16" t="n">
        <f aca="false">($B$4*A10-$B$3)/(A10-1)</f>
        <v>1.66666666666667</v>
      </c>
      <c r="C10" s="22" t="n">
        <f aca="false">1/A10</f>
        <v>0.1</v>
      </c>
    </row>
    <row r="11" customFormat="false" ht="15" hidden="false" customHeight="false" outlineLevel="0" collapsed="false">
      <c r="A11" s="9" t="n">
        <v>12</v>
      </c>
      <c r="B11" s="16" t="n">
        <f aca="false">($B$4*A11-$B$3)/(A11-1)</f>
        <v>1.72727272727273</v>
      </c>
      <c r="C11" s="22" t="n">
        <f aca="false">1/A11</f>
        <v>0.0833333333333333</v>
      </c>
    </row>
    <row r="12" customFormat="false" ht="15" hidden="false" customHeight="false" outlineLevel="0" collapsed="false">
      <c r="A12" s="9" t="n">
        <v>16</v>
      </c>
      <c r="B12" s="16" t="n">
        <f aca="false">($B$4*A12-$B$3)/(A12-1)</f>
        <v>1.8</v>
      </c>
      <c r="C12" s="22" t="n">
        <f aca="false">1/A12</f>
        <v>0.0625</v>
      </c>
    </row>
    <row r="13" customFormat="false" ht="15" hidden="false" customHeight="false" outlineLevel="0" collapsed="false">
      <c r="A13" s="9" t="n">
        <v>20</v>
      </c>
      <c r="B13" s="16" t="n">
        <f aca="false">($B$4*A13-$B$3)/(A13-1)</f>
        <v>1.84210526315789</v>
      </c>
      <c r="C13" s="22" t="n">
        <f aca="false">1/A13</f>
        <v>0.05</v>
      </c>
    </row>
    <row r="15" customFormat="false" ht="15" hidden="false" customHeight="false" outlineLevel="0" collapsed="false">
      <c r="A15" s="19" t="s">
        <v>75</v>
      </c>
      <c r="B15" s="19"/>
      <c r="C15" s="20" t="n">
        <f aca="false">B9</f>
        <v>1.57142857142857</v>
      </c>
      <c r="D15" s="13" t="s">
        <v>76</v>
      </c>
    </row>
    <row r="16" customFormat="false" ht="15" hidden="false" customHeight="false" outlineLevel="0" collapsed="false">
      <c r="A16" s="19" t="s">
        <v>77</v>
      </c>
      <c r="B16" s="19"/>
      <c r="C16" s="20" t="n">
        <f aca="false">B12</f>
        <v>1.8</v>
      </c>
      <c r="D16" s="13" t="s">
        <v>78</v>
      </c>
    </row>
    <row r="17" customFormat="false" ht="15" hidden="false" customHeight="false" outlineLevel="0" collapsed="false">
      <c r="A17" s="19" t="s">
        <v>79</v>
      </c>
      <c r="B17" s="19"/>
      <c r="C17" s="20" t="n">
        <f aca="false">B12-B9</f>
        <v>0.228571428571429</v>
      </c>
      <c r="D17" s="13" t="s">
        <v>80</v>
      </c>
    </row>
    <row r="19" customFormat="false" ht="270.1" hidden="false" customHeight="false" outlineLevel="0" collapsed="false">
      <c r="A19" s="15" t="s">
        <v>81</v>
      </c>
    </row>
  </sheetData>
  <mergeCells count="3">
    <mergeCell ref="A15:B15"/>
    <mergeCell ref="A16:B16"/>
    <mergeCell ref="A17:B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7" min="2" style="0" width="12"/>
    <col collapsed="false" customWidth="true" hidden="false" outlineLevel="0" max="10" min="8" style="0" width="16"/>
    <col collapsed="false" customWidth="true" hidden="false" outlineLevel="0" max="11" min="11" style="0" width="44"/>
  </cols>
  <sheetData>
    <row r="1" customFormat="false" ht="15" hidden="false" customHeight="false" outlineLevel="0" collapsed="false">
      <c r="A1" s="6" t="s">
        <v>82</v>
      </c>
    </row>
    <row r="3" customFormat="false" ht="15" hidden="false" customHeight="false" outlineLevel="0" collapsed="false">
      <c r="A3" s="7" t="s">
        <v>83</v>
      </c>
      <c r="B3" s="7" t="s">
        <v>84</v>
      </c>
      <c r="C3" s="7" t="s">
        <v>85</v>
      </c>
      <c r="D3" s="7" t="s">
        <v>86</v>
      </c>
      <c r="E3" s="7" t="s">
        <v>87</v>
      </c>
      <c r="F3" s="7" t="s">
        <v>88</v>
      </c>
      <c r="G3" s="7" t="s">
        <v>89</v>
      </c>
      <c r="H3" s="7" t="s">
        <v>90</v>
      </c>
      <c r="I3" s="7" t="s">
        <v>91</v>
      </c>
      <c r="J3" s="7"/>
    </row>
    <row r="4" customFormat="false" ht="15" hidden="false" customHeight="false" outlineLevel="0" collapsed="false">
      <c r="A4" s="8" t="s">
        <v>92</v>
      </c>
      <c r="B4" s="9" t="n">
        <v>1</v>
      </c>
      <c r="C4" s="9" t="n">
        <v>1</v>
      </c>
      <c r="D4" s="9" t="n">
        <v>1</v>
      </c>
      <c r="E4" s="9" t="n">
        <v>1</v>
      </c>
      <c r="F4" s="9" t="n">
        <v>1</v>
      </c>
      <c r="G4" s="9" t="n">
        <v>1</v>
      </c>
      <c r="H4" s="9" t="n">
        <v>1</v>
      </c>
      <c r="I4" s="9" t="n">
        <v>1</v>
      </c>
    </row>
    <row r="5" customFormat="false" ht="15" hidden="false" customHeight="false" outlineLevel="0" collapsed="false">
      <c r="A5" s="8" t="s">
        <v>93</v>
      </c>
      <c r="B5" s="9" t="n">
        <v>1</v>
      </c>
      <c r="C5" s="9" t="n">
        <v>1</v>
      </c>
      <c r="D5" s="9" t="n">
        <v>2</v>
      </c>
      <c r="E5" s="9" t="n">
        <v>3</v>
      </c>
      <c r="F5" s="9" t="n">
        <v>1</v>
      </c>
      <c r="G5" s="9" t="n">
        <v>2</v>
      </c>
      <c r="H5" s="9" t="n">
        <v>1</v>
      </c>
      <c r="I5" s="9" t="n">
        <v>2</v>
      </c>
    </row>
    <row r="6" customFormat="false" ht="15" hidden="false" customHeight="false" outlineLevel="0" collapsed="false">
      <c r="A6" s="8" t="s">
        <v>94</v>
      </c>
      <c r="B6" s="9" t="n">
        <v>3</v>
      </c>
      <c r="C6" s="9" t="n">
        <v>2</v>
      </c>
      <c r="D6" s="9" t="n">
        <v>1</v>
      </c>
      <c r="E6" s="9" t="n">
        <v>1</v>
      </c>
      <c r="F6" s="9" t="n">
        <v>1</v>
      </c>
      <c r="G6" s="9" t="n">
        <v>2</v>
      </c>
      <c r="H6" s="9" t="n">
        <v>1</v>
      </c>
      <c r="I6" s="9" t="n">
        <v>2</v>
      </c>
    </row>
    <row r="8" customFormat="false" ht="28.35" hidden="false" customHeight="false" outlineLevel="0" collapsed="false">
      <c r="A8" s="7" t="s">
        <v>41</v>
      </c>
      <c r="B8" s="7" t="s">
        <v>92</v>
      </c>
      <c r="C8" s="7" t="s">
        <v>93</v>
      </c>
      <c r="D8" s="7" t="s">
        <v>94</v>
      </c>
      <c r="E8" s="7"/>
      <c r="F8" s="7"/>
      <c r="G8" s="7"/>
      <c r="H8" s="7" t="s">
        <v>95</v>
      </c>
      <c r="I8" s="7" t="s">
        <v>96</v>
      </c>
      <c r="J8" s="7" t="s">
        <v>97</v>
      </c>
    </row>
    <row r="9" customFormat="false" ht="15" hidden="false" customHeight="false" outlineLevel="0" collapsed="false">
      <c r="A9" s="8" t="str">
        <f aca="false">'2. The book'!A2</f>
        <v>Alderman Credit</v>
      </c>
      <c r="B9" s="16" t="n">
        <f aca="false">('2. The book'!B2*$B$4+'2. The book'!C2*$C$4+'2. The book'!D2*$D$4+'2. The book'!E2*$E$4+'2. The book'!F2*$F$4+'2. The book'!G2*$G$4+'2. The book'!H2*$H$4+'2. The book'!I2*$I$4)/($B$4+$C$4+$D$4+$E$4+$F$4+$G$4+$H$4+$I$4)</f>
        <v>1.5</v>
      </c>
      <c r="C9" s="16" t="n">
        <f aca="false">('2. The book'!B2*$B$5+'2. The book'!C2*$C$5+'2. The book'!D2*$D$5+'2. The book'!E2*$E$5+'2. The book'!F2*$F$5+'2. The book'!G2*$G$5+'2. The book'!H2*$H$5+'2. The book'!I2*$I$5)/($B$5+$C$5+$D$5+$E$5+$F$5+$G$5+$H$5+$I$5)</f>
        <v>1.92307692307692</v>
      </c>
      <c r="D9" s="16" t="n">
        <f aca="false">('2. The book'!B2*$B$6+'2. The book'!C2*$C$6+'2. The book'!D2*$D$6+'2. The book'!E2*$E$6+'2. The book'!F2*$F$6+'2. The book'!G2*$G$6+'2. The book'!H2*$H$6+'2. The book'!I2*$I$6)/($B$6+$C$6+$D$6+$E$6+$F$6+$G$6+$H$6+$I$6)</f>
        <v>1.30769230769231</v>
      </c>
      <c r="I9" s="18" t="str">
        <f aca="false">IF(B9&lt;='1. The model'!$B$13,"Approve",IF(B9&lt;='1. The model'!$B$14,"Approve with conditions",IF(B9&lt;='1. The model'!$B$15,"Not yet","Reject")))</f>
        <v>Approve</v>
      </c>
      <c r="J9" s="18" t="str">
        <f aca="false">IF(C9&lt;='1. The model'!$B$13,"Approve",IF(C9&lt;='1. The model'!$B$14,"Approve with conditions",IF(C9&lt;='1. The model'!$B$15,"Not yet","Reject")))</f>
        <v>Approve</v>
      </c>
      <c r="K9" s="18" t="str">
        <f aca="false">IF(D9&lt;='1. The model'!$B$13,"Approve",IF(D9&lt;='1. The model'!$B$14,"Approve with conditions",IF(D9&lt;='1. The model'!$B$15,"Not yet","Reject")))</f>
        <v>Approve</v>
      </c>
    </row>
    <row r="10" customFormat="false" ht="15" hidden="false" customHeight="false" outlineLevel="0" collapsed="false">
      <c r="A10" s="8" t="str">
        <f aca="false">'2. The book'!A3</f>
        <v>Brightmoor Partners</v>
      </c>
      <c r="B10" s="16" t="n">
        <f aca="false">('2. The book'!B3*$B$4+'2. The book'!C3*$C$4+'2. The book'!D3*$D$4+'2. The book'!E3*$E$4+'2. The book'!F3*$F$4+'2. The book'!G3*$G$4+'2. The book'!H3*$H$4+'2. The book'!I3*$I$4)/($B$4+$C$4+$D$4+$E$4+$F$4+$G$4+$H$4+$I$4)</f>
        <v>1.25</v>
      </c>
      <c r="C10" s="16" t="n">
        <f aca="false">('2. The book'!B3*$B$5+'2. The book'!C3*$C$5+'2. The book'!D3*$D$5+'2. The book'!E3*$E$5+'2. The book'!F3*$F$5+'2. The book'!G3*$G$5+'2. The book'!H3*$H$5+'2. The book'!I3*$I$5)/($B$5+$C$5+$D$5+$E$5+$F$5+$G$5+$H$5+$I$5)</f>
        <v>1.15384615384615</v>
      </c>
      <c r="D10" s="16" t="n">
        <f aca="false">('2. The book'!B3*$B$6+'2. The book'!C3*$C$6+'2. The book'!D3*$D$6+'2. The book'!E3*$E$6+'2. The book'!F3*$F$6+'2. The book'!G3*$G$6+'2. The book'!H3*$H$6+'2. The book'!I3*$I$6)/($B$6+$C$6+$D$6+$E$6+$F$6+$G$6+$H$6+$I$6)</f>
        <v>1.23076923076923</v>
      </c>
      <c r="I10" s="18" t="str">
        <f aca="false">IF(B10&lt;='1. The model'!$B$13,"Approve",IF(B10&lt;='1. The model'!$B$14,"Approve with conditions",IF(B10&lt;='1. The model'!$B$15,"Not yet","Reject")))</f>
        <v>Approve</v>
      </c>
      <c r="J10" s="18" t="str">
        <f aca="false">IF(C10&lt;='1. The model'!$B$13,"Approve",IF(C10&lt;='1. The model'!$B$14,"Approve with conditions",IF(C10&lt;='1. The model'!$B$15,"Not yet","Reject")))</f>
        <v>Approve</v>
      </c>
      <c r="K10" s="18" t="str">
        <f aca="false">IF(D10&lt;='1. The model'!$B$13,"Approve",IF(D10&lt;='1. The model'!$B$14,"Approve with conditions",IF(D10&lt;='1. The model'!$B$15,"Not yet","Reject")))</f>
        <v>Approve</v>
      </c>
    </row>
    <row r="11" customFormat="false" ht="15" hidden="false" customHeight="false" outlineLevel="0" collapsed="false">
      <c r="A11" s="8" t="str">
        <f aca="false">'2. The book'!A4</f>
        <v>Caldwell Special Sits</v>
      </c>
      <c r="B11" s="16" t="n">
        <f aca="false">('2. The book'!B4*$B$4+'2. The book'!C4*$C$4+'2. The book'!D4*$D$4+'2. The book'!E4*$E$4+'2. The book'!F4*$F$4+'2. The book'!G4*$G$4+'2. The book'!H4*$H$4+'2. The book'!I4*$I$4)/($B$4+$C$4+$D$4+$E$4+$F$4+$G$4+$H$4+$I$4)</f>
        <v>2.25</v>
      </c>
      <c r="C11" s="16" t="n">
        <f aca="false">('2. The book'!B4*$B$5+'2. The book'!C4*$C$5+'2. The book'!D4*$D$5+'2. The book'!E4*$E$5+'2. The book'!F4*$F$5+'2. The book'!G4*$G$5+'2. The book'!H4*$H$5+'2. The book'!I4*$I$5)/($B$5+$C$5+$D$5+$E$5+$F$5+$G$5+$H$5+$I$5)</f>
        <v>2.23076923076923</v>
      </c>
      <c r="D11" s="16" t="n">
        <f aca="false">('2. The book'!B4*$B$6+'2. The book'!C4*$C$6+'2. The book'!D4*$D$6+'2. The book'!E4*$E$6+'2. The book'!F4*$F$6+'2. The book'!G4*$G$6+'2. The book'!H4*$H$6+'2. The book'!I4*$I$6)/($B$6+$C$6+$D$6+$E$6+$F$6+$G$6+$H$6+$I$6)</f>
        <v>2.15384615384615</v>
      </c>
      <c r="I11" s="18" t="str">
        <f aca="false">IF(B11&lt;='1. The model'!$B$13,"Approve",IF(B11&lt;='1. The model'!$B$14,"Approve with conditions",IF(B11&lt;='1. The model'!$B$15,"Not yet","Reject")))</f>
        <v>Approve with conditions</v>
      </c>
      <c r="J11" s="18" t="str">
        <f aca="false">IF(C11&lt;='1. The model'!$B$13,"Approve",IF(C11&lt;='1. The model'!$B$14,"Approve with conditions",IF(C11&lt;='1. The model'!$B$15,"Not yet","Reject")))</f>
        <v>Approve with conditions</v>
      </c>
      <c r="K11" s="18" t="str">
        <f aca="false">IF(D11&lt;='1. The model'!$B$13,"Approve",IF(D11&lt;='1. The model'!$B$14,"Approve with conditions",IF(D11&lt;='1. The model'!$B$15,"Not yet","Reject")))</f>
        <v>Approve with conditions</v>
      </c>
    </row>
    <row r="12" customFormat="false" ht="15" hidden="false" customHeight="false" outlineLevel="0" collapsed="false">
      <c r="A12" s="8" t="str">
        <f aca="false">'2. The book'!A5</f>
        <v>Draycott Infrastructure</v>
      </c>
      <c r="B12" s="16" t="n">
        <f aca="false">('2. The book'!B5*$B$4+'2. The book'!C5*$C$4+'2. The book'!D5*$D$4+'2. The book'!E5*$E$4+'2. The book'!F5*$F$4+'2. The book'!G5*$G$4+'2. The book'!H5*$H$4+'2. The book'!I5*$I$4)/($B$4+$C$4+$D$4+$E$4+$F$4+$G$4+$H$4+$I$4)</f>
        <v>1.625</v>
      </c>
      <c r="C12" s="16" t="n">
        <f aca="false">('2. The book'!B5*$B$5+'2. The book'!C5*$C$5+'2. The book'!D5*$D$5+'2. The book'!E5*$E$5+'2. The book'!F5*$F$5+'2. The book'!G5*$G$5+'2. The book'!H5*$H$5+'2. The book'!I5*$I$5)/($B$5+$C$5+$D$5+$E$5+$F$5+$G$5+$H$5+$I$5)</f>
        <v>1.76923076923077</v>
      </c>
      <c r="D12" s="16" t="n">
        <f aca="false">('2. The book'!B5*$B$6+'2. The book'!C5*$C$6+'2. The book'!D5*$D$6+'2. The book'!E5*$E$6+'2. The book'!F5*$F$6+'2. The book'!G5*$G$6+'2. The book'!H5*$H$6+'2. The book'!I5*$I$6)/($B$6+$C$6+$D$6+$E$6+$F$6+$G$6+$H$6+$I$6)</f>
        <v>1.69230769230769</v>
      </c>
      <c r="I12" s="18" t="str">
        <f aca="false">IF(B12&lt;='1. The model'!$B$13,"Approve",IF(B12&lt;='1. The model'!$B$14,"Approve with conditions",IF(B12&lt;='1. The model'!$B$15,"Not yet","Reject")))</f>
        <v>Approve</v>
      </c>
      <c r="J12" s="18" t="str">
        <f aca="false">IF(C12&lt;='1. The model'!$B$13,"Approve",IF(C12&lt;='1. The model'!$B$14,"Approve with conditions",IF(C12&lt;='1. The model'!$B$15,"Not yet","Reject")))</f>
        <v>Approve</v>
      </c>
      <c r="K12" s="18" t="str">
        <f aca="false">IF(D12&lt;='1. The model'!$B$13,"Approve",IF(D12&lt;='1. The model'!$B$14,"Approve with conditions",IF(D12&lt;='1. The model'!$B$15,"Not yet","Reject")))</f>
        <v>Approve</v>
      </c>
    </row>
    <row r="13" customFormat="false" ht="15" hidden="false" customHeight="false" outlineLevel="0" collapsed="false">
      <c r="A13" s="8" t="str">
        <f aca="false">'2. The book'!A6</f>
        <v>Ellerby Growth</v>
      </c>
      <c r="B13" s="16" t="n">
        <f aca="false">('2. The book'!B6*$B$4+'2. The book'!C6*$C$4+'2. The book'!D6*$D$4+'2. The book'!E6*$E$4+'2. The book'!F6*$F$4+'2. The book'!G6*$G$4+'2. The book'!H6*$H$4+'2. The book'!I6*$I$4)/($B$4+$C$4+$D$4+$E$4+$F$4+$G$4+$H$4+$I$4)</f>
        <v>3</v>
      </c>
      <c r="C13" s="16" t="n">
        <f aca="false">('2. The book'!B6*$B$5+'2. The book'!C6*$C$5+'2. The book'!D6*$D$5+'2. The book'!E6*$E$5+'2. The book'!F6*$F$5+'2. The book'!G6*$G$5+'2. The book'!H6*$H$5+'2. The book'!I6*$I$5)/($B$5+$C$5+$D$5+$E$5+$F$5+$G$5+$H$5+$I$5)</f>
        <v>3</v>
      </c>
      <c r="D13" s="16" t="n">
        <f aca="false">('2. The book'!B6*$B$6+'2. The book'!C6*$C$6+'2. The book'!D6*$D$6+'2. The book'!E6*$E$6+'2. The book'!F6*$F$6+'2. The book'!G6*$G$6+'2. The book'!H6*$H$6+'2. The book'!I6*$I$6)/($B$6+$C$6+$D$6+$E$6+$F$6+$G$6+$H$6+$I$6)</f>
        <v>3</v>
      </c>
      <c r="I13" s="18" t="str">
        <f aca="false">IF(B13&lt;='1. The model'!$B$13,"Approve",IF(B13&lt;='1. The model'!$B$14,"Approve with conditions",IF(B13&lt;='1. The model'!$B$15,"Not yet","Reject")))</f>
        <v>Approve with conditions</v>
      </c>
      <c r="J13" s="18" t="str">
        <f aca="false">IF(C13&lt;='1. The model'!$B$13,"Approve",IF(C13&lt;='1. The model'!$B$14,"Approve with conditions",IF(C13&lt;='1. The model'!$B$15,"Not yet","Reject")))</f>
        <v>Approve with conditions</v>
      </c>
      <c r="K13" s="18" t="str">
        <f aca="false">IF(D13&lt;='1. The model'!$B$13,"Approve",IF(D13&lt;='1. The model'!$B$14,"Approve with conditions",IF(D13&lt;='1. The model'!$B$15,"Not yet","Reject")))</f>
        <v>Approve with conditions</v>
      </c>
    </row>
    <row r="14" customFormat="false" ht="15" hidden="false" customHeight="false" outlineLevel="0" collapsed="false">
      <c r="A14" s="8" t="str">
        <f aca="false">'2. The book'!A7</f>
        <v>Fenwick Real Assets</v>
      </c>
      <c r="B14" s="16" t="n">
        <f aca="false">('2. The book'!B7*$B$4+'2. The book'!C7*$C$4+'2. The book'!D7*$D$4+'2. The book'!E7*$E$4+'2. The book'!F7*$F$4+'2. The book'!G7*$G$4+'2. The book'!H7*$H$4+'2. The book'!I7*$I$4)/($B$4+$C$4+$D$4+$E$4+$F$4+$G$4+$H$4+$I$4)</f>
        <v>1.5</v>
      </c>
      <c r="C14" s="16" t="n">
        <f aca="false">('2. The book'!B7*$B$5+'2. The book'!C7*$C$5+'2. The book'!D7*$D$5+'2. The book'!E7*$E$5+'2. The book'!F7*$F$5+'2. The book'!G7*$G$5+'2. The book'!H7*$H$5+'2. The book'!I7*$I$5)/($B$5+$C$5+$D$5+$E$5+$F$5+$G$5+$H$5+$I$5)</f>
        <v>1.61538461538462</v>
      </c>
      <c r="D14" s="16" t="n">
        <f aca="false">('2. The book'!B7*$B$6+'2. The book'!C7*$C$6+'2. The book'!D7*$D$6+'2. The book'!E7*$E$6+'2. The book'!F7*$F$6+'2. The book'!G7*$G$6+'2. The book'!H7*$H$6+'2. The book'!I7*$I$6)/($B$6+$C$6+$D$6+$E$6+$F$6+$G$6+$H$6+$I$6)</f>
        <v>1.61538461538462</v>
      </c>
      <c r="I14" s="18" t="str">
        <f aca="false">IF(B14&lt;='1. The model'!$B$13,"Approve",IF(B14&lt;='1. The model'!$B$14,"Approve with conditions",IF(B14&lt;='1. The model'!$B$15,"Not yet","Reject")))</f>
        <v>Approve</v>
      </c>
      <c r="J14" s="18" t="str">
        <f aca="false">IF(C14&lt;='1. The model'!$B$13,"Approve",IF(C14&lt;='1. The model'!$B$14,"Approve with conditions",IF(C14&lt;='1. The model'!$B$15,"Not yet","Reject")))</f>
        <v>Approve</v>
      </c>
      <c r="K14" s="18" t="str">
        <f aca="false">IF(D14&lt;='1. The model'!$B$13,"Approve",IF(D14&lt;='1. The model'!$B$14,"Approve with conditions",IF(D14&lt;='1. The model'!$B$15,"Not yet","Reject")))</f>
        <v>Approve</v>
      </c>
    </row>
    <row r="15" customFormat="false" ht="15" hidden="false" customHeight="false" outlineLevel="0" collapsed="false">
      <c r="A15" s="8" t="str">
        <f aca="false">'2. The book'!A8</f>
        <v>Garrow Mid-Market</v>
      </c>
      <c r="B15" s="16" t="n">
        <f aca="false">('2. The book'!B8*$B$4+'2. The book'!C8*$C$4+'2. The book'!D8*$D$4+'2. The book'!E8*$E$4+'2. The book'!F8*$F$4+'2. The book'!G8*$G$4+'2. The book'!H8*$H$4+'2. The book'!I8*$I$4)/($B$4+$C$4+$D$4+$E$4+$F$4+$G$4+$H$4+$I$4)</f>
        <v>2.25</v>
      </c>
      <c r="C15" s="16" t="n">
        <f aca="false">('2. The book'!B8*$B$5+'2. The book'!C8*$C$5+'2. The book'!D8*$D$5+'2. The book'!E8*$E$5+'2. The book'!F8*$F$5+'2. The book'!G8*$G$5+'2. The book'!H8*$H$5+'2. The book'!I8*$I$5)/($B$5+$C$5+$D$5+$E$5+$F$5+$G$5+$H$5+$I$5)</f>
        <v>2.23076923076923</v>
      </c>
      <c r="D15" s="16" t="n">
        <f aca="false">('2. The book'!B8*$B$6+'2. The book'!C8*$C$6+'2. The book'!D8*$D$6+'2. The book'!E8*$E$6+'2. The book'!F8*$F$6+'2. The book'!G8*$G$6+'2. The book'!H8*$H$6+'2. The book'!I8*$I$6)/($B$6+$C$6+$D$6+$E$6+$F$6+$G$6+$H$6+$I$6)</f>
        <v>2.30769230769231</v>
      </c>
      <c r="I15" s="18" t="str">
        <f aca="false">IF(B15&lt;='1. The model'!$B$13,"Approve",IF(B15&lt;='1. The model'!$B$14,"Approve with conditions",IF(B15&lt;='1. The model'!$B$15,"Not yet","Reject")))</f>
        <v>Approve with conditions</v>
      </c>
      <c r="J15" s="18" t="str">
        <f aca="false">IF(C15&lt;='1. The model'!$B$13,"Approve",IF(C15&lt;='1. The model'!$B$14,"Approve with conditions",IF(C15&lt;='1. The model'!$B$15,"Not yet","Reject")))</f>
        <v>Approve with conditions</v>
      </c>
      <c r="K15" s="18" t="str">
        <f aca="false">IF(D15&lt;='1. The model'!$B$13,"Approve",IF(D15&lt;='1. The model'!$B$14,"Approve with conditions",IF(D15&lt;='1. The model'!$B$15,"Not yet","Reject")))</f>
        <v>Approve with conditions</v>
      </c>
    </row>
    <row r="16" customFormat="false" ht="15" hidden="false" customHeight="false" outlineLevel="0" collapsed="false">
      <c r="A16" s="8" t="str">
        <f aca="false">'2. The book'!A9</f>
        <v>Halstead Ventures</v>
      </c>
      <c r="B16" s="16" t="n">
        <f aca="false">('2. The book'!B9*$B$4+'2. The book'!C9*$C$4+'2. The book'!D9*$D$4+'2. The book'!E9*$E$4+'2. The book'!F9*$F$4+'2. The book'!G9*$G$4+'2. The book'!H9*$H$4+'2. The book'!I9*$I$4)/($B$4+$C$4+$D$4+$E$4+$F$4+$G$4+$H$4+$I$4)</f>
        <v>3.5</v>
      </c>
      <c r="C16" s="16" t="n">
        <f aca="false">('2. The book'!B9*$B$5+'2. The book'!C9*$C$5+'2. The book'!D9*$D$5+'2. The book'!E9*$E$5+'2. The book'!F9*$F$5+'2. The book'!G9*$G$5+'2. The book'!H9*$H$5+'2. The book'!I9*$I$5)/($B$5+$C$5+$D$5+$E$5+$F$5+$G$5+$H$5+$I$5)</f>
        <v>3.38461538461538</v>
      </c>
      <c r="D16" s="16" t="n">
        <f aca="false">('2. The book'!B9*$B$6+'2. The book'!C9*$C$6+'2. The book'!D9*$D$6+'2. The book'!E9*$E$6+'2. The book'!F9*$F$6+'2. The book'!G9*$G$6+'2. The book'!H9*$H$6+'2. The book'!I9*$I$6)/($B$6+$C$6+$D$6+$E$6+$F$6+$G$6+$H$6+$I$6)</f>
        <v>3.46153846153846</v>
      </c>
      <c r="I16" s="18" t="str">
        <f aca="false">IF(B16&lt;='1. The model'!$B$13,"Approve",IF(B16&lt;='1. The model'!$B$14,"Approve with conditions",IF(B16&lt;='1. The model'!$B$15,"Not yet","Reject")))</f>
        <v>Not yet</v>
      </c>
      <c r="J16" s="18" t="str">
        <f aca="false">IF(C16&lt;='1. The model'!$B$13,"Approve",IF(C16&lt;='1. The model'!$B$14,"Approve with conditions",IF(C16&lt;='1. The model'!$B$15,"Not yet","Reject")))</f>
        <v>Not yet</v>
      </c>
      <c r="K16" s="18" t="str">
        <f aca="false">IF(D16&lt;='1. The model'!$B$13,"Approve",IF(D16&lt;='1. The model'!$B$14,"Approve with conditions",IF(D16&lt;='1. The model'!$B$15,"Not yet","Reject")))</f>
        <v>Not yet</v>
      </c>
    </row>
    <row r="17" customFormat="false" ht="15" hidden="false" customHeight="false" outlineLevel="0" collapsed="false">
      <c r="A17" s="8" t="str">
        <f aca="false">'2. The book'!A10</f>
        <v>Inverleith Secondaries</v>
      </c>
      <c r="B17" s="16" t="n">
        <f aca="false">('2. The book'!B10*$B$4+'2. The book'!C10*$C$4+'2. The book'!D10*$D$4+'2. The book'!E10*$E$4+'2. The book'!F10*$F$4+'2. The book'!G10*$G$4+'2. The book'!H10*$H$4+'2. The book'!I10*$I$4)/($B$4+$C$4+$D$4+$E$4+$F$4+$G$4+$H$4+$I$4)</f>
        <v>1</v>
      </c>
      <c r="C17" s="16" t="n">
        <f aca="false">('2. The book'!B10*$B$5+'2. The book'!C10*$C$5+'2. The book'!D10*$D$5+'2. The book'!E10*$E$5+'2. The book'!F10*$F$5+'2. The book'!G10*$G$5+'2. The book'!H10*$H$5+'2. The book'!I10*$I$5)/($B$5+$C$5+$D$5+$E$5+$F$5+$G$5+$H$5+$I$5)</f>
        <v>1</v>
      </c>
      <c r="D17" s="16" t="n">
        <f aca="false">('2. The book'!B10*$B$6+'2. The book'!C10*$C$6+'2. The book'!D10*$D$6+'2. The book'!E10*$E$6+'2. The book'!F10*$F$6+'2. The book'!G10*$G$6+'2. The book'!H10*$H$6+'2. The book'!I10*$I$6)/($B$6+$C$6+$D$6+$E$6+$F$6+$G$6+$H$6+$I$6)</f>
        <v>1</v>
      </c>
      <c r="I17" s="18" t="str">
        <f aca="false">IF(B17&lt;='1. The model'!$B$13,"Approve",IF(B17&lt;='1. The model'!$B$14,"Approve with conditions",IF(B17&lt;='1. The model'!$B$15,"Not yet","Reject")))</f>
        <v>Approve</v>
      </c>
      <c r="J17" s="18" t="str">
        <f aca="false">IF(C17&lt;='1. The model'!$B$13,"Approve",IF(C17&lt;='1. The model'!$B$14,"Approve with conditions",IF(C17&lt;='1. The model'!$B$15,"Not yet","Reject")))</f>
        <v>Approve</v>
      </c>
      <c r="K17" s="18" t="str">
        <f aca="false">IF(D17&lt;='1. The model'!$B$13,"Approve",IF(D17&lt;='1. The model'!$B$14,"Approve with conditions",IF(D17&lt;='1. The model'!$B$15,"Not yet","Reject")))</f>
        <v>Approve</v>
      </c>
    </row>
    <row r="18" customFormat="false" ht="15" hidden="false" customHeight="false" outlineLevel="0" collapsed="false">
      <c r="A18" s="8" t="str">
        <f aca="false">'2. The book'!A11</f>
        <v>Jarrow Opportunistic</v>
      </c>
      <c r="B18" s="16" t="n">
        <f aca="false">('2. The book'!B11*$B$4+'2. The book'!C11*$C$4+'2. The book'!D11*$D$4+'2. The book'!E11*$E$4+'2. The book'!F11*$F$4+'2. The book'!G11*$G$4+'2. The book'!H11*$H$4+'2. The book'!I11*$I$4)/($B$4+$C$4+$D$4+$E$4+$F$4+$G$4+$H$4+$I$4)</f>
        <v>3.625</v>
      </c>
      <c r="C18" s="16" t="n">
        <f aca="false">('2. The book'!B11*$B$5+'2. The book'!C11*$C$5+'2. The book'!D11*$D$5+'2. The book'!E11*$E$5+'2. The book'!F11*$F$5+'2. The book'!G11*$G$5+'2. The book'!H11*$H$5+'2. The book'!I11*$I$5)/($B$5+$C$5+$D$5+$E$5+$F$5+$G$5+$H$5+$I$5)</f>
        <v>3.76923076923077</v>
      </c>
      <c r="D18" s="16" t="n">
        <f aca="false">('2. The book'!B11*$B$6+'2. The book'!C11*$C$6+'2. The book'!D11*$D$6+'2. The book'!E11*$E$6+'2. The book'!F11*$F$6+'2. The book'!G11*$G$6+'2. The book'!H11*$H$6+'2. The book'!I11*$I$6)/($B$6+$C$6+$D$6+$E$6+$F$6+$G$6+$H$6+$I$6)</f>
        <v>3.61538461538462</v>
      </c>
      <c r="I18" s="18" t="str">
        <f aca="false">IF(B18&lt;='1. The model'!$B$13,"Approve",IF(B18&lt;='1. The model'!$B$14,"Approve with conditions",IF(B18&lt;='1. The model'!$B$15,"Not yet","Reject")))</f>
        <v>Reject</v>
      </c>
      <c r="J18" s="18" t="str">
        <f aca="false">IF(C18&lt;='1. The model'!$B$13,"Approve",IF(C18&lt;='1. The model'!$B$14,"Approve with conditions",IF(C18&lt;='1. The model'!$B$15,"Not yet","Reject")))</f>
        <v>Reject</v>
      </c>
      <c r="K18" s="18" t="str">
        <f aca="false">IF(D18&lt;='1. The model'!$B$13,"Approve",IF(D18&lt;='1. The model'!$B$14,"Approve with conditions",IF(D18&lt;='1. The model'!$B$15,"Not yet","Reject")))</f>
        <v>Reject</v>
      </c>
    </row>
    <row r="19" customFormat="false" ht="15" hidden="false" customHeight="false" outlineLevel="0" collapsed="false">
      <c r="A19" s="8" t="str">
        <f aca="false">'2. The book'!A12</f>
        <v>Kelsall Private Credit</v>
      </c>
      <c r="B19" s="16" t="n">
        <f aca="false">('2. The book'!B12*$B$4+'2. The book'!C12*$C$4+'2. The book'!D12*$D$4+'2. The book'!E12*$E$4+'2. The book'!F12*$F$4+'2. The book'!G12*$G$4+'2. The book'!H12*$H$4+'2. The book'!I12*$I$4)/($B$4+$C$4+$D$4+$E$4+$F$4+$G$4+$H$4+$I$4)</f>
        <v>2.125</v>
      </c>
      <c r="C19" s="16" t="n">
        <f aca="false">('2. The book'!B12*$B$5+'2. The book'!C12*$C$5+'2. The book'!D12*$D$5+'2. The book'!E12*$E$5+'2. The book'!F12*$F$5+'2. The book'!G12*$G$5+'2. The book'!H12*$H$5+'2. The book'!I12*$I$5)/($B$5+$C$5+$D$5+$E$5+$F$5+$G$5+$H$5+$I$5)</f>
        <v>2.15384615384615</v>
      </c>
      <c r="D19" s="16" t="n">
        <f aca="false">('2. The book'!B12*$B$6+'2. The book'!C12*$C$6+'2. The book'!D12*$D$6+'2. The book'!E12*$E$6+'2. The book'!F12*$F$6+'2. The book'!G12*$G$6+'2. The book'!H12*$H$6+'2. The book'!I12*$I$6)/($B$6+$C$6+$D$6+$E$6+$F$6+$G$6+$H$6+$I$6)</f>
        <v>2.07692307692308</v>
      </c>
      <c r="I19" s="18" t="str">
        <f aca="false">IF(B19&lt;='1. The model'!$B$13,"Approve",IF(B19&lt;='1. The model'!$B$14,"Approve with conditions",IF(B19&lt;='1. The model'!$B$15,"Not yet","Reject")))</f>
        <v>Approve with conditions</v>
      </c>
      <c r="J19" s="18" t="str">
        <f aca="false">IF(C19&lt;='1. The model'!$B$13,"Approve",IF(C19&lt;='1. The model'!$B$14,"Approve with conditions",IF(C19&lt;='1. The model'!$B$15,"Not yet","Reject")))</f>
        <v>Approve with conditions</v>
      </c>
      <c r="K19" s="18" t="str">
        <f aca="false">IF(D19&lt;='1. The model'!$B$13,"Approve",IF(D19&lt;='1. The model'!$B$14,"Approve with conditions",IF(D19&lt;='1. The model'!$B$15,"Not yet","Reject")))</f>
        <v>Approve with conditions</v>
      </c>
    </row>
    <row r="20" customFormat="false" ht="15" hidden="false" customHeight="false" outlineLevel="0" collapsed="false">
      <c r="A20" s="8" t="str">
        <f aca="false">'2. The book'!A13</f>
        <v>Larkhall Buyout</v>
      </c>
      <c r="B20" s="16" t="n">
        <f aca="false">('2. The book'!B13*$B$4+'2. The book'!C13*$C$4+'2. The book'!D13*$D$4+'2. The book'!E13*$E$4+'2. The book'!F13*$F$4+'2. The book'!G13*$G$4+'2. The book'!H13*$H$4+'2. The book'!I13*$I$4)/($B$4+$C$4+$D$4+$E$4+$F$4+$G$4+$H$4+$I$4)</f>
        <v>2.25</v>
      </c>
      <c r="C20" s="16" t="n">
        <f aca="false">('2. The book'!B13*$B$5+'2. The book'!C13*$C$5+'2. The book'!D13*$D$5+'2. The book'!E13*$E$5+'2. The book'!F13*$F$5+'2. The book'!G13*$G$5+'2. The book'!H13*$H$5+'2. The book'!I13*$I$5)/($B$5+$C$5+$D$5+$E$5+$F$5+$G$5+$H$5+$I$5)</f>
        <v>2.46153846153846</v>
      </c>
      <c r="D20" s="16" t="n">
        <f aca="false">('2. The book'!B13*$B$6+'2. The book'!C13*$C$6+'2. The book'!D13*$D$6+'2. The book'!E13*$E$6+'2. The book'!F13*$F$6+'2. The book'!G13*$G$6+'2. The book'!H13*$H$6+'2. The book'!I13*$I$6)/($B$6+$C$6+$D$6+$E$6+$F$6+$G$6+$H$6+$I$6)</f>
        <v>2.15384615384615</v>
      </c>
      <c r="I20" s="18" t="str">
        <f aca="false">IF(B20&lt;='1. The model'!$B$13,"Approve",IF(B20&lt;='1. The model'!$B$14,"Approve with conditions",IF(B20&lt;='1. The model'!$B$15,"Not yet","Reject")))</f>
        <v>Approve with conditions</v>
      </c>
      <c r="J20" s="18" t="str">
        <f aca="false">IF(C20&lt;='1. The model'!$B$13,"Approve",IF(C20&lt;='1. The model'!$B$14,"Approve with conditions",IF(C20&lt;='1. The model'!$B$15,"Not yet","Reject")))</f>
        <v>Approve with conditions</v>
      </c>
      <c r="K20" s="18" t="str">
        <f aca="false">IF(D20&lt;='1. The model'!$B$13,"Approve",IF(D20&lt;='1. The model'!$B$14,"Approve with conditions",IF(D20&lt;='1. The model'!$B$15,"Not yet","Reject")))</f>
        <v>Approve with conditions</v>
      </c>
    </row>
    <row r="22" customFormat="false" ht="15" hidden="false" customHeight="false" outlineLevel="0" collapsed="false">
      <c r="A22" s="19" t="s">
        <v>98</v>
      </c>
      <c r="B22" s="19"/>
      <c r="C22" s="19"/>
      <c r="D22" s="11" t="n">
        <f aca="false">SUMPRODUCT(--(I9:I20&lt;&gt;J9:J20))</f>
        <v>0</v>
      </c>
      <c r="I22" s="13"/>
    </row>
    <row r="23" customFormat="false" ht="15" hidden="false" customHeight="false" outlineLevel="0" collapsed="false">
      <c r="A23" s="19" t="s">
        <v>99</v>
      </c>
      <c r="B23" s="19"/>
      <c r="C23" s="19"/>
      <c r="D23" s="11" t="n">
        <f aca="false">SUMPRODUCT(--(I9:I20&lt;&gt;K9:K20))</f>
        <v>0</v>
      </c>
      <c r="I23" s="13"/>
    </row>
    <row r="24" customFormat="false" ht="55.2" hidden="false" customHeight="false" outlineLevel="0" collapsed="false">
      <c r="A24" s="19" t="s">
        <v>100</v>
      </c>
      <c r="B24" s="19"/>
      <c r="C24" s="19"/>
      <c r="D24" s="11" t="n">
        <f aca="false">COUNTIF('2. The book'!O2:O13,"CHANGED")</f>
        <v>5</v>
      </c>
      <c r="I24" s="13" t="s">
        <v>101</v>
      </c>
    </row>
    <row r="26" customFormat="false" ht="122.35" hidden="false" customHeight="false" outlineLevel="0" collapsed="false">
      <c r="A26" s="15" t="s">
        <v>102</v>
      </c>
    </row>
  </sheetData>
  <mergeCells count="3">
    <mergeCell ref="A22:C22"/>
    <mergeCell ref="A23:C23"/>
    <mergeCell ref="A24:C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2" min="2" style="0" width="11"/>
    <col collapsed="false" customWidth="true" hidden="false" outlineLevel="0" max="3" min="3" style="0" width="15"/>
    <col collapsed="false" customWidth="true" hidden="false" outlineLevel="0" max="4" min="4" style="0" width="11"/>
    <col collapsed="false" customWidth="true" hidden="false" outlineLevel="0" max="5" min="5" style="0" width="17"/>
    <col collapsed="false" customWidth="true" hidden="false" outlineLevel="0" max="6" min="6" style="0" width="50"/>
  </cols>
  <sheetData>
    <row r="1" customFormat="false" ht="15" hidden="false" customHeight="false" outlineLevel="0" collapsed="false">
      <c r="A1" s="6" t="s">
        <v>103</v>
      </c>
    </row>
    <row r="2" customFormat="false" ht="68.65" hidden="false" customHeight="false" outlineLevel="0" collapsed="false">
      <c r="A2" s="15" t="s">
        <v>104</v>
      </c>
    </row>
    <row r="4" customFormat="false" ht="28.35" hidden="false" customHeight="false" outlineLevel="0" collapsed="false">
      <c r="A4" s="7" t="s">
        <v>41</v>
      </c>
      <c r="B4" s="7" t="s">
        <v>42</v>
      </c>
      <c r="C4" s="7" t="s">
        <v>105</v>
      </c>
      <c r="D4" s="7" t="s">
        <v>106</v>
      </c>
      <c r="E4" s="7" t="s">
        <v>107</v>
      </c>
      <c r="F4" s="7"/>
    </row>
    <row r="5" customFormat="false" ht="15" hidden="false" customHeight="false" outlineLevel="0" collapsed="false">
      <c r="A5" s="8" t="str">
        <f aca="false">'2. The book'!A2</f>
        <v>Alderman Credit</v>
      </c>
      <c r="B5" s="16" t="n">
        <f aca="false">'2. The book'!J2</f>
        <v>1.5</v>
      </c>
      <c r="C5" s="21" t="n">
        <f aca="false">IF(ABS(B5-'1. The model'!$B$13)&lt;=MIN(ABS(B5-'1. The model'!$B$14),ABS(B5-'1. The model'!$B$15)),'1. The model'!$B$13,IF(ABS(B5-'1. The model'!$B$14)&lt;=ABS(B5-'1. The model'!$B$15),'1. The model'!$B$14,'1. The model'!$B$15))</f>
        <v>2</v>
      </c>
      <c r="D5" s="16" t="n">
        <f aca="false">ABS(B5-C5)</f>
        <v>0.5</v>
      </c>
      <c r="E5" s="11" t="n">
        <f aca="false">MAX(1,ROUNDUP(D5*'1. The model'!$B$11,0))</f>
        <v>4</v>
      </c>
    </row>
    <row r="6" customFormat="false" ht="15" hidden="false" customHeight="false" outlineLevel="0" collapsed="false">
      <c r="A6" s="8" t="str">
        <f aca="false">'2. The book'!A3</f>
        <v>Brightmoor Partners</v>
      </c>
      <c r="B6" s="16" t="n">
        <f aca="false">'2. The book'!J3</f>
        <v>1.25</v>
      </c>
      <c r="C6" s="21" t="n">
        <f aca="false">IF(ABS(B6-'1. The model'!$B$13)&lt;=MIN(ABS(B6-'1. The model'!$B$14),ABS(B6-'1. The model'!$B$15)),'1. The model'!$B$13,IF(ABS(B6-'1. The model'!$B$14)&lt;=ABS(B6-'1. The model'!$B$15),'1. The model'!$B$14,'1. The model'!$B$15))</f>
        <v>2</v>
      </c>
      <c r="D6" s="16" t="n">
        <f aca="false">ABS(B6-C6)</f>
        <v>0.75</v>
      </c>
      <c r="E6" s="11" t="n">
        <f aca="false">MAX(1,ROUNDUP(D6*'1. The model'!$B$11,0))</f>
        <v>6</v>
      </c>
    </row>
    <row r="7" customFormat="false" ht="15" hidden="false" customHeight="false" outlineLevel="0" collapsed="false">
      <c r="A7" s="8" t="str">
        <f aca="false">'2. The book'!A4</f>
        <v>Caldwell Special Sits</v>
      </c>
      <c r="B7" s="16" t="n">
        <f aca="false">'2. The book'!J4</f>
        <v>2.25</v>
      </c>
      <c r="C7" s="21" t="n">
        <f aca="false">IF(ABS(B7-'1. The model'!$B$13)&lt;=MIN(ABS(B7-'1. The model'!$B$14),ABS(B7-'1. The model'!$B$15)),'1. The model'!$B$13,IF(ABS(B7-'1. The model'!$B$14)&lt;=ABS(B7-'1. The model'!$B$15),'1. The model'!$B$14,'1. The model'!$B$15))</f>
        <v>2</v>
      </c>
      <c r="D7" s="16" t="n">
        <f aca="false">ABS(B7-C7)</f>
        <v>0.25</v>
      </c>
      <c r="E7" s="11" t="n">
        <f aca="false">MAX(1,ROUNDUP(D7*'1. The model'!$B$11,0))</f>
        <v>2</v>
      </c>
    </row>
    <row r="8" customFormat="false" ht="15" hidden="false" customHeight="false" outlineLevel="0" collapsed="false">
      <c r="A8" s="8" t="str">
        <f aca="false">'2. The book'!A5</f>
        <v>Draycott Infrastructure</v>
      </c>
      <c r="B8" s="16" t="n">
        <f aca="false">'2. The book'!J5</f>
        <v>1.625</v>
      </c>
      <c r="C8" s="21" t="n">
        <f aca="false">IF(ABS(B8-'1. The model'!$B$13)&lt;=MIN(ABS(B8-'1. The model'!$B$14),ABS(B8-'1. The model'!$B$15)),'1. The model'!$B$13,IF(ABS(B8-'1. The model'!$B$14)&lt;=ABS(B8-'1. The model'!$B$15),'1. The model'!$B$14,'1. The model'!$B$15))</f>
        <v>2</v>
      </c>
      <c r="D8" s="16" t="n">
        <f aca="false">ABS(B8-C8)</f>
        <v>0.375</v>
      </c>
      <c r="E8" s="11" t="n">
        <f aca="false">MAX(1,ROUNDUP(D8*'1. The model'!$B$11,0))</f>
        <v>3</v>
      </c>
    </row>
    <row r="9" customFormat="false" ht="15" hidden="false" customHeight="false" outlineLevel="0" collapsed="false">
      <c r="A9" s="8" t="str">
        <f aca="false">'2. The book'!A6</f>
        <v>Ellerby Growth</v>
      </c>
      <c r="B9" s="16" t="n">
        <f aca="false">'2. The book'!J6</f>
        <v>3</v>
      </c>
      <c r="C9" s="21" t="n">
        <f aca="false">IF(ABS(B9-'1. The model'!$B$13)&lt;=MIN(ABS(B9-'1. The model'!$B$14),ABS(B9-'1. The model'!$B$15)),'1. The model'!$B$13,IF(ABS(B9-'1. The model'!$B$14)&lt;=ABS(B9-'1. The model'!$B$15),'1. The model'!$B$14,'1. The model'!$B$15))</f>
        <v>3</v>
      </c>
      <c r="D9" s="16" t="n">
        <f aca="false">ABS(B9-C9)</f>
        <v>0</v>
      </c>
      <c r="E9" s="11" t="n">
        <f aca="false">MAX(1,ROUNDUP(D9*'1. The model'!$B$11,0))</f>
        <v>1</v>
      </c>
    </row>
    <row r="10" customFormat="false" ht="15" hidden="false" customHeight="false" outlineLevel="0" collapsed="false">
      <c r="A10" s="8" t="str">
        <f aca="false">'2. The book'!A7</f>
        <v>Fenwick Real Assets</v>
      </c>
      <c r="B10" s="16" t="n">
        <f aca="false">'2. The book'!J7</f>
        <v>1.5</v>
      </c>
      <c r="C10" s="21" t="n">
        <f aca="false">IF(ABS(B10-'1. The model'!$B$13)&lt;=MIN(ABS(B10-'1. The model'!$B$14),ABS(B10-'1. The model'!$B$15)),'1. The model'!$B$13,IF(ABS(B10-'1. The model'!$B$14)&lt;=ABS(B10-'1. The model'!$B$15),'1. The model'!$B$14,'1. The model'!$B$15))</f>
        <v>2</v>
      </c>
      <c r="D10" s="16" t="n">
        <f aca="false">ABS(B10-C10)</f>
        <v>0.5</v>
      </c>
      <c r="E10" s="11" t="n">
        <f aca="false">MAX(1,ROUNDUP(D10*'1. The model'!$B$11,0))</f>
        <v>4</v>
      </c>
    </row>
    <row r="11" customFormat="false" ht="15" hidden="false" customHeight="false" outlineLevel="0" collapsed="false">
      <c r="A11" s="8" t="str">
        <f aca="false">'2. The book'!A8</f>
        <v>Garrow Mid-Market</v>
      </c>
      <c r="B11" s="16" t="n">
        <f aca="false">'2. The book'!J8</f>
        <v>2.25</v>
      </c>
      <c r="C11" s="21" t="n">
        <f aca="false">IF(ABS(B11-'1. The model'!$B$13)&lt;=MIN(ABS(B11-'1. The model'!$B$14),ABS(B11-'1. The model'!$B$15)),'1. The model'!$B$13,IF(ABS(B11-'1. The model'!$B$14)&lt;=ABS(B11-'1. The model'!$B$15),'1. The model'!$B$14,'1. The model'!$B$15))</f>
        <v>2</v>
      </c>
      <c r="D11" s="16" t="n">
        <f aca="false">ABS(B11-C11)</f>
        <v>0.25</v>
      </c>
      <c r="E11" s="11" t="n">
        <f aca="false">MAX(1,ROUNDUP(D11*'1. The model'!$B$11,0))</f>
        <v>2</v>
      </c>
    </row>
    <row r="12" customFormat="false" ht="15" hidden="false" customHeight="false" outlineLevel="0" collapsed="false">
      <c r="A12" s="8" t="str">
        <f aca="false">'2. The book'!A9</f>
        <v>Halstead Ventures</v>
      </c>
      <c r="B12" s="16" t="n">
        <f aca="false">'2. The book'!J9</f>
        <v>3.5</v>
      </c>
      <c r="C12" s="21" t="n">
        <f aca="false">IF(ABS(B12-'1. The model'!$B$13)&lt;=MIN(ABS(B12-'1. The model'!$B$14),ABS(B12-'1. The model'!$B$15)),'1. The model'!$B$13,IF(ABS(B12-'1. The model'!$B$14)&lt;=ABS(B12-'1. The model'!$B$15),'1. The model'!$B$14,'1. The model'!$B$15))</f>
        <v>3.5</v>
      </c>
      <c r="D12" s="16" t="n">
        <f aca="false">ABS(B12-C12)</f>
        <v>0</v>
      </c>
      <c r="E12" s="11" t="n">
        <f aca="false">MAX(1,ROUNDUP(D12*'1. The model'!$B$11,0))</f>
        <v>1</v>
      </c>
    </row>
    <row r="13" customFormat="false" ht="15" hidden="false" customHeight="false" outlineLevel="0" collapsed="false">
      <c r="A13" s="8" t="str">
        <f aca="false">'2. The book'!A10</f>
        <v>Inverleith Secondaries</v>
      </c>
      <c r="B13" s="16" t="n">
        <f aca="false">'2. The book'!J10</f>
        <v>1</v>
      </c>
      <c r="C13" s="21" t="n">
        <f aca="false">IF(ABS(B13-'1. The model'!$B$13)&lt;=MIN(ABS(B13-'1. The model'!$B$14),ABS(B13-'1. The model'!$B$15)),'1. The model'!$B$13,IF(ABS(B13-'1. The model'!$B$14)&lt;=ABS(B13-'1. The model'!$B$15),'1. The model'!$B$14,'1. The model'!$B$15))</f>
        <v>2</v>
      </c>
      <c r="D13" s="16" t="n">
        <f aca="false">ABS(B13-C13)</f>
        <v>1</v>
      </c>
      <c r="E13" s="11" t="n">
        <f aca="false">MAX(1,ROUNDUP(D13*'1. The model'!$B$11,0))</f>
        <v>8</v>
      </c>
    </row>
    <row r="14" customFormat="false" ht="15" hidden="false" customHeight="false" outlineLevel="0" collapsed="false">
      <c r="A14" s="8" t="str">
        <f aca="false">'2. The book'!A11</f>
        <v>Jarrow Opportunistic</v>
      </c>
      <c r="B14" s="16" t="n">
        <f aca="false">'2. The book'!J11</f>
        <v>3.625</v>
      </c>
      <c r="C14" s="21" t="n">
        <f aca="false">IF(ABS(B14-'1. The model'!$B$13)&lt;=MIN(ABS(B14-'1. The model'!$B$14),ABS(B14-'1. The model'!$B$15)),'1. The model'!$B$13,IF(ABS(B14-'1. The model'!$B$14)&lt;=ABS(B14-'1. The model'!$B$15),'1. The model'!$B$14,'1. The model'!$B$15))</f>
        <v>3.5</v>
      </c>
      <c r="D14" s="16" t="n">
        <f aca="false">ABS(B14-C14)</f>
        <v>0.125</v>
      </c>
      <c r="E14" s="11" t="n">
        <f aca="false">MAX(1,ROUNDUP(D14*'1. The model'!$B$11,0))</f>
        <v>1</v>
      </c>
    </row>
    <row r="15" customFormat="false" ht="15" hidden="false" customHeight="false" outlineLevel="0" collapsed="false">
      <c r="A15" s="8" t="str">
        <f aca="false">'2. The book'!A12</f>
        <v>Kelsall Private Credit</v>
      </c>
      <c r="B15" s="16" t="n">
        <f aca="false">'2. The book'!J12</f>
        <v>2.125</v>
      </c>
      <c r="C15" s="21" t="n">
        <f aca="false">IF(ABS(B15-'1. The model'!$B$13)&lt;=MIN(ABS(B15-'1. The model'!$B$14),ABS(B15-'1. The model'!$B$15)),'1. The model'!$B$13,IF(ABS(B15-'1. The model'!$B$14)&lt;=ABS(B15-'1. The model'!$B$15),'1. The model'!$B$14,'1. The model'!$B$15))</f>
        <v>2</v>
      </c>
      <c r="D15" s="16" t="n">
        <f aca="false">ABS(B15-C15)</f>
        <v>0.125</v>
      </c>
      <c r="E15" s="11" t="n">
        <f aca="false">MAX(1,ROUNDUP(D15*'1. The model'!$B$11,0))</f>
        <v>1</v>
      </c>
    </row>
    <row r="16" customFormat="false" ht="15" hidden="false" customHeight="false" outlineLevel="0" collapsed="false">
      <c r="A16" s="8" t="str">
        <f aca="false">'2. The book'!A13</f>
        <v>Larkhall Buyout</v>
      </c>
      <c r="B16" s="16" t="n">
        <f aca="false">'2. The book'!J13</f>
        <v>2.25</v>
      </c>
      <c r="C16" s="21" t="n">
        <f aca="false">IF(ABS(B16-'1. The model'!$B$13)&lt;=MIN(ABS(B16-'1. The model'!$B$14),ABS(B16-'1. The model'!$B$15)),'1. The model'!$B$13,IF(ABS(B16-'1. The model'!$B$14)&lt;=ABS(B16-'1. The model'!$B$15),'1. The model'!$B$14,'1. The model'!$B$15))</f>
        <v>2</v>
      </c>
      <c r="D16" s="16" t="n">
        <f aca="false">ABS(B16-C16)</f>
        <v>0.25</v>
      </c>
      <c r="E16" s="11" t="n">
        <f aca="false">MAX(1,ROUNDUP(D16*'1. The model'!$B$11,0))</f>
        <v>2</v>
      </c>
    </row>
    <row r="19" customFormat="false" ht="15" hidden="false" customHeight="false" outlineLevel="0" collapsed="false">
      <c r="A19" s="19" t="s">
        <v>108</v>
      </c>
      <c r="B19" s="19"/>
      <c r="C19" s="19"/>
      <c r="D19" s="19"/>
      <c r="E19" s="11" t="n">
        <f aca="false">MEDIAN(E5:E16)</f>
        <v>2</v>
      </c>
      <c r="F19" s="13" t="s">
        <v>109</v>
      </c>
    </row>
    <row r="20" customFormat="false" ht="15" hidden="false" customHeight="false" outlineLevel="0" collapsed="false">
      <c r="A20" s="19" t="s">
        <v>110</v>
      </c>
      <c r="B20" s="19"/>
      <c r="C20" s="19"/>
      <c r="D20" s="19"/>
      <c r="E20" s="11" t="n">
        <f aca="false">COUNTIF(E5:E16,"&lt;=2")</f>
        <v>7</v>
      </c>
      <c r="F20" s="13"/>
    </row>
    <row r="21" customFormat="false" ht="15" hidden="false" customHeight="false" outlineLevel="0" collapsed="false">
      <c r="A21" s="19" t="s">
        <v>111</v>
      </c>
      <c r="B21" s="19"/>
      <c r="C21" s="19"/>
      <c r="D21" s="19"/>
      <c r="E21" s="11" t="n">
        <f aca="false">COUNT(E5:E16)</f>
        <v>12</v>
      </c>
      <c r="F21" s="13"/>
    </row>
    <row r="23" customFormat="false" ht="202.95" hidden="false" customHeight="false" outlineLevel="0" collapsed="false">
      <c r="A23" s="15" t="s">
        <v>112</v>
      </c>
    </row>
  </sheetData>
  <mergeCells count="3">
    <mergeCell ref="A19:D19"/>
    <mergeCell ref="A20:D20"/>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7" t="s">
        <v>113</v>
      </c>
      <c r="B1" s="7" t="s">
        <v>114</v>
      </c>
      <c r="C1" s="7" t="s">
        <v>115</v>
      </c>
      <c r="D1" s="7" t="s">
        <v>116</v>
      </c>
    </row>
    <row r="2" customFormat="false" ht="15" hidden="false" customHeight="false" outlineLevel="0" collapsed="false">
      <c r="A2" s="8" t="n">
        <v>1</v>
      </c>
      <c r="B2" s="13" t="s">
        <v>117</v>
      </c>
      <c r="C2" s="23" t="n">
        <f aca="false">'1. The model'!B11</f>
        <v>8</v>
      </c>
      <c r="D2" s="19" t="str">
        <f aca="false">IF(C2=8,"PASS","FAIL")</f>
        <v>PASS</v>
      </c>
    </row>
    <row r="3" customFormat="false" ht="15" hidden="false" customHeight="false" outlineLevel="0" collapsed="false">
      <c r="A3" s="8" t="n">
        <v>2</v>
      </c>
      <c r="B3" s="13" t="s">
        <v>118</v>
      </c>
      <c r="C3" s="23" t="n">
        <f aca="false">'2. The book'!J15</f>
        <v>3</v>
      </c>
      <c r="D3" s="19" t="str">
        <f aca="false">IF(C3=3,"PASS","FAIL")</f>
        <v>PASS</v>
      </c>
    </row>
    <row r="4" customFormat="false" ht="15" hidden="false" customHeight="false" outlineLevel="0" collapsed="false">
      <c r="A4" s="8" t="n">
        <v>3</v>
      </c>
      <c r="B4" s="13" t="s">
        <v>119</v>
      </c>
      <c r="C4" s="23" t="n">
        <f aca="false">'2. The book'!J16</f>
        <v>3</v>
      </c>
      <c r="D4" s="19" t="str">
        <f aca="false">IF(C4=3,"PASS","FAIL")</f>
        <v>PASS</v>
      </c>
    </row>
    <row r="5" customFormat="false" ht="15" hidden="false" customHeight="false" outlineLevel="0" collapsed="false">
      <c r="A5" s="8" t="n">
        <v>4</v>
      </c>
      <c r="B5" s="13" t="s">
        <v>120</v>
      </c>
      <c r="C5" s="24" t="n">
        <f aca="false">'2. The book'!J19</f>
        <v>1.5</v>
      </c>
      <c r="D5" s="19" t="str">
        <f aca="false">IF(ABS(C5-1.5)&lt;0.001,"PASS","FAIL")</f>
        <v>PASS</v>
      </c>
    </row>
    <row r="6" customFormat="false" ht="15" hidden="false" customHeight="false" outlineLevel="0" collapsed="false">
      <c r="A6" s="8" t="n">
        <v>5</v>
      </c>
      <c r="B6" s="13" t="s">
        <v>121</v>
      </c>
      <c r="C6" s="24" t="n">
        <f aca="false">'2. The book'!J20</f>
        <v>2.25</v>
      </c>
      <c r="D6" s="19" t="str">
        <f aca="false">IF(ABS(C6-2.25)&lt;0.001,"PASS","FAIL")</f>
        <v>PASS</v>
      </c>
    </row>
    <row r="7" customFormat="false" ht="15" hidden="false" customHeight="false" outlineLevel="0" collapsed="false">
      <c r="A7" s="8" t="n">
        <v>6</v>
      </c>
      <c r="B7" s="13" t="s">
        <v>122</v>
      </c>
      <c r="C7" s="24" t="n">
        <f aca="false">'2. The book'!J21</f>
        <v>0.75</v>
      </c>
      <c r="D7" s="19" t="str">
        <f aca="false">IF(ABS(C7-0.75)&lt;0.001,"PASS","FAIL")</f>
        <v>PASS</v>
      </c>
    </row>
    <row r="8" customFormat="false" ht="15" hidden="false" customHeight="false" outlineLevel="0" collapsed="false">
      <c r="A8" s="8" t="n">
        <v>7</v>
      </c>
      <c r="B8" s="13" t="s">
        <v>123</v>
      </c>
      <c r="C8" s="23" t="n">
        <f aca="false">'2. The book'!K2</f>
        <v>5</v>
      </c>
      <c r="D8" s="19" t="str">
        <f aca="false">IF(C8=5,"PASS","FAIL")</f>
        <v>PASS</v>
      </c>
    </row>
    <row r="9" customFormat="false" ht="15" hidden="false" customHeight="false" outlineLevel="0" collapsed="false">
      <c r="A9" s="8" t="n">
        <v>8</v>
      </c>
      <c r="B9" s="13" t="s">
        <v>124</v>
      </c>
      <c r="C9" s="23" t="n">
        <f aca="false">'2. The book'!L2</f>
        <v>5</v>
      </c>
      <c r="D9" s="19" t="str">
        <f aca="false">IF(C9=5,"PASS","FAIL")</f>
        <v>PASS</v>
      </c>
    </row>
    <row r="10" customFormat="false" ht="15" hidden="false" customHeight="false" outlineLevel="0" collapsed="false">
      <c r="A10" s="8" t="n">
        <v>9</v>
      </c>
      <c r="B10" s="13" t="s">
        <v>125</v>
      </c>
      <c r="C10" s="8" t="str">
        <f aca="false">'2. The book'!M2</f>
        <v>Approve</v>
      </c>
      <c r="D10" s="19" t="str">
        <f aca="false">IF(C10="Approve","PASS","FAIL")</f>
        <v>PASS</v>
      </c>
    </row>
    <row r="11" customFormat="false" ht="15" hidden="false" customHeight="false" outlineLevel="0" collapsed="false">
      <c r="A11" s="8" t="n">
        <v>10</v>
      </c>
      <c r="B11" s="13" t="s">
        <v>126</v>
      </c>
      <c r="C11" s="8" t="str">
        <f aca="false">'2. The book'!N2</f>
        <v>Reject (veto)</v>
      </c>
      <c r="D11" s="19" t="str">
        <f aca="false">IF(LEFT(C11,6)="Reject","PASS","FAIL")</f>
        <v>PASS</v>
      </c>
    </row>
    <row r="12" customFormat="false" ht="15" hidden="false" customHeight="false" outlineLevel="0" collapsed="false">
      <c r="A12" s="8" t="n">
        <v>11</v>
      </c>
      <c r="B12" s="13" t="s">
        <v>127</v>
      </c>
      <c r="C12" s="24" t="n">
        <f aca="false">'3. Compensation'!B9</f>
        <v>1.57142857142857</v>
      </c>
      <c r="D12" s="19" t="str">
        <f aca="false">IF(ABS(C12-1.5714)&lt;0.001,"PASS","FAIL")</f>
        <v>PASS</v>
      </c>
    </row>
    <row r="13" customFormat="false" ht="15" hidden="false" customHeight="false" outlineLevel="0" collapsed="false">
      <c r="A13" s="8" t="n">
        <v>12</v>
      </c>
      <c r="B13" s="13" t="s">
        <v>128</v>
      </c>
      <c r="C13" s="24" t="n">
        <f aca="false">'3. Compensation'!B11</f>
        <v>1.72727272727273</v>
      </c>
      <c r="D13" s="19" t="str">
        <f aca="false">IF(ABS(C13-1.7273)&lt;0.001,"PASS","FAIL")</f>
        <v>PASS</v>
      </c>
    </row>
    <row r="14" customFormat="false" ht="15" hidden="false" customHeight="false" outlineLevel="0" collapsed="false">
      <c r="A14" s="8" t="n">
        <v>13</v>
      </c>
      <c r="B14" s="13" t="s">
        <v>129</v>
      </c>
      <c r="C14" s="24" t="n">
        <f aca="false">'3. Compensation'!B12</f>
        <v>1.8</v>
      </c>
      <c r="D14" s="19" t="str">
        <f aca="false">IF(ABS(C14-1.8)&lt;0.001,"PASS","FAIL")</f>
        <v>PASS</v>
      </c>
    </row>
    <row r="15" customFormat="false" ht="15" hidden="false" customHeight="false" outlineLevel="0" collapsed="false">
      <c r="A15" s="8" t="n">
        <v>14</v>
      </c>
      <c r="B15" s="13" t="s">
        <v>130</v>
      </c>
      <c r="C15" s="24" t="n">
        <f aca="false">'3. Compensation'!C17</f>
        <v>0.228571428571429</v>
      </c>
      <c r="D15" s="19" t="str">
        <f aca="false">IF(C15&gt;0,"PASS","FAIL")</f>
        <v>PASS</v>
      </c>
    </row>
    <row r="16" customFormat="false" ht="15" hidden="false" customHeight="false" outlineLevel="0" collapsed="false">
      <c r="A16" s="8" t="n">
        <v>15</v>
      </c>
      <c r="B16" s="13" t="s">
        <v>131</v>
      </c>
      <c r="C16" s="25" t="n">
        <f aca="false">'3. Compensation'!C9</f>
        <v>0.125</v>
      </c>
      <c r="D16" s="19" t="str">
        <f aca="false">IF(ABS(C16-0.125)&lt;0.001,"PASS","FAIL")</f>
        <v>PASS</v>
      </c>
    </row>
    <row r="17" customFormat="false" ht="15" hidden="false" customHeight="false" outlineLevel="0" collapsed="false">
      <c r="A17" s="8" t="n">
        <v>16</v>
      </c>
      <c r="B17" s="13" t="s">
        <v>132</v>
      </c>
      <c r="C17" s="25" t="n">
        <f aca="false">'3. Compensation'!C12</f>
        <v>0.0625</v>
      </c>
      <c r="D17" s="19" t="str">
        <f aca="false">IF(ABS(C17-0.0625)&lt;0.001,"PASS","FAIL")</f>
        <v>PASS</v>
      </c>
    </row>
    <row r="18" customFormat="false" ht="15" hidden="false" customHeight="false" outlineLevel="0" collapsed="false">
      <c r="A18" s="8" t="n">
        <v>17</v>
      </c>
      <c r="B18" s="13" t="s">
        <v>133</v>
      </c>
      <c r="C18" s="23" t="n">
        <f aca="false">'4. Weights'!D22</f>
        <v>0</v>
      </c>
      <c r="D18" s="19" t="str">
        <f aca="false">IF(C18=0,"PASS","FAIL")</f>
        <v>PASS</v>
      </c>
    </row>
    <row r="19" customFormat="false" ht="15" hidden="false" customHeight="false" outlineLevel="0" collapsed="false">
      <c r="A19" s="8" t="n">
        <v>18</v>
      </c>
      <c r="B19" s="13" t="s">
        <v>134</v>
      </c>
      <c r="C19" s="23" t="n">
        <f aca="false">'4. Weights'!D23</f>
        <v>0</v>
      </c>
      <c r="D19" s="19" t="str">
        <f aca="false">IF(C19=0,"PASS","FAIL")</f>
        <v>PASS</v>
      </c>
    </row>
    <row r="20" customFormat="false" ht="15" hidden="false" customHeight="false" outlineLevel="0" collapsed="false">
      <c r="A20" s="8" t="n">
        <v>19</v>
      </c>
      <c r="B20" s="13" t="s">
        <v>135</v>
      </c>
      <c r="C20" s="23" t="n">
        <f aca="false">'4. Weights'!D24</f>
        <v>5</v>
      </c>
      <c r="D20" s="19" t="str">
        <f aca="false">IF(C20=5,"PASS","FAIL")</f>
        <v>PASS</v>
      </c>
    </row>
    <row r="21" customFormat="false" ht="15" hidden="false" customHeight="false" outlineLevel="0" collapsed="false">
      <c r="A21" s="8" t="n">
        <v>20</v>
      </c>
      <c r="B21" s="13" t="s">
        <v>136</v>
      </c>
      <c r="C21" s="23" t="n">
        <f aca="false">'4. Weights'!D24-'4. Weights'!D22</f>
        <v>5</v>
      </c>
      <c r="D21" s="19" t="str">
        <f aca="false">IF(C21&gt;=5,"PASS","FAIL")</f>
        <v>PASS</v>
      </c>
    </row>
    <row r="22" customFormat="false" ht="15" hidden="false" customHeight="false" outlineLevel="0" collapsed="false">
      <c r="A22" s="8" t="n">
        <v>21</v>
      </c>
      <c r="B22" s="13" t="s">
        <v>137</v>
      </c>
      <c r="C22" s="26" t="n">
        <f aca="false">'5. Fragility'!E19</f>
        <v>2</v>
      </c>
      <c r="D22" s="19" t="str">
        <f aca="false">IF(ABS(C22-2)&lt;0.01,"PASS","FAIL")</f>
        <v>PASS</v>
      </c>
    </row>
    <row r="23" customFormat="false" ht="15" hidden="false" customHeight="false" outlineLevel="0" collapsed="false">
      <c r="A23" s="8" t="n">
        <v>22</v>
      </c>
      <c r="B23" s="13" t="s">
        <v>138</v>
      </c>
      <c r="C23" s="23" t="n">
        <f aca="false">'5. Fragility'!E20</f>
        <v>7</v>
      </c>
      <c r="D23" s="19" t="str">
        <f aca="false">IF(C23=7,"PASS","FAIL")</f>
        <v>PASS</v>
      </c>
    </row>
    <row r="24" customFormat="false" ht="15" hidden="false" customHeight="false" outlineLevel="0" collapsed="false">
      <c r="A24" s="8" t="n">
        <v>23</v>
      </c>
      <c r="B24" s="13" t="s">
        <v>139</v>
      </c>
      <c r="C24" s="23" t="n">
        <f aca="false">'5. Fragility'!E13</f>
        <v>8</v>
      </c>
      <c r="D24" s="19" t="str">
        <f aca="false">IF(C24=8,"PASS","FAIL")</f>
        <v>PASS</v>
      </c>
    </row>
    <row r="25" customFormat="false" ht="15" hidden="false" customHeight="false" outlineLevel="0" collapsed="false">
      <c r="A25" s="8" t="n">
        <v>24</v>
      </c>
      <c r="B25" s="13" t="s">
        <v>140</v>
      </c>
      <c r="C25" s="23" t="n">
        <f aca="false">'5. Fragility'!E15</f>
        <v>1</v>
      </c>
      <c r="D25" s="19" t="str">
        <f aca="false">IF(C25=1,"PASS","FAIL")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2026-08-22T05:47:35Z</dcterms:created>
  <dc:creator>openpyxl</dc:creator>
  <dc:description/>
  <dc:language>en-US</dc:language>
  <cp:lastModifiedBy/>
  <dcterms:modified xsi:type="dcterms:W3CDTF">2026-08-22T05:49:42Z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