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Returns" sheetId="3" state="visible" r:id="rId5"/>
    <sheet name="Chain-linking" sheetId="4" state="visible" r:id="rId6"/>
    <sheet name="Money-weighted" sheetId="5" state="visible" r:id="rId7"/>
    <sheet name="Checks"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<sst xmlns="http://schemas.openxmlformats.org/spreadsheetml/2006/main" count="265" uniqueCount="183">
  <si>
    <t xml:space="preserve">Time-Weighted and Money-Weighted</t>
  </si>
  <si>
    <t xml:space="preserve">Companion workbook 2 to Asset Management, by Julian R. Sterling</t>
  </si>
  <si>
    <t xml:space="preserve">What this workbook is</t>
  </si>
  <si>
    <t xml:space="preserve">The two ways of measuring the same five years, built side by side: the chain-linked time-weighted return, which measures the manager, and the internal rate of return on the scheme's own cash flows, which measures the scheme.</t>
  </si>
  <si>
    <t xml:space="preserve">The experiment to run first</t>
  </si>
  <si>
    <t xml:space="preserve">On the Inputs sheet, move the 120,000,000 from Year 2 to Year 4 and the -180,000,000 from Year 3 to Year 5. Watch the Chain-linking sheet: the gross time-weighted return does not move, and the net one moves by less than half a basis point, only because the fee breakpoint charges a different rate on a different balance. Then watch the Money-weighted sheet, where every figure moves: the timing that cost 6,357,745.18 becomes a gain of 21,071,061.46. That difference is Chapter 14.</t>
  </si>
  <si>
    <t xml:space="preserve">On the internal rate of return</t>
  </si>
  <si>
    <t xml:space="preserve">The IRR function solves for the rate that makes the discounted flows sum to zero. The discounting column beside the flows shows the solution being satisfied, so you can see the answer rather than trust it. A series whose sign changes more than once can have more than one solution; the Marchwood series changes sign once.</t>
  </si>
  <si>
    <t xml:space="preserve">Conventions</t>
  </si>
  <si>
    <t xml:space="preserve">Blue text on a pale yellow fill is an input. Black text is a formula. Money out of the scheme is negative, money coming back is positive.</t>
  </si>
  <si>
    <t xml:space="preserve">The Checks sheet reproduces every figure the book prints from this workbook's own formulas. If a check ever reads FAIL, the workbook is wrong, not the book.</t>
  </si>
  <si>
    <t xml:space="preserve">Revised 24 September 2026. The checks now test to half a unit of the last decimal the book prints (they allowed 0.5 point on every return). New blocks: the arithmetic means of the net and benchmark series, Modified Dietz at a weight you choose, the present value at a trial rate, the timing cost split flow by flow (14,469,294.80 for the late transfer less 8,111,549.62 for the early payment, exactly 6,357,745.18), and the size of each flow: the payment out was 28.5 per cent of the value it was paid from, not the 26.8 the book prints.</t>
  </si>
  <si>
    <t xml:space="preserve">Marchwood — inputs</t>
  </si>
  <si>
    <t xml:space="preserve">Blue cells on a yellow fill are inputs. Everything else in this workbook is a formula.</t>
  </si>
  <si>
    <t xml:space="preserve">The mandate</t>
  </si>
  <si>
    <t xml:space="preserve">Initial funding, start of Year 1</t>
  </si>
  <si>
    <t xml:space="preserve">Fee rate on the first tranche</t>
  </si>
  <si>
    <t xml:space="preserve">Fee rate above the breakpoint</t>
  </si>
  <si>
    <t xml:space="preserve">Breakpoint (average assets)</t>
  </si>
  <si>
    <t xml:space="preserve">External cash flows, first day of the year</t>
  </si>
  <si>
    <t xml:space="preserve">Year 1</t>
  </si>
  <si>
    <t xml:space="preserve">Year 2</t>
  </si>
  <si>
    <t xml:space="preserve">Year 3</t>
  </si>
  <si>
    <t xml:space="preserve">Year 4</t>
  </si>
  <si>
    <t xml:space="preserve">Year 5</t>
  </si>
  <si>
    <t xml:space="preserve">Flow</t>
  </si>
  <si>
    <t xml:space="preserve">Benchmark weights and segment returns (per cent)</t>
  </si>
  <si>
    <t xml:space="preserve">Segment</t>
  </si>
  <si>
    <t xml:space="preserve">Weight</t>
  </si>
  <si>
    <t xml:space="preserve">Global equities</t>
  </si>
  <si>
    <t xml:space="preserve">Government bonds</t>
  </si>
  <si>
    <t xml:space="preserve">Credit</t>
  </si>
  <si>
    <t xml:space="preserve">Property</t>
  </si>
  <si>
    <t xml:space="preserve">Cash</t>
  </si>
  <si>
    <t xml:space="preserve">Total weight</t>
  </si>
  <si>
    <t xml:space="preserve">Portfolio weights (per cent of the mandate)</t>
  </si>
  <si>
    <t xml:space="preserve">Portfolio segment returns achieved (per cent)</t>
  </si>
  <si>
    <t xml:space="preserve">Cash is held at the benchmark rate in both rows: the mandate does not take a view on it.</t>
  </si>
  <si>
    <t xml:space="preserve">Annual returns, built from the segments</t>
  </si>
  <si>
    <t xml:space="preserve">Each year is the weight vector times the return vector. Nothing here is typed.</t>
  </si>
  <si>
    <t xml:space="preserve">Benchmark return</t>
  </si>
  <si>
    <t xml:space="preserve">Portfolio return, gross</t>
  </si>
  <si>
    <t xml:space="preserve">Active return, gross</t>
  </si>
  <si>
    <t xml:space="preserve">The account, year by year</t>
  </si>
  <si>
    <t xml:space="preserve">External flow</t>
  </si>
  <si>
    <t xml:space="preserve">Opening value, after the flow</t>
  </si>
  <si>
    <t xml:space="preserve">Value before fees</t>
  </si>
  <si>
    <t xml:space="preserve">Average assets for the fee</t>
  </si>
  <si>
    <t xml:space="preserve">Fee</t>
  </si>
  <si>
    <t xml:space="preserve">Closing value</t>
  </si>
  <si>
    <t xml:space="preserve">Net return for the year</t>
  </si>
  <si>
    <t xml:space="preserve">Fees over the five years</t>
  </si>
  <si>
    <t xml:space="preserve">Net contributions</t>
  </si>
  <si>
    <t xml:space="preserve">Gain</t>
  </si>
  <si>
    <t xml:space="preserve">Time-weighted return, one year at a time</t>
  </si>
  <si>
    <t xml:space="preserve">Chain the annual factors, then take the fifth root. Nothing is typed.</t>
  </si>
  <si>
    <t xml:space="preserve">Annualised</t>
  </si>
  <si>
    <t xml:space="preserve">Gross growth factor</t>
  </si>
  <si>
    <t xml:space="preserve">Cumulative, gross</t>
  </si>
  <si>
    <t xml:space="preserve">Net growth factor</t>
  </si>
  <si>
    <t xml:space="preserve">Cumulative, net</t>
  </si>
  <si>
    <t xml:space="preserve">Benchmark growth factor</t>
  </si>
  <si>
    <t xml:space="preserve">Cumulative, benchmark</t>
  </si>
  <si>
    <t xml:space="preserve">The arithmetic mean is not the annualised return</t>
  </si>
  <si>
    <t xml:space="preserve">Arithmetic mean of the five gross years</t>
  </si>
  <si>
    <t xml:space="preserve">Annualised (geometric) gross return</t>
  </si>
  <si>
    <t xml:space="preserve">Difference, which is volatility drag</t>
  </si>
  <si>
    <t xml:space="preserve">The gap widens with the dispersion of the annual returns and vanishes when they are all equal.</t>
  </si>
  <si>
    <t xml:space="preserve">The same gap on the net series and the benchmark</t>
  </si>
  <si>
    <t xml:space="preserve">Arithmetic mean of the five net years</t>
  </si>
  <si>
    <t xml:space="preserve">  less the annualised net return</t>
  </si>
  <si>
    <t xml:space="preserve">Arithmetic mean of the five benchmark years</t>
  </si>
  <si>
    <t xml:space="preserve">  less the annualised benchmark</t>
  </si>
  <si>
    <t xml:space="preserve">Portfolio gap less benchmark gap: the 0.0280 of Chapter 9</t>
  </si>
  <si>
    <t xml:space="preserve">The opening funding at the true gross factor</t>
  </si>
  <si>
    <t xml:space="preserve">The same funding at the arithmetic mean, compounded five years</t>
  </si>
  <si>
    <t xml:space="preserve">What averaging the wrong way adds</t>
  </si>
  <si>
    <t xml:space="preserve">A flow in the middle of the year (Modified Dietz)</t>
  </si>
  <si>
    <t xml:space="preserve">Fraction of the year the flow is invested (a step, not a datum)</t>
  </si>
  <si>
    <t xml:space="preserve">Year 2 at full weight: the account's own return</t>
  </si>
  <si>
    <t xml:space="preserve">Year 2 with the flow weighted by row 31</t>
  </si>
  <si>
    <t xml:space="preserve">Year 3 at full weight</t>
  </si>
  <si>
    <t xml:space="preserve">Year 3 with the flow weighted by row 31</t>
  </si>
  <si>
    <t xml:space="preserve">Year 3: what the date assumption is worth</t>
  </si>
  <si>
    <t xml:space="preserve">What the scheme's money earned</t>
  </si>
  <si>
    <t xml:space="preserve">The same account, read as a cash-flow series. Move a flow on the Inputs sheet and watch this move.</t>
  </si>
  <si>
    <t xml:space="preserve">Time</t>
  </si>
  <si>
    <t xml:space="preserve">Cash flow</t>
  </si>
  <si>
    <t xml:space="preserve">Discounted at the solution</t>
  </si>
  <si>
    <t xml:space="preserve">Note</t>
  </si>
  <si>
    <t xml:space="preserve">t = 0</t>
  </si>
  <si>
    <t xml:space="preserve">funding: money out of the scheme is negative</t>
  </si>
  <si>
    <t xml:space="preserve">t = 1</t>
  </si>
  <si>
    <t xml:space="preserve">external flow at the start of Year 2</t>
  </si>
  <si>
    <t xml:space="preserve">t = 2</t>
  </si>
  <si>
    <t xml:space="preserve">external flow at the start of Year 3</t>
  </si>
  <si>
    <t xml:space="preserve">t = 3</t>
  </si>
  <si>
    <t xml:space="preserve">external flow at the start of Year 4</t>
  </si>
  <si>
    <t xml:space="preserve">t = 4</t>
  </si>
  <si>
    <t xml:space="preserve">external flow at the start of Year 5</t>
  </si>
  <si>
    <t xml:space="preserve">t = 5</t>
  </si>
  <si>
    <t xml:space="preserve">terminal value, treated as a receipt</t>
  </si>
  <si>
    <t xml:space="preserve">Sum of the discounted flows</t>
  </si>
  <si>
    <t xml:space="preserve">Money-weighted return</t>
  </si>
  <si>
    <t xml:space="preserve">Against what the manager delivered</t>
  </si>
  <si>
    <t xml:space="preserve">Time-weighted, net</t>
  </si>
  <si>
    <t xml:space="preserve">Money-weighted, net</t>
  </si>
  <si>
    <t xml:space="preserve">The gap, in return</t>
  </si>
  <si>
    <t xml:space="preserve">The same gap, in money</t>
  </si>
  <si>
    <t xml:space="preserve">Net capital contributed</t>
  </si>
  <si>
    <t xml:space="preserve">Placed at inception, on identical returns</t>
  </si>
  <si>
    <t xml:space="preserve">Actual terminal value</t>
  </si>
  <si>
    <t xml:space="preserve">Cost of the timing</t>
  </si>
  <si>
    <t xml:space="preserve">Move the 120,000,000 and the -180,000,000 to other years on the Inputs sheet: the gross time-weighted return does not move, the net one</t>
  </si>
  <si>
    <t xml:space="preserve">moves by a fraction of a basis point through the fee breakpoint, and every figure in this block moves.</t>
  </si>
  <si>
    <t xml:space="preserve">The present value at a trial rate</t>
  </si>
  <si>
    <t xml:space="preserve">Trial rate (a step)</t>
  </si>
  <si>
    <t xml:space="preserve">Net present value of the flows at the trial rate</t>
  </si>
  <si>
    <t xml:space="preserve">The timing cost, flow by flow</t>
  </si>
  <si>
    <t xml:space="preserve">Each flow set against having been in the account from the first day: flow x (five-year net factor less the factor from its own year).</t>
  </si>
  <si>
    <t xml:space="preserve">Flow at the start of Year 2</t>
  </si>
  <si>
    <t xml:space="preserve">Flow at the start of Year 3</t>
  </si>
  <si>
    <t xml:space="preserve">Flow at the start of Year 4</t>
  </si>
  <si>
    <t xml:space="preserve">Flow at the start of Year 5</t>
  </si>
  <si>
    <t xml:space="preserve">Sum of the four</t>
  </si>
  <si>
    <t xml:space="preserve">Less the cost of the timing above (must be zero)</t>
  </si>
  <si>
    <t xml:space="preserve">How large the flows were</t>
  </si>
  <si>
    <t xml:space="preserve">Transfer in, against the funding</t>
  </si>
  <si>
    <t xml:space="preserve">Payment out, against the value it was paid from (the Year 2 closing value)</t>
  </si>
  <si>
    <t xml:space="preserve">Revised 24 September 2026. The first edition set the 180,000,000 against 672,715,380.00, the Year 2 opening value; it was paid from 631,048,825.85.</t>
  </si>
  <si>
    <t xml:space="preserve">Checks</t>
  </si>
  <si>
    <t xml:space="preserve">Each row sets a figure printed in the book beside the figure this workbook computes.</t>
  </si>
  <si>
    <t xml:space="preserve">The tolerance of each row is half a unit in the last decimal the book prints. Rows marked revised carry the corrected figure; the note says what the first edition printed.</t>
  </si>
  <si>
    <t xml:space="preserve">Ch.</t>
  </si>
  <si>
    <t xml:space="preserve">Figure</t>
  </si>
  <si>
    <t xml:space="preserve">Printed</t>
  </si>
  <si>
    <t xml:space="preserve">Workbook</t>
  </si>
  <si>
    <t xml:space="preserve">Difference</t>
  </si>
  <si>
    <t xml:space="preserve">Result</t>
  </si>
  <si>
    <t xml:space="preserve">4</t>
  </si>
  <si>
    <t xml:space="preserve">Gross cumulative factor, five years</t>
  </si>
  <si>
    <t xml:space="preserve">tolerance 5e-08</t>
  </si>
  <si>
    <t xml:space="preserve">Time-weighted return, gross</t>
  </si>
  <si>
    <t xml:space="preserve">tolerance 5e-07</t>
  </si>
  <si>
    <t xml:space="preserve">Time-weighted return, net</t>
  </si>
  <si>
    <t xml:space="preserve">3</t>
  </si>
  <si>
    <t xml:space="preserve">Benchmark, annualised</t>
  </si>
  <si>
    <t xml:space="preserve">5</t>
  </si>
  <si>
    <t xml:space="preserve">Money-weighted return, net</t>
  </si>
  <si>
    <t xml:space="preserve">14</t>
  </si>
  <si>
    <t xml:space="preserve">Gap between time- and money-weighted</t>
  </si>
  <si>
    <t xml:space="preserve">tolerance 0.005</t>
  </si>
  <si>
    <t xml:space="preserve">Same capital placed at inception</t>
  </si>
  <si>
    <t xml:space="preserve">Cost of the cash-flow timing, in money</t>
  </si>
  <si>
    <t xml:space="preserve">1</t>
  </si>
  <si>
    <t xml:space="preserve">Opening value, Year 2</t>
  </si>
  <si>
    <t xml:space="preserve">Opening value, Year 3</t>
  </si>
  <si>
    <t xml:space="preserve">Net return, Year 1</t>
  </si>
  <si>
    <t xml:space="preserve">Net return, Year 2</t>
  </si>
  <si>
    <t xml:space="preserve">Net return, Year 3</t>
  </si>
  <si>
    <t xml:space="preserve">Net return, Year 4</t>
  </si>
  <si>
    <t xml:space="preserve">Net return, Year 5</t>
  </si>
  <si>
    <t xml:space="preserve">Arithmetic mean, gross</t>
  </si>
  <si>
    <t xml:space="preserve">Arithmetic mean less annualised, gross</t>
  </si>
  <si>
    <t xml:space="preserve">Arithmetic mean, net</t>
  </si>
  <si>
    <t xml:space="preserve">Arithmetic mean, benchmark</t>
  </si>
  <si>
    <t xml:space="preserve">Benchmark gap</t>
  </si>
  <si>
    <t xml:space="preserve">Portfolio gap less benchmark gap</t>
  </si>
  <si>
    <t xml:space="preserve">Funding at the arithmetic mean less the true factor</t>
  </si>
  <si>
    <t xml:space="preserve">Year 2 return, flow at half weight</t>
  </si>
  <si>
    <t xml:space="preserve">Year 3 return, flow at half weight</t>
  </si>
  <si>
    <t xml:space="preserve">Net present value at 4.00 per cent</t>
  </si>
  <si>
    <t xml:space="preserve">Late arrival of the Year-2 transfer, carried to the end</t>
  </si>
  <si>
    <t xml:space="preserve">revised: the first edition printed 14,469,310.14, from rounded returns; tolerance 0.005</t>
  </si>
  <si>
    <t xml:space="preserve">Early exit of the Year-3 payment, carried to the end</t>
  </si>
  <si>
    <t xml:space="preserve">revised: the first edition printed 8,111,557.49; tolerance 0.005</t>
  </si>
  <si>
    <t xml:space="preserve">The flow-by-flow terms less the timing cost (must be zero)</t>
  </si>
  <si>
    <t xml:space="preserve">the first edition left 7.47 unexplained; tolerance 0.001</t>
  </si>
  <si>
    <t xml:space="preserve">Payment out, against the value it was paid from</t>
  </si>
  <si>
    <t xml:space="preserve">revised: the first edition printed 26.8 per cent, against the wrong balance; tolerance 0.0005</t>
  </si>
  <si>
    <t xml:space="preserve">Checks that pass</t>
  </si>
  <si>
    <t xml:space="preserve">Checks that fail</t>
  </si>
  <si>
    <t xml:space="preserve">All checks</t>
  </si>
</sst>
</file>

<file path=xl/styles.xml><?xml version="1.0" encoding="utf-8"?>
<styleSheet xmlns="http://schemas.openxmlformats.org/spreadsheetml/2006/main">
  <numFmts count="14">
    <numFmt numFmtId="164" formatCode="General"/>
    <numFmt numFmtId="165" formatCode="#,##0;\-#,##0"/>
    <numFmt numFmtId="166" formatCode="0.0000%"/>
    <numFmt numFmtId="167" formatCode="0.0%;\-0.0%"/>
    <numFmt numFmtId="168" formatCode="0.00"/>
    <numFmt numFmtId="169" formatCode="0.00%;\-0.00%"/>
    <numFmt numFmtId="170" formatCode="#,##0.00;\-#,##0.00"/>
    <numFmt numFmtId="171" formatCode="0.0000000"/>
    <numFmt numFmtId="172" formatCode="0.0000%;\-0.0000%"/>
    <numFmt numFmtId="173" formatCode="0.00%"/>
    <numFmt numFmtId="174" formatCode="0.0%"/>
    <numFmt numFmtId="175" formatCode="0.000000"/>
    <numFmt numFmtId="176" formatCode="@"/>
    <numFmt numFmtId="177" formatCode="0"/>
  </numFmts>
  <fonts count="13">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b val="true"/>
      <sz val="10"/>
      <color rgb="FFFFFFFF"/>
      <name val="Calibri"/>
      <family val="0"/>
      <charset val="1"/>
    </font>
    <font>
      <b val="true"/>
      <sz val="11"/>
      <color rgb="FF1A1A1A"/>
      <name val="Calibri"/>
      <family val="0"/>
      <charset val="1"/>
    </font>
    <font>
      <i val="true"/>
      <sz val="9"/>
      <color rgb="FF5A6A70"/>
      <name val="Calibri"/>
      <family val="0"/>
      <charset val="1"/>
    </font>
    <font>
      <sz val="11"/>
      <color rgb="FF0B4FA0"/>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3" xfId="0" applyFont="true" applyBorder="true" applyAlignment="false" applyProtection="false">
      <alignment horizontal="general" vertical="bottom" textRotation="0" wrapText="false" indent="0" shrinkToFit="false"/>
      <protection locked="true" hidden="false"/>
    </xf>
    <xf numFmtId="166" fontId="8" fillId="2" borderId="3" xfId="0" applyFont="true" applyBorder="true" applyAlignment="false" applyProtection="false">
      <alignment horizontal="general" vertical="bottom" textRotation="0" wrapText="false" indent="0" shrinkToFit="false"/>
      <protection locked="true" hidden="false"/>
    </xf>
    <xf numFmtId="164" fontId="9" fillId="3" borderId="3" xfId="0" applyFont="true" applyBorder="true" applyAlignment="true" applyProtection="false">
      <alignment horizontal="left" vertical="center" textRotation="0" wrapText="true" indent="0" shrinkToFit="false"/>
      <protection locked="true" hidden="false"/>
    </xf>
    <xf numFmtId="164" fontId="9" fillId="3" borderId="3" xfId="0" applyFont="true" applyBorder="true" applyAlignment="true" applyProtection="false">
      <alignment horizontal="right" vertical="center" textRotation="0" wrapText="true" indent="0" shrinkToFit="false"/>
      <protection locked="true" hidden="false"/>
    </xf>
    <xf numFmtId="167" fontId="8" fillId="2" borderId="3" xfId="0" applyFont="true" applyBorder="true" applyAlignment="false" applyProtection="false">
      <alignment horizontal="general" vertical="bottom" textRotation="0" wrapText="false" indent="0" shrinkToFit="false"/>
      <protection locked="true" hidden="false"/>
    </xf>
    <xf numFmtId="168" fontId="8" fillId="2" borderId="3"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9" fontId="10" fillId="0"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70" fontId="10" fillId="0"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71" fontId="10" fillId="0" borderId="0" xfId="0" applyFont="tru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72" fontId="10" fillId="0" borderId="0" xfId="0" applyFont="true" applyBorder="false" applyAlignment="false" applyProtection="false">
      <alignment horizontal="general" vertical="bottom" textRotation="0" wrapText="false" indent="0" shrinkToFit="false"/>
      <protection locked="true" hidden="false"/>
    </xf>
    <xf numFmtId="168" fontId="12" fillId="2" borderId="0" xfId="0" applyFont="true" applyBorder="false" applyAlignment="false" applyProtection="false">
      <alignment horizontal="general" vertical="bottom" textRotation="0" wrapText="false" indent="0" shrinkToFit="false"/>
      <protection locked="true" hidden="false"/>
    </xf>
    <xf numFmtId="173" fontId="12" fillId="2" borderId="0" xfId="0" applyFont="true" applyBorder="false" applyAlignment="false" applyProtection="false">
      <alignment horizontal="general"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7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1" xfId="0" applyFont="true" applyBorder="tru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75" fontId="7" fillId="0" borderId="0" xfId="0" applyFont="true" applyBorder="false" applyAlignment="false" applyProtection="false">
      <alignment horizontal="general" vertical="bottom" textRotation="0" wrapText="false" indent="0" shrinkToFit="false"/>
      <protection locked="true" hidden="false"/>
    </xf>
    <xf numFmtId="176" fontId="10"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6" fontId="7" fillId="4" borderId="0" xfId="0" applyFont="true" applyBorder="false" applyAlignment="false" applyProtection="false">
      <alignment horizontal="general" vertical="bottom" textRotation="0" wrapText="false" indent="0" shrinkToFit="false"/>
      <protection locked="true" hidden="false"/>
    </xf>
    <xf numFmtId="175" fontId="7" fillId="4" borderId="0" xfId="0" applyFont="true" applyBorder="false" applyAlignment="false" applyProtection="false">
      <alignment horizontal="general" vertical="bottom" textRotation="0" wrapText="false" indent="0" shrinkToFit="false"/>
      <protection locked="true" hidden="false"/>
    </xf>
    <xf numFmtId="176" fontId="10" fillId="4" borderId="0" xfId="0" applyFont="true" applyBorder="false" applyAlignment="false" applyProtection="false">
      <alignment horizontal="general" vertical="bottom" textRotation="0" wrapText="false" indent="0" shrinkToFit="false"/>
      <protection locked="true" hidden="false"/>
    </xf>
    <xf numFmtId="170" fontId="7" fillId="4" borderId="0" xfId="0" applyFont="true" applyBorder="false" applyAlignment="false" applyProtection="false">
      <alignment horizontal="general" vertical="bottom" textRotation="0" wrapText="false" indent="0" shrinkToFit="false"/>
      <protection locked="true" hidden="false"/>
    </xf>
    <xf numFmtId="177" fontId="1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0"/>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45" hidden="false" customHeight="true" outlineLevel="0" collapsed="false">
      <c r="A7" s="5" t="s">
        <v>3</v>
      </c>
    </row>
    <row r="9" customFormat="false" ht="15" hidden="false" customHeight="false" outlineLevel="0" collapsed="false">
      <c r="A9" s="4" t="s">
        <v>4</v>
      </c>
    </row>
    <row r="11" customFormat="false" ht="60" hidden="false" customHeight="true" outlineLevel="0" collapsed="false">
      <c r="A11" s="5" t="s">
        <v>5</v>
      </c>
    </row>
    <row r="13" customFormat="false" ht="15" hidden="false" customHeight="false" outlineLevel="0" collapsed="false">
      <c r="A13" s="4" t="s">
        <v>6</v>
      </c>
    </row>
    <row r="15" customFormat="false" ht="60" hidden="false" customHeight="true" outlineLevel="0" collapsed="false">
      <c r="A15" s="5" t="s">
        <v>7</v>
      </c>
    </row>
    <row r="17" customFormat="false" ht="15" hidden="false" customHeight="false" outlineLevel="0" collapsed="false">
      <c r="A17" s="4" t="s">
        <v>8</v>
      </c>
    </row>
    <row r="19" customFormat="false" ht="30" hidden="false" customHeight="true" outlineLevel="0" collapsed="false">
      <c r="A19" s="5" t="s">
        <v>9</v>
      </c>
    </row>
    <row r="20" customFormat="false" ht="30" hidden="false" customHeight="true" outlineLevel="0" collapsed="false">
      <c r="A20" s="5" t="s">
        <v>10</v>
      </c>
    </row>
    <row r="22" customFormat="false" ht="105" hidden="false" customHeight="true" outlineLevel="0" collapsed="false">
      <c r="A22" s="5" t="s">
        <v>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4"/>
    <col collapsed="false" customWidth="true" hidden="false" outlineLevel="0" max="6" min="2" style="0" width="16"/>
    <col collapsed="false" customWidth="true" hidden="false" outlineLevel="0" max="7" min="7" style="0" width="14"/>
  </cols>
  <sheetData>
    <row r="1" customFormat="false" ht="24" hidden="false" customHeight="true" outlineLevel="0" collapsed="false">
      <c r="A1" s="1" t="s">
        <v>12</v>
      </c>
    </row>
    <row r="2" customFormat="false" ht="15" hidden="false" customHeight="false" outlineLevel="0" collapsed="false">
      <c r="A2" s="2" t="s">
        <v>13</v>
      </c>
    </row>
    <row r="3" customFormat="false" ht="15" hidden="false" customHeight="false" outlineLevel="0" collapsed="false">
      <c r="A3" s="3"/>
      <c r="B3" s="3"/>
      <c r="C3" s="3"/>
      <c r="D3" s="3"/>
      <c r="E3" s="3"/>
      <c r="F3" s="3"/>
      <c r="G3" s="3"/>
    </row>
    <row r="5" customFormat="false" ht="15" hidden="false" customHeight="false" outlineLevel="0" collapsed="false">
      <c r="A5" s="4" t="s">
        <v>14</v>
      </c>
      <c r="B5" s="6"/>
      <c r="C5" s="6"/>
      <c r="D5" s="6"/>
      <c r="E5" s="6"/>
      <c r="F5" s="6"/>
      <c r="G5" s="6"/>
    </row>
    <row r="7" customFormat="false" ht="15" hidden="false" customHeight="false" outlineLevel="0" collapsed="false">
      <c r="A7" s="7" t="s">
        <v>15</v>
      </c>
      <c r="B7" s="8" t="n">
        <v>500000000</v>
      </c>
    </row>
    <row r="8" customFormat="false" ht="15" hidden="false" customHeight="false" outlineLevel="0" collapsed="false">
      <c r="A8" s="7" t="s">
        <v>16</v>
      </c>
      <c r="B8" s="9" t="n">
        <v>0.0035</v>
      </c>
    </row>
    <row r="9" customFormat="false" ht="15" hidden="false" customHeight="false" outlineLevel="0" collapsed="false">
      <c r="A9" s="7" t="s">
        <v>17</v>
      </c>
      <c r="B9" s="9" t="n">
        <v>0.0022</v>
      </c>
    </row>
    <row r="10" customFormat="false" ht="15" hidden="false" customHeight="false" outlineLevel="0" collapsed="false">
      <c r="A10" s="7" t="s">
        <v>18</v>
      </c>
      <c r="B10" s="8" t="n">
        <v>250000000</v>
      </c>
    </row>
    <row r="12" customFormat="false" ht="15" hidden="false" customHeight="false" outlineLevel="0" collapsed="false">
      <c r="A12" s="4" t="s">
        <v>19</v>
      </c>
      <c r="B12" s="6"/>
      <c r="C12" s="6"/>
      <c r="D12" s="6"/>
      <c r="E12" s="6"/>
      <c r="F12" s="6"/>
      <c r="G12" s="6"/>
    </row>
    <row r="14" customFormat="false" ht="30" hidden="false" customHeight="true" outlineLevel="0" collapsed="false">
      <c r="A14" s="10"/>
      <c r="B14" s="11" t="s">
        <v>20</v>
      </c>
      <c r="C14" s="11" t="s">
        <v>21</v>
      </c>
      <c r="D14" s="11" t="s">
        <v>22</v>
      </c>
      <c r="E14" s="11" t="s">
        <v>23</v>
      </c>
      <c r="F14" s="11" t="s">
        <v>24</v>
      </c>
    </row>
    <row r="15" customFormat="false" ht="15" hidden="false" customHeight="false" outlineLevel="0" collapsed="false">
      <c r="A15" s="7" t="s">
        <v>25</v>
      </c>
      <c r="B15" s="8" t="n">
        <v>0</v>
      </c>
      <c r="C15" s="8" t="n">
        <v>120000000</v>
      </c>
      <c r="D15" s="8" t="n">
        <v>-180000000</v>
      </c>
      <c r="E15" s="8" t="n">
        <v>0</v>
      </c>
      <c r="F15" s="8" t="n">
        <v>0</v>
      </c>
    </row>
    <row r="17" customFormat="false" ht="15" hidden="false" customHeight="false" outlineLevel="0" collapsed="false">
      <c r="A17" s="4" t="s">
        <v>26</v>
      </c>
      <c r="B17" s="6"/>
      <c r="C17" s="6"/>
      <c r="D17" s="6"/>
      <c r="E17" s="6"/>
      <c r="F17" s="6"/>
      <c r="G17" s="6"/>
    </row>
    <row r="19" customFormat="false" ht="30" hidden="false" customHeight="true" outlineLevel="0" collapsed="false">
      <c r="A19" s="10" t="s">
        <v>27</v>
      </c>
      <c r="B19" s="11" t="s">
        <v>28</v>
      </c>
      <c r="C19" s="11" t="s">
        <v>20</v>
      </c>
      <c r="D19" s="11" t="s">
        <v>21</v>
      </c>
      <c r="E19" s="11" t="s">
        <v>22</v>
      </c>
      <c r="F19" s="11" t="s">
        <v>23</v>
      </c>
      <c r="G19" s="11" t="s">
        <v>24</v>
      </c>
    </row>
    <row r="20" customFormat="false" ht="15" hidden="false" customHeight="false" outlineLevel="0" collapsed="false">
      <c r="A20" s="7" t="s">
        <v>29</v>
      </c>
      <c r="B20" s="12" t="n">
        <v>0.45</v>
      </c>
      <c r="C20" s="13" t="n">
        <v>18.4</v>
      </c>
      <c r="D20" s="13" t="n">
        <v>-12.6</v>
      </c>
      <c r="E20" s="13" t="n">
        <v>19.2</v>
      </c>
      <c r="F20" s="13" t="n">
        <v>9.8</v>
      </c>
      <c r="G20" s="13" t="n">
        <v>2.6</v>
      </c>
    </row>
    <row r="21" customFormat="false" ht="15" hidden="false" customHeight="false" outlineLevel="0" collapsed="false">
      <c r="A21" s="7" t="s">
        <v>30</v>
      </c>
      <c r="B21" s="12" t="n">
        <v>0.25</v>
      </c>
      <c r="C21" s="13" t="n">
        <v>-1.2</v>
      </c>
      <c r="D21" s="13" t="n">
        <v>2.8</v>
      </c>
      <c r="E21" s="13" t="n">
        <v>4.1</v>
      </c>
      <c r="F21" s="13" t="n">
        <v>3.2</v>
      </c>
      <c r="G21" s="13" t="n">
        <v>4.4</v>
      </c>
    </row>
    <row r="22" customFormat="false" ht="15" hidden="false" customHeight="false" outlineLevel="0" collapsed="false">
      <c r="A22" s="7" t="s">
        <v>31</v>
      </c>
      <c r="B22" s="12" t="n">
        <v>0.15</v>
      </c>
      <c r="C22" s="13" t="n">
        <v>6.3</v>
      </c>
      <c r="D22" s="13" t="n">
        <v>-3.1</v>
      </c>
      <c r="E22" s="13" t="n">
        <v>8.6</v>
      </c>
      <c r="F22" s="13" t="n">
        <v>5.6</v>
      </c>
      <c r="G22" s="13" t="n">
        <v>3.9</v>
      </c>
    </row>
    <row r="23" customFormat="false" ht="15" hidden="false" customHeight="false" outlineLevel="0" collapsed="false">
      <c r="A23" s="7" t="s">
        <v>32</v>
      </c>
      <c r="B23" s="12" t="n">
        <v>0.1</v>
      </c>
      <c r="C23" s="13" t="n">
        <v>9.1</v>
      </c>
      <c r="D23" s="13" t="n">
        <v>-4.4</v>
      </c>
      <c r="E23" s="13" t="n">
        <v>2.2</v>
      </c>
      <c r="F23" s="13" t="n">
        <v>-1.8</v>
      </c>
      <c r="G23" s="13" t="n">
        <v>0.6</v>
      </c>
    </row>
    <row r="24" customFormat="false" ht="15" hidden="false" customHeight="false" outlineLevel="0" collapsed="false">
      <c r="A24" s="7" t="s">
        <v>33</v>
      </c>
      <c r="B24" s="12" t="n">
        <v>0.05</v>
      </c>
      <c r="C24" s="13" t="n">
        <v>1.1</v>
      </c>
      <c r="D24" s="13" t="n">
        <v>2.4</v>
      </c>
      <c r="E24" s="13" t="n">
        <v>3.3</v>
      </c>
      <c r="F24" s="13" t="n">
        <v>3.9</v>
      </c>
      <c r="G24" s="13" t="n">
        <v>3.6</v>
      </c>
    </row>
    <row r="25" customFormat="false" ht="15" hidden="false" customHeight="false" outlineLevel="0" collapsed="false">
      <c r="A25" s="14" t="s">
        <v>34</v>
      </c>
      <c r="B25" s="15" t="n">
        <f aca="false">SUM(B20:B24)</f>
        <v>1</v>
      </c>
    </row>
    <row r="27" customFormat="false" ht="15" hidden="false" customHeight="false" outlineLevel="0" collapsed="false">
      <c r="A27" s="4" t="s">
        <v>35</v>
      </c>
      <c r="B27" s="6"/>
      <c r="C27" s="6"/>
      <c r="D27" s="6"/>
      <c r="E27" s="6"/>
      <c r="F27" s="6"/>
      <c r="G27" s="6"/>
    </row>
    <row r="29" customFormat="false" ht="30" hidden="false" customHeight="true" outlineLevel="0" collapsed="false">
      <c r="A29" s="10" t="s">
        <v>27</v>
      </c>
      <c r="B29" s="11" t="s">
        <v>20</v>
      </c>
      <c r="C29" s="11" t="s">
        <v>21</v>
      </c>
      <c r="D29" s="11" t="s">
        <v>22</v>
      </c>
      <c r="E29" s="11" t="s">
        <v>23</v>
      </c>
      <c r="F29" s="11" t="s">
        <v>24</v>
      </c>
    </row>
    <row r="30" customFormat="false" ht="15" hidden="false" customHeight="false" outlineLevel="0" collapsed="false">
      <c r="A30" s="7" t="s">
        <v>29</v>
      </c>
      <c r="B30" s="12" t="n">
        <v>0.48</v>
      </c>
      <c r="C30" s="12" t="n">
        <v>0.46</v>
      </c>
      <c r="D30" s="12" t="n">
        <v>0.5</v>
      </c>
      <c r="E30" s="12" t="n">
        <v>0.47</v>
      </c>
      <c r="F30" s="12" t="n">
        <v>0.44</v>
      </c>
    </row>
    <row r="31" customFormat="false" ht="15" hidden="false" customHeight="false" outlineLevel="0" collapsed="false">
      <c r="A31" s="7" t="s">
        <v>30</v>
      </c>
      <c r="B31" s="12" t="n">
        <v>0.22</v>
      </c>
      <c r="C31" s="12" t="n">
        <v>0.24</v>
      </c>
      <c r="D31" s="12" t="n">
        <v>0.2</v>
      </c>
      <c r="E31" s="12" t="n">
        <v>0.23</v>
      </c>
      <c r="F31" s="12" t="n">
        <v>0.26</v>
      </c>
    </row>
    <row r="32" customFormat="false" ht="15" hidden="false" customHeight="false" outlineLevel="0" collapsed="false">
      <c r="A32" s="7" t="s">
        <v>31</v>
      </c>
      <c r="B32" s="12" t="n">
        <v>0.16</v>
      </c>
      <c r="C32" s="12" t="n">
        <v>0.16</v>
      </c>
      <c r="D32" s="12" t="n">
        <v>0.16</v>
      </c>
      <c r="E32" s="12" t="n">
        <v>0.15</v>
      </c>
      <c r="F32" s="12" t="n">
        <v>0.15</v>
      </c>
    </row>
    <row r="33" customFormat="false" ht="15" hidden="false" customHeight="false" outlineLevel="0" collapsed="false">
      <c r="A33" s="7" t="s">
        <v>32</v>
      </c>
      <c r="B33" s="12" t="n">
        <v>0.1</v>
      </c>
      <c r="C33" s="12" t="n">
        <v>0.1</v>
      </c>
      <c r="D33" s="12" t="n">
        <v>0.11</v>
      </c>
      <c r="E33" s="12" t="n">
        <v>0.11</v>
      </c>
      <c r="F33" s="12" t="n">
        <v>0.11</v>
      </c>
    </row>
    <row r="34" customFormat="false" ht="15" hidden="false" customHeight="false" outlineLevel="0" collapsed="false">
      <c r="A34" s="7" t="s">
        <v>33</v>
      </c>
      <c r="B34" s="12" t="n">
        <v>0.04</v>
      </c>
      <c r="C34" s="12" t="n">
        <v>0.04</v>
      </c>
      <c r="D34" s="12" t="n">
        <v>0.03</v>
      </c>
      <c r="E34" s="12" t="n">
        <v>0.04</v>
      </c>
      <c r="F34" s="12" t="n">
        <v>0.04</v>
      </c>
    </row>
    <row r="35" customFormat="false" ht="15" hidden="false" customHeight="false" outlineLevel="0" collapsed="false">
      <c r="A35" s="14" t="s">
        <v>34</v>
      </c>
      <c r="B35" s="15" t="n">
        <f aca="false">SUM(B30:B34)</f>
        <v>1</v>
      </c>
      <c r="C35" s="15" t="n">
        <f aca="false">SUM(C30:C34)</f>
        <v>1</v>
      </c>
      <c r="D35" s="15" t="n">
        <f aca="false">SUM(D30:D34)</f>
        <v>1</v>
      </c>
      <c r="E35" s="15" t="n">
        <f aca="false">SUM(E30:E34)</f>
        <v>1</v>
      </c>
      <c r="F35" s="15" t="n">
        <f aca="false">SUM(F30:F34)</f>
        <v>1</v>
      </c>
    </row>
    <row r="37" customFormat="false" ht="15" hidden="false" customHeight="false" outlineLevel="0" collapsed="false">
      <c r="A37" s="4" t="s">
        <v>36</v>
      </c>
      <c r="B37" s="6"/>
      <c r="C37" s="6"/>
      <c r="D37" s="6"/>
      <c r="E37" s="6"/>
      <c r="F37" s="6"/>
      <c r="G37" s="6"/>
    </row>
    <row r="39" customFormat="false" ht="30" hidden="false" customHeight="true" outlineLevel="0" collapsed="false">
      <c r="A39" s="10" t="s">
        <v>27</v>
      </c>
      <c r="B39" s="11" t="s">
        <v>20</v>
      </c>
      <c r="C39" s="11" t="s">
        <v>21</v>
      </c>
      <c r="D39" s="11" t="s">
        <v>22</v>
      </c>
      <c r="E39" s="11" t="s">
        <v>23</v>
      </c>
      <c r="F39" s="11" t="s">
        <v>24</v>
      </c>
    </row>
    <row r="40" customFormat="false" ht="15" hidden="false" customHeight="false" outlineLevel="0" collapsed="false">
      <c r="A40" s="7" t="s">
        <v>29</v>
      </c>
      <c r="B40" s="13" t="n">
        <v>18.9</v>
      </c>
      <c r="C40" s="13" t="n">
        <v>-12.1</v>
      </c>
      <c r="D40" s="13" t="n">
        <v>19.8</v>
      </c>
      <c r="E40" s="13" t="n">
        <v>9.2</v>
      </c>
      <c r="F40" s="13" t="n">
        <v>2.9</v>
      </c>
    </row>
    <row r="41" customFormat="false" ht="15" hidden="false" customHeight="false" outlineLevel="0" collapsed="false">
      <c r="A41" s="7" t="s">
        <v>30</v>
      </c>
      <c r="B41" s="13" t="n">
        <v>-1</v>
      </c>
      <c r="C41" s="13" t="n">
        <v>2.6</v>
      </c>
      <c r="D41" s="13" t="n">
        <v>3.8</v>
      </c>
      <c r="E41" s="13" t="n">
        <v>3.4</v>
      </c>
      <c r="F41" s="13" t="n">
        <v>4.2</v>
      </c>
    </row>
    <row r="42" customFormat="false" ht="15" hidden="false" customHeight="false" outlineLevel="0" collapsed="false">
      <c r="A42" s="7" t="s">
        <v>31</v>
      </c>
      <c r="B42" s="13" t="n">
        <v>6.9</v>
      </c>
      <c r="C42" s="13" t="n">
        <v>-3.6</v>
      </c>
      <c r="D42" s="13" t="n">
        <v>9.4</v>
      </c>
      <c r="E42" s="13" t="n">
        <v>5.9</v>
      </c>
      <c r="F42" s="13" t="n">
        <v>3.6</v>
      </c>
    </row>
    <row r="43" customFormat="false" ht="15" hidden="false" customHeight="false" outlineLevel="0" collapsed="false">
      <c r="A43" s="7" t="s">
        <v>32</v>
      </c>
      <c r="B43" s="13" t="n">
        <v>8.4</v>
      </c>
      <c r="C43" s="13" t="n">
        <v>-5.1</v>
      </c>
      <c r="D43" s="13" t="n">
        <v>2.6</v>
      </c>
      <c r="E43" s="13" t="n">
        <v>-2.4</v>
      </c>
      <c r="F43" s="13" t="n">
        <v>0.9</v>
      </c>
    </row>
    <row r="44" customFormat="false" ht="15" hidden="false" customHeight="false" outlineLevel="0" collapsed="false">
      <c r="A44" s="7" t="s">
        <v>33</v>
      </c>
      <c r="B44" s="13" t="n">
        <v>1.1</v>
      </c>
      <c r="C44" s="13" t="n">
        <v>2.4</v>
      </c>
      <c r="D44" s="13" t="n">
        <v>3.3</v>
      </c>
      <c r="E44" s="13" t="n">
        <v>3.9</v>
      </c>
      <c r="F44" s="13" t="n">
        <v>3.6</v>
      </c>
    </row>
    <row r="46" customFormat="false" ht="15" hidden="false" customHeight="false" outlineLevel="0" collapsed="false">
      <c r="A46" s="16" t="s">
        <v>37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0"/>
    <col collapsed="false" customWidth="true" hidden="false" outlineLevel="0" max="6" min="2" style="0" width="17"/>
  </cols>
  <sheetData>
    <row r="1" customFormat="false" ht="24" hidden="false" customHeight="true" outlineLevel="0" collapsed="false">
      <c r="A1" s="1" t="s">
        <v>38</v>
      </c>
    </row>
    <row r="2" customFormat="false" ht="15" hidden="false" customHeight="false" outlineLevel="0" collapsed="false">
      <c r="A2" s="2" t="s">
        <v>39</v>
      </c>
    </row>
    <row r="3" customFormat="false" ht="15" hidden="false" customHeight="false" outlineLevel="0" collapsed="false">
      <c r="A3" s="3"/>
      <c r="B3" s="3"/>
      <c r="C3" s="3"/>
      <c r="D3" s="3"/>
      <c r="E3" s="3"/>
      <c r="F3" s="3"/>
    </row>
    <row r="5" customFormat="false" ht="30" hidden="false" customHeight="true" outlineLevel="0" collapsed="false">
      <c r="A5" s="10"/>
      <c r="B5" s="11" t="s">
        <v>20</v>
      </c>
      <c r="C5" s="11" t="s">
        <v>21</v>
      </c>
      <c r="D5" s="11" t="s">
        <v>22</v>
      </c>
      <c r="E5" s="11" t="s">
        <v>23</v>
      </c>
      <c r="F5" s="11" t="s">
        <v>24</v>
      </c>
    </row>
    <row r="6" customFormat="false" ht="15" hidden="false" customHeight="false" outlineLevel="0" collapsed="false">
      <c r="A6" s="14" t="s">
        <v>40</v>
      </c>
      <c r="B6" s="17" t="n">
        <f aca="false">SUMPRODUCT(Inputs!$B$20:$B$24,Inputs!C20:C24)/100</f>
        <v>0.0989</v>
      </c>
      <c r="C6" s="17" t="n">
        <f aca="false">SUMPRODUCT(Inputs!$B$20:$B$24,Inputs!D20:D24)/100</f>
        <v>-0.05755</v>
      </c>
      <c r="D6" s="17" t="n">
        <f aca="false">SUMPRODUCT(Inputs!$B$20:$B$24,Inputs!E20:E24)/100</f>
        <v>0.1134</v>
      </c>
      <c r="E6" s="17" t="n">
        <f aca="false">SUMPRODUCT(Inputs!$B$20:$B$24,Inputs!F20:F24)/100</f>
        <v>0.06065</v>
      </c>
      <c r="F6" s="17" t="n">
        <f aca="false">SUMPRODUCT(Inputs!$B$20:$B$24,Inputs!G20:G24)/100</f>
        <v>0.03095</v>
      </c>
    </row>
    <row r="7" customFormat="false" ht="15" hidden="false" customHeight="false" outlineLevel="0" collapsed="false">
      <c r="A7" s="14" t="s">
        <v>41</v>
      </c>
      <c r="B7" s="17" t="n">
        <f aca="false">SUMPRODUCT(Inputs!B30:B34,Inputs!B40:B44)/100</f>
        <v>0.1084</v>
      </c>
      <c r="C7" s="17" t="n">
        <f aca="false">SUMPRODUCT(Inputs!C30:C34,Inputs!C40:C44)/100</f>
        <v>-0.05932</v>
      </c>
      <c r="D7" s="17" t="n">
        <f aca="false">SUMPRODUCT(Inputs!D30:D34,Inputs!D40:D44)/100</f>
        <v>0.12549</v>
      </c>
      <c r="E7" s="17" t="n">
        <f aca="false">SUMPRODUCT(Inputs!E30:E34,Inputs!E40:E44)/100</f>
        <v>0.05883</v>
      </c>
      <c r="F7" s="17" t="n">
        <f aca="false">SUMPRODUCT(Inputs!F30:F34,Inputs!F40:F44)/100</f>
        <v>0.03151</v>
      </c>
    </row>
    <row r="8" customFormat="false" ht="15" hidden="false" customHeight="false" outlineLevel="0" collapsed="false">
      <c r="A8" s="7" t="s">
        <v>42</v>
      </c>
      <c r="B8" s="18" t="n">
        <f aca="false">B7-B6</f>
        <v>0.00950000000000001</v>
      </c>
      <c r="C8" s="18" t="n">
        <f aca="false">C7-C6</f>
        <v>-0.00177</v>
      </c>
      <c r="D8" s="18" t="n">
        <f aca="false">D7-D6</f>
        <v>0.01209</v>
      </c>
      <c r="E8" s="18" t="n">
        <f aca="false">E7-E6</f>
        <v>-0.00182</v>
      </c>
      <c r="F8" s="18" t="n">
        <f aca="false">F7-F6</f>
        <v>0.000560000000000002</v>
      </c>
    </row>
    <row r="10" customFormat="false" ht="15" hidden="false" customHeight="false" outlineLevel="0" collapsed="false">
      <c r="A10" s="4" t="s">
        <v>43</v>
      </c>
      <c r="B10" s="6"/>
      <c r="C10" s="6"/>
      <c r="D10" s="6"/>
      <c r="E10" s="6"/>
      <c r="F10" s="6"/>
    </row>
    <row r="12" customFormat="false" ht="30" hidden="false" customHeight="true" outlineLevel="0" collapsed="false">
      <c r="A12" s="10"/>
      <c r="B12" s="11" t="s">
        <v>20</v>
      </c>
      <c r="C12" s="11" t="s">
        <v>21</v>
      </c>
      <c r="D12" s="11" t="s">
        <v>22</v>
      </c>
      <c r="E12" s="11" t="s">
        <v>23</v>
      </c>
      <c r="F12" s="11" t="s">
        <v>24</v>
      </c>
    </row>
    <row r="13" customFormat="false" ht="15" hidden="false" customHeight="false" outlineLevel="0" collapsed="false">
      <c r="A13" s="7" t="s">
        <v>44</v>
      </c>
      <c r="B13" s="19" t="n">
        <f aca="false">Inputs!B15</f>
        <v>0</v>
      </c>
      <c r="C13" s="19" t="n">
        <f aca="false">Inputs!C15</f>
        <v>120000000</v>
      </c>
      <c r="D13" s="19" t="n">
        <f aca="false">Inputs!D15</f>
        <v>-180000000</v>
      </c>
      <c r="E13" s="19" t="n">
        <f aca="false">Inputs!E15</f>
        <v>0</v>
      </c>
      <c r="F13" s="19" t="n">
        <f aca="false">Inputs!F15</f>
        <v>0</v>
      </c>
    </row>
    <row r="14" customFormat="false" ht="15" hidden="false" customHeight="false" outlineLevel="0" collapsed="false">
      <c r="A14" s="14" t="s">
        <v>45</v>
      </c>
      <c r="B14" s="20" t="n">
        <f aca="false">Inputs!$B$7+B13</f>
        <v>500000000</v>
      </c>
      <c r="C14" s="20" t="n">
        <f aca="false">B18+C13</f>
        <v>672715380</v>
      </c>
      <c r="D14" s="20" t="n">
        <f aca="false">C18+D13</f>
        <v>451048825.846376</v>
      </c>
      <c r="E14" s="20" t="n">
        <f aca="false">D18+E13</f>
        <v>506271373.256104</v>
      </c>
      <c r="F14" s="20" t="n">
        <f aca="false">E18+F13</f>
        <v>534583758.78422</v>
      </c>
    </row>
    <row r="15" customFormat="false" ht="15" hidden="false" customHeight="false" outlineLevel="0" collapsed="false">
      <c r="A15" s="7" t="s">
        <v>46</v>
      </c>
      <c r="B15" s="21" t="n">
        <f aca="false">B14*(1+B7)</f>
        <v>554200000</v>
      </c>
      <c r="C15" s="21" t="n">
        <f aca="false">C14*(1+C7)</f>
        <v>632809903.6584</v>
      </c>
      <c r="D15" s="21" t="n">
        <f aca="false">D14*(1+D7)</f>
        <v>507650943.001837</v>
      </c>
      <c r="E15" s="21" t="n">
        <f aca="false">E14*(1+E7)</f>
        <v>536055318.144761</v>
      </c>
      <c r="F15" s="21" t="n">
        <f aca="false">F14*(1+F7)</f>
        <v>551428493.023511</v>
      </c>
    </row>
    <row r="16" customFormat="false" ht="15" hidden="false" customHeight="false" outlineLevel="0" collapsed="false">
      <c r="A16" s="7" t="s">
        <v>47</v>
      </c>
      <c r="B16" s="21" t="n">
        <f aca="false">(B14+B15)/2</f>
        <v>527100000</v>
      </c>
      <c r="C16" s="21" t="n">
        <f aca="false">(C14+C15)/2</f>
        <v>652762641.8292</v>
      </c>
      <c r="D16" s="21" t="n">
        <f aca="false">(D14+D15)/2</f>
        <v>479349884.424107</v>
      </c>
      <c r="E16" s="21" t="n">
        <f aca="false">(E14+E15)/2</f>
        <v>521163345.700433</v>
      </c>
      <c r="F16" s="21" t="n">
        <f aca="false">(F14+F15)/2</f>
        <v>543006125.903866</v>
      </c>
    </row>
    <row r="17" customFormat="false" ht="15" hidden="false" customHeight="false" outlineLevel="0" collapsed="false">
      <c r="A17" s="7" t="s">
        <v>48</v>
      </c>
      <c r="B17" s="21" t="n">
        <f aca="false">MIN(B16,Inputs!$B$10)*Inputs!$B$8+MAX(0,B16-Inputs!$B$10)*Inputs!$B$9</f>
        <v>1484620</v>
      </c>
      <c r="C17" s="21" t="n">
        <f aca="false">MIN(C16,Inputs!$B$10)*Inputs!$B$8+MAX(0,C16-Inputs!$B$10)*Inputs!$B$9</f>
        <v>1761077.81202424</v>
      </c>
      <c r="D17" s="21" t="n">
        <f aca="false">MIN(D16,Inputs!$B$10)*Inputs!$B$8+MAX(0,D16-Inputs!$B$10)*Inputs!$B$9</f>
        <v>1379569.74573303</v>
      </c>
      <c r="E17" s="21" t="n">
        <f aca="false">MIN(E16,Inputs!$B$10)*Inputs!$B$8+MAX(0,E16-Inputs!$B$10)*Inputs!$B$9</f>
        <v>1471559.36054095</v>
      </c>
      <c r="F17" s="21" t="n">
        <f aca="false">MIN(F16,Inputs!$B$10)*Inputs!$B$8+MAX(0,F16-Inputs!$B$10)*Inputs!$B$9</f>
        <v>1519613.4769885</v>
      </c>
    </row>
    <row r="18" customFormat="false" ht="15" hidden="false" customHeight="false" outlineLevel="0" collapsed="false">
      <c r="A18" s="14" t="s">
        <v>49</v>
      </c>
      <c r="B18" s="20" t="n">
        <f aca="false">B15-B17</f>
        <v>552715380</v>
      </c>
      <c r="C18" s="20" t="n">
        <f aca="false">C15-C17</f>
        <v>631048825.846376</v>
      </c>
      <c r="D18" s="20" t="n">
        <f aca="false">D15-D17</f>
        <v>506271373.256104</v>
      </c>
      <c r="E18" s="20" t="n">
        <f aca="false">E15-E17</f>
        <v>534583758.78422</v>
      </c>
      <c r="F18" s="20" t="n">
        <f aca="false">F15-F17</f>
        <v>549908879.546522</v>
      </c>
    </row>
    <row r="19" customFormat="false" ht="15" hidden="false" customHeight="false" outlineLevel="0" collapsed="false">
      <c r="A19" s="14" t="s">
        <v>50</v>
      </c>
      <c r="B19" s="17" t="n">
        <f aca="false">B18/B14-1</f>
        <v>0.10543076</v>
      </c>
      <c r="C19" s="17" t="n">
        <f aca="false">C18/C14-1</f>
        <v>-0.0619378646488271</v>
      </c>
      <c r="D19" s="17" t="n">
        <f aca="false">D18/D14-1</f>
        <v>0.122431418164332</v>
      </c>
      <c r="E19" s="17" t="n">
        <f aca="false">E18/E14-1</f>
        <v>0.0559233387936267</v>
      </c>
      <c r="F19" s="17" t="n">
        <f aca="false">F18/F14-1</f>
        <v>0.028667389366926</v>
      </c>
    </row>
    <row r="21" customFormat="false" ht="15" hidden="false" customHeight="false" outlineLevel="0" collapsed="false">
      <c r="A21" s="14" t="s">
        <v>51</v>
      </c>
      <c r="B21" s="20" t="n">
        <f aca="false">SUM(B17:F17)</f>
        <v>7616440.39528673</v>
      </c>
    </row>
    <row r="22" customFormat="false" ht="15" hidden="false" customHeight="false" outlineLevel="0" collapsed="false">
      <c r="A22" s="7" t="s">
        <v>52</v>
      </c>
      <c r="B22" s="21" t="n">
        <f aca="false">Inputs!B7+SUM(B13:F13)</f>
        <v>440000000</v>
      </c>
    </row>
    <row r="23" customFormat="false" ht="15" hidden="false" customHeight="false" outlineLevel="0" collapsed="false">
      <c r="A23" s="7" t="s">
        <v>53</v>
      </c>
      <c r="B23" s="21" t="n">
        <f aca="false">F18-B22</f>
        <v>109908879.546522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2"/>
    <col collapsed="false" customWidth="true" hidden="false" outlineLevel="0" max="6" min="2" style="0" width="17"/>
    <col collapsed="false" customWidth="true" hidden="false" outlineLevel="0" max="7" min="7" style="0" width="20"/>
  </cols>
  <sheetData>
    <row r="1" customFormat="false" ht="24" hidden="false" customHeight="true" outlineLevel="0" collapsed="false">
      <c r="A1" s="1" t="s">
        <v>54</v>
      </c>
    </row>
    <row r="2" customFormat="false" ht="15" hidden="false" customHeight="false" outlineLevel="0" collapsed="false">
      <c r="A2" s="2" t="s">
        <v>55</v>
      </c>
    </row>
    <row r="3" customFormat="false" ht="15" hidden="false" customHeight="false" outlineLevel="0" collapsed="false">
      <c r="A3" s="3"/>
      <c r="B3" s="3"/>
      <c r="C3" s="3"/>
      <c r="D3" s="3"/>
      <c r="E3" s="3"/>
      <c r="F3" s="3"/>
      <c r="G3" s="3"/>
    </row>
    <row r="5" customFormat="false" ht="30" hidden="false" customHeight="true" outlineLevel="0" collapsed="false">
      <c r="A5" s="10"/>
      <c r="B5" s="11" t="s">
        <v>20</v>
      </c>
      <c r="C5" s="11" t="s">
        <v>21</v>
      </c>
      <c r="D5" s="11" t="s">
        <v>22</v>
      </c>
      <c r="E5" s="11" t="s">
        <v>23</v>
      </c>
      <c r="F5" s="11" t="s">
        <v>24</v>
      </c>
      <c r="G5" s="11" t="s">
        <v>56</v>
      </c>
    </row>
    <row r="6" customFormat="false" ht="15" hidden="false" customHeight="false" outlineLevel="0" collapsed="false">
      <c r="A6" s="7" t="s">
        <v>57</v>
      </c>
      <c r="B6" s="22" t="n">
        <f aca="false">1+Returns!B7</f>
        <v>1.1084</v>
      </c>
      <c r="C6" s="22" t="n">
        <f aca="false">1+Returns!C7</f>
        <v>0.94068</v>
      </c>
      <c r="D6" s="22" t="n">
        <f aca="false">1+Returns!D7</f>
        <v>1.12549</v>
      </c>
      <c r="E6" s="22" t="n">
        <f aca="false">1+Returns!E7</f>
        <v>1.05883</v>
      </c>
      <c r="F6" s="22" t="n">
        <f aca="false">1+Returns!F7</f>
        <v>1.03151</v>
      </c>
    </row>
    <row r="7" customFormat="false" ht="15" hidden="false" customHeight="false" outlineLevel="0" collapsed="false">
      <c r="A7" s="14" t="s">
        <v>58</v>
      </c>
      <c r="B7" s="23" t="n">
        <f aca="false">B6</f>
        <v>1.1084</v>
      </c>
      <c r="C7" s="23" t="n">
        <f aca="false">B7*C6</f>
        <v>1.042649712</v>
      </c>
      <c r="D7" s="23" t="n">
        <f aca="false">C7*D6</f>
        <v>1.17349182435888</v>
      </c>
      <c r="E7" s="23" t="n">
        <f aca="false">D7*E6</f>
        <v>1.24252834838591</v>
      </c>
      <c r="F7" s="23" t="n">
        <f aca="false">E7*F6</f>
        <v>1.28168041664355</v>
      </c>
      <c r="G7" s="24" t="n">
        <f aca="false">F7^(1/5)-1</f>
        <v>0.0508868308311674</v>
      </c>
    </row>
    <row r="8" customFormat="false" ht="15" hidden="false" customHeight="false" outlineLevel="0" collapsed="false">
      <c r="A8" s="7" t="s">
        <v>59</v>
      </c>
      <c r="B8" s="22" t="n">
        <f aca="false">1+Returns!B19</f>
        <v>1.10543076</v>
      </c>
      <c r="C8" s="22" t="n">
        <f aca="false">1+Returns!C19</f>
        <v>0.938062135351173</v>
      </c>
      <c r="D8" s="22" t="n">
        <f aca="false">1+Returns!D19</f>
        <v>1.12243141816433</v>
      </c>
      <c r="E8" s="22" t="n">
        <f aca="false">1+Returns!E19</f>
        <v>1.05592333879363</v>
      </c>
      <c r="F8" s="22" t="n">
        <f aca="false">1+Returns!F19</f>
        <v>1.02866738936693</v>
      </c>
    </row>
    <row r="9" customFormat="false" ht="15" hidden="false" customHeight="false" outlineLevel="0" collapsed="false">
      <c r="A9" s="14" t="s">
        <v>60</v>
      </c>
      <c r="B9" s="23" t="n">
        <f aca="false">B8</f>
        <v>1.10543076</v>
      </c>
      <c r="C9" s="23" t="n">
        <f aca="false">B9*C8</f>
        <v>1.03696273920847</v>
      </c>
      <c r="D9" s="23" t="n">
        <f aca="false">C9*D8</f>
        <v>1.16391955795333</v>
      </c>
      <c r="E9" s="23" t="n">
        <f aca="false">D9*E8</f>
        <v>1.22900982572129</v>
      </c>
      <c r="F9" s="23" t="n">
        <f aca="false">E9*F8</f>
        <v>1.26424232893102</v>
      </c>
      <c r="G9" s="24" t="n">
        <f aca="false">F9^(1/5)-1</f>
        <v>0.0480115414321958</v>
      </c>
    </row>
    <row r="10" customFormat="false" ht="15" hidden="false" customHeight="false" outlineLevel="0" collapsed="false">
      <c r="A10" s="7" t="s">
        <v>61</v>
      </c>
      <c r="B10" s="22" t="n">
        <f aca="false">1+Returns!B6</f>
        <v>1.0989</v>
      </c>
      <c r="C10" s="22" t="n">
        <f aca="false">1+Returns!C6</f>
        <v>0.94245</v>
      </c>
      <c r="D10" s="22" t="n">
        <f aca="false">1+Returns!D6</f>
        <v>1.1134</v>
      </c>
      <c r="E10" s="22" t="n">
        <f aca="false">1+Returns!E6</f>
        <v>1.06065</v>
      </c>
      <c r="F10" s="22" t="n">
        <f aca="false">1+Returns!F6</f>
        <v>1.03095</v>
      </c>
    </row>
    <row r="11" customFormat="false" ht="15" hidden="false" customHeight="false" outlineLevel="0" collapsed="false">
      <c r="A11" s="14" t="s">
        <v>62</v>
      </c>
      <c r="B11" s="23" t="n">
        <f aca="false">B10</f>
        <v>1.0989</v>
      </c>
      <c r="C11" s="23" t="n">
        <f aca="false">B11*C10</f>
        <v>1.035658305</v>
      </c>
      <c r="D11" s="23" t="n">
        <f aca="false">C11*D10</f>
        <v>1.153101956787</v>
      </c>
      <c r="E11" s="23" t="n">
        <f aca="false">D11*E10</f>
        <v>1.22303759046613</v>
      </c>
      <c r="F11" s="23" t="n">
        <f aca="false">E11*F10</f>
        <v>1.26089060389106</v>
      </c>
      <c r="G11" s="24" t="n">
        <f aca="false">F11^(1/5)-1</f>
        <v>0.0474552592329778</v>
      </c>
    </row>
    <row r="13" customFormat="false" ht="15" hidden="false" customHeight="false" outlineLevel="0" collapsed="false">
      <c r="A13" s="4" t="s">
        <v>63</v>
      </c>
      <c r="B13" s="6"/>
      <c r="C13" s="6"/>
      <c r="D13" s="6"/>
      <c r="E13" s="6"/>
      <c r="F13" s="6"/>
      <c r="G13" s="6"/>
    </row>
    <row r="15" customFormat="false" ht="15" hidden="false" customHeight="false" outlineLevel="0" collapsed="false">
      <c r="A15" s="7" t="s">
        <v>64</v>
      </c>
      <c r="B15" s="25" t="n">
        <f aca="false">AVERAGE(Returns!B7:F7)</f>
        <v>0.052982</v>
      </c>
    </row>
    <row r="16" customFormat="false" ht="15" hidden="false" customHeight="false" outlineLevel="0" collapsed="false">
      <c r="A16" s="7" t="s">
        <v>65</v>
      </c>
      <c r="B16" s="25" t="n">
        <f aca="false">G7</f>
        <v>0.0508868308311674</v>
      </c>
    </row>
    <row r="17" customFormat="false" ht="15" hidden="false" customHeight="false" outlineLevel="0" collapsed="false">
      <c r="A17" s="14" t="s">
        <v>66</v>
      </c>
      <c r="B17" s="24" t="n">
        <f aca="false">B15-G7</f>
        <v>0.0020951691688326</v>
      </c>
    </row>
    <row r="18" customFormat="false" ht="15" hidden="false" customHeight="false" outlineLevel="0" collapsed="false">
      <c r="A18" s="16" t="s">
        <v>67</v>
      </c>
    </row>
    <row r="20" customFormat="false" ht="15" hidden="false" customHeight="false" outlineLevel="0" collapsed="false">
      <c r="A20" s="26" t="s">
        <v>68</v>
      </c>
    </row>
    <row r="21" customFormat="false" ht="15" hidden="false" customHeight="false" outlineLevel="0" collapsed="false">
      <c r="A21" s="7" t="s">
        <v>69</v>
      </c>
      <c r="B21" s="27" t="n">
        <f aca="false">AVERAGE(Returns!B19:F19)</f>
        <v>0.0501030083352116</v>
      </c>
    </row>
    <row r="22" customFormat="false" ht="15" hidden="false" customHeight="false" outlineLevel="0" collapsed="false">
      <c r="A22" s="7" t="s">
        <v>70</v>
      </c>
      <c r="B22" s="27" t="n">
        <f aca="false">B21-G9</f>
        <v>0.00209146690301578</v>
      </c>
    </row>
    <row r="23" customFormat="false" ht="15" hidden="false" customHeight="false" outlineLevel="0" collapsed="false">
      <c r="A23" s="7" t="s">
        <v>71</v>
      </c>
      <c r="B23" s="27" t="n">
        <f aca="false">AVERAGE(Returns!B6:F6)</f>
        <v>0.04927</v>
      </c>
    </row>
    <row r="24" customFormat="false" ht="15" hidden="false" customHeight="false" outlineLevel="0" collapsed="false">
      <c r="A24" s="7" t="s">
        <v>72</v>
      </c>
      <c r="B24" s="27" t="n">
        <f aca="false">B23-G11</f>
        <v>0.00181474076702222</v>
      </c>
    </row>
    <row r="25" customFormat="false" ht="15" hidden="false" customHeight="false" outlineLevel="0" collapsed="false">
      <c r="A25" s="7" t="s">
        <v>73</v>
      </c>
      <c r="B25" s="28" t="n">
        <f aca="false">B17-B24</f>
        <v>0.000280428401810383</v>
      </c>
    </row>
    <row r="26" customFormat="false" ht="15" hidden="false" customHeight="false" outlineLevel="0" collapsed="false">
      <c r="A26" s="7" t="s">
        <v>74</v>
      </c>
      <c r="B26" s="21" t="n">
        <f aca="false">Inputs!B7*F7</f>
        <v>640840208.321777</v>
      </c>
    </row>
    <row r="27" customFormat="false" ht="15" hidden="false" customHeight="false" outlineLevel="0" collapsed="false">
      <c r="A27" s="7" t="s">
        <v>75</v>
      </c>
      <c r="B27" s="21" t="n">
        <f aca="false">Inputs!B7*(1+B15)^5</f>
        <v>647253996.608756</v>
      </c>
    </row>
    <row r="28" customFormat="false" ht="15" hidden="false" customHeight="false" outlineLevel="0" collapsed="false">
      <c r="A28" s="7" t="s">
        <v>76</v>
      </c>
      <c r="B28" s="20" t="n">
        <f aca="false">B27-B26</f>
        <v>6413788.2869792</v>
      </c>
    </row>
    <row r="30" customFormat="false" ht="15" hidden="false" customHeight="false" outlineLevel="0" collapsed="false">
      <c r="A30" s="26" t="s">
        <v>77</v>
      </c>
    </row>
    <row r="31" customFormat="false" ht="15" hidden="false" customHeight="false" outlineLevel="0" collapsed="false">
      <c r="A31" s="7" t="s">
        <v>78</v>
      </c>
      <c r="B31" s="29" t="n">
        <v>0.5</v>
      </c>
    </row>
    <row r="32" customFormat="false" ht="15" hidden="false" customHeight="false" outlineLevel="0" collapsed="false">
      <c r="A32" s="7" t="s">
        <v>79</v>
      </c>
      <c r="B32" s="27" t="n">
        <f aca="false">(Returns!C18-Returns!B18-Returns!C13)/(Returns!B18+Returns!C13)</f>
        <v>-0.0619378646488271</v>
      </c>
    </row>
    <row r="33" customFormat="false" ht="15" hidden="false" customHeight="false" outlineLevel="0" collapsed="false">
      <c r="A33" s="7" t="s">
        <v>80</v>
      </c>
      <c r="B33" s="27" t="n">
        <f aca="false">(Returns!C18-Returns!B18-Returns!C13)/(Returns!B18+Returns!C13*B31)</f>
        <v>-0.0680031145188885</v>
      </c>
    </row>
    <row r="34" customFormat="false" ht="15" hidden="false" customHeight="false" outlineLevel="0" collapsed="false">
      <c r="A34" s="7" t="s">
        <v>81</v>
      </c>
      <c r="B34" s="27" t="n">
        <f aca="false">(Returns!D18-Returns!C18-Returns!D13)/(Returns!C18+Returns!D13)</f>
        <v>0.122431418164332</v>
      </c>
    </row>
    <row r="35" customFormat="false" ht="15" hidden="false" customHeight="false" outlineLevel="0" collapsed="false">
      <c r="A35" s="7" t="s">
        <v>82</v>
      </c>
      <c r="B35" s="27" t="n">
        <f aca="false">(Returns!D18-Returns!C18-Returns!D13)/(Returns!C18+Returns!D13*B31)</f>
        <v>0.102065737456029</v>
      </c>
    </row>
    <row r="36" customFormat="false" ht="15" hidden="false" customHeight="false" outlineLevel="0" collapsed="false">
      <c r="A36" s="7" t="s">
        <v>83</v>
      </c>
      <c r="B36" s="28" t="n">
        <f aca="false">B34-B35</f>
        <v>0.0203656807083037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4"/>
    <col collapsed="false" customWidth="true" hidden="false" outlineLevel="0" max="3" min="2" style="0" width="20"/>
    <col collapsed="false" customWidth="true" hidden="false" outlineLevel="0" max="4" min="4" style="0" width="46"/>
  </cols>
  <sheetData>
    <row r="1" customFormat="false" ht="24" hidden="false" customHeight="true" outlineLevel="0" collapsed="false">
      <c r="A1" s="1" t="s">
        <v>84</v>
      </c>
    </row>
    <row r="2" customFormat="false" ht="15" hidden="false" customHeight="false" outlineLevel="0" collapsed="false">
      <c r="A2" s="2" t="s">
        <v>85</v>
      </c>
    </row>
    <row r="3" customFormat="false" ht="15" hidden="false" customHeight="false" outlineLevel="0" collapsed="false">
      <c r="A3" s="3"/>
      <c r="B3" s="3"/>
      <c r="C3" s="3"/>
      <c r="D3" s="3"/>
    </row>
    <row r="5" customFormat="false" ht="30" hidden="false" customHeight="true" outlineLevel="0" collapsed="false">
      <c r="A5" s="10" t="s">
        <v>86</v>
      </c>
      <c r="B5" s="11" t="s">
        <v>87</v>
      </c>
      <c r="C5" s="11" t="s">
        <v>88</v>
      </c>
      <c r="D5" s="11" t="s">
        <v>89</v>
      </c>
    </row>
    <row r="6" customFormat="false" ht="15" hidden="false" customHeight="false" outlineLevel="0" collapsed="false">
      <c r="A6" s="7" t="s">
        <v>90</v>
      </c>
      <c r="B6" s="21" t="n">
        <f aca="false">-Inputs!B7</f>
        <v>-500000000</v>
      </c>
      <c r="C6" s="21" t="n">
        <f aca="false">B6/(1+$B$14)^0</f>
        <v>-500000000</v>
      </c>
      <c r="D6" s="7" t="s">
        <v>91</v>
      </c>
    </row>
    <row r="7" customFormat="false" ht="15" hidden="false" customHeight="false" outlineLevel="0" collapsed="false">
      <c r="A7" s="7" t="s">
        <v>92</v>
      </c>
      <c r="B7" s="21" t="n">
        <f aca="false">-Returns!C13</f>
        <v>-120000000</v>
      </c>
      <c r="C7" s="21" t="n">
        <f aca="false">B7/(1+$B$14)^1</f>
        <v>-115243608.469425</v>
      </c>
      <c r="D7" s="7" t="s">
        <v>93</v>
      </c>
    </row>
    <row r="8" customFormat="false" ht="15" hidden="false" customHeight="false" outlineLevel="0" collapsed="false">
      <c r="A8" s="7" t="s">
        <v>94</v>
      </c>
      <c r="B8" s="21" t="n">
        <f aca="false">-Returns!D13</f>
        <v>180000000</v>
      </c>
      <c r="C8" s="21" t="n">
        <f aca="false">B8/(1+$B$14)^2</f>
        <v>166013616.163178</v>
      </c>
      <c r="D8" s="7" t="s">
        <v>95</v>
      </c>
    </row>
    <row r="9" customFormat="false" ht="15" hidden="false" customHeight="false" outlineLevel="0" collapsed="false">
      <c r="A9" s="7" t="s">
        <v>96</v>
      </c>
      <c r="B9" s="21" t="n">
        <f aca="false">-Returns!E13</f>
        <v>-0</v>
      </c>
      <c r="C9" s="21" t="n">
        <f aca="false">B9/(1+$B$14)^3</f>
        <v>-0</v>
      </c>
      <c r="D9" s="7" t="s">
        <v>97</v>
      </c>
    </row>
    <row r="10" customFormat="false" ht="15" hidden="false" customHeight="false" outlineLevel="0" collapsed="false">
      <c r="A10" s="7" t="s">
        <v>98</v>
      </c>
      <c r="B10" s="21" t="n">
        <f aca="false">-Returns!F13</f>
        <v>-0</v>
      </c>
      <c r="C10" s="21" t="n">
        <f aca="false">B10/(1+$B$14)^4</f>
        <v>-0</v>
      </c>
      <c r="D10" s="7" t="s">
        <v>99</v>
      </c>
    </row>
    <row r="11" customFormat="false" ht="15" hidden="false" customHeight="false" outlineLevel="0" collapsed="false">
      <c r="A11" s="7" t="s">
        <v>100</v>
      </c>
      <c r="B11" s="21" t="n">
        <f aca="false">Returns!F18</f>
        <v>549908879.546522</v>
      </c>
      <c r="C11" s="21" t="n">
        <f aca="false">B11/(1+$B$14)^5</f>
        <v>449229992.306248</v>
      </c>
      <c r="D11" s="7" t="s">
        <v>101</v>
      </c>
    </row>
    <row r="13" customFormat="false" ht="15" hidden="false" customHeight="false" outlineLevel="0" collapsed="false">
      <c r="A13" s="14" t="s">
        <v>102</v>
      </c>
      <c r="C13" s="20" t="n">
        <f aca="false">SUM(C6:C11)</f>
        <v>0</v>
      </c>
    </row>
    <row r="14" customFormat="false" ht="15" hidden="false" customHeight="false" outlineLevel="0" collapsed="false">
      <c r="A14" s="14" t="s">
        <v>103</v>
      </c>
      <c r="B14" s="24" t="n">
        <f aca="false">IRR(B6:B11)</f>
        <v>0.0412724973969943</v>
      </c>
    </row>
    <row r="16" customFormat="false" ht="15" hidden="false" customHeight="false" outlineLevel="0" collapsed="false">
      <c r="A16" s="4" t="s">
        <v>104</v>
      </c>
      <c r="B16" s="6"/>
      <c r="C16" s="6"/>
      <c r="D16" s="6"/>
    </row>
    <row r="18" customFormat="false" ht="15" hidden="false" customHeight="false" outlineLevel="0" collapsed="false">
      <c r="A18" s="7" t="s">
        <v>105</v>
      </c>
      <c r="B18" s="25" t="n">
        <f aca="false">'Chain-linking'!G9</f>
        <v>0.0480115414321958</v>
      </c>
    </row>
    <row r="19" customFormat="false" ht="15" hidden="false" customHeight="false" outlineLevel="0" collapsed="false">
      <c r="A19" s="7" t="s">
        <v>106</v>
      </c>
      <c r="B19" s="25" t="n">
        <f aca="false">B14</f>
        <v>0.0412724973969943</v>
      </c>
    </row>
    <row r="20" customFormat="false" ht="15" hidden="false" customHeight="false" outlineLevel="0" collapsed="false">
      <c r="A20" s="14" t="s">
        <v>107</v>
      </c>
      <c r="B20" s="24" t="n">
        <f aca="false">B18-B14</f>
        <v>0.00673904403520147</v>
      </c>
    </row>
    <row r="22" customFormat="false" ht="15" hidden="false" customHeight="false" outlineLevel="0" collapsed="false">
      <c r="A22" s="4" t="s">
        <v>108</v>
      </c>
      <c r="B22" s="6"/>
      <c r="C22" s="6"/>
      <c r="D22" s="6"/>
    </row>
    <row r="24" customFormat="false" ht="15" hidden="false" customHeight="false" outlineLevel="0" collapsed="false">
      <c r="A24" s="7" t="s">
        <v>109</v>
      </c>
      <c r="B24" s="21" t="n">
        <f aca="false">Returns!B22</f>
        <v>440000000</v>
      </c>
    </row>
    <row r="25" customFormat="false" ht="15" hidden="false" customHeight="false" outlineLevel="0" collapsed="false">
      <c r="A25" s="7" t="s">
        <v>110</v>
      </c>
      <c r="B25" s="21" t="n">
        <f aca="false">B24*'Chain-linking'!F9</f>
        <v>556266624.729647</v>
      </c>
    </row>
    <row r="26" customFormat="false" ht="15" hidden="false" customHeight="false" outlineLevel="0" collapsed="false">
      <c r="A26" s="7" t="s">
        <v>111</v>
      </c>
      <c r="B26" s="21" t="n">
        <f aca="false">Returns!F18</f>
        <v>549908879.546522</v>
      </c>
    </row>
    <row r="27" customFormat="false" ht="15" hidden="false" customHeight="false" outlineLevel="0" collapsed="false">
      <c r="A27" s="14" t="s">
        <v>112</v>
      </c>
      <c r="B27" s="20" t="n">
        <f aca="false">B25-B26</f>
        <v>6357745.18312466</v>
      </c>
    </row>
    <row r="29" customFormat="false" ht="15" hidden="false" customHeight="false" outlineLevel="0" collapsed="false">
      <c r="A29" s="16" t="s">
        <v>113</v>
      </c>
    </row>
    <row r="30" customFormat="false" ht="15" hidden="false" customHeight="false" outlineLevel="0" collapsed="false">
      <c r="A30" s="16" t="s">
        <v>114</v>
      </c>
    </row>
    <row r="32" customFormat="false" ht="15" hidden="false" customHeight="false" outlineLevel="0" collapsed="false">
      <c r="A32" s="26" t="s">
        <v>115</v>
      </c>
    </row>
    <row r="33" customFormat="false" ht="15" hidden="false" customHeight="false" outlineLevel="0" collapsed="false">
      <c r="A33" s="7" t="s">
        <v>116</v>
      </c>
      <c r="B33" s="30" t="n">
        <v>0.04</v>
      </c>
    </row>
    <row r="34" customFormat="false" ht="15" hidden="false" customHeight="false" outlineLevel="0" collapsed="false">
      <c r="A34" s="7" t="s">
        <v>117</v>
      </c>
      <c r="B34" s="21" t="n">
        <f aca="false">SUMPRODUCT(B6:B11,1/(1+B33)^{0;1;2;3;4;5})</f>
        <v>3020517.30552976</v>
      </c>
    </row>
    <row r="36" customFormat="false" ht="15" hidden="false" customHeight="false" outlineLevel="0" collapsed="false">
      <c r="A36" s="26" t="s">
        <v>118</v>
      </c>
    </row>
    <row r="37" customFormat="false" ht="15" hidden="false" customHeight="false" outlineLevel="0" collapsed="false">
      <c r="A37" s="16" t="s">
        <v>119</v>
      </c>
    </row>
    <row r="38" customFormat="false" ht="15" hidden="false" customHeight="false" outlineLevel="0" collapsed="false">
      <c r="A38" s="7" t="s">
        <v>120</v>
      </c>
      <c r="B38" s="21" t="n">
        <f aca="false">Returns!C13*('Chain-linking'!F9-'Chain-linking'!C8*'Chain-linking'!D8*'Chain-linking'!E8*'Chain-linking'!F8)</f>
        <v>14469294.8001592</v>
      </c>
    </row>
    <row r="39" customFormat="false" ht="15" hidden="false" customHeight="false" outlineLevel="0" collapsed="false">
      <c r="A39" s="7" t="s">
        <v>121</v>
      </c>
      <c r="B39" s="21" t="n">
        <f aca="false">Returns!D13*('Chain-linking'!F9-'Chain-linking'!D8*'Chain-linking'!E8*'Chain-linking'!F8)</f>
        <v>-8111549.61703442</v>
      </c>
    </row>
    <row r="40" customFormat="false" ht="15" hidden="false" customHeight="false" outlineLevel="0" collapsed="false">
      <c r="A40" s="7" t="s">
        <v>122</v>
      </c>
      <c r="B40" s="21" t="n">
        <f aca="false">Returns!E13*('Chain-linking'!F9-'Chain-linking'!E8*'Chain-linking'!F8)</f>
        <v>0</v>
      </c>
    </row>
    <row r="41" customFormat="false" ht="15" hidden="false" customHeight="false" outlineLevel="0" collapsed="false">
      <c r="A41" s="7" t="s">
        <v>123</v>
      </c>
      <c r="B41" s="21" t="n">
        <f aca="false">Returns!F13*('Chain-linking'!F9-'Chain-linking'!F8)</f>
        <v>0</v>
      </c>
    </row>
    <row r="42" customFormat="false" ht="15" hidden="false" customHeight="false" outlineLevel="0" collapsed="false">
      <c r="A42" s="7" t="s">
        <v>124</v>
      </c>
      <c r="B42" s="20" t="n">
        <f aca="false">SUM(B38:B41)</f>
        <v>6357745.18312478</v>
      </c>
    </row>
    <row r="43" customFormat="false" ht="15" hidden="false" customHeight="false" outlineLevel="0" collapsed="false">
      <c r="A43" s="7" t="s">
        <v>125</v>
      </c>
      <c r="B43" s="21" t="n">
        <f aca="false">B42-B27</f>
        <v>1.1734664440155E-007</v>
      </c>
    </row>
    <row r="45" customFormat="false" ht="15" hidden="false" customHeight="false" outlineLevel="0" collapsed="false">
      <c r="A45" s="26" t="s">
        <v>126</v>
      </c>
    </row>
    <row r="46" customFormat="false" ht="15" hidden="false" customHeight="false" outlineLevel="0" collapsed="false">
      <c r="A46" s="7" t="s">
        <v>127</v>
      </c>
      <c r="B46" s="31" t="n">
        <f aca="false">Returns!C13/Inputs!B7</f>
        <v>0.24</v>
      </c>
    </row>
    <row r="47" customFormat="false" ht="15" hidden="false" customHeight="false" outlineLevel="0" collapsed="false">
      <c r="A47" s="7" t="s">
        <v>128</v>
      </c>
      <c r="B47" s="32" t="n">
        <f aca="false">-Returns!D13/Returns!C18</f>
        <v>0.285239418294742</v>
      </c>
    </row>
    <row r="48" customFormat="false" ht="15" hidden="false" customHeight="false" outlineLevel="0" collapsed="false">
      <c r="A48" s="16" t="s">
        <v>129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62"/>
    <col collapsed="false" customWidth="true" hidden="false" outlineLevel="0" max="4" min="3" style="0" width="20"/>
    <col collapsed="false" customWidth="true" hidden="false" outlineLevel="0" max="5" min="5" style="0" width="14"/>
    <col collapsed="false" customWidth="true" hidden="false" outlineLevel="0" max="6" min="6" style="0" width="10"/>
    <col collapsed="false" customWidth="true" hidden="false" outlineLevel="0" max="7" min="7" style="0" width="70"/>
  </cols>
  <sheetData>
    <row r="1" customFormat="false" ht="24" hidden="false" customHeight="true" outlineLevel="0" collapsed="false">
      <c r="A1" s="1" t="s">
        <v>130</v>
      </c>
    </row>
    <row r="2" customFormat="false" ht="15" hidden="false" customHeight="false" outlineLevel="0" collapsed="false">
      <c r="A2" s="2" t="s">
        <v>131</v>
      </c>
    </row>
    <row r="3" customFormat="false" ht="15" hidden="false" customHeight="false" outlineLevel="0" collapsed="false">
      <c r="A3" s="33" t="s">
        <v>132</v>
      </c>
      <c r="B3" s="3"/>
      <c r="C3" s="3"/>
      <c r="D3" s="3"/>
      <c r="E3" s="3"/>
      <c r="F3" s="3"/>
    </row>
    <row r="5" customFormat="false" ht="30" hidden="false" customHeight="true" outlineLevel="0" collapsed="false">
      <c r="A5" s="10" t="s">
        <v>133</v>
      </c>
      <c r="B5" s="11" t="s">
        <v>134</v>
      </c>
      <c r="C5" s="11" t="s">
        <v>135</v>
      </c>
      <c r="D5" s="11" t="s">
        <v>136</v>
      </c>
      <c r="E5" s="11" t="s">
        <v>137</v>
      </c>
      <c r="F5" s="11" t="s">
        <v>138</v>
      </c>
      <c r="G5" s="34" t="s">
        <v>89</v>
      </c>
    </row>
    <row r="6" customFormat="false" ht="15" hidden="false" customHeight="false" outlineLevel="0" collapsed="false">
      <c r="A6" s="7" t="s">
        <v>139</v>
      </c>
      <c r="B6" s="7" t="s">
        <v>140</v>
      </c>
      <c r="C6" s="22" t="n">
        <v>1.2816804</v>
      </c>
      <c r="D6" s="22" t="n">
        <f aca="false">'Chain-linking'!F7</f>
        <v>1.28168041664355</v>
      </c>
      <c r="E6" s="35" t="n">
        <f aca="false">D6-C6</f>
        <v>1.66435529802556E-008</v>
      </c>
      <c r="F6" s="36" t="str">
        <f aca="false">IF(ABS(E6)&lt;=0.00000005,"PASS","FAIL")</f>
        <v>PASS</v>
      </c>
      <c r="G6" s="16" t="s">
        <v>141</v>
      </c>
    </row>
    <row r="7" customFormat="false" ht="15" hidden="false" customHeight="false" outlineLevel="0" collapsed="false">
      <c r="A7" s="37" t="s">
        <v>139</v>
      </c>
      <c r="B7" s="37" t="s">
        <v>142</v>
      </c>
      <c r="C7" s="38" t="n">
        <v>0.050887</v>
      </c>
      <c r="D7" s="38" t="n">
        <f aca="false">'Chain-linking'!G7</f>
        <v>0.0508868308311674</v>
      </c>
      <c r="E7" s="39" t="n">
        <f aca="false">D7-C7</f>
        <v>-1.6916883259499E-007</v>
      </c>
      <c r="F7" s="40" t="str">
        <f aca="false">IF(ABS(E7)&lt;=0.0000005,"PASS","FAIL")</f>
        <v>PASS</v>
      </c>
      <c r="G7" s="16" t="s">
        <v>143</v>
      </c>
    </row>
    <row r="8" customFormat="false" ht="15" hidden="false" customHeight="false" outlineLevel="0" collapsed="false">
      <c r="A8" s="7" t="s">
        <v>139</v>
      </c>
      <c r="B8" s="7" t="s">
        <v>144</v>
      </c>
      <c r="C8" s="25" t="n">
        <v>0.048012</v>
      </c>
      <c r="D8" s="25" t="n">
        <f aca="false">'Chain-linking'!G9</f>
        <v>0.0480115414321958</v>
      </c>
      <c r="E8" s="35" t="n">
        <f aca="false">D8-C8</f>
        <v>-4.58567804229038E-007</v>
      </c>
      <c r="F8" s="36" t="str">
        <f aca="false">IF(ABS(E8)&lt;=0.0000005,"PASS","FAIL")</f>
        <v>PASS</v>
      </c>
      <c r="G8" s="16" t="s">
        <v>143</v>
      </c>
    </row>
    <row r="9" customFormat="false" ht="15" hidden="false" customHeight="false" outlineLevel="0" collapsed="false">
      <c r="A9" s="37" t="s">
        <v>145</v>
      </c>
      <c r="B9" s="37" t="s">
        <v>146</v>
      </c>
      <c r="C9" s="38" t="n">
        <v>0.047455</v>
      </c>
      <c r="D9" s="38" t="n">
        <f aca="false">'Chain-linking'!G11</f>
        <v>0.0474552592329778</v>
      </c>
      <c r="E9" s="39" t="n">
        <f aca="false">D9-C9</f>
        <v>2.59232977778412E-007</v>
      </c>
      <c r="F9" s="40" t="str">
        <f aca="false">IF(ABS(E9)&lt;=0.0000005,"PASS","FAIL")</f>
        <v>PASS</v>
      </c>
      <c r="G9" s="16" t="s">
        <v>143</v>
      </c>
    </row>
    <row r="10" customFormat="false" ht="15" hidden="false" customHeight="false" outlineLevel="0" collapsed="false">
      <c r="A10" s="7" t="s">
        <v>147</v>
      </c>
      <c r="B10" s="7" t="s">
        <v>148</v>
      </c>
      <c r="C10" s="25" t="n">
        <v>0.041272</v>
      </c>
      <c r="D10" s="25" t="n">
        <f aca="false">'Money-weighted'!B14</f>
        <v>0.0412724973969943</v>
      </c>
      <c r="E10" s="35" t="n">
        <f aca="false">D10-C10</f>
        <v>4.97396994293686E-007</v>
      </c>
      <c r="F10" s="36" t="str">
        <f aca="false">IF(ABS(E10)&lt;=0.0000005,"PASS","FAIL")</f>
        <v>PASS</v>
      </c>
      <c r="G10" s="16" t="s">
        <v>143</v>
      </c>
    </row>
    <row r="11" customFormat="false" ht="15" hidden="false" customHeight="false" outlineLevel="0" collapsed="false">
      <c r="A11" s="37" t="s">
        <v>149</v>
      </c>
      <c r="B11" s="37" t="s">
        <v>150</v>
      </c>
      <c r="C11" s="38" t="n">
        <v>0.006739</v>
      </c>
      <c r="D11" s="38" t="n">
        <f aca="false">'Money-weighted'!B20</f>
        <v>0.00673904403520147</v>
      </c>
      <c r="E11" s="39" t="n">
        <f aca="false">D11-C11</f>
        <v>4.40352014730722E-008</v>
      </c>
      <c r="F11" s="40" t="str">
        <f aca="false">IF(ABS(E11)&lt;=0.0000005,"PASS","FAIL")</f>
        <v>PASS</v>
      </c>
      <c r="G11" s="16" t="s">
        <v>143</v>
      </c>
    </row>
    <row r="12" customFormat="false" ht="15" hidden="false" customHeight="false" outlineLevel="0" collapsed="false">
      <c r="A12" s="7" t="s">
        <v>149</v>
      </c>
      <c r="B12" s="7" t="s">
        <v>109</v>
      </c>
      <c r="C12" s="21" t="n">
        <v>440000000</v>
      </c>
      <c r="D12" s="21" t="n">
        <f aca="false">'Money-weighted'!B24</f>
        <v>440000000</v>
      </c>
      <c r="E12" s="35" t="n">
        <f aca="false">D12-C12</f>
        <v>0</v>
      </c>
      <c r="F12" s="36" t="str">
        <f aca="false">IF(ABS(E12)&lt;=0.005,"PASS","FAIL")</f>
        <v>PASS</v>
      </c>
      <c r="G12" s="16" t="s">
        <v>151</v>
      </c>
    </row>
    <row r="13" customFormat="false" ht="15" hidden="false" customHeight="false" outlineLevel="0" collapsed="false">
      <c r="A13" s="37" t="s">
        <v>149</v>
      </c>
      <c r="B13" s="37" t="s">
        <v>152</v>
      </c>
      <c r="C13" s="41" t="n">
        <v>556266624.73</v>
      </c>
      <c r="D13" s="41" t="n">
        <f aca="false">'Money-weighted'!B25</f>
        <v>556266624.729647</v>
      </c>
      <c r="E13" s="39" t="n">
        <f aca="false">D13-C13</f>
        <v>-0.000353097915649414</v>
      </c>
      <c r="F13" s="40" t="str">
        <f aca="false">IF(ABS(E13)&lt;=0.005,"PASS","FAIL")</f>
        <v>PASS</v>
      </c>
      <c r="G13" s="16" t="s">
        <v>151</v>
      </c>
    </row>
    <row r="14" customFormat="false" ht="15" hidden="false" customHeight="false" outlineLevel="0" collapsed="false">
      <c r="A14" s="7" t="s">
        <v>149</v>
      </c>
      <c r="B14" s="7" t="s">
        <v>111</v>
      </c>
      <c r="C14" s="21" t="n">
        <v>549908879.55</v>
      </c>
      <c r="D14" s="21" t="n">
        <f aca="false">'Money-weighted'!B26</f>
        <v>549908879.546522</v>
      </c>
      <c r="E14" s="35" t="n">
        <f aca="false">D14-C14</f>
        <v>-0.00347769260406494</v>
      </c>
      <c r="F14" s="36" t="str">
        <f aca="false">IF(ABS(E14)&lt;=0.005,"PASS","FAIL")</f>
        <v>PASS</v>
      </c>
      <c r="G14" s="16" t="s">
        <v>151</v>
      </c>
    </row>
    <row r="15" customFormat="false" ht="15" hidden="false" customHeight="false" outlineLevel="0" collapsed="false">
      <c r="A15" s="37" t="s">
        <v>149</v>
      </c>
      <c r="B15" s="37" t="s">
        <v>153</v>
      </c>
      <c r="C15" s="41" t="n">
        <v>6357745.18</v>
      </c>
      <c r="D15" s="41" t="n">
        <f aca="false">'Money-weighted'!B27</f>
        <v>6357745.18312466</v>
      </c>
      <c r="E15" s="39" t="n">
        <f aca="false">D15-C15</f>
        <v>0.0031246617436409</v>
      </c>
      <c r="F15" s="40" t="str">
        <f aca="false">IF(ABS(E15)&lt;=0.005,"PASS","FAIL")</f>
        <v>PASS</v>
      </c>
      <c r="G15" s="16" t="s">
        <v>151</v>
      </c>
    </row>
    <row r="16" customFormat="false" ht="15" hidden="false" customHeight="false" outlineLevel="0" collapsed="false">
      <c r="A16" s="7" t="s">
        <v>154</v>
      </c>
      <c r="B16" s="7" t="s">
        <v>155</v>
      </c>
      <c r="C16" s="21" t="n">
        <v>672715380</v>
      </c>
      <c r="D16" s="21" t="n">
        <f aca="false">Returns!C14</f>
        <v>672715380</v>
      </c>
      <c r="E16" s="35" t="n">
        <f aca="false">D16-C16</f>
        <v>0</v>
      </c>
      <c r="F16" s="36" t="str">
        <f aca="false">IF(ABS(E16)&lt;=0.005,"PASS","FAIL")</f>
        <v>PASS</v>
      </c>
      <c r="G16" s="16" t="s">
        <v>151</v>
      </c>
    </row>
    <row r="17" customFormat="false" ht="15" hidden="false" customHeight="false" outlineLevel="0" collapsed="false">
      <c r="A17" s="37" t="s">
        <v>154</v>
      </c>
      <c r="B17" s="37" t="s">
        <v>156</v>
      </c>
      <c r="C17" s="41" t="n">
        <v>451048825.85</v>
      </c>
      <c r="D17" s="41" t="n">
        <f aca="false">Returns!D14</f>
        <v>451048825.846376</v>
      </c>
      <c r="E17" s="39" t="n">
        <f aca="false">D17-C17</f>
        <v>-0.0036243200302124</v>
      </c>
      <c r="F17" s="40" t="str">
        <f aca="false">IF(ABS(E17)&lt;=0.005,"PASS","FAIL")</f>
        <v>PASS</v>
      </c>
      <c r="G17" s="16" t="s">
        <v>151</v>
      </c>
    </row>
    <row r="18" customFormat="false" ht="15" hidden="false" customHeight="false" outlineLevel="0" collapsed="false">
      <c r="A18" s="7" t="s">
        <v>139</v>
      </c>
      <c r="B18" s="7" t="s">
        <v>157</v>
      </c>
      <c r="C18" s="25" t="n">
        <v>0.105431</v>
      </c>
      <c r="D18" s="25" t="n">
        <f aca="false">Returns!B19</f>
        <v>0.10543076</v>
      </c>
      <c r="E18" s="35" t="n">
        <f aca="false">D18-C18</f>
        <v>-2.40000000040208E-007</v>
      </c>
      <c r="F18" s="36" t="str">
        <f aca="false">IF(ABS(E18)&lt;=0.0000005,"PASS","FAIL")</f>
        <v>PASS</v>
      </c>
      <c r="G18" s="16" t="s">
        <v>143</v>
      </c>
    </row>
    <row r="19" customFormat="false" ht="15" hidden="false" customHeight="false" outlineLevel="0" collapsed="false">
      <c r="A19" s="37" t="s">
        <v>139</v>
      </c>
      <c r="B19" s="37" t="s">
        <v>158</v>
      </c>
      <c r="C19" s="38" t="n">
        <v>-0.061938</v>
      </c>
      <c r="D19" s="38" t="n">
        <f aca="false">Returns!C19</f>
        <v>-0.0619378646488271</v>
      </c>
      <c r="E19" s="39" t="n">
        <f aca="false">D19-C19</f>
        <v>1.3535117288771E-007</v>
      </c>
      <c r="F19" s="40" t="str">
        <f aca="false">IF(ABS(E19)&lt;=0.0000005,"PASS","FAIL")</f>
        <v>PASS</v>
      </c>
      <c r="G19" s="16" t="s">
        <v>143</v>
      </c>
    </row>
    <row r="20" customFormat="false" ht="15" hidden="false" customHeight="false" outlineLevel="0" collapsed="false">
      <c r="A20" s="7" t="s">
        <v>139</v>
      </c>
      <c r="B20" s="7" t="s">
        <v>159</v>
      </c>
      <c r="C20" s="25" t="n">
        <v>0.122431</v>
      </c>
      <c r="D20" s="25" t="n">
        <f aca="false">Returns!D19</f>
        <v>0.122431418164332</v>
      </c>
      <c r="E20" s="35" t="n">
        <f aca="false">D20-C20</f>
        <v>4.18164332230409E-007</v>
      </c>
      <c r="F20" s="36" t="str">
        <f aca="false">IF(ABS(E20)&lt;=0.0000005,"PASS","FAIL")</f>
        <v>PASS</v>
      </c>
      <c r="G20" s="16" t="s">
        <v>143</v>
      </c>
    </row>
    <row r="21" customFormat="false" ht="15" hidden="false" customHeight="false" outlineLevel="0" collapsed="false">
      <c r="A21" s="37" t="s">
        <v>139</v>
      </c>
      <c r="B21" s="37" t="s">
        <v>160</v>
      </c>
      <c r="C21" s="38" t="n">
        <v>0.055923</v>
      </c>
      <c r="D21" s="38" t="n">
        <f aca="false">Returns!E19</f>
        <v>0.0559233387936267</v>
      </c>
      <c r="E21" s="39" t="n">
        <f aca="false">D21-C21</f>
        <v>3.38793626653011E-007</v>
      </c>
      <c r="F21" s="40" t="str">
        <f aca="false">IF(ABS(E21)&lt;=0.0000005,"PASS","FAIL")</f>
        <v>PASS</v>
      </c>
      <c r="G21" s="16" t="s">
        <v>143</v>
      </c>
    </row>
    <row r="22" customFormat="false" ht="15" hidden="false" customHeight="false" outlineLevel="0" collapsed="false">
      <c r="A22" s="7" t="s">
        <v>139</v>
      </c>
      <c r="B22" s="7" t="s">
        <v>161</v>
      </c>
      <c r="C22" s="25" t="n">
        <v>0.028667</v>
      </c>
      <c r="D22" s="25" t="n">
        <f aca="false">Returns!F19</f>
        <v>0.028667389366926</v>
      </c>
      <c r="E22" s="35" t="n">
        <f aca="false">D22-C22</f>
        <v>3.89366926031171E-007</v>
      </c>
      <c r="F22" s="36" t="str">
        <f aca="false">IF(ABS(E22)&lt;=0.0000005,"PASS","FAIL")</f>
        <v>PASS</v>
      </c>
      <c r="G22" s="16" t="s">
        <v>143</v>
      </c>
    </row>
    <row r="23" customFormat="false" ht="15" hidden="false" customHeight="false" outlineLevel="0" collapsed="false">
      <c r="A23" s="7" t="n">
        <v>4</v>
      </c>
      <c r="B23" s="7" t="s">
        <v>162</v>
      </c>
      <c r="C23" s="27" t="n">
        <v>0.052982</v>
      </c>
      <c r="D23" s="27" t="n">
        <f aca="false">'Chain-linking'!B15</f>
        <v>0.052982</v>
      </c>
      <c r="E23" s="35" t="n">
        <f aca="false">D23-C23</f>
        <v>0</v>
      </c>
      <c r="F23" s="36" t="str">
        <f aca="false">IF(ABS(E23)&lt;=0.0000005,"PASS","FAIL")</f>
        <v>PASS</v>
      </c>
      <c r="G23" s="16" t="s">
        <v>143</v>
      </c>
    </row>
    <row r="24" customFormat="false" ht="15" hidden="false" customHeight="false" outlineLevel="0" collapsed="false">
      <c r="A24" s="7" t="n">
        <v>4</v>
      </c>
      <c r="B24" s="7" t="s">
        <v>163</v>
      </c>
      <c r="C24" s="27" t="n">
        <v>0.002095</v>
      </c>
      <c r="D24" s="27" t="n">
        <f aca="false">'Chain-linking'!B17</f>
        <v>0.0020951691688326</v>
      </c>
      <c r="E24" s="35" t="n">
        <f aca="false">D24-C24</f>
        <v>1.69168832601495E-007</v>
      </c>
      <c r="F24" s="36" t="str">
        <f aca="false">IF(ABS(E24)&lt;=0.0000005,"PASS","FAIL")</f>
        <v>PASS</v>
      </c>
      <c r="G24" s="16" t="s">
        <v>143</v>
      </c>
    </row>
    <row r="25" customFormat="false" ht="15" hidden="false" customHeight="false" outlineLevel="0" collapsed="false">
      <c r="A25" s="7" t="n">
        <v>4</v>
      </c>
      <c r="B25" s="7" t="s">
        <v>164</v>
      </c>
      <c r="C25" s="27" t="n">
        <v>0.050103</v>
      </c>
      <c r="D25" s="27" t="n">
        <f aca="false">'Chain-linking'!B21</f>
        <v>0.0501030083352116</v>
      </c>
      <c r="E25" s="35" t="n">
        <f aca="false">D25-C25</f>
        <v>8.33521154874894E-009</v>
      </c>
      <c r="F25" s="36" t="str">
        <f aca="false">IF(ABS(E25)&lt;=0.0000005,"PASS","FAIL")</f>
        <v>PASS</v>
      </c>
      <c r="G25" s="16" t="s">
        <v>143</v>
      </c>
    </row>
    <row r="26" customFormat="false" ht="15" hidden="false" customHeight="false" outlineLevel="0" collapsed="false">
      <c r="A26" s="7" t="n">
        <v>4</v>
      </c>
      <c r="B26" s="7" t="s">
        <v>165</v>
      </c>
      <c r="C26" s="27" t="n">
        <v>0.04927</v>
      </c>
      <c r="D26" s="27" t="n">
        <f aca="false">'Chain-linking'!B23</f>
        <v>0.04927</v>
      </c>
      <c r="E26" s="35" t="n">
        <f aca="false">D26-C26</f>
        <v>0</v>
      </c>
      <c r="F26" s="36" t="str">
        <f aca="false">IF(ABS(E26)&lt;=0.0000005,"PASS","FAIL")</f>
        <v>PASS</v>
      </c>
      <c r="G26" s="16" t="s">
        <v>143</v>
      </c>
    </row>
    <row r="27" customFormat="false" ht="15" hidden="false" customHeight="false" outlineLevel="0" collapsed="false">
      <c r="A27" s="7" t="n">
        <v>4</v>
      </c>
      <c r="B27" s="7" t="s">
        <v>166</v>
      </c>
      <c r="C27" s="27" t="n">
        <v>0.001815</v>
      </c>
      <c r="D27" s="27" t="n">
        <f aca="false">'Chain-linking'!B24</f>
        <v>0.00181474076702222</v>
      </c>
      <c r="E27" s="35" t="n">
        <f aca="false">D27-C27</f>
        <v>-2.59232977781231E-007</v>
      </c>
      <c r="F27" s="36" t="str">
        <f aca="false">IF(ABS(E27)&lt;=0.0000005,"PASS","FAIL")</f>
        <v>PASS</v>
      </c>
      <c r="G27" s="16" t="s">
        <v>143</v>
      </c>
    </row>
    <row r="28" customFormat="false" ht="15" hidden="false" customHeight="false" outlineLevel="0" collapsed="false">
      <c r="A28" s="7" t="n">
        <v>9</v>
      </c>
      <c r="B28" s="7" t="s">
        <v>167</v>
      </c>
      <c r="C28" s="27" t="n">
        <v>0.00028</v>
      </c>
      <c r="D28" s="27" t="n">
        <f aca="false">'Chain-linking'!B25</f>
        <v>0.000280428401810383</v>
      </c>
      <c r="E28" s="35" t="n">
        <f aca="false">D28-C28</f>
        <v>4.28401810382835E-007</v>
      </c>
      <c r="F28" s="36" t="str">
        <f aca="false">IF(ABS(E28)&lt;=0.0000005,"PASS","FAIL")</f>
        <v>PASS</v>
      </c>
      <c r="G28" s="16" t="s">
        <v>143</v>
      </c>
    </row>
    <row r="29" customFormat="false" ht="15" hidden="false" customHeight="false" outlineLevel="0" collapsed="false">
      <c r="A29" s="7" t="n">
        <v>4</v>
      </c>
      <c r="B29" s="7" t="s">
        <v>168</v>
      </c>
      <c r="C29" s="21" t="n">
        <v>6413788.29</v>
      </c>
      <c r="D29" s="21" t="n">
        <f aca="false">'Chain-linking'!B28</f>
        <v>6413788.2869792</v>
      </c>
      <c r="E29" s="35" t="n">
        <f aca="false">D29-C29</f>
        <v>-0.00302080158144236</v>
      </c>
      <c r="F29" s="36" t="str">
        <f aca="false">IF(ABS(E29)&lt;=0.005,"PASS","FAIL")</f>
        <v>PASS</v>
      </c>
      <c r="G29" s="16" t="s">
        <v>151</v>
      </c>
    </row>
    <row r="30" customFormat="false" ht="15" hidden="false" customHeight="false" outlineLevel="0" collapsed="false">
      <c r="A30" s="7" t="n">
        <v>4</v>
      </c>
      <c r="B30" s="7" t="s">
        <v>169</v>
      </c>
      <c r="C30" s="27" t="n">
        <v>-0.068003</v>
      </c>
      <c r="D30" s="27" t="n">
        <f aca="false">'Chain-linking'!B33</f>
        <v>-0.0680031145188885</v>
      </c>
      <c r="E30" s="35" t="n">
        <f aca="false">D30-C30</f>
        <v>-1.14518888524873E-007</v>
      </c>
      <c r="F30" s="36" t="str">
        <f aca="false">IF(ABS(E30)&lt;=0.0000005,"PASS","FAIL")</f>
        <v>PASS</v>
      </c>
      <c r="G30" s="16" t="s">
        <v>143</v>
      </c>
    </row>
    <row r="31" customFormat="false" ht="15" hidden="false" customHeight="false" outlineLevel="0" collapsed="false">
      <c r="A31" s="7" t="n">
        <v>4</v>
      </c>
      <c r="B31" s="7" t="s">
        <v>170</v>
      </c>
      <c r="C31" s="27" t="n">
        <v>0.102066</v>
      </c>
      <c r="D31" s="27" t="n">
        <f aca="false">'Chain-linking'!B35</f>
        <v>0.102065737456029</v>
      </c>
      <c r="E31" s="35" t="n">
        <f aca="false">D31-C31</f>
        <v>-2.62543971438212E-007</v>
      </c>
      <c r="F31" s="36" t="str">
        <f aca="false">IF(ABS(E31)&lt;=0.0000005,"PASS","FAIL")</f>
        <v>PASS</v>
      </c>
      <c r="G31" s="16" t="s">
        <v>143</v>
      </c>
    </row>
    <row r="32" customFormat="false" ht="15" hidden="false" customHeight="false" outlineLevel="0" collapsed="false">
      <c r="A32" s="7" t="n">
        <v>5</v>
      </c>
      <c r="B32" s="7" t="s">
        <v>171</v>
      </c>
      <c r="C32" s="21" t="n">
        <v>3020517.31</v>
      </c>
      <c r="D32" s="21" t="n">
        <f aca="false">'Money-weighted'!B34</f>
        <v>3020517.30552976</v>
      </c>
      <c r="E32" s="35" t="n">
        <f aca="false">D32-C32</f>
        <v>-0.0044702417217195</v>
      </c>
      <c r="F32" s="36" t="str">
        <f aca="false">IF(ABS(E32)&lt;=0.005,"PASS","FAIL")</f>
        <v>PASS</v>
      </c>
      <c r="G32" s="16" t="s">
        <v>151</v>
      </c>
    </row>
    <row r="33" customFormat="false" ht="15" hidden="false" customHeight="false" outlineLevel="0" collapsed="false">
      <c r="A33" s="7" t="n">
        <v>14</v>
      </c>
      <c r="B33" s="7" t="s">
        <v>172</v>
      </c>
      <c r="C33" s="21" t="n">
        <v>14469294.8</v>
      </c>
      <c r="D33" s="21" t="n">
        <f aca="false">'Money-weighted'!B38</f>
        <v>14469294.8001592</v>
      </c>
      <c r="E33" s="35" t="n">
        <f aca="false">D33-C33</f>
        <v>0.000159202143549919</v>
      </c>
      <c r="F33" s="36" t="str">
        <f aca="false">IF(ABS(E33)&lt;=0.005,"PASS","FAIL")</f>
        <v>PASS</v>
      </c>
      <c r="G33" s="16" t="s">
        <v>173</v>
      </c>
    </row>
    <row r="34" customFormat="false" ht="15" hidden="false" customHeight="false" outlineLevel="0" collapsed="false">
      <c r="A34" s="7" t="n">
        <v>14</v>
      </c>
      <c r="B34" s="7" t="s">
        <v>174</v>
      </c>
      <c r="C34" s="21" t="n">
        <v>-8111549.62</v>
      </c>
      <c r="D34" s="21" t="n">
        <f aca="false">'Money-weighted'!B39</f>
        <v>-8111549.61703442</v>
      </c>
      <c r="E34" s="35" t="n">
        <f aca="false">D34-C34</f>
        <v>0.00296557601541281</v>
      </c>
      <c r="F34" s="36" t="str">
        <f aca="false">IF(ABS(E34)&lt;=0.005,"PASS","FAIL")</f>
        <v>PASS</v>
      </c>
      <c r="G34" s="16" t="s">
        <v>175</v>
      </c>
    </row>
    <row r="35" customFormat="false" ht="15" hidden="false" customHeight="false" outlineLevel="0" collapsed="false">
      <c r="A35" s="7" t="n">
        <v>14</v>
      </c>
      <c r="B35" s="7" t="s">
        <v>176</v>
      </c>
      <c r="C35" s="21" t="n">
        <v>0</v>
      </c>
      <c r="D35" s="21" t="n">
        <f aca="false">'Money-weighted'!B43</f>
        <v>1.1734664440155E-007</v>
      </c>
      <c r="E35" s="35" t="n">
        <f aca="false">D35-C35</f>
        <v>1.1734664440155E-007</v>
      </c>
      <c r="F35" s="36" t="str">
        <f aca="false">IF(ABS(E35)&lt;=0.001,"PASS","FAIL")</f>
        <v>PASS</v>
      </c>
      <c r="G35" s="16" t="s">
        <v>177</v>
      </c>
    </row>
    <row r="36" customFormat="false" ht="15" hidden="false" customHeight="false" outlineLevel="0" collapsed="false">
      <c r="A36" s="7" t="n">
        <v>14</v>
      </c>
      <c r="B36" s="7" t="s">
        <v>178</v>
      </c>
      <c r="C36" s="31" t="n">
        <v>0.285</v>
      </c>
      <c r="D36" s="31" t="n">
        <f aca="false">'Money-weighted'!B47</f>
        <v>0.285239418294742</v>
      </c>
      <c r="E36" s="35" t="n">
        <f aca="false">D36-C36</f>
        <v>0.000239418294741778</v>
      </c>
      <c r="F36" s="36" t="str">
        <f aca="false">IF(ABS(E36)&lt;=0.0005,"PASS","FAIL")</f>
        <v>PASS</v>
      </c>
      <c r="G36" s="16" t="s">
        <v>179</v>
      </c>
    </row>
    <row r="38" customFormat="false" ht="15" hidden="false" customHeight="false" outlineLevel="0" collapsed="false">
      <c r="B38" s="14" t="s">
        <v>180</v>
      </c>
      <c r="C38" s="42" t="n">
        <f aca="false">COUNTIF(F6:F36,"PASS")</f>
        <v>31</v>
      </c>
    </row>
    <row r="39" customFormat="false" ht="15" hidden="false" customHeight="false" outlineLevel="0" collapsed="false">
      <c r="B39" s="14" t="s">
        <v>181</v>
      </c>
      <c r="C39" s="42" t="n">
        <f aca="false">COUNTIF(F6:F36,"FAIL")</f>
        <v>0</v>
      </c>
    </row>
    <row r="40" customFormat="false" ht="15" hidden="false" customHeight="false" outlineLevel="0" collapsed="false">
      <c r="B40" s="14" t="s">
        <v>182</v>
      </c>
      <c r="C40" s="14" t="str">
        <f aca="false">IF(C38=31,"ALL OK","SOME FAIL")</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2026-08-29T01:39:48Z</dcterms:created>
  <dc:creator>openpyxl</dc:creator>
  <dc:description/>
  <dc:language>en-US</dc:language>
  <cp:lastModifiedBy/>
  <dcterms:modified xsi:type="dcterms:W3CDTF">2026-09-24T01:11:40Z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