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turns" sheetId="3" state="visible" r:id="rId5"/>
    <sheet name="The Four Numbers" sheetId="4" state="visible" r:id="rId6"/>
    <sheet name="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<sst xmlns="http://schemas.openxmlformats.org/spreadsheetml/2006/main" count="273" uniqueCount="164">
  <si>
    <t xml:space="preserve">Marchwood — The Four Numbers</t>
  </si>
  <si>
    <t xml:space="preserve">Companion workbook 1 to Asset Management, by Julian R. Sterling</t>
  </si>
  <si>
    <t xml:space="preserve">What this workbook is</t>
  </si>
  <si>
    <t xml:space="preserve">The four returns of the Marchwood Mandate, computed from one set of inputs, together with the benchmark, the spread between them and what that spread is worth against the manager's net outperformance.</t>
  </si>
  <si>
    <t xml:space="preserve">How to use it</t>
  </si>
  <si>
    <t xml:space="preserve">Everything on the Inputs sheet is editable. Change a benchmark weight, a segment return, a cash flow or the fee schedule and every number in the workbook moves, including the four headline returns and the ratio between the spread and the outperformance.</t>
  </si>
  <si>
    <t xml:space="preserve">The Returns sheet builds the annual returns from the segments and then runs the account year by year: flow, opening value, value before fees, average assets, fee, closing value, net return. The Four Numbers sheet chains those into the four annualised figures.</t>
  </si>
  <si>
    <t xml:space="preserve">The experiment to run first</t>
  </si>
  <si>
    <t xml:space="preserve">On the Inputs sheet, move the 120,000,000 from Year 2 to Year 3 and the -180,000,000 from Year 3 to Year 4. The gross time-weighted return does not move at all; the net one moves by 0.3 of a basis point, only because the fee breakpoint charges a different rate on a different balance. The money-weighted return moves from 4.13 to 5.14 per cent. That is Chapter 14 in two keystrokes.</t>
  </si>
  <si>
    <t xml:space="preserve">Conventions</t>
  </si>
  <si>
    <t xml:space="preserve">Blue text on a pale yellow fill is an input. Black text is a formula; do not overtype it. Returns are entered as per cent (18.40 means 18.40 per cent) and displayed as percentages once computed.</t>
  </si>
  <si>
    <t xml:space="preserve">The Checks sheet reproduces every figure the book prints from this workbook's own formulas. If a check ever reads FAIL, the workbook is wrong, not the book.</t>
  </si>
  <si>
    <t xml:space="preserve">Revised 24 September 2026. The checks now test to half a unit of the last decimal the book prints; they used to allow 0.5 percentage point on every return, which let the net outperformance of 0.0556 pass at zero. The spread is taken over the four mandate returns only, not the benchmark. Five checks added, including the gross-to-money-weighted distance of 0.9614 (the book prints 0.9615, a difference of rounded figures).</t>
  </si>
  <si>
    <t xml:space="preserve">Marchwood — inputs</t>
  </si>
  <si>
    <t xml:space="preserve">Blue cells on a yellow fill are inputs. Everything else in this workbook is a formula.</t>
  </si>
  <si>
    <t xml:space="preserve">The mandate</t>
  </si>
  <si>
    <t xml:space="preserve">Initial funding, start of Year 1</t>
  </si>
  <si>
    <t xml:space="preserve">Fee rate on the first tranche</t>
  </si>
  <si>
    <t xml:space="preserve">Fee rate above the breakpoint</t>
  </si>
  <si>
    <t xml:space="preserve">Breakpoint (average assets)</t>
  </si>
  <si>
    <t xml:space="preserve">External cash flows, first day of the year</t>
  </si>
  <si>
    <t xml:space="preserve">Year 1</t>
  </si>
  <si>
    <t xml:space="preserve">Year 2</t>
  </si>
  <si>
    <t xml:space="preserve">Year 3</t>
  </si>
  <si>
    <t xml:space="preserve">Year 4</t>
  </si>
  <si>
    <t xml:space="preserve">Year 5</t>
  </si>
  <si>
    <t xml:space="preserve">Flow</t>
  </si>
  <si>
    <t xml:space="preserve">Benchmark weights and segment returns (per cent)</t>
  </si>
  <si>
    <t xml:space="preserve">Segment</t>
  </si>
  <si>
    <t xml:space="preserve">Weight</t>
  </si>
  <si>
    <t xml:space="preserve">Global equities</t>
  </si>
  <si>
    <t xml:space="preserve">Government bonds</t>
  </si>
  <si>
    <t xml:space="preserve">Credit</t>
  </si>
  <si>
    <t xml:space="preserve">Property</t>
  </si>
  <si>
    <t xml:space="preserve">Cash</t>
  </si>
  <si>
    <t xml:space="preserve">Total weight</t>
  </si>
  <si>
    <t xml:space="preserve">Portfolio weights (per cent of the mandate)</t>
  </si>
  <si>
    <t xml:space="preserve">Portfolio segment returns achieved (per cent)</t>
  </si>
  <si>
    <t xml:space="preserve">Cash is held at the benchmark rate in both rows: the mandate does not take a view on it.</t>
  </si>
  <si>
    <t xml:space="preserve">Annual returns, built from the segments</t>
  </si>
  <si>
    <t xml:space="preserve">Each year is the weight vector times the return vector. Nothing here is typed.</t>
  </si>
  <si>
    <t xml:space="preserve">Benchmark return</t>
  </si>
  <si>
    <t xml:space="preserve">Portfolio return, gross</t>
  </si>
  <si>
    <t xml:space="preserve">Active return, gross</t>
  </si>
  <si>
    <t xml:space="preserve">The account, year by year</t>
  </si>
  <si>
    <t xml:space="preserve">External flow</t>
  </si>
  <si>
    <t xml:space="preserve">Opening value, after the flow</t>
  </si>
  <si>
    <t xml:space="preserve">Value before fees</t>
  </si>
  <si>
    <t xml:space="preserve">Average assets for the fee</t>
  </si>
  <si>
    <t xml:space="preserve">Fee</t>
  </si>
  <si>
    <t xml:space="preserve">Closing value</t>
  </si>
  <si>
    <t xml:space="preserve">Net return for the year</t>
  </si>
  <si>
    <t xml:space="preserve">Fees over the five years</t>
  </si>
  <si>
    <t xml:space="preserve">Net contributions</t>
  </si>
  <si>
    <t xml:space="preserve">Gain</t>
  </si>
  <si>
    <t xml:space="preserve">The four numbers</t>
  </si>
  <si>
    <t xml:space="preserve">All four describe the same mandate over the same five years. All four are correct.</t>
  </si>
  <si>
    <t xml:space="preserve">Cumulative growth factors</t>
  </si>
  <si>
    <t xml:space="preserve">Portfolio, gross</t>
  </si>
  <si>
    <t xml:space="preserve">Portfolio, net</t>
  </si>
  <si>
    <t xml:space="preserve">Benchmark</t>
  </si>
  <si>
    <t xml:space="preserve">Portfolio, net, Years 3 to 5</t>
  </si>
  <si>
    <t xml:space="preserve">The cash-flow series the scheme actually faced</t>
  </si>
  <si>
    <t xml:space="preserve">Time</t>
  </si>
  <si>
    <t xml:space="preserve">Cash flow</t>
  </si>
  <si>
    <t xml:space="preserve">Sign convention</t>
  </si>
  <si>
    <t xml:space="preserve">t = 0</t>
  </si>
  <si>
    <t xml:space="preserve">money out of the scheme is negative</t>
  </si>
  <si>
    <t xml:space="preserve">t = 1</t>
  </si>
  <si>
    <t xml:space="preserve">t = 2</t>
  </si>
  <si>
    <t xml:space="preserve">t = 3</t>
  </si>
  <si>
    <t xml:space="preserve">t = 4</t>
  </si>
  <si>
    <t xml:space="preserve">t = 5</t>
  </si>
  <si>
    <t xml:space="preserve">The four numbers, annualised</t>
  </si>
  <si>
    <t xml:space="preserve">Number</t>
  </si>
  <si>
    <t xml:space="preserve">Annualised</t>
  </si>
  <si>
    <t xml:space="preserve">What it answers</t>
  </si>
  <si>
    <t xml:space="preserve">Time-weighted, gross</t>
  </si>
  <si>
    <t xml:space="preserve">How did the manager do, before costs?</t>
  </si>
  <si>
    <t xml:space="preserve">Time-weighted, net</t>
  </si>
  <si>
    <t xml:space="preserve">How did the manager do, after costs?</t>
  </si>
  <si>
    <t xml:space="preserve">Rolling three years, net (Y3-Y5)</t>
  </si>
  <si>
    <t xml:space="preserve">What is on the current factsheet?</t>
  </si>
  <si>
    <t xml:space="preserve">Money-weighted, net</t>
  </si>
  <si>
    <t xml:space="preserve">What did the scheme's money actually earn?</t>
  </si>
  <si>
    <t xml:space="preserve">What did doing nothing return?</t>
  </si>
  <si>
    <t xml:space="preserve">What the spread is worth</t>
  </si>
  <si>
    <t xml:space="preserve">Highest of the four</t>
  </si>
  <si>
    <t xml:space="preserve">Lowest of the four</t>
  </si>
  <si>
    <t xml:space="preserve">Spread between the four</t>
  </si>
  <si>
    <t xml:space="preserve">Outperformance, gross</t>
  </si>
  <si>
    <t xml:space="preserve">Outperformance, net</t>
  </si>
  <si>
    <t xml:space="preserve">Spread divided by net outperformance</t>
  </si>
  <si>
    <t xml:space="preserve">Cost of the cash-flow timing, in return</t>
  </si>
  <si>
    <t xml:space="preserve">The same net capital, placed at inception</t>
  </si>
  <si>
    <t xml:space="preserve">Cost of the cash-flow timing, in money</t>
  </si>
  <si>
    <t xml:space="preserve">Fee drag, in return</t>
  </si>
  <si>
    <t xml:space="preserve">Share of gross outperformance taken by fees</t>
  </si>
  <si>
    <t xml:space="preserve">What separates the pairs</t>
  </si>
  <si>
    <t xml:space="preserve">Start date: the three-year window less the five-year net</t>
  </si>
  <si>
    <t xml:space="preserve">Money-weighted less the benchmark</t>
  </si>
  <si>
    <t xml:space="preserve">Time-weighted gross less money-weighted</t>
  </si>
  <si>
    <t xml:space="preserve">Timing gap as a multiple of the net outperformance</t>
  </si>
  <si>
    <t xml:space="preserve">Fees as a share of the gain</t>
  </si>
  <si>
    <t xml:space="preserve">Start date plus flow schedule, less the spread (zero when the window is highest and the money-weighted lowest)</t>
  </si>
  <si>
    <t xml:space="preserve">Revised 24 September 2026. Rows 33 and 34 take the highest and lowest of the four mandate returns only; the first version included the benchmark row.</t>
  </si>
  <si>
    <t xml:space="preserve">Checks</t>
  </si>
  <si>
    <t xml:space="preserve">Each row sets a figure printed in the book beside the figure this workbook computes.</t>
  </si>
  <si>
    <t xml:space="preserve">The tolerance of each row is half a unit in the last decimal the book prints. Rows marked revised carry the corrected figure; the note says what the first edition printed.</t>
  </si>
  <si>
    <t xml:space="preserve">Ch.</t>
  </si>
  <si>
    <t xml:space="preserve">Figure</t>
  </si>
  <si>
    <t xml:space="preserve">Printed</t>
  </si>
  <si>
    <t xml:space="preserve">Workbook</t>
  </si>
  <si>
    <t xml:space="preserve">Difference</t>
  </si>
  <si>
    <t xml:space="preserve">Result</t>
  </si>
  <si>
    <t xml:space="preserve">Note</t>
  </si>
  <si>
    <t xml:space="preserve">3</t>
  </si>
  <si>
    <t xml:space="preserve">Benchmark return, Year 1</t>
  </si>
  <si>
    <t xml:space="preserve">tolerance 5e-07</t>
  </si>
  <si>
    <t xml:space="preserve">Benchmark return, Year 2</t>
  </si>
  <si>
    <t xml:space="preserve">Benchmark return, Year 3</t>
  </si>
  <si>
    <t xml:space="preserve">Benchmark return, Year 4</t>
  </si>
  <si>
    <t xml:space="preserve">Benchmark return, Year 5</t>
  </si>
  <si>
    <t xml:space="preserve">4</t>
  </si>
  <si>
    <t xml:space="preserve">Portfolio gross return, Year 1</t>
  </si>
  <si>
    <t xml:space="preserve">Portfolio gross return, Year 2</t>
  </si>
  <si>
    <t xml:space="preserve">Portfolio gross return, Year 3</t>
  </si>
  <si>
    <t xml:space="preserve">Portfolio gross return, Year 4</t>
  </si>
  <si>
    <t xml:space="preserve">Portfolio gross return, Year 5</t>
  </si>
  <si>
    <t xml:space="preserve">6</t>
  </si>
  <si>
    <t xml:space="preserve">Fee, Year 1</t>
  </si>
  <si>
    <t xml:space="preserve">tolerance 0.005</t>
  </si>
  <si>
    <t xml:space="preserve">Fee, Year 2</t>
  </si>
  <si>
    <t xml:space="preserve">Fee, Year 3</t>
  </si>
  <si>
    <t xml:space="preserve">Fee, Year 4</t>
  </si>
  <si>
    <t xml:space="preserve">Fee, Year 5</t>
  </si>
  <si>
    <t xml:space="preserve">Fees over five years</t>
  </si>
  <si>
    <t xml:space="preserve">1</t>
  </si>
  <si>
    <t xml:space="preserve">Closing value, Year 1</t>
  </si>
  <si>
    <t xml:space="preserve">Closing value, Year 2</t>
  </si>
  <si>
    <t xml:space="preserve">Closing value, Year 3</t>
  </si>
  <si>
    <t xml:space="preserve">Terminal value</t>
  </si>
  <si>
    <t xml:space="preserve">Gain over five years</t>
  </si>
  <si>
    <t xml:space="preserve">Time-weighted return, gross</t>
  </si>
  <si>
    <t xml:space="preserve">Time-weighted return, net</t>
  </si>
  <si>
    <t xml:space="preserve">15</t>
  </si>
  <si>
    <t xml:space="preserve">Rolling three years, net</t>
  </si>
  <si>
    <t xml:space="preserve">5</t>
  </si>
  <si>
    <t xml:space="preserve">Money-weighted return, net</t>
  </si>
  <si>
    <t xml:space="preserve">Benchmark, annualised</t>
  </si>
  <si>
    <t xml:space="preserve">7</t>
  </si>
  <si>
    <t xml:space="preserve">tolerance 0.05</t>
  </si>
  <si>
    <t xml:space="preserve">14</t>
  </si>
  <si>
    <t xml:space="preserve">Cost of cash-flow timing, in return</t>
  </si>
  <si>
    <t xml:space="preserve">Same capital placed at inception</t>
  </si>
  <si>
    <t xml:space="preserve">Cost of cash-flow timing, in money</t>
  </si>
  <si>
    <t xml:space="preserve">12</t>
  </si>
  <si>
    <t xml:space="preserve">Start date: three-year window less five-year net</t>
  </si>
  <si>
    <t xml:space="preserve">revised: the first edition printed 0.9615, the difference of the rounded figures; tolerance 5e-07</t>
  </si>
  <si>
    <t xml:space="preserve">Start date plus flow schedule less the spread (must be zero)</t>
  </si>
  <si>
    <t xml:space="preserve">tolerance 1e-09</t>
  </si>
  <si>
    <t xml:space="preserve">Checks that pass</t>
  </si>
  <si>
    <t xml:space="preserve">Checks that fail</t>
  </si>
  <si>
    <t xml:space="preserve">All checks</t>
  </si>
</sst>
</file>

<file path=xl/styles.xml><?xml version="1.0" encoding="utf-8"?>
<styleSheet xmlns="http://schemas.openxmlformats.org/spreadsheetml/2006/main">
  <numFmts count="14">
    <numFmt numFmtId="164" formatCode="General"/>
    <numFmt numFmtId="165" formatCode="#,##0;\-#,##0"/>
    <numFmt numFmtId="166" formatCode="0.0000%"/>
    <numFmt numFmtId="167" formatCode="0.0%;\-0.0%"/>
    <numFmt numFmtId="168" formatCode="0.00"/>
    <numFmt numFmtId="169" formatCode="0.00%;\-0.00%"/>
    <numFmt numFmtId="170" formatCode="#,##0.00;\-#,##0.00"/>
    <numFmt numFmtId="171" formatCode="0.0000000"/>
    <numFmt numFmtId="172" formatCode="0.0\x"/>
    <numFmt numFmtId="173" formatCode="0.0000%;\-0.0000%"/>
    <numFmt numFmtId="174" formatCode="0.0"/>
    <numFmt numFmtId="175" formatCode="0.000000"/>
    <numFmt numFmtId="176" formatCode="@"/>
    <numFmt numFmtId="177" formatCode="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10"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10"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7"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45" hidden="false" customHeight="true" outlineLevel="0" collapsed="false">
      <c r="A11" s="5" t="s">
        <v>5</v>
      </c>
    </row>
    <row r="12" customFormat="false" ht="45" hidden="false" customHeight="true" outlineLevel="0" collapsed="false">
      <c r="A12" s="5" t="s">
        <v>6</v>
      </c>
    </row>
    <row r="14" customFormat="false" ht="15" hidden="false" customHeight="false" outlineLevel="0" collapsed="false">
      <c r="A14" s="4" t="s">
        <v>7</v>
      </c>
    </row>
    <row r="16" customFormat="false" ht="45" hidden="false" customHeight="true" outlineLevel="0" collapsed="false">
      <c r="A16" s="5" t="s">
        <v>8</v>
      </c>
    </row>
    <row r="18" customFormat="false" ht="15" hidden="false" customHeight="false" outlineLevel="0" collapsed="false">
      <c r="A18" s="4" t="s">
        <v>9</v>
      </c>
    </row>
    <row r="20" customFormat="false" ht="30" hidden="false" customHeight="true" outlineLevel="0" collapsed="false">
      <c r="A20" s="5" t="s">
        <v>10</v>
      </c>
    </row>
    <row r="21" customFormat="false" ht="30" hidden="false" customHeight="true" outlineLevel="0" collapsed="false">
      <c r="A21" s="5" t="s">
        <v>11</v>
      </c>
    </row>
    <row r="23" customFormat="false" ht="75" hidden="false" customHeight="true" outlineLevel="0" collapsed="false">
      <c r="A23"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6" min="2" style="0" width="16"/>
    <col collapsed="false" customWidth="true" hidden="false" outlineLevel="0" max="7" min="7" style="0" width="14"/>
  </cols>
  <sheetData>
    <row r="1" customFormat="false" ht="24" hidden="false" customHeight="true" outlineLevel="0" collapsed="false">
      <c r="A1" s="1" t="s">
        <v>13</v>
      </c>
    </row>
    <row r="2" customFormat="false" ht="15" hidden="false" customHeight="false" outlineLevel="0" collapsed="false">
      <c r="A2" s="2" t="s">
        <v>14</v>
      </c>
    </row>
    <row r="3" customFormat="false" ht="15" hidden="false" customHeight="false" outlineLevel="0" collapsed="false">
      <c r="A3" s="3"/>
      <c r="B3" s="3"/>
      <c r="C3" s="3"/>
      <c r="D3" s="3"/>
      <c r="E3" s="3"/>
      <c r="F3" s="3"/>
      <c r="G3" s="3"/>
    </row>
    <row r="5" customFormat="false" ht="15" hidden="false" customHeight="false" outlineLevel="0" collapsed="false">
      <c r="A5" s="4" t="s">
        <v>15</v>
      </c>
      <c r="B5" s="6"/>
      <c r="C5" s="6"/>
      <c r="D5" s="6"/>
      <c r="E5" s="6"/>
      <c r="F5" s="6"/>
      <c r="G5" s="6"/>
    </row>
    <row r="7" customFormat="false" ht="15" hidden="false" customHeight="false" outlineLevel="0" collapsed="false">
      <c r="A7" s="7" t="s">
        <v>16</v>
      </c>
      <c r="B7" s="8" t="n">
        <v>500000000</v>
      </c>
    </row>
    <row r="8" customFormat="false" ht="15" hidden="false" customHeight="false" outlineLevel="0" collapsed="false">
      <c r="A8" s="7" t="s">
        <v>17</v>
      </c>
      <c r="B8" s="9" t="n">
        <v>0.0035</v>
      </c>
    </row>
    <row r="9" customFormat="false" ht="15" hidden="false" customHeight="false" outlineLevel="0" collapsed="false">
      <c r="A9" s="7" t="s">
        <v>18</v>
      </c>
      <c r="B9" s="9" t="n">
        <v>0.0022</v>
      </c>
    </row>
    <row r="10" customFormat="false" ht="15" hidden="false" customHeight="false" outlineLevel="0" collapsed="false">
      <c r="A10" s="7" t="s">
        <v>19</v>
      </c>
      <c r="B10" s="8" t="n">
        <v>250000000</v>
      </c>
    </row>
    <row r="12" customFormat="false" ht="15" hidden="false" customHeight="false" outlineLevel="0" collapsed="false">
      <c r="A12" s="4" t="s">
        <v>20</v>
      </c>
      <c r="B12" s="6"/>
      <c r="C12" s="6"/>
      <c r="D12" s="6"/>
      <c r="E12" s="6"/>
      <c r="F12" s="6"/>
      <c r="G12" s="6"/>
    </row>
    <row r="14" customFormat="false" ht="30" hidden="false" customHeight="true" outlineLevel="0" collapsed="false">
      <c r="A14" s="10"/>
      <c r="B14" s="11" t="s">
        <v>21</v>
      </c>
      <c r="C14" s="11" t="s">
        <v>22</v>
      </c>
      <c r="D14" s="11" t="s">
        <v>23</v>
      </c>
      <c r="E14" s="11" t="s">
        <v>24</v>
      </c>
      <c r="F14" s="11" t="s">
        <v>25</v>
      </c>
    </row>
    <row r="15" customFormat="false" ht="15" hidden="false" customHeight="false" outlineLevel="0" collapsed="false">
      <c r="A15" s="7" t="s">
        <v>26</v>
      </c>
      <c r="B15" s="8" t="n">
        <v>0</v>
      </c>
      <c r="C15" s="8" t="n">
        <v>120000000</v>
      </c>
      <c r="D15" s="8" t="n">
        <v>-180000000</v>
      </c>
      <c r="E15" s="8" t="n">
        <v>0</v>
      </c>
      <c r="F15" s="8" t="n">
        <v>0</v>
      </c>
    </row>
    <row r="17" customFormat="false" ht="15" hidden="false" customHeight="false" outlineLevel="0" collapsed="false">
      <c r="A17" s="4" t="s">
        <v>27</v>
      </c>
      <c r="B17" s="6"/>
      <c r="C17" s="6"/>
      <c r="D17" s="6"/>
      <c r="E17" s="6"/>
      <c r="F17" s="6"/>
      <c r="G17" s="6"/>
    </row>
    <row r="19" customFormat="false" ht="30" hidden="false" customHeight="true" outlineLevel="0" collapsed="false">
      <c r="A19" s="10" t="s">
        <v>28</v>
      </c>
      <c r="B19" s="11" t="s">
        <v>29</v>
      </c>
      <c r="C19" s="11" t="s">
        <v>21</v>
      </c>
      <c r="D19" s="11" t="s">
        <v>22</v>
      </c>
      <c r="E19" s="11" t="s">
        <v>23</v>
      </c>
      <c r="F19" s="11" t="s">
        <v>24</v>
      </c>
      <c r="G19" s="11" t="s">
        <v>25</v>
      </c>
    </row>
    <row r="20" customFormat="false" ht="15" hidden="false" customHeight="false" outlineLevel="0" collapsed="false">
      <c r="A20" s="7" t="s">
        <v>30</v>
      </c>
      <c r="B20" s="12" t="n">
        <v>0.45</v>
      </c>
      <c r="C20" s="13" t="n">
        <v>18.4</v>
      </c>
      <c r="D20" s="13" t="n">
        <v>-12.6</v>
      </c>
      <c r="E20" s="13" t="n">
        <v>19.2</v>
      </c>
      <c r="F20" s="13" t="n">
        <v>9.8</v>
      </c>
      <c r="G20" s="13" t="n">
        <v>2.6</v>
      </c>
    </row>
    <row r="21" customFormat="false" ht="15" hidden="false" customHeight="false" outlineLevel="0" collapsed="false">
      <c r="A21" s="7" t="s">
        <v>31</v>
      </c>
      <c r="B21" s="12" t="n">
        <v>0.25</v>
      </c>
      <c r="C21" s="13" t="n">
        <v>-1.2</v>
      </c>
      <c r="D21" s="13" t="n">
        <v>2.8</v>
      </c>
      <c r="E21" s="13" t="n">
        <v>4.1</v>
      </c>
      <c r="F21" s="13" t="n">
        <v>3.2</v>
      </c>
      <c r="G21" s="13" t="n">
        <v>4.4</v>
      </c>
    </row>
    <row r="22" customFormat="false" ht="15" hidden="false" customHeight="false" outlineLevel="0" collapsed="false">
      <c r="A22" s="7" t="s">
        <v>32</v>
      </c>
      <c r="B22" s="12" t="n">
        <v>0.15</v>
      </c>
      <c r="C22" s="13" t="n">
        <v>6.3</v>
      </c>
      <c r="D22" s="13" t="n">
        <v>-3.1</v>
      </c>
      <c r="E22" s="13" t="n">
        <v>8.6</v>
      </c>
      <c r="F22" s="13" t="n">
        <v>5.6</v>
      </c>
      <c r="G22" s="13" t="n">
        <v>3.9</v>
      </c>
    </row>
    <row r="23" customFormat="false" ht="15" hidden="false" customHeight="false" outlineLevel="0" collapsed="false">
      <c r="A23" s="7" t="s">
        <v>33</v>
      </c>
      <c r="B23" s="12" t="n">
        <v>0.1</v>
      </c>
      <c r="C23" s="13" t="n">
        <v>9.1</v>
      </c>
      <c r="D23" s="13" t="n">
        <v>-4.4</v>
      </c>
      <c r="E23" s="13" t="n">
        <v>2.2</v>
      </c>
      <c r="F23" s="13" t="n">
        <v>-1.8</v>
      </c>
      <c r="G23" s="13" t="n">
        <v>0.6</v>
      </c>
    </row>
    <row r="24" customFormat="false" ht="15" hidden="false" customHeight="false" outlineLevel="0" collapsed="false">
      <c r="A24" s="7" t="s">
        <v>34</v>
      </c>
      <c r="B24" s="12" t="n">
        <v>0.05</v>
      </c>
      <c r="C24" s="13" t="n">
        <v>1.1</v>
      </c>
      <c r="D24" s="13" t="n">
        <v>2.4</v>
      </c>
      <c r="E24" s="13" t="n">
        <v>3.3</v>
      </c>
      <c r="F24" s="13" t="n">
        <v>3.9</v>
      </c>
      <c r="G24" s="13" t="n">
        <v>3.6</v>
      </c>
    </row>
    <row r="25" customFormat="false" ht="15" hidden="false" customHeight="false" outlineLevel="0" collapsed="false">
      <c r="A25" s="14" t="s">
        <v>35</v>
      </c>
      <c r="B25" s="15" t="n">
        <f aca="false">SUM(B20:B24)</f>
        <v>1</v>
      </c>
    </row>
    <row r="27" customFormat="false" ht="15" hidden="false" customHeight="false" outlineLevel="0" collapsed="false">
      <c r="A27" s="4" t="s">
        <v>36</v>
      </c>
      <c r="B27" s="6"/>
      <c r="C27" s="6"/>
      <c r="D27" s="6"/>
      <c r="E27" s="6"/>
      <c r="F27" s="6"/>
      <c r="G27" s="6"/>
    </row>
    <row r="29" customFormat="false" ht="30" hidden="false" customHeight="true" outlineLevel="0" collapsed="false">
      <c r="A29" s="10" t="s">
        <v>28</v>
      </c>
      <c r="B29" s="11" t="s">
        <v>21</v>
      </c>
      <c r="C29" s="11" t="s">
        <v>22</v>
      </c>
      <c r="D29" s="11" t="s">
        <v>23</v>
      </c>
      <c r="E29" s="11" t="s">
        <v>24</v>
      </c>
      <c r="F29" s="11" t="s">
        <v>25</v>
      </c>
    </row>
    <row r="30" customFormat="false" ht="15" hidden="false" customHeight="false" outlineLevel="0" collapsed="false">
      <c r="A30" s="7" t="s">
        <v>30</v>
      </c>
      <c r="B30" s="12" t="n">
        <v>0.48</v>
      </c>
      <c r="C30" s="12" t="n">
        <v>0.46</v>
      </c>
      <c r="D30" s="12" t="n">
        <v>0.5</v>
      </c>
      <c r="E30" s="12" t="n">
        <v>0.47</v>
      </c>
      <c r="F30" s="12" t="n">
        <v>0.44</v>
      </c>
    </row>
    <row r="31" customFormat="false" ht="15" hidden="false" customHeight="false" outlineLevel="0" collapsed="false">
      <c r="A31" s="7" t="s">
        <v>31</v>
      </c>
      <c r="B31" s="12" t="n">
        <v>0.22</v>
      </c>
      <c r="C31" s="12" t="n">
        <v>0.24</v>
      </c>
      <c r="D31" s="12" t="n">
        <v>0.2</v>
      </c>
      <c r="E31" s="12" t="n">
        <v>0.23</v>
      </c>
      <c r="F31" s="12" t="n">
        <v>0.26</v>
      </c>
    </row>
    <row r="32" customFormat="false" ht="15" hidden="false" customHeight="false" outlineLevel="0" collapsed="false">
      <c r="A32" s="7" t="s">
        <v>32</v>
      </c>
      <c r="B32" s="12" t="n">
        <v>0.16</v>
      </c>
      <c r="C32" s="12" t="n">
        <v>0.16</v>
      </c>
      <c r="D32" s="12" t="n">
        <v>0.16</v>
      </c>
      <c r="E32" s="12" t="n">
        <v>0.15</v>
      </c>
      <c r="F32" s="12" t="n">
        <v>0.15</v>
      </c>
    </row>
    <row r="33" customFormat="false" ht="15" hidden="false" customHeight="false" outlineLevel="0" collapsed="false">
      <c r="A33" s="7" t="s">
        <v>33</v>
      </c>
      <c r="B33" s="12" t="n">
        <v>0.1</v>
      </c>
      <c r="C33" s="12" t="n">
        <v>0.1</v>
      </c>
      <c r="D33" s="12" t="n">
        <v>0.11</v>
      </c>
      <c r="E33" s="12" t="n">
        <v>0.11</v>
      </c>
      <c r="F33" s="12" t="n">
        <v>0.11</v>
      </c>
    </row>
    <row r="34" customFormat="false" ht="15" hidden="false" customHeight="false" outlineLevel="0" collapsed="false">
      <c r="A34" s="7" t="s">
        <v>34</v>
      </c>
      <c r="B34" s="12" t="n">
        <v>0.04</v>
      </c>
      <c r="C34" s="12" t="n">
        <v>0.04</v>
      </c>
      <c r="D34" s="12" t="n">
        <v>0.03</v>
      </c>
      <c r="E34" s="12" t="n">
        <v>0.04</v>
      </c>
      <c r="F34" s="12" t="n">
        <v>0.04</v>
      </c>
    </row>
    <row r="35" customFormat="false" ht="15" hidden="false" customHeight="false" outlineLevel="0" collapsed="false">
      <c r="A35" s="14" t="s">
        <v>35</v>
      </c>
      <c r="B35" s="15" t="n">
        <f aca="false">SUM(B30:B34)</f>
        <v>1</v>
      </c>
      <c r="C35" s="15" t="n">
        <f aca="false">SUM(C30:C34)</f>
        <v>1</v>
      </c>
      <c r="D35" s="15" t="n">
        <f aca="false">SUM(D30:D34)</f>
        <v>1</v>
      </c>
      <c r="E35" s="15" t="n">
        <f aca="false">SUM(E30:E34)</f>
        <v>1</v>
      </c>
      <c r="F35" s="15" t="n">
        <f aca="false">SUM(F30:F34)</f>
        <v>1</v>
      </c>
    </row>
    <row r="37" customFormat="false" ht="15" hidden="false" customHeight="false" outlineLevel="0" collapsed="false">
      <c r="A37" s="4" t="s">
        <v>37</v>
      </c>
      <c r="B37" s="6"/>
      <c r="C37" s="6"/>
      <c r="D37" s="6"/>
      <c r="E37" s="6"/>
      <c r="F37" s="6"/>
      <c r="G37" s="6"/>
    </row>
    <row r="39" customFormat="false" ht="30" hidden="false" customHeight="true" outlineLevel="0" collapsed="false">
      <c r="A39" s="10" t="s">
        <v>28</v>
      </c>
      <c r="B39" s="11" t="s">
        <v>21</v>
      </c>
      <c r="C39" s="11" t="s">
        <v>22</v>
      </c>
      <c r="D39" s="11" t="s">
        <v>23</v>
      </c>
      <c r="E39" s="11" t="s">
        <v>24</v>
      </c>
      <c r="F39" s="11" t="s">
        <v>25</v>
      </c>
    </row>
    <row r="40" customFormat="false" ht="15" hidden="false" customHeight="false" outlineLevel="0" collapsed="false">
      <c r="A40" s="7" t="s">
        <v>30</v>
      </c>
      <c r="B40" s="13" t="n">
        <v>18.9</v>
      </c>
      <c r="C40" s="13" t="n">
        <v>-12.1</v>
      </c>
      <c r="D40" s="13" t="n">
        <v>19.8</v>
      </c>
      <c r="E40" s="13" t="n">
        <v>9.2</v>
      </c>
      <c r="F40" s="13" t="n">
        <v>2.9</v>
      </c>
    </row>
    <row r="41" customFormat="false" ht="15" hidden="false" customHeight="false" outlineLevel="0" collapsed="false">
      <c r="A41" s="7" t="s">
        <v>31</v>
      </c>
      <c r="B41" s="13" t="n">
        <v>-1</v>
      </c>
      <c r="C41" s="13" t="n">
        <v>2.6</v>
      </c>
      <c r="D41" s="13" t="n">
        <v>3.8</v>
      </c>
      <c r="E41" s="13" t="n">
        <v>3.4</v>
      </c>
      <c r="F41" s="13" t="n">
        <v>4.2</v>
      </c>
    </row>
    <row r="42" customFormat="false" ht="15" hidden="false" customHeight="false" outlineLevel="0" collapsed="false">
      <c r="A42" s="7" t="s">
        <v>32</v>
      </c>
      <c r="B42" s="13" t="n">
        <v>6.9</v>
      </c>
      <c r="C42" s="13" t="n">
        <v>-3.6</v>
      </c>
      <c r="D42" s="13" t="n">
        <v>9.4</v>
      </c>
      <c r="E42" s="13" t="n">
        <v>5.9</v>
      </c>
      <c r="F42" s="13" t="n">
        <v>3.6</v>
      </c>
    </row>
    <row r="43" customFormat="false" ht="15" hidden="false" customHeight="false" outlineLevel="0" collapsed="false">
      <c r="A43" s="7" t="s">
        <v>33</v>
      </c>
      <c r="B43" s="13" t="n">
        <v>8.4</v>
      </c>
      <c r="C43" s="13" t="n">
        <v>-5.1</v>
      </c>
      <c r="D43" s="13" t="n">
        <v>2.6</v>
      </c>
      <c r="E43" s="13" t="n">
        <v>-2.4</v>
      </c>
      <c r="F43" s="13" t="n">
        <v>0.9</v>
      </c>
    </row>
    <row r="44" customFormat="false" ht="15" hidden="false" customHeight="false" outlineLevel="0" collapsed="false">
      <c r="A44" s="7" t="s">
        <v>34</v>
      </c>
      <c r="B44" s="13" t="n">
        <v>1.1</v>
      </c>
      <c r="C44" s="13" t="n">
        <v>2.4</v>
      </c>
      <c r="D44" s="13" t="n">
        <v>3.3</v>
      </c>
      <c r="E44" s="13" t="n">
        <v>3.9</v>
      </c>
      <c r="F44" s="13" t="n">
        <v>3.6</v>
      </c>
    </row>
    <row r="46" customFormat="false" ht="15" hidden="false" customHeight="false" outlineLevel="0" collapsed="false">
      <c r="A46" s="16" t="s">
        <v>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6" min="2" style="0" width="17"/>
  </cols>
  <sheetData>
    <row r="1" customFormat="false" ht="24" hidden="false" customHeight="true" outlineLevel="0" collapsed="false">
      <c r="A1" s="1" t="s">
        <v>39</v>
      </c>
    </row>
    <row r="2" customFormat="false" ht="15" hidden="false" customHeight="false" outlineLevel="0" collapsed="false">
      <c r="A2" s="2" t="s">
        <v>40</v>
      </c>
    </row>
    <row r="3" customFormat="false" ht="15" hidden="false" customHeight="false" outlineLevel="0" collapsed="false">
      <c r="A3" s="3"/>
      <c r="B3" s="3"/>
      <c r="C3" s="3"/>
      <c r="D3" s="3"/>
      <c r="E3" s="3"/>
      <c r="F3" s="3"/>
    </row>
    <row r="5" customFormat="false" ht="30" hidden="false" customHeight="true" outlineLevel="0" collapsed="false">
      <c r="A5" s="10"/>
      <c r="B5" s="11" t="s">
        <v>21</v>
      </c>
      <c r="C5" s="11" t="s">
        <v>22</v>
      </c>
      <c r="D5" s="11" t="s">
        <v>23</v>
      </c>
      <c r="E5" s="11" t="s">
        <v>24</v>
      </c>
      <c r="F5" s="11" t="s">
        <v>25</v>
      </c>
    </row>
    <row r="6" customFormat="false" ht="15" hidden="false" customHeight="false" outlineLevel="0" collapsed="false">
      <c r="A6" s="14" t="s">
        <v>41</v>
      </c>
      <c r="B6" s="17" t="n">
        <f aca="false">SUMPRODUCT(Inputs!$B$20:$B$24,Inputs!C20:C24)/100</f>
        <v>0.0989</v>
      </c>
      <c r="C6" s="17" t="n">
        <f aca="false">SUMPRODUCT(Inputs!$B$20:$B$24,Inputs!D20:D24)/100</f>
        <v>-0.05755</v>
      </c>
      <c r="D6" s="17" t="n">
        <f aca="false">SUMPRODUCT(Inputs!$B$20:$B$24,Inputs!E20:E24)/100</f>
        <v>0.1134</v>
      </c>
      <c r="E6" s="17" t="n">
        <f aca="false">SUMPRODUCT(Inputs!$B$20:$B$24,Inputs!F20:F24)/100</f>
        <v>0.06065</v>
      </c>
      <c r="F6" s="17" t="n">
        <f aca="false">SUMPRODUCT(Inputs!$B$20:$B$24,Inputs!G20:G24)/100</f>
        <v>0.03095</v>
      </c>
    </row>
    <row r="7" customFormat="false" ht="15" hidden="false" customHeight="false" outlineLevel="0" collapsed="false">
      <c r="A7" s="14" t="s">
        <v>42</v>
      </c>
      <c r="B7" s="17" t="n">
        <f aca="false">SUMPRODUCT(Inputs!B30:B34,Inputs!B40:B44)/100</f>
        <v>0.1084</v>
      </c>
      <c r="C7" s="17" t="n">
        <f aca="false">SUMPRODUCT(Inputs!C30:C34,Inputs!C40:C44)/100</f>
        <v>-0.05932</v>
      </c>
      <c r="D7" s="17" t="n">
        <f aca="false">SUMPRODUCT(Inputs!D30:D34,Inputs!D40:D44)/100</f>
        <v>0.12549</v>
      </c>
      <c r="E7" s="17" t="n">
        <f aca="false">SUMPRODUCT(Inputs!E30:E34,Inputs!E40:E44)/100</f>
        <v>0.05883</v>
      </c>
      <c r="F7" s="17" t="n">
        <f aca="false">SUMPRODUCT(Inputs!F30:F34,Inputs!F40:F44)/100</f>
        <v>0.03151</v>
      </c>
    </row>
    <row r="8" customFormat="false" ht="15" hidden="false" customHeight="false" outlineLevel="0" collapsed="false">
      <c r="A8" s="7" t="s">
        <v>43</v>
      </c>
      <c r="B8" s="18" t="n">
        <f aca="false">B7-B6</f>
        <v>0.00950000000000001</v>
      </c>
      <c r="C8" s="18" t="n">
        <f aca="false">C7-C6</f>
        <v>-0.00177</v>
      </c>
      <c r="D8" s="18" t="n">
        <f aca="false">D7-D6</f>
        <v>0.01209</v>
      </c>
      <c r="E8" s="18" t="n">
        <f aca="false">E7-E6</f>
        <v>-0.00182</v>
      </c>
      <c r="F8" s="18" t="n">
        <f aca="false">F7-F6</f>
        <v>0.000560000000000002</v>
      </c>
    </row>
    <row r="10" customFormat="false" ht="15" hidden="false" customHeight="false" outlineLevel="0" collapsed="false">
      <c r="A10" s="4" t="s">
        <v>44</v>
      </c>
      <c r="B10" s="6"/>
      <c r="C10" s="6"/>
      <c r="D10" s="6"/>
      <c r="E10" s="6"/>
      <c r="F10" s="6"/>
    </row>
    <row r="12" customFormat="false" ht="30" hidden="false" customHeight="true" outlineLevel="0" collapsed="false">
      <c r="A12" s="10"/>
      <c r="B12" s="11" t="s">
        <v>21</v>
      </c>
      <c r="C12" s="11" t="s">
        <v>22</v>
      </c>
      <c r="D12" s="11" t="s">
        <v>23</v>
      </c>
      <c r="E12" s="11" t="s">
        <v>24</v>
      </c>
      <c r="F12" s="11" t="s">
        <v>25</v>
      </c>
    </row>
    <row r="13" customFormat="false" ht="15" hidden="false" customHeight="false" outlineLevel="0" collapsed="false">
      <c r="A13" s="7" t="s">
        <v>45</v>
      </c>
      <c r="B13" s="19" t="n">
        <f aca="false">Inputs!B15</f>
        <v>0</v>
      </c>
      <c r="C13" s="19" t="n">
        <f aca="false">Inputs!C15</f>
        <v>120000000</v>
      </c>
      <c r="D13" s="19" t="n">
        <f aca="false">Inputs!D15</f>
        <v>-180000000</v>
      </c>
      <c r="E13" s="19" t="n">
        <f aca="false">Inputs!E15</f>
        <v>0</v>
      </c>
      <c r="F13" s="19" t="n">
        <f aca="false">Inputs!F15</f>
        <v>0</v>
      </c>
    </row>
    <row r="14" customFormat="false" ht="15" hidden="false" customHeight="false" outlineLevel="0" collapsed="false">
      <c r="A14" s="14" t="s">
        <v>46</v>
      </c>
      <c r="B14" s="20" t="n">
        <f aca="false">Inputs!$B$7+B13</f>
        <v>500000000</v>
      </c>
      <c r="C14" s="20" t="n">
        <f aca="false">B18+C13</f>
        <v>672715380</v>
      </c>
      <c r="D14" s="20" t="n">
        <f aca="false">C18+D13</f>
        <v>451048825.846376</v>
      </c>
      <c r="E14" s="20" t="n">
        <f aca="false">D18+E13</f>
        <v>506271373.256104</v>
      </c>
      <c r="F14" s="20" t="n">
        <f aca="false">E18+F13</f>
        <v>534583758.78422</v>
      </c>
    </row>
    <row r="15" customFormat="false" ht="15" hidden="false" customHeight="false" outlineLevel="0" collapsed="false">
      <c r="A15" s="7" t="s">
        <v>47</v>
      </c>
      <c r="B15" s="21" t="n">
        <f aca="false">B14*(1+B7)</f>
        <v>554200000</v>
      </c>
      <c r="C15" s="21" t="n">
        <f aca="false">C14*(1+C7)</f>
        <v>632809903.6584</v>
      </c>
      <c r="D15" s="21" t="n">
        <f aca="false">D14*(1+D7)</f>
        <v>507650943.001837</v>
      </c>
      <c r="E15" s="21" t="n">
        <f aca="false">E14*(1+E7)</f>
        <v>536055318.144761</v>
      </c>
      <c r="F15" s="21" t="n">
        <f aca="false">F14*(1+F7)</f>
        <v>551428493.023511</v>
      </c>
    </row>
    <row r="16" customFormat="false" ht="15" hidden="false" customHeight="false" outlineLevel="0" collapsed="false">
      <c r="A16" s="7" t="s">
        <v>48</v>
      </c>
      <c r="B16" s="21" t="n">
        <f aca="false">(B14+B15)/2</f>
        <v>527100000</v>
      </c>
      <c r="C16" s="21" t="n">
        <f aca="false">(C14+C15)/2</f>
        <v>652762641.8292</v>
      </c>
      <c r="D16" s="21" t="n">
        <f aca="false">(D14+D15)/2</f>
        <v>479349884.424107</v>
      </c>
      <c r="E16" s="21" t="n">
        <f aca="false">(E14+E15)/2</f>
        <v>521163345.700433</v>
      </c>
      <c r="F16" s="21" t="n">
        <f aca="false">(F14+F15)/2</f>
        <v>543006125.903866</v>
      </c>
    </row>
    <row r="17" customFormat="false" ht="15" hidden="false" customHeight="false" outlineLevel="0" collapsed="false">
      <c r="A17" s="7" t="s">
        <v>49</v>
      </c>
      <c r="B17" s="21" t="n">
        <f aca="false">MIN(B16,Inputs!$B$10)*Inputs!$B$8+MAX(0,B16-Inputs!$B$10)*Inputs!$B$9</f>
        <v>1484620</v>
      </c>
      <c r="C17" s="21" t="n">
        <f aca="false">MIN(C16,Inputs!$B$10)*Inputs!$B$8+MAX(0,C16-Inputs!$B$10)*Inputs!$B$9</f>
        <v>1761077.81202424</v>
      </c>
      <c r="D17" s="21" t="n">
        <f aca="false">MIN(D16,Inputs!$B$10)*Inputs!$B$8+MAX(0,D16-Inputs!$B$10)*Inputs!$B$9</f>
        <v>1379569.74573303</v>
      </c>
      <c r="E17" s="21" t="n">
        <f aca="false">MIN(E16,Inputs!$B$10)*Inputs!$B$8+MAX(0,E16-Inputs!$B$10)*Inputs!$B$9</f>
        <v>1471559.36054095</v>
      </c>
      <c r="F17" s="21" t="n">
        <f aca="false">MIN(F16,Inputs!$B$10)*Inputs!$B$8+MAX(0,F16-Inputs!$B$10)*Inputs!$B$9</f>
        <v>1519613.4769885</v>
      </c>
    </row>
    <row r="18" customFormat="false" ht="15" hidden="false" customHeight="false" outlineLevel="0" collapsed="false">
      <c r="A18" s="14" t="s">
        <v>50</v>
      </c>
      <c r="B18" s="20" t="n">
        <f aca="false">B15-B17</f>
        <v>552715380</v>
      </c>
      <c r="C18" s="20" t="n">
        <f aca="false">C15-C17</f>
        <v>631048825.846376</v>
      </c>
      <c r="D18" s="20" t="n">
        <f aca="false">D15-D17</f>
        <v>506271373.256104</v>
      </c>
      <c r="E18" s="20" t="n">
        <f aca="false">E15-E17</f>
        <v>534583758.78422</v>
      </c>
      <c r="F18" s="20" t="n">
        <f aca="false">F15-F17</f>
        <v>549908879.546522</v>
      </c>
    </row>
    <row r="19" customFormat="false" ht="15" hidden="false" customHeight="false" outlineLevel="0" collapsed="false">
      <c r="A19" s="14" t="s">
        <v>51</v>
      </c>
      <c r="B19" s="17" t="n">
        <f aca="false">B18/B14-1</f>
        <v>0.10543076</v>
      </c>
      <c r="C19" s="17" t="n">
        <f aca="false">C18/C14-1</f>
        <v>-0.0619378646488271</v>
      </c>
      <c r="D19" s="17" t="n">
        <f aca="false">D18/D14-1</f>
        <v>0.122431418164332</v>
      </c>
      <c r="E19" s="17" t="n">
        <f aca="false">E18/E14-1</f>
        <v>0.0559233387936267</v>
      </c>
      <c r="F19" s="17" t="n">
        <f aca="false">F18/F14-1</f>
        <v>0.028667389366926</v>
      </c>
    </row>
    <row r="21" customFormat="false" ht="15" hidden="false" customHeight="false" outlineLevel="0" collapsed="false">
      <c r="A21" s="14" t="s">
        <v>52</v>
      </c>
      <c r="B21" s="20" t="n">
        <f aca="false">SUM(B17:F17)</f>
        <v>7616440.39528673</v>
      </c>
    </row>
    <row r="22" customFormat="false" ht="15" hidden="false" customHeight="false" outlineLevel="0" collapsed="false">
      <c r="A22" s="7" t="s">
        <v>53</v>
      </c>
      <c r="B22" s="21" t="n">
        <f aca="false">Inputs!B7+SUM(B13:F13)</f>
        <v>440000000</v>
      </c>
    </row>
    <row r="23" customFormat="false" ht="15" hidden="false" customHeight="false" outlineLevel="0" collapsed="false">
      <c r="A23" s="7" t="s">
        <v>54</v>
      </c>
      <c r="B23" s="21" t="n">
        <f aca="false">F18-B22</f>
        <v>109908879.546522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6"/>
    <col collapsed="false" customWidth="true" hidden="false" outlineLevel="0" max="3" min="3" style="0" width="58"/>
  </cols>
  <sheetData>
    <row r="1" customFormat="false" ht="24" hidden="false" customHeight="true" outlineLevel="0" collapsed="false">
      <c r="A1" s="1" t="s">
        <v>55</v>
      </c>
    </row>
    <row r="2" customFormat="false" ht="15" hidden="false" customHeight="false" outlineLevel="0" collapsed="false">
      <c r="A2" s="2" t="s">
        <v>56</v>
      </c>
    </row>
    <row r="3" customFormat="false" ht="15" hidden="false" customHeight="false" outlineLevel="0" collapsed="false">
      <c r="A3" s="3"/>
      <c r="B3" s="3"/>
      <c r="C3" s="3"/>
    </row>
    <row r="5" customFormat="false" ht="15" hidden="false" customHeight="false" outlineLevel="0" collapsed="false">
      <c r="A5" s="4" t="s">
        <v>57</v>
      </c>
      <c r="B5" s="6"/>
      <c r="C5" s="6"/>
    </row>
    <row r="7" customFormat="false" ht="15" hidden="false" customHeight="false" outlineLevel="0" collapsed="false">
      <c r="A7" s="7" t="s">
        <v>58</v>
      </c>
      <c r="B7" s="22" t="n">
        <f aca="false">(1+Returns!B7)*(1+Returns!C7)*(1+Returns!D7)*(1+Returns!E7)*(1+Returns!F7)</f>
        <v>1.28168041664355</v>
      </c>
    </row>
    <row r="8" customFormat="false" ht="15" hidden="false" customHeight="false" outlineLevel="0" collapsed="false">
      <c r="A8" s="7" t="s">
        <v>59</v>
      </c>
      <c r="B8" s="22" t="n">
        <f aca="false">(1+Returns!B19)*(1+Returns!C19)*(1+Returns!D19)*(1+Returns!E19)*(1+Returns!F19)</f>
        <v>1.26424232893102</v>
      </c>
    </row>
    <row r="9" customFormat="false" ht="15" hidden="false" customHeight="false" outlineLevel="0" collapsed="false">
      <c r="A9" s="7" t="s">
        <v>60</v>
      </c>
      <c r="B9" s="22" t="n">
        <f aca="false">(1+Returns!B6)*(1+Returns!C6)*(1+Returns!D6)*(1+Returns!E6)*(1+Returns!F6)</f>
        <v>1.26089060389106</v>
      </c>
    </row>
    <row r="10" customFormat="false" ht="15" hidden="false" customHeight="false" outlineLevel="0" collapsed="false">
      <c r="A10" s="7" t="s">
        <v>61</v>
      </c>
      <c r="B10" s="22" t="n">
        <f aca="false">(1+Returns!D19)*(1+Returns!E19)*(1+Returns!F19)</f>
        <v>1.21917816439194</v>
      </c>
    </row>
    <row r="12" customFormat="false" ht="15" hidden="false" customHeight="false" outlineLevel="0" collapsed="false">
      <c r="A12" s="4" t="s">
        <v>62</v>
      </c>
      <c r="B12" s="6"/>
      <c r="C12" s="6"/>
    </row>
    <row r="14" customFormat="false" ht="30" hidden="false" customHeight="true" outlineLevel="0" collapsed="false">
      <c r="A14" s="10" t="s">
        <v>63</v>
      </c>
      <c r="B14" s="11" t="s">
        <v>64</v>
      </c>
      <c r="C14" s="11" t="s">
        <v>65</v>
      </c>
    </row>
    <row r="15" customFormat="false" ht="15" hidden="false" customHeight="false" outlineLevel="0" collapsed="false">
      <c r="A15" s="7" t="s">
        <v>66</v>
      </c>
      <c r="B15" s="21" t="n">
        <f aca="false">-Inputs!B7</f>
        <v>-500000000</v>
      </c>
      <c r="C15" s="7" t="s">
        <v>67</v>
      </c>
    </row>
    <row r="16" customFormat="false" ht="15" hidden="false" customHeight="false" outlineLevel="0" collapsed="false">
      <c r="A16" s="7" t="s">
        <v>68</v>
      </c>
      <c r="B16" s="21" t="n">
        <f aca="false">-Returns!C13</f>
        <v>-120000000</v>
      </c>
      <c r="C16" s="7"/>
    </row>
    <row r="17" customFormat="false" ht="15" hidden="false" customHeight="false" outlineLevel="0" collapsed="false">
      <c r="A17" s="7" t="s">
        <v>69</v>
      </c>
      <c r="B17" s="21" t="n">
        <f aca="false">-Returns!D13</f>
        <v>180000000</v>
      </c>
      <c r="C17" s="7"/>
    </row>
    <row r="18" customFormat="false" ht="15" hidden="false" customHeight="false" outlineLevel="0" collapsed="false">
      <c r="A18" s="7" t="s">
        <v>70</v>
      </c>
      <c r="B18" s="21" t="n">
        <f aca="false">-Returns!E13</f>
        <v>-0</v>
      </c>
      <c r="C18" s="7"/>
    </row>
    <row r="19" customFormat="false" ht="15" hidden="false" customHeight="false" outlineLevel="0" collapsed="false">
      <c r="A19" s="7" t="s">
        <v>71</v>
      </c>
      <c r="B19" s="21" t="n">
        <f aca="false">-Returns!F13</f>
        <v>-0</v>
      </c>
      <c r="C19" s="7"/>
    </row>
    <row r="20" customFormat="false" ht="15" hidden="false" customHeight="false" outlineLevel="0" collapsed="false">
      <c r="A20" s="7" t="s">
        <v>72</v>
      </c>
      <c r="B20" s="21" t="n">
        <f aca="false">Returns!F18</f>
        <v>549908879.546522</v>
      </c>
      <c r="C20" s="7"/>
    </row>
    <row r="22" customFormat="false" ht="15" hidden="false" customHeight="false" outlineLevel="0" collapsed="false">
      <c r="A22" s="4" t="s">
        <v>73</v>
      </c>
      <c r="B22" s="6"/>
      <c r="C22" s="6"/>
    </row>
    <row r="24" customFormat="false" ht="30" hidden="false" customHeight="true" outlineLevel="0" collapsed="false">
      <c r="A24" s="10" t="s">
        <v>74</v>
      </c>
      <c r="B24" s="11" t="s">
        <v>75</v>
      </c>
      <c r="C24" s="11" t="s">
        <v>76</v>
      </c>
    </row>
    <row r="25" customFormat="false" ht="15" hidden="false" customHeight="false" outlineLevel="0" collapsed="false">
      <c r="A25" s="14" t="s">
        <v>77</v>
      </c>
      <c r="B25" s="23" t="n">
        <f aca="false">B7^(1/5)-1</f>
        <v>0.0508868308311674</v>
      </c>
      <c r="C25" s="7" t="s">
        <v>78</v>
      </c>
    </row>
    <row r="26" customFormat="false" ht="15" hidden="false" customHeight="false" outlineLevel="0" collapsed="false">
      <c r="A26" s="14" t="s">
        <v>79</v>
      </c>
      <c r="B26" s="23" t="n">
        <f aca="false">B8^(1/5)-1</f>
        <v>0.0480115414321958</v>
      </c>
      <c r="C26" s="7" t="s">
        <v>80</v>
      </c>
    </row>
    <row r="27" customFormat="false" ht="15" hidden="false" customHeight="false" outlineLevel="0" collapsed="false">
      <c r="A27" s="14" t="s">
        <v>81</v>
      </c>
      <c r="B27" s="23" t="n">
        <f aca="false">B10^(1/3)-1</f>
        <v>0.0682897429794644</v>
      </c>
      <c r="C27" s="7" t="s">
        <v>82</v>
      </c>
    </row>
    <row r="28" customFormat="false" ht="15" hidden="false" customHeight="false" outlineLevel="0" collapsed="false">
      <c r="A28" s="14" t="s">
        <v>83</v>
      </c>
      <c r="B28" s="23" t="n">
        <f aca="false">IRR(B15:B20)</f>
        <v>0.0412724973969943</v>
      </c>
      <c r="C28" s="7" t="s">
        <v>84</v>
      </c>
    </row>
    <row r="29" customFormat="false" ht="15" hidden="false" customHeight="false" outlineLevel="0" collapsed="false">
      <c r="A29" s="14" t="s">
        <v>60</v>
      </c>
      <c r="B29" s="23" t="n">
        <f aca="false">B9^(1/5)-1</f>
        <v>0.0474552592329778</v>
      </c>
      <c r="C29" s="7" t="s">
        <v>85</v>
      </c>
    </row>
    <row r="31" customFormat="false" ht="15" hidden="false" customHeight="false" outlineLevel="0" collapsed="false">
      <c r="A31" s="4" t="s">
        <v>86</v>
      </c>
      <c r="B31" s="6"/>
      <c r="C31" s="6"/>
    </row>
    <row r="33" customFormat="false" ht="15" hidden="false" customHeight="false" outlineLevel="0" collapsed="false">
      <c r="A33" s="14" t="s">
        <v>87</v>
      </c>
      <c r="B33" s="24" t="n">
        <f aca="false">MAX(B25:B28)</f>
        <v>0.0682897429794644</v>
      </c>
    </row>
    <row r="34" customFormat="false" ht="15" hidden="false" customHeight="false" outlineLevel="0" collapsed="false">
      <c r="A34" s="7" t="s">
        <v>88</v>
      </c>
      <c r="B34" s="24" t="n">
        <f aca="false">MIN(B25:B28)</f>
        <v>0.0412724973969943</v>
      </c>
    </row>
    <row r="35" customFormat="false" ht="15" hidden="false" customHeight="false" outlineLevel="0" collapsed="false">
      <c r="A35" s="14" t="s">
        <v>89</v>
      </c>
      <c r="B35" s="23" t="n">
        <f aca="false">B33-B34</f>
        <v>0.0270172455824701</v>
      </c>
    </row>
    <row r="36" customFormat="false" ht="15" hidden="false" customHeight="false" outlineLevel="0" collapsed="false">
      <c r="A36" s="7" t="s">
        <v>90</v>
      </c>
      <c r="B36" s="24" t="n">
        <f aca="false">B25-B29</f>
        <v>0.00343157159818963</v>
      </c>
    </row>
    <row r="37" customFormat="false" ht="15" hidden="false" customHeight="false" outlineLevel="0" collapsed="false">
      <c r="A37" s="14" t="s">
        <v>91</v>
      </c>
      <c r="B37" s="23" t="n">
        <f aca="false">B26-B29</f>
        <v>0.000556282199217995</v>
      </c>
    </row>
    <row r="38" customFormat="false" ht="15" hidden="false" customHeight="false" outlineLevel="0" collapsed="false">
      <c r="A38" s="14" t="s">
        <v>92</v>
      </c>
      <c r="B38" s="25" t="n">
        <f aca="false">B35/B37</f>
        <v>48.5675177462989</v>
      </c>
    </row>
    <row r="39" customFormat="false" ht="15" hidden="false" customHeight="false" outlineLevel="0" collapsed="false">
      <c r="A39" s="7" t="s">
        <v>93</v>
      </c>
      <c r="B39" s="24" t="n">
        <f aca="false">B26-B28</f>
        <v>0.00673904403520147</v>
      </c>
    </row>
    <row r="40" customFormat="false" ht="15" hidden="false" customHeight="false" outlineLevel="0" collapsed="false">
      <c r="A40" s="7" t="s">
        <v>94</v>
      </c>
      <c r="B40" s="21" t="n">
        <f aca="false">Returns!B22*B8</f>
        <v>556266624.729647</v>
      </c>
    </row>
    <row r="41" customFormat="false" ht="15" hidden="false" customHeight="false" outlineLevel="0" collapsed="false">
      <c r="A41" s="14" t="s">
        <v>95</v>
      </c>
      <c r="B41" s="20" t="n">
        <f aca="false">B40-Returns!F18</f>
        <v>6357745.18312466</v>
      </c>
    </row>
    <row r="42" customFormat="false" ht="15" hidden="false" customHeight="false" outlineLevel="0" collapsed="false">
      <c r="A42" s="7" t="s">
        <v>96</v>
      </c>
      <c r="B42" s="24" t="n">
        <f aca="false">B25-B26</f>
        <v>0.00287528939897164</v>
      </c>
    </row>
    <row r="43" customFormat="false" ht="15" hidden="false" customHeight="false" outlineLevel="0" collapsed="false">
      <c r="A43" s="14" t="s">
        <v>97</v>
      </c>
      <c r="B43" s="23" t="n">
        <f aca="false">B42/B36</f>
        <v>0.837892876980487</v>
      </c>
    </row>
    <row r="45" customFormat="false" ht="15" hidden="false" customHeight="false" outlineLevel="0" collapsed="false">
      <c r="A45" s="26" t="s">
        <v>98</v>
      </c>
    </row>
    <row r="46" customFormat="false" ht="15" hidden="false" customHeight="false" outlineLevel="0" collapsed="false">
      <c r="A46" s="7" t="s">
        <v>99</v>
      </c>
      <c r="B46" s="27" t="n">
        <f aca="false">B27-B26</f>
        <v>0.0202782015472687</v>
      </c>
    </row>
    <row r="47" customFormat="false" ht="15" hidden="false" customHeight="false" outlineLevel="0" collapsed="false">
      <c r="A47" s="7" t="s">
        <v>100</v>
      </c>
      <c r="B47" s="27" t="n">
        <f aca="false">B28-B29</f>
        <v>-0.00618276183598348</v>
      </c>
    </row>
    <row r="48" customFormat="false" ht="15" hidden="false" customHeight="false" outlineLevel="0" collapsed="false">
      <c r="A48" s="7" t="s">
        <v>101</v>
      </c>
      <c r="B48" s="27" t="n">
        <f aca="false">B25-B28</f>
        <v>0.00961433343417311</v>
      </c>
    </row>
    <row r="49" customFormat="false" ht="15" hidden="false" customHeight="false" outlineLevel="0" collapsed="false">
      <c r="A49" s="7" t="s">
        <v>102</v>
      </c>
      <c r="B49" s="28" t="n">
        <f aca="false">B39/B37</f>
        <v>12.114434085209</v>
      </c>
    </row>
    <row r="50" customFormat="false" ht="15" hidden="false" customHeight="false" outlineLevel="0" collapsed="false">
      <c r="A50" s="7" t="s">
        <v>103</v>
      </c>
      <c r="B50" s="27" t="n">
        <f aca="false">Returns!B21/Returns!B23</f>
        <v>0.0692977712693618</v>
      </c>
    </row>
    <row r="51" customFormat="false" ht="15" hidden="false" customHeight="false" outlineLevel="0" collapsed="false">
      <c r="A51" s="7" t="s">
        <v>104</v>
      </c>
      <c r="B51" s="27" t="n">
        <f aca="false">B46+B39-B35</f>
        <v>0</v>
      </c>
    </row>
    <row r="52" customFormat="false" ht="15" hidden="false" customHeight="false" outlineLevel="0" collapsed="false">
      <c r="A52" s="16" t="s">
        <v>105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0"/>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70"/>
  </cols>
  <sheetData>
    <row r="1" customFormat="false" ht="24" hidden="false" customHeight="true" outlineLevel="0" collapsed="false">
      <c r="A1" s="1" t="s">
        <v>106</v>
      </c>
    </row>
    <row r="2" customFormat="false" ht="15" hidden="false" customHeight="false" outlineLevel="0" collapsed="false">
      <c r="A2" s="2" t="s">
        <v>107</v>
      </c>
    </row>
    <row r="3" customFormat="false" ht="15" hidden="false" customHeight="false" outlineLevel="0" collapsed="false">
      <c r="A3" s="29" t="s">
        <v>108</v>
      </c>
      <c r="B3" s="3"/>
      <c r="C3" s="3"/>
      <c r="D3" s="3"/>
      <c r="E3" s="3"/>
      <c r="F3" s="3"/>
    </row>
    <row r="5" customFormat="false" ht="30" hidden="false" customHeight="true" outlineLevel="0" collapsed="false">
      <c r="A5" s="10" t="s">
        <v>109</v>
      </c>
      <c r="B5" s="11" t="s">
        <v>110</v>
      </c>
      <c r="C5" s="11" t="s">
        <v>111</v>
      </c>
      <c r="D5" s="11" t="s">
        <v>112</v>
      </c>
      <c r="E5" s="11" t="s">
        <v>113</v>
      </c>
      <c r="F5" s="11" t="s">
        <v>114</v>
      </c>
      <c r="G5" s="30" t="s">
        <v>115</v>
      </c>
    </row>
    <row r="6" customFormat="false" ht="15" hidden="false" customHeight="false" outlineLevel="0" collapsed="false">
      <c r="A6" s="7" t="s">
        <v>116</v>
      </c>
      <c r="B6" s="7" t="s">
        <v>117</v>
      </c>
      <c r="C6" s="24" t="n">
        <v>0.0989</v>
      </c>
      <c r="D6" s="24" t="n">
        <f aca="false">Returns!B6</f>
        <v>0.0989</v>
      </c>
      <c r="E6" s="31" t="n">
        <f aca="false">D6-C6</f>
        <v>0</v>
      </c>
      <c r="F6" s="32" t="str">
        <f aca="false">IF(ABS(E6)&lt;=0.0000005,"PASS","FAIL")</f>
        <v>PASS</v>
      </c>
      <c r="G6" s="16" t="s">
        <v>118</v>
      </c>
    </row>
    <row r="7" customFormat="false" ht="15" hidden="false" customHeight="false" outlineLevel="0" collapsed="false">
      <c r="A7" s="33" t="s">
        <v>116</v>
      </c>
      <c r="B7" s="33" t="s">
        <v>119</v>
      </c>
      <c r="C7" s="34" t="n">
        <v>-0.05755</v>
      </c>
      <c r="D7" s="34" t="n">
        <f aca="false">Returns!C6</f>
        <v>-0.05755</v>
      </c>
      <c r="E7" s="35" t="n">
        <f aca="false">D7-C7</f>
        <v>0</v>
      </c>
      <c r="F7" s="36" t="str">
        <f aca="false">IF(ABS(E7)&lt;=0.0000005,"PASS","FAIL")</f>
        <v>PASS</v>
      </c>
      <c r="G7" s="16" t="s">
        <v>118</v>
      </c>
    </row>
    <row r="8" customFormat="false" ht="15" hidden="false" customHeight="false" outlineLevel="0" collapsed="false">
      <c r="A8" s="7" t="s">
        <v>116</v>
      </c>
      <c r="B8" s="7" t="s">
        <v>120</v>
      </c>
      <c r="C8" s="24" t="n">
        <v>0.1134</v>
      </c>
      <c r="D8" s="24" t="n">
        <f aca="false">Returns!D6</f>
        <v>0.1134</v>
      </c>
      <c r="E8" s="31" t="n">
        <f aca="false">D8-C8</f>
        <v>0</v>
      </c>
      <c r="F8" s="32" t="str">
        <f aca="false">IF(ABS(E8)&lt;=0.0000005,"PASS","FAIL")</f>
        <v>PASS</v>
      </c>
      <c r="G8" s="16" t="s">
        <v>118</v>
      </c>
    </row>
    <row r="9" customFormat="false" ht="15" hidden="false" customHeight="false" outlineLevel="0" collapsed="false">
      <c r="A9" s="33" t="s">
        <v>116</v>
      </c>
      <c r="B9" s="33" t="s">
        <v>121</v>
      </c>
      <c r="C9" s="34" t="n">
        <v>0.06065</v>
      </c>
      <c r="D9" s="34" t="n">
        <f aca="false">Returns!E6</f>
        <v>0.06065</v>
      </c>
      <c r="E9" s="35" t="n">
        <f aca="false">D9-C9</f>
        <v>0</v>
      </c>
      <c r="F9" s="36" t="str">
        <f aca="false">IF(ABS(E9)&lt;=0.0000005,"PASS","FAIL")</f>
        <v>PASS</v>
      </c>
      <c r="G9" s="16" t="s">
        <v>118</v>
      </c>
    </row>
    <row r="10" customFormat="false" ht="15" hidden="false" customHeight="false" outlineLevel="0" collapsed="false">
      <c r="A10" s="7" t="s">
        <v>116</v>
      </c>
      <c r="B10" s="7" t="s">
        <v>122</v>
      </c>
      <c r="C10" s="24" t="n">
        <v>0.03095</v>
      </c>
      <c r="D10" s="24" t="n">
        <f aca="false">Returns!F6</f>
        <v>0.03095</v>
      </c>
      <c r="E10" s="31" t="n">
        <f aca="false">D10-C10</f>
        <v>0</v>
      </c>
      <c r="F10" s="32" t="str">
        <f aca="false">IF(ABS(E10)&lt;=0.0000005,"PASS","FAIL")</f>
        <v>PASS</v>
      </c>
      <c r="G10" s="16" t="s">
        <v>118</v>
      </c>
    </row>
    <row r="11" customFormat="false" ht="15" hidden="false" customHeight="false" outlineLevel="0" collapsed="false">
      <c r="A11" s="33" t="s">
        <v>123</v>
      </c>
      <c r="B11" s="33" t="s">
        <v>124</v>
      </c>
      <c r="C11" s="34" t="n">
        <v>0.1084</v>
      </c>
      <c r="D11" s="34" t="n">
        <f aca="false">Returns!B7</f>
        <v>0.1084</v>
      </c>
      <c r="E11" s="35" t="n">
        <f aca="false">D11-C11</f>
        <v>0</v>
      </c>
      <c r="F11" s="36" t="str">
        <f aca="false">IF(ABS(E11)&lt;=0.0000005,"PASS","FAIL")</f>
        <v>PASS</v>
      </c>
      <c r="G11" s="16" t="s">
        <v>118</v>
      </c>
    </row>
    <row r="12" customFormat="false" ht="15" hidden="false" customHeight="false" outlineLevel="0" collapsed="false">
      <c r="A12" s="7" t="s">
        <v>123</v>
      </c>
      <c r="B12" s="7" t="s">
        <v>125</v>
      </c>
      <c r="C12" s="24" t="n">
        <v>-0.05932</v>
      </c>
      <c r="D12" s="24" t="n">
        <f aca="false">Returns!C7</f>
        <v>-0.05932</v>
      </c>
      <c r="E12" s="31" t="n">
        <f aca="false">D12-C12</f>
        <v>0</v>
      </c>
      <c r="F12" s="32" t="str">
        <f aca="false">IF(ABS(E12)&lt;=0.0000005,"PASS","FAIL")</f>
        <v>PASS</v>
      </c>
      <c r="G12" s="16" t="s">
        <v>118</v>
      </c>
    </row>
    <row r="13" customFormat="false" ht="15" hidden="false" customHeight="false" outlineLevel="0" collapsed="false">
      <c r="A13" s="33" t="s">
        <v>123</v>
      </c>
      <c r="B13" s="33" t="s">
        <v>126</v>
      </c>
      <c r="C13" s="34" t="n">
        <v>0.12549</v>
      </c>
      <c r="D13" s="34" t="n">
        <f aca="false">Returns!D7</f>
        <v>0.12549</v>
      </c>
      <c r="E13" s="35" t="n">
        <f aca="false">D13-C13</f>
        <v>0</v>
      </c>
      <c r="F13" s="36" t="str">
        <f aca="false">IF(ABS(E13)&lt;=0.0000005,"PASS","FAIL")</f>
        <v>PASS</v>
      </c>
      <c r="G13" s="16" t="s">
        <v>118</v>
      </c>
    </row>
    <row r="14" customFormat="false" ht="15" hidden="false" customHeight="false" outlineLevel="0" collapsed="false">
      <c r="A14" s="7" t="s">
        <v>123</v>
      </c>
      <c r="B14" s="7" t="s">
        <v>127</v>
      </c>
      <c r="C14" s="24" t="n">
        <v>0.05883</v>
      </c>
      <c r="D14" s="24" t="n">
        <f aca="false">Returns!E7</f>
        <v>0.05883</v>
      </c>
      <c r="E14" s="31" t="n">
        <f aca="false">D14-C14</f>
        <v>0</v>
      </c>
      <c r="F14" s="32" t="str">
        <f aca="false">IF(ABS(E14)&lt;=0.0000005,"PASS","FAIL")</f>
        <v>PASS</v>
      </c>
      <c r="G14" s="16" t="s">
        <v>118</v>
      </c>
    </row>
    <row r="15" customFormat="false" ht="15" hidden="false" customHeight="false" outlineLevel="0" collapsed="false">
      <c r="A15" s="33" t="s">
        <v>123</v>
      </c>
      <c r="B15" s="33" t="s">
        <v>128</v>
      </c>
      <c r="C15" s="34" t="n">
        <v>0.03151</v>
      </c>
      <c r="D15" s="34" t="n">
        <f aca="false">Returns!F7</f>
        <v>0.03151</v>
      </c>
      <c r="E15" s="35" t="n">
        <f aca="false">D15-C15</f>
        <v>0</v>
      </c>
      <c r="F15" s="36" t="str">
        <f aca="false">IF(ABS(E15)&lt;=0.0000005,"PASS","FAIL")</f>
        <v>PASS</v>
      </c>
      <c r="G15" s="16" t="s">
        <v>118</v>
      </c>
    </row>
    <row r="16" customFormat="false" ht="15" hidden="false" customHeight="false" outlineLevel="0" collapsed="false">
      <c r="A16" s="7" t="s">
        <v>129</v>
      </c>
      <c r="B16" s="7" t="s">
        <v>130</v>
      </c>
      <c r="C16" s="21" t="n">
        <v>1484620</v>
      </c>
      <c r="D16" s="21" t="n">
        <f aca="false">Returns!B17</f>
        <v>1484620</v>
      </c>
      <c r="E16" s="31" t="n">
        <f aca="false">D16-C16</f>
        <v>0</v>
      </c>
      <c r="F16" s="32" t="str">
        <f aca="false">IF(ABS(E16)&lt;=0.005,"PASS","FAIL")</f>
        <v>PASS</v>
      </c>
      <c r="G16" s="16" t="s">
        <v>131</v>
      </c>
    </row>
    <row r="17" customFormat="false" ht="15" hidden="false" customHeight="false" outlineLevel="0" collapsed="false">
      <c r="A17" s="33" t="s">
        <v>129</v>
      </c>
      <c r="B17" s="33" t="s">
        <v>132</v>
      </c>
      <c r="C17" s="37" t="n">
        <v>1761077.81</v>
      </c>
      <c r="D17" s="37" t="n">
        <f aca="false">Returns!C17</f>
        <v>1761077.81202424</v>
      </c>
      <c r="E17" s="35" t="n">
        <f aca="false">D17-C17</f>
        <v>0.00202424009330571</v>
      </c>
      <c r="F17" s="36" t="str">
        <f aca="false">IF(ABS(E17)&lt;=0.005,"PASS","FAIL")</f>
        <v>PASS</v>
      </c>
      <c r="G17" s="16" t="s">
        <v>131</v>
      </c>
    </row>
    <row r="18" customFormat="false" ht="15" hidden="false" customHeight="false" outlineLevel="0" collapsed="false">
      <c r="A18" s="7" t="s">
        <v>129</v>
      </c>
      <c r="B18" s="7" t="s">
        <v>133</v>
      </c>
      <c r="C18" s="21" t="n">
        <v>1379569.75</v>
      </c>
      <c r="D18" s="21" t="n">
        <f aca="false">Returns!D17</f>
        <v>1379569.74573303</v>
      </c>
      <c r="E18" s="31" t="n">
        <f aca="false">D18-C18</f>
        <v>-0.00426696543581784</v>
      </c>
      <c r="F18" s="32" t="str">
        <f aca="false">IF(ABS(E18)&lt;=0.005,"PASS","FAIL")</f>
        <v>PASS</v>
      </c>
      <c r="G18" s="16" t="s">
        <v>131</v>
      </c>
    </row>
    <row r="19" customFormat="false" ht="15" hidden="false" customHeight="false" outlineLevel="0" collapsed="false">
      <c r="A19" s="33" t="s">
        <v>129</v>
      </c>
      <c r="B19" s="33" t="s">
        <v>134</v>
      </c>
      <c r="C19" s="37" t="n">
        <v>1471559.36</v>
      </c>
      <c r="D19" s="37" t="n">
        <f aca="false">Returns!E17</f>
        <v>1471559.36054095</v>
      </c>
      <c r="E19" s="35" t="n">
        <f aca="false">D19-C19</f>
        <v>0.000540951965376735</v>
      </c>
      <c r="F19" s="36" t="str">
        <f aca="false">IF(ABS(E19)&lt;=0.005,"PASS","FAIL")</f>
        <v>PASS</v>
      </c>
      <c r="G19" s="16" t="s">
        <v>131</v>
      </c>
    </row>
    <row r="20" customFormat="false" ht="15" hidden="false" customHeight="false" outlineLevel="0" collapsed="false">
      <c r="A20" s="7" t="s">
        <v>129</v>
      </c>
      <c r="B20" s="7" t="s">
        <v>135</v>
      </c>
      <c r="C20" s="21" t="n">
        <v>1519613.48</v>
      </c>
      <c r="D20" s="21" t="n">
        <f aca="false">Returns!F17</f>
        <v>1519613.4769885</v>
      </c>
      <c r="E20" s="31" t="n">
        <f aca="false">D20-C20</f>
        <v>-0.0030114958062768</v>
      </c>
      <c r="F20" s="32" t="str">
        <f aca="false">IF(ABS(E20)&lt;=0.005,"PASS","FAIL")</f>
        <v>PASS</v>
      </c>
      <c r="G20" s="16" t="s">
        <v>131</v>
      </c>
    </row>
    <row r="21" customFormat="false" ht="15" hidden="false" customHeight="false" outlineLevel="0" collapsed="false">
      <c r="A21" s="33" t="s">
        <v>129</v>
      </c>
      <c r="B21" s="33" t="s">
        <v>136</v>
      </c>
      <c r="C21" s="37" t="n">
        <v>7616440.4</v>
      </c>
      <c r="D21" s="37" t="n">
        <f aca="false">Returns!B21</f>
        <v>7616440.39528673</v>
      </c>
      <c r="E21" s="35" t="n">
        <f aca="false">D21-C21</f>
        <v>-0.00471326895058155</v>
      </c>
      <c r="F21" s="36" t="str">
        <f aca="false">IF(ABS(E21)&lt;=0.005,"PASS","FAIL")</f>
        <v>PASS</v>
      </c>
      <c r="G21" s="16" t="s">
        <v>131</v>
      </c>
    </row>
    <row r="22" customFormat="false" ht="15" hidden="false" customHeight="false" outlineLevel="0" collapsed="false">
      <c r="A22" s="7" t="s">
        <v>137</v>
      </c>
      <c r="B22" s="7" t="s">
        <v>138</v>
      </c>
      <c r="C22" s="21" t="n">
        <v>552715380</v>
      </c>
      <c r="D22" s="21" t="n">
        <f aca="false">Returns!B18</f>
        <v>552715380</v>
      </c>
      <c r="E22" s="31" t="n">
        <f aca="false">D22-C22</f>
        <v>0</v>
      </c>
      <c r="F22" s="32" t="str">
        <f aca="false">IF(ABS(E22)&lt;=0.005,"PASS","FAIL")</f>
        <v>PASS</v>
      </c>
      <c r="G22" s="16" t="s">
        <v>131</v>
      </c>
    </row>
    <row r="23" customFormat="false" ht="15" hidden="false" customHeight="false" outlineLevel="0" collapsed="false">
      <c r="A23" s="33" t="s">
        <v>137</v>
      </c>
      <c r="B23" s="33" t="s">
        <v>139</v>
      </c>
      <c r="C23" s="37" t="n">
        <v>631048825.85</v>
      </c>
      <c r="D23" s="37" t="n">
        <f aca="false">Returns!C18</f>
        <v>631048825.846376</v>
      </c>
      <c r="E23" s="35" t="n">
        <f aca="false">D23-C23</f>
        <v>-0.0036243200302124</v>
      </c>
      <c r="F23" s="36" t="str">
        <f aca="false">IF(ABS(E23)&lt;=0.005,"PASS","FAIL")</f>
        <v>PASS</v>
      </c>
      <c r="G23" s="16" t="s">
        <v>131</v>
      </c>
    </row>
    <row r="24" customFormat="false" ht="15" hidden="false" customHeight="false" outlineLevel="0" collapsed="false">
      <c r="A24" s="7" t="s">
        <v>137</v>
      </c>
      <c r="B24" s="7" t="s">
        <v>140</v>
      </c>
      <c r="C24" s="21" t="n">
        <v>506271373.26</v>
      </c>
      <c r="D24" s="21" t="n">
        <f aca="false">Returns!D18</f>
        <v>506271373.256104</v>
      </c>
      <c r="E24" s="31" t="n">
        <f aca="false">D24-C24</f>
        <v>-0.00389558076858521</v>
      </c>
      <c r="F24" s="32" t="str">
        <f aca="false">IF(ABS(E24)&lt;=0.005,"PASS","FAIL")</f>
        <v>PASS</v>
      </c>
      <c r="G24" s="16" t="s">
        <v>131</v>
      </c>
    </row>
    <row r="25" customFormat="false" ht="15" hidden="false" customHeight="false" outlineLevel="0" collapsed="false">
      <c r="A25" s="33" t="s">
        <v>137</v>
      </c>
      <c r="B25" s="33" t="s">
        <v>141</v>
      </c>
      <c r="C25" s="37" t="n">
        <v>549908879.55</v>
      </c>
      <c r="D25" s="37" t="n">
        <f aca="false">Returns!F18</f>
        <v>549908879.546522</v>
      </c>
      <c r="E25" s="35" t="n">
        <f aca="false">D25-C25</f>
        <v>-0.00347769260406494</v>
      </c>
      <c r="F25" s="36" t="str">
        <f aca="false">IF(ABS(E25)&lt;=0.005,"PASS","FAIL")</f>
        <v>PASS</v>
      </c>
      <c r="G25" s="16" t="s">
        <v>131</v>
      </c>
    </row>
    <row r="26" customFormat="false" ht="15" hidden="false" customHeight="false" outlineLevel="0" collapsed="false">
      <c r="A26" s="7" t="s">
        <v>129</v>
      </c>
      <c r="B26" s="7" t="s">
        <v>142</v>
      </c>
      <c r="C26" s="21" t="n">
        <v>109908879.55</v>
      </c>
      <c r="D26" s="21" t="n">
        <f aca="false">Returns!B23</f>
        <v>109908879.546522</v>
      </c>
      <c r="E26" s="31" t="n">
        <f aca="false">D26-C26</f>
        <v>-0.00347773730754852</v>
      </c>
      <c r="F26" s="32" t="str">
        <f aca="false">IF(ABS(E26)&lt;=0.005,"PASS","FAIL")</f>
        <v>PASS</v>
      </c>
      <c r="G26" s="16" t="s">
        <v>131</v>
      </c>
    </row>
    <row r="27" customFormat="false" ht="15" hidden="false" customHeight="false" outlineLevel="0" collapsed="false">
      <c r="A27" s="33" t="s">
        <v>123</v>
      </c>
      <c r="B27" s="33" t="s">
        <v>143</v>
      </c>
      <c r="C27" s="34" t="n">
        <v>0.050887</v>
      </c>
      <c r="D27" s="34" t="n">
        <f aca="false">'The Four Numbers'!B25</f>
        <v>0.0508868308311674</v>
      </c>
      <c r="E27" s="35" t="n">
        <f aca="false">D27-C27</f>
        <v>-1.6916883259499E-007</v>
      </c>
      <c r="F27" s="36" t="str">
        <f aca="false">IF(ABS(E27)&lt;=0.0000005,"PASS","FAIL")</f>
        <v>PASS</v>
      </c>
      <c r="G27" s="16" t="s">
        <v>118</v>
      </c>
    </row>
    <row r="28" customFormat="false" ht="15" hidden="false" customHeight="false" outlineLevel="0" collapsed="false">
      <c r="A28" s="7" t="s">
        <v>123</v>
      </c>
      <c r="B28" s="7" t="s">
        <v>144</v>
      </c>
      <c r="C28" s="24" t="n">
        <v>0.048012</v>
      </c>
      <c r="D28" s="24" t="n">
        <f aca="false">'The Four Numbers'!B26</f>
        <v>0.0480115414321958</v>
      </c>
      <c r="E28" s="31" t="n">
        <f aca="false">D28-C28</f>
        <v>-4.58567804229038E-007</v>
      </c>
      <c r="F28" s="32" t="str">
        <f aca="false">IF(ABS(E28)&lt;=0.0000005,"PASS","FAIL")</f>
        <v>PASS</v>
      </c>
      <c r="G28" s="16" t="s">
        <v>118</v>
      </c>
    </row>
    <row r="29" customFormat="false" ht="15" hidden="false" customHeight="false" outlineLevel="0" collapsed="false">
      <c r="A29" s="33" t="s">
        <v>145</v>
      </c>
      <c r="B29" s="33" t="s">
        <v>146</v>
      </c>
      <c r="C29" s="34" t="n">
        <v>0.06829</v>
      </c>
      <c r="D29" s="34" t="n">
        <f aca="false">'The Four Numbers'!B27</f>
        <v>0.0682897429794644</v>
      </c>
      <c r="E29" s="35" t="n">
        <f aca="false">D29-C29</f>
        <v>-2.57020535562869E-007</v>
      </c>
      <c r="F29" s="36" t="str">
        <f aca="false">IF(ABS(E29)&lt;=0.0000005,"PASS","FAIL")</f>
        <v>PASS</v>
      </c>
      <c r="G29" s="16" t="s">
        <v>118</v>
      </c>
    </row>
    <row r="30" customFormat="false" ht="15" hidden="false" customHeight="false" outlineLevel="0" collapsed="false">
      <c r="A30" s="7" t="s">
        <v>147</v>
      </c>
      <c r="B30" s="7" t="s">
        <v>148</v>
      </c>
      <c r="C30" s="24" t="n">
        <v>0.041272</v>
      </c>
      <c r="D30" s="24" t="n">
        <f aca="false">'The Four Numbers'!B28</f>
        <v>0.0412724973969943</v>
      </c>
      <c r="E30" s="31" t="n">
        <f aca="false">D30-C30</f>
        <v>4.97396994293686E-007</v>
      </c>
      <c r="F30" s="32" t="str">
        <f aca="false">IF(ABS(E30)&lt;=0.0000005,"PASS","FAIL")</f>
        <v>PASS</v>
      </c>
      <c r="G30" s="16" t="s">
        <v>118</v>
      </c>
    </row>
    <row r="31" customFormat="false" ht="15" hidden="false" customHeight="false" outlineLevel="0" collapsed="false">
      <c r="A31" s="33" t="s">
        <v>116</v>
      </c>
      <c r="B31" s="33" t="s">
        <v>149</v>
      </c>
      <c r="C31" s="34" t="n">
        <v>0.047455</v>
      </c>
      <c r="D31" s="34" t="n">
        <f aca="false">'The Four Numbers'!B29</f>
        <v>0.0474552592329778</v>
      </c>
      <c r="E31" s="35" t="n">
        <f aca="false">D31-C31</f>
        <v>2.59232977778412E-007</v>
      </c>
      <c r="F31" s="36" t="str">
        <f aca="false">IF(ABS(E31)&lt;=0.0000005,"PASS","FAIL")</f>
        <v>PASS</v>
      </c>
      <c r="G31" s="16" t="s">
        <v>118</v>
      </c>
    </row>
    <row r="32" customFormat="false" ht="15" hidden="false" customHeight="false" outlineLevel="0" collapsed="false">
      <c r="A32" s="7" t="s">
        <v>150</v>
      </c>
      <c r="B32" s="7" t="s">
        <v>89</v>
      </c>
      <c r="C32" s="24" t="n">
        <v>0.027017</v>
      </c>
      <c r="D32" s="24" t="n">
        <f aca="false">'The Four Numbers'!B35</f>
        <v>0.0270172455824701</v>
      </c>
      <c r="E32" s="31" t="n">
        <f aca="false">D32-C32</f>
        <v>2.45582470144445E-007</v>
      </c>
      <c r="F32" s="32" t="str">
        <f aca="false">IF(ABS(E32)&lt;=0.0000005,"PASS","FAIL")</f>
        <v>PASS</v>
      </c>
      <c r="G32" s="16" t="s">
        <v>118</v>
      </c>
    </row>
    <row r="33" customFormat="false" ht="15" hidden="false" customHeight="false" outlineLevel="0" collapsed="false">
      <c r="A33" s="33" t="s">
        <v>150</v>
      </c>
      <c r="B33" s="33" t="s">
        <v>90</v>
      </c>
      <c r="C33" s="34" t="n">
        <v>0.003432</v>
      </c>
      <c r="D33" s="34" t="n">
        <f aca="false">'The Four Numbers'!B36</f>
        <v>0.00343157159818963</v>
      </c>
      <c r="E33" s="35" t="n">
        <f aca="false">D33-C33</f>
        <v>-4.28401810369065E-007</v>
      </c>
      <c r="F33" s="36" t="str">
        <f aca="false">IF(ABS(E33)&lt;=0.0000005,"PASS","FAIL")</f>
        <v>PASS</v>
      </c>
      <c r="G33" s="16" t="s">
        <v>118</v>
      </c>
    </row>
    <row r="34" customFormat="false" ht="15" hidden="false" customHeight="false" outlineLevel="0" collapsed="false">
      <c r="A34" s="7" t="s">
        <v>150</v>
      </c>
      <c r="B34" s="7" t="s">
        <v>91</v>
      </c>
      <c r="C34" s="24" t="n">
        <v>0.000556</v>
      </c>
      <c r="D34" s="24" t="n">
        <f aca="false">'The Four Numbers'!B37</f>
        <v>0.000556282199217995</v>
      </c>
      <c r="E34" s="31" t="n">
        <f aca="false">D34-C34</f>
        <v>2.82199217994526E-007</v>
      </c>
      <c r="F34" s="32" t="str">
        <f aca="false">IF(ABS(E34)&lt;=0.0000005,"PASS","FAIL")</f>
        <v>PASS</v>
      </c>
      <c r="G34" s="16" t="s">
        <v>118</v>
      </c>
    </row>
    <row r="35" customFormat="false" ht="15" hidden="false" customHeight="false" outlineLevel="0" collapsed="false">
      <c r="A35" s="33" t="s">
        <v>150</v>
      </c>
      <c r="B35" s="33" t="s">
        <v>92</v>
      </c>
      <c r="C35" s="38" t="n">
        <v>48.6</v>
      </c>
      <c r="D35" s="38" t="n">
        <f aca="false">'The Four Numbers'!B38</f>
        <v>48.5675177462989</v>
      </c>
      <c r="E35" s="35" t="n">
        <f aca="false">D35-C35</f>
        <v>-0.0324822537010689</v>
      </c>
      <c r="F35" s="36" t="str">
        <f aca="false">IF(ABS(E35)&lt;=0.05,"PASS","FAIL")</f>
        <v>PASS</v>
      </c>
      <c r="G35" s="16" t="s">
        <v>151</v>
      </c>
    </row>
    <row r="36" customFormat="false" ht="15" hidden="false" customHeight="false" outlineLevel="0" collapsed="false">
      <c r="A36" s="7" t="s">
        <v>152</v>
      </c>
      <c r="B36" s="7" t="s">
        <v>153</v>
      </c>
      <c r="C36" s="24" t="n">
        <v>0.006739</v>
      </c>
      <c r="D36" s="24" t="n">
        <f aca="false">'The Four Numbers'!B39</f>
        <v>0.00673904403520147</v>
      </c>
      <c r="E36" s="31" t="n">
        <f aca="false">D36-C36</f>
        <v>4.40352014730722E-008</v>
      </c>
      <c r="F36" s="32" t="str">
        <f aca="false">IF(ABS(E36)&lt;=0.0000005,"PASS","FAIL")</f>
        <v>PASS</v>
      </c>
      <c r="G36" s="16" t="s">
        <v>118</v>
      </c>
    </row>
    <row r="37" customFormat="false" ht="15" hidden="false" customHeight="false" outlineLevel="0" collapsed="false">
      <c r="A37" s="33" t="s">
        <v>152</v>
      </c>
      <c r="B37" s="33" t="s">
        <v>154</v>
      </c>
      <c r="C37" s="37" t="n">
        <v>556266624.73</v>
      </c>
      <c r="D37" s="37" t="n">
        <f aca="false">'The Four Numbers'!B40</f>
        <v>556266624.729647</v>
      </c>
      <c r="E37" s="35" t="n">
        <f aca="false">D37-C37</f>
        <v>-0.000353097915649414</v>
      </c>
      <c r="F37" s="36" t="str">
        <f aca="false">IF(ABS(E37)&lt;=0.005,"PASS","FAIL")</f>
        <v>PASS</v>
      </c>
      <c r="G37" s="16" t="s">
        <v>131</v>
      </c>
    </row>
    <row r="38" customFormat="false" ht="15" hidden="false" customHeight="false" outlineLevel="0" collapsed="false">
      <c r="A38" s="7" t="s">
        <v>152</v>
      </c>
      <c r="B38" s="7" t="s">
        <v>155</v>
      </c>
      <c r="C38" s="21" t="n">
        <v>6357745.18</v>
      </c>
      <c r="D38" s="21" t="n">
        <f aca="false">'The Four Numbers'!B41</f>
        <v>6357745.18312466</v>
      </c>
      <c r="E38" s="31" t="n">
        <f aca="false">D38-C38</f>
        <v>0.0031246617436409</v>
      </c>
      <c r="F38" s="32" t="str">
        <f aca="false">IF(ABS(E38)&lt;=0.005,"PASS","FAIL")</f>
        <v>PASS</v>
      </c>
      <c r="G38" s="16" t="s">
        <v>131</v>
      </c>
    </row>
    <row r="39" customFormat="false" ht="15" hidden="false" customHeight="false" outlineLevel="0" collapsed="false">
      <c r="A39" s="33" t="s">
        <v>156</v>
      </c>
      <c r="B39" s="33" t="s">
        <v>96</v>
      </c>
      <c r="C39" s="34" t="n">
        <v>0.002875</v>
      </c>
      <c r="D39" s="34" t="n">
        <f aca="false">'The Four Numbers'!B42</f>
        <v>0.00287528939897164</v>
      </c>
      <c r="E39" s="35" t="n">
        <f aca="false">D39-C39</f>
        <v>2.89398971636649E-007</v>
      </c>
      <c r="F39" s="36" t="str">
        <f aca="false">IF(ABS(E39)&lt;=0.0000005,"PASS","FAIL")</f>
        <v>PASS</v>
      </c>
      <c r="G39" s="16" t="s">
        <v>118</v>
      </c>
    </row>
    <row r="40" customFormat="false" ht="15" hidden="false" customHeight="false" outlineLevel="0" collapsed="false">
      <c r="A40" s="7" t="s">
        <v>156</v>
      </c>
      <c r="B40" s="7" t="s">
        <v>97</v>
      </c>
      <c r="C40" s="24" t="n">
        <v>0.837893</v>
      </c>
      <c r="D40" s="24" t="n">
        <f aca="false">'The Four Numbers'!B43</f>
        <v>0.837892876980487</v>
      </c>
      <c r="E40" s="31" t="n">
        <f aca="false">D40-C40</f>
        <v>-1.23019513353917E-007</v>
      </c>
      <c r="F40" s="32" t="str">
        <f aca="false">IF(ABS(E40)&lt;=0.0000005,"PASS","FAIL")</f>
        <v>PASS</v>
      </c>
      <c r="G40" s="16" t="s">
        <v>118</v>
      </c>
    </row>
    <row r="41" customFormat="false" ht="15" hidden="false" customHeight="false" outlineLevel="0" collapsed="false">
      <c r="A41" s="7" t="n">
        <v>7</v>
      </c>
      <c r="B41" s="7" t="s">
        <v>157</v>
      </c>
      <c r="C41" s="27" t="n">
        <v>0.020278</v>
      </c>
      <c r="D41" s="27" t="n">
        <f aca="false">'The Four Numbers'!B46</f>
        <v>0.0202782015472687</v>
      </c>
      <c r="E41" s="31" t="n">
        <f aca="false">D41-C41</f>
        <v>2.01547268669638E-007</v>
      </c>
      <c r="F41" s="32" t="str">
        <f aca="false">IF(ABS(E41)&lt;=0.0000005,"PASS","FAIL")</f>
        <v>PASS</v>
      </c>
      <c r="G41" s="16" t="s">
        <v>118</v>
      </c>
    </row>
    <row r="42" customFormat="false" ht="15" hidden="false" customHeight="false" outlineLevel="0" collapsed="false">
      <c r="A42" s="7" t="n">
        <v>7</v>
      </c>
      <c r="B42" s="7" t="s">
        <v>100</v>
      </c>
      <c r="C42" s="27" t="n">
        <v>-0.006183</v>
      </c>
      <c r="D42" s="27" t="n">
        <f aca="false">'The Four Numbers'!B47</f>
        <v>-0.00618276183598348</v>
      </c>
      <c r="E42" s="31" t="n">
        <f aca="false">D42-C42</f>
        <v>2.38164016521346E-007</v>
      </c>
      <c r="F42" s="32" t="str">
        <f aca="false">IF(ABS(E42)&lt;=0.0000005,"PASS","FAIL")</f>
        <v>PASS</v>
      </c>
      <c r="G42" s="16" t="s">
        <v>118</v>
      </c>
    </row>
    <row r="43" customFormat="false" ht="15" hidden="false" customHeight="false" outlineLevel="0" collapsed="false">
      <c r="A43" s="7" t="n">
        <v>16</v>
      </c>
      <c r="B43" s="7" t="s">
        <v>101</v>
      </c>
      <c r="C43" s="27" t="n">
        <v>0.009614</v>
      </c>
      <c r="D43" s="27" t="n">
        <f aca="false">'The Four Numbers'!B48</f>
        <v>0.00961433343417311</v>
      </c>
      <c r="E43" s="31" t="n">
        <f aca="false">D43-C43</f>
        <v>3.33434173110589E-007</v>
      </c>
      <c r="F43" s="32" t="str">
        <f aca="false">IF(ABS(E43)&lt;=0.0000005,"PASS","FAIL")</f>
        <v>PASS</v>
      </c>
      <c r="G43" s="16" t="s">
        <v>158</v>
      </c>
    </row>
    <row r="44" customFormat="false" ht="15" hidden="false" customHeight="false" outlineLevel="0" collapsed="false">
      <c r="A44" s="7" t="n">
        <v>14</v>
      </c>
      <c r="B44" s="7" t="s">
        <v>102</v>
      </c>
      <c r="C44" s="28" t="n">
        <v>12.1</v>
      </c>
      <c r="D44" s="28" t="n">
        <f aca="false">'The Four Numbers'!B49</f>
        <v>12.114434085209</v>
      </c>
      <c r="E44" s="31" t="n">
        <f aca="false">D44-C44</f>
        <v>0.0144340852089595</v>
      </c>
      <c r="F44" s="32" t="str">
        <f aca="false">IF(ABS(E44)&lt;=0.05,"PASS","FAIL")</f>
        <v>PASS</v>
      </c>
      <c r="G44" s="16" t="s">
        <v>151</v>
      </c>
    </row>
    <row r="45" customFormat="false" ht="15" hidden="false" customHeight="false" outlineLevel="0" collapsed="false">
      <c r="A45" s="7" t="n">
        <v>7</v>
      </c>
      <c r="B45" s="7" t="s">
        <v>159</v>
      </c>
      <c r="C45" s="27" t="n">
        <v>0</v>
      </c>
      <c r="D45" s="27" t="n">
        <f aca="false">'The Four Numbers'!B51</f>
        <v>0</v>
      </c>
      <c r="E45" s="31" t="n">
        <f aca="false">D45-C45</f>
        <v>0</v>
      </c>
      <c r="F45" s="32" t="str">
        <f aca="false">IF(ABS(E45)&lt;=0.000000001,"PASS","FAIL")</f>
        <v>PASS</v>
      </c>
      <c r="G45" s="16" t="s">
        <v>160</v>
      </c>
    </row>
    <row r="47" customFormat="false" ht="15" hidden="false" customHeight="false" outlineLevel="0" collapsed="false">
      <c r="B47" s="14" t="s">
        <v>161</v>
      </c>
      <c r="C47" s="39" t="n">
        <f aca="false">COUNTIF(F6:F45,"PASS")</f>
        <v>40</v>
      </c>
    </row>
    <row r="48" customFormat="false" ht="15" hidden="false" customHeight="false" outlineLevel="0" collapsed="false">
      <c r="B48" s="14" t="s">
        <v>162</v>
      </c>
      <c r="C48" s="39" t="n">
        <f aca="false">COUNTIF(F6:F45,"FAIL")</f>
        <v>0</v>
      </c>
    </row>
    <row r="49" customFormat="false" ht="15" hidden="false" customHeight="false" outlineLevel="0" collapsed="false">
      <c r="B49" s="14" t="s">
        <v>163</v>
      </c>
      <c r="C49" s="14" t="str">
        <f aca="false">IF(C47=40,"ALL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2026-08-29T01:38:40Z</dcterms:created>
  <dc:creator>openpyxl</dc:creator>
  <dc:description/>
  <dc:language>en-US</dc:language>
  <cp:lastModifiedBy/>
  <dcterms:modified xsi:type="dcterms:W3CDTF">2026-09-24T01:11:40Z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