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Returns" sheetId="3" state="visible" r:id="rId5"/>
    <sheet name="Fees" sheetId="4" state="visible" r:id="rId6"/>
    <sheet name="Active vs passive" sheetId="5" state="visible" r:id="rId7"/>
    <sheet name="Rolling windows" sheetId="6" state="visible" r:id="rId8"/>
    <sheet name="Check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<sst xmlns="http://schemas.openxmlformats.org/spreadsheetml/2006/main" count="315" uniqueCount="190">
  <si>
    <t xml:space="preserve">Fees, Active and Passive</t>
  </si>
  <si>
    <t xml:space="preserve">Companion workbook 4 to Asset Management, by Julian R. Sterling</t>
  </si>
  <si>
    <t xml:space="preserve">What this workbook is</t>
  </si>
  <si>
    <t xml:space="preserve">The fee schedule taken apart year by year, the same mandate run passively on the identical cash flows, and every three-year window on the record.</t>
  </si>
  <si>
    <t xml:space="preserve">The two inputs worth moving</t>
  </si>
  <si>
    <t xml:space="preserve">The breakpoint and the two fee rates are on the Inputs sheet. On a mandate of this size the breakpoint moves the total fee more than the headline rate does, and the effective rate row on the Fees sheet shows it happening.</t>
  </si>
  <si>
    <t xml:space="preserve">The passive fee rate is on the Active vs passive sheet. Rows 26 to 37 solve exactly for the fees at which the two accounts finish level: the index would need a fee of minus 3.08 basis points, because the mandate beat even a free index; and the mandate could have charged a flat 36.00 basis points before it merely tied the index at five.</t>
  </si>
  <si>
    <t xml:space="preserve">On the rolling windows</t>
  </si>
  <si>
    <t xml:space="preserve">Three windows, one start date apart. The spread between the best and the worst is larger than the distance between the four headline numbers of the whole book, and nothing about the manager changed.</t>
  </si>
  <si>
    <t xml:space="preserve">The Checks sheet reproduces every figure the book prints from this workbook's own formulas. If a check ever reads FAIL, the workbook is wrong, not the book.</t>
  </si>
  <si>
    <t xml:space="preserve">Revised 24 September 2026. The level fee on the Active vs passive sheet had the wrong sign: it added the gap to the passive fee (13.9 basis points), and raising the index fee widens the gap. It is now solved by running both accounts again: minus 3.08 basis points for the index, 36.00 flat for the mandate. Added: the asset-weighted rate of 27.9668, the concessions of Chapter 12, the index account as returns (4.6943 net), the lead year by year, the benchmark over each three-year window and the Year 6 return that holds the headline (12.2433). The checks now test to half a unit of the last printed decimal.</t>
  </si>
  <si>
    <t xml:space="preserve">Marchwood — inputs</t>
  </si>
  <si>
    <t xml:space="preserve">Blue cells on a yellow fill are inputs. Everything else in this workbook is a formula.</t>
  </si>
  <si>
    <t xml:space="preserve">The mandate</t>
  </si>
  <si>
    <t xml:space="preserve">Initial funding, start of Year 1</t>
  </si>
  <si>
    <t xml:space="preserve">Fee rate on the first tranche</t>
  </si>
  <si>
    <t xml:space="preserve">Fee rate above the breakpoint</t>
  </si>
  <si>
    <t xml:space="preserve">Breakpoint (average assets)</t>
  </si>
  <si>
    <t xml:space="preserve">External cash flows, first day of the year</t>
  </si>
  <si>
    <t xml:space="preserve">Year 1</t>
  </si>
  <si>
    <t xml:space="preserve">Year 2</t>
  </si>
  <si>
    <t xml:space="preserve">Year 3</t>
  </si>
  <si>
    <t xml:space="preserve">Year 4</t>
  </si>
  <si>
    <t xml:space="preserve">Year 5</t>
  </si>
  <si>
    <t xml:space="preserve">Flow</t>
  </si>
  <si>
    <t xml:space="preserve">Benchmark weights and segment returns (per cent)</t>
  </si>
  <si>
    <t xml:space="preserve">Segment</t>
  </si>
  <si>
    <t xml:space="preserve">Weight</t>
  </si>
  <si>
    <t xml:space="preserve">Global equities</t>
  </si>
  <si>
    <t xml:space="preserve">Government bonds</t>
  </si>
  <si>
    <t xml:space="preserve">Credit</t>
  </si>
  <si>
    <t xml:space="preserve">Property</t>
  </si>
  <si>
    <t xml:space="preserve">Cash</t>
  </si>
  <si>
    <t xml:space="preserve">Total weight</t>
  </si>
  <si>
    <t xml:space="preserve">Portfolio weights (per cent of the mandate)</t>
  </si>
  <si>
    <t xml:space="preserve">Portfolio segment returns achieved (per cent)</t>
  </si>
  <si>
    <t xml:space="preserve">Cash is held at the benchmark rate in both rows: the mandate does not take a view on it.</t>
  </si>
  <si>
    <t xml:space="preserve">Annual returns, built from the segments</t>
  </si>
  <si>
    <t xml:space="preserve">Each year is the weight vector times the return vector. Nothing here is typed.</t>
  </si>
  <si>
    <t xml:space="preserve">Benchmark return</t>
  </si>
  <si>
    <t xml:space="preserve">Portfolio return, gross</t>
  </si>
  <si>
    <t xml:space="preserve">Active return, gross</t>
  </si>
  <si>
    <t xml:space="preserve">The account, year by year</t>
  </si>
  <si>
    <t xml:space="preserve">External flow</t>
  </si>
  <si>
    <t xml:space="preserve">Opening value, after the flow</t>
  </si>
  <si>
    <t xml:space="preserve">Value before fees</t>
  </si>
  <si>
    <t xml:space="preserve">Average assets for the fee</t>
  </si>
  <si>
    <t xml:space="preserve">Fee</t>
  </si>
  <si>
    <t xml:space="preserve">Closing value</t>
  </si>
  <si>
    <t xml:space="preserve">Net return for the year</t>
  </si>
  <si>
    <t xml:space="preserve">Fees over the five years</t>
  </si>
  <si>
    <t xml:space="preserve">Net contributions</t>
  </si>
  <si>
    <t xml:space="preserve">Gain</t>
  </si>
  <si>
    <t xml:space="preserve">The fee schedule, taken apart</t>
  </si>
  <si>
    <t xml:space="preserve">Two rates and one breakpoint. The average rate a mandate pays is neither of them.</t>
  </si>
  <si>
    <t xml:space="preserve">Average assets</t>
  </si>
  <si>
    <t xml:space="preserve">Charged at the first rate</t>
  </si>
  <si>
    <t xml:space="preserve">Charged at the second rate</t>
  </si>
  <si>
    <t xml:space="preserve">Effective rate, basis points</t>
  </si>
  <si>
    <t xml:space="preserve">What the fee cost, and what it took</t>
  </si>
  <si>
    <t xml:space="preserve">Gain over the five years</t>
  </si>
  <si>
    <t xml:space="preserve">Fees as a share of the gain</t>
  </si>
  <si>
    <t xml:space="preserve">Time-weighted return, gross</t>
  </si>
  <si>
    <t xml:space="preserve">Time-weighted return, net</t>
  </si>
  <si>
    <t xml:space="preserve">Benchmark, annualised</t>
  </si>
  <si>
    <t xml:space="preserve">Fee drag</t>
  </si>
  <si>
    <t xml:space="preserve">Outperformance, gross</t>
  </si>
  <si>
    <t xml:space="preserve">Outperformance, net</t>
  </si>
  <si>
    <t xml:space="preserve">Share of the gross outperformance taken by fees</t>
  </si>
  <si>
    <t xml:space="preserve">Share kept by the client</t>
  </si>
  <si>
    <t xml:space="preserve">The rate the schedule really charges</t>
  </si>
  <si>
    <t xml:space="preserve">Asset-weighted effective rate, basis points</t>
  </si>
  <si>
    <t xml:space="preserve">Year 1 fee on opening capital, basis points</t>
  </si>
  <si>
    <t xml:space="preserve">Fee drag, arithmetic mean of the annual differences</t>
  </si>
  <si>
    <t xml:space="preserve">Fee drag, as a ratio of wealth relatives</t>
  </si>
  <si>
    <t xml:space="preserve">What each concession saves over the five years</t>
  </si>
  <si>
    <t xml:space="preserve">Headline rate cut, basis points (a step)</t>
  </si>
  <si>
    <t xml:space="preserve">Marginal rate cut, basis points (a step)</t>
  </si>
  <si>
    <t xml:space="preserve">Breakpoint lowered by (a step)</t>
  </si>
  <si>
    <t xml:space="preserve">Headline cut: saving</t>
  </si>
  <si>
    <t xml:space="preserve">Marginal cut: saving</t>
  </si>
  <si>
    <t xml:space="preserve">Breakpoint lowered: saving by year</t>
  </si>
  <si>
    <t xml:space="preserve">Breakpoint lowered: saving</t>
  </si>
  <si>
    <t xml:space="preserve">The same mandate, indexed</t>
  </si>
  <si>
    <t xml:space="preserve">Identical cash flows, the benchmark return, and a fee you choose.</t>
  </si>
  <si>
    <t xml:space="preserve">Passive fee rate</t>
  </si>
  <si>
    <t xml:space="preserve">The comparison</t>
  </si>
  <si>
    <t xml:space="preserve">Terminal value, indexed</t>
  </si>
  <si>
    <t xml:space="preserve">Terminal value, actively managed</t>
  </si>
  <si>
    <t xml:space="preserve">Active less passive</t>
  </si>
  <si>
    <t xml:space="preserve">Fees paid, indexed</t>
  </si>
  <si>
    <t xml:space="preserve">Fees paid, actively managed</t>
  </si>
  <si>
    <t xml:space="preserve">Extra fee paid for active management</t>
  </si>
  <si>
    <t xml:space="preserve">Gross value the manager created</t>
  </si>
  <si>
    <t xml:space="preserve">Share of it kept by the client</t>
  </si>
  <si>
    <t xml:space="preserve">Fee rate at which the two are equal: see row 35</t>
  </si>
  <si>
    <t xml:space="preserve">The fees at which the two accounts finish level</t>
  </si>
  <si>
    <t xml:space="preserve">Each account is run again at a trial flat fee on the same flows; the secant steps converge on the rate that closes the gap exactly.</t>
  </si>
  <si>
    <t xml:space="preserve">Step</t>
  </si>
  <si>
    <t xml:space="preserve">Passive fee</t>
  </si>
  <si>
    <t xml:space="preserve">Passive terminal</t>
  </si>
  <si>
    <t xml:space="preserve">Active flat fee</t>
  </si>
  <si>
    <t xml:space="preserve">Active terminal</t>
  </si>
  <si>
    <t xml:space="preserve">Start</t>
  </si>
  <si>
    <t xml:space="preserve">First order</t>
  </si>
  <si>
    <t xml:space="preserve">Secant</t>
  </si>
  <si>
    <t xml:space="preserve">Passive fee at which the index account matches the mandate, basis points</t>
  </si>
  <si>
    <t xml:space="preserve">Flat active fee at which the mandate only matches the index, basis points</t>
  </si>
  <si>
    <t xml:space="preserve">  against the asset-weighted rate actually paid, basis points</t>
  </si>
  <si>
    <t xml:space="preserve">Revised 24 September 2026. The first version added the gap to the passive fee (5 + 8.9 = 13.9 basis points): raising the index fee widens the gap. The level rate is negative: the mandate beat even a free index.</t>
  </si>
  <si>
    <t xml:space="preserve">The index account, read as returns</t>
  </si>
  <si>
    <t xml:space="preserve">Index account, annualised net</t>
  </si>
  <si>
    <t xml:space="preserve">  drag against the costless composite</t>
  </si>
  <si>
    <t xml:space="preserve">Mandate net less the index account</t>
  </si>
  <si>
    <t xml:space="preserve">Fees as a share of the gain, index account</t>
  </si>
  <si>
    <t xml:space="preserve">Active fees as a multiple of passive fees</t>
  </si>
  <si>
    <t xml:space="preserve">Lead of the mandate over the index, year-end</t>
  </si>
  <si>
    <t xml:space="preserve">Every three-year window on the record</t>
  </si>
  <si>
    <t xml:space="preserve">One start date apart, and the same manager returns a different number.</t>
  </si>
  <si>
    <t xml:space="preserve">Window</t>
  </si>
  <si>
    <t xml:space="preserve">Cumulative factor</t>
  </si>
  <si>
    <t xml:space="preserve">Annualised, net</t>
  </si>
  <si>
    <t xml:space="preserve">Excess</t>
  </si>
  <si>
    <t xml:space="preserve">Years 1 to 3</t>
  </si>
  <si>
    <t xml:space="preserve">Years 2 to 4</t>
  </si>
  <si>
    <t xml:space="preserve">Years 3 to 5</t>
  </si>
  <si>
    <t xml:space="preserve">Best window</t>
  </si>
  <si>
    <t xml:space="preserve">Worst window</t>
  </si>
  <si>
    <t xml:space="preserve">Spread, from the start date alone</t>
  </si>
  <si>
    <t xml:space="preserve">Five-year net, for comparison</t>
  </si>
  <si>
    <t xml:space="preserve">The three-year window is a convention. It is not a measurement of anything the mandate</t>
  </si>
  <si>
    <t xml:space="preserve">was set up to achieve, and on this record its start date moves the answer more than</t>
  </si>
  <si>
    <t xml:space="preserve">the whole distance between the book's four headline numbers.</t>
  </si>
  <si>
    <t xml:space="preserve">Next year's window</t>
  </si>
  <si>
    <t xml:space="preserve">Year 6 net return that holds the current headline</t>
  </si>
  <si>
    <t xml:space="preserve">The year that leaves: Year 3</t>
  </si>
  <si>
    <t xml:space="preserve">Checks</t>
  </si>
  <si>
    <t xml:space="preserve">Each row sets a figure printed in the book beside the figure this workbook computes.</t>
  </si>
  <si>
    <t xml:space="preserve">The tolerance of each row is half a unit in the last decimal the book prints. Rows marked revised carry the corrected figure; the note says what the first edition printed.</t>
  </si>
  <si>
    <t xml:space="preserve">Ch.</t>
  </si>
  <si>
    <t xml:space="preserve">Figure</t>
  </si>
  <si>
    <t xml:space="preserve">Printed</t>
  </si>
  <si>
    <t xml:space="preserve">Workbook</t>
  </si>
  <si>
    <t xml:space="preserve">Difference</t>
  </si>
  <si>
    <t xml:space="preserve">Result</t>
  </si>
  <si>
    <t xml:space="preserve">Note</t>
  </si>
  <si>
    <t xml:space="preserve">12</t>
  </si>
  <si>
    <t xml:space="preserve">Effective rate, Year 1 (basis points)</t>
  </si>
  <si>
    <t xml:space="preserve">tolerance 5e-05</t>
  </si>
  <si>
    <t xml:space="preserve">6</t>
  </si>
  <si>
    <t xml:space="preserve">Fee, Year 2</t>
  </si>
  <si>
    <t xml:space="preserve">tolerance 0.005</t>
  </si>
  <si>
    <t xml:space="preserve">Fees over five years</t>
  </si>
  <si>
    <t xml:space="preserve">tolerance 5e-07</t>
  </si>
  <si>
    <t xml:space="preserve">Share of gross outperformance taken by fees</t>
  </si>
  <si>
    <t xml:space="preserve">13</t>
  </si>
  <si>
    <t xml:space="preserve">Terminal value, indexed at five basis points</t>
  </si>
  <si>
    <t xml:space="preserve">15</t>
  </si>
  <si>
    <t xml:space="preserve">Three-year net, Years 1 to 3</t>
  </si>
  <si>
    <t xml:space="preserve">Three-year net, Years 2 to 4</t>
  </si>
  <si>
    <t xml:space="preserve">Three-year net, Years 3 to 5</t>
  </si>
  <si>
    <t xml:space="preserve">Spread between the windows</t>
  </si>
  <si>
    <t xml:space="preserve">4</t>
  </si>
  <si>
    <t xml:space="preserve">Effective rate, Year 2 (basis points)</t>
  </si>
  <si>
    <t xml:space="preserve">Effective rate, Year 3 (basis points)</t>
  </si>
  <si>
    <t xml:space="preserve">Effective rate, Year 4 (basis points)</t>
  </si>
  <si>
    <t xml:space="preserve">Effective rate, Year 5 (basis points)</t>
  </si>
  <si>
    <t xml:space="preserve">Asset-weighted effective rate (basis points)</t>
  </si>
  <si>
    <t xml:space="preserve">Year 1 fee on opening capital (basis points)</t>
  </si>
  <si>
    <t xml:space="preserve">Headline 35 to 30: saving over five years</t>
  </si>
  <si>
    <t xml:space="preserve">Marginal 22 to 20: saving over five years</t>
  </si>
  <si>
    <t xml:space="preserve">Breakpoint 250m to 150m: saving over five years</t>
  </si>
  <si>
    <t xml:space="preserve">the step is on the Fees sheet, row 35; tolerance 0.005</t>
  </si>
  <si>
    <t xml:space="preserve">Index drag against the composite</t>
  </si>
  <si>
    <t xml:space="preserve">Lead after Year 3</t>
  </si>
  <si>
    <t xml:space="preserve">Passive terminal at the level fee less the active terminal (must be zero)</t>
  </si>
  <si>
    <t xml:space="preserve">identity: the solved fee closes the gap; tolerance 0.001</t>
  </si>
  <si>
    <t xml:space="preserve">Active terminal at the level flat fee less the index terminal (must be zero)</t>
  </si>
  <si>
    <t xml:space="preserve">identity; tolerance 0.001</t>
  </si>
  <si>
    <t xml:space="preserve">Benchmark, Years 1 to 3</t>
  </si>
  <si>
    <t xml:space="preserve">Benchmark, Years 2 to 4</t>
  </si>
  <si>
    <t xml:space="preserve">Benchmark, Years 3 to 5</t>
  </si>
  <si>
    <t xml:space="preserve">Net active, Years 1 to 3</t>
  </si>
  <si>
    <t xml:space="preserve">Net active, Years 2 to 4</t>
  </si>
  <si>
    <t xml:space="preserve">Net active, Years 3 to 5</t>
  </si>
  <si>
    <t xml:space="preserve">Year 6 return that holds the headline</t>
  </si>
  <si>
    <t xml:space="preserve">exactly Year 3 again; the book prints 12.2433 from the rounded 6.8290 and says so; tolerance 5e-07</t>
  </si>
  <si>
    <t xml:space="preserve">Checks that pass</t>
  </si>
  <si>
    <t xml:space="preserve">Checks that fail</t>
  </si>
  <si>
    <t xml:space="preserve">All checks</t>
  </si>
</sst>
</file>

<file path=xl/styles.xml><?xml version="1.0" encoding="utf-8"?>
<styleSheet xmlns="http://schemas.openxmlformats.org/spreadsheetml/2006/main">
  <numFmts count="14">
    <numFmt numFmtId="164" formatCode="General"/>
    <numFmt numFmtId="165" formatCode="#,##0;\-#,##0"/>
    <numFmt numFmtId="166" formatCode="0.0000%"/>
    <numFmt numFmtId="167" formatCode="0.0%;\-0.0%"/>
    <numFmt numFmtId="168" formatCode="0.00"/>
    <numFmt numFmtId="169" formatCode="0.00%;\-0.00%"/>
    <numFmt numFmtId="170" formatCode="#,##0.00;\-#,##0.00"/>
    <numFmt numFmtId="171" formatCode="0.0000"/>
    <numFmt numFmtId="172" formatCode="0.0000%;\-0.0000%"/>
    <numFmt numFmtId="173" formatCode="0"/>
    <numFmt numFmtId="174" formatCode="#,##0"/>
    <numFmt numFmtId="175" formatCode="0.0000000"/>
    <numFmt numFmtId="176" formatCode="0.000000"/>
    <numFmt numFmtId="177" formatCode="@"/>
  </numFmts>
  <fonts count="13">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b val="true"/>
      <sz val="10"/>
      <color rgb="FFFFFFFF"/>
      <name val="Calibri"/>
      <family val="0"/>
      <charset val="1"/>
    </font>
    <font>
      <b val="true"/>
      <sz val="11"/>
      <color rgb="FF1A1A1A"/>
      <name val="Calibri"/>
      <family val="0"/>
      <charset val="1"/>
    </font>
    <font>
      <i val="true"/>
      <sz val="9"/>
      <color rgb="FF5A6A70"/>
      <name val="Calibri"/>
      <family val="0"/>
      <charset val="1"/>
    </font>
    <font>
      <sz val="11"/>
      <color rgb="FF0B4FA0"/>
      <name val="Calibri"/>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4">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3" xfId="0" applyFont="true" applyBorder="true" applyAlignment="false" applyProtection="false">
      <alignment horizontal="general" vertical="bottom" textRotation="0" wrapText="false" indent="0" shrinkToFit="false"/>
      <protection locked="true" hidden="false"/>
    </xf>
    <xf numFmtId="166" fontId="8" fillId="2" borderId="3" xfId="0" applyFont="true" applyBorder="true" applyAlignment="false" applyProtection="false">
      <alignment horizontal="general" vertical="bottom" textRotation="0" wrapText="false" indent="0" shrinkToFit="false"/>
      <protection locked="true" hidden="false"/>
    </xf>
    <xf numFmtId="164" fontId="9" fillId="3" borderId="3" xfId="0" applyFont="true" applyBorder="true" applyAlignment="true" applyProtection="false">
      <alignment horizontal="left" vertical="center" textRotation="0" wrapText="true" indent="0" shrinkToFit="false"/>
      <protection locked="true" hidden="false"/>
    </xf>
    <xf numFmtId="164" fontId="9" fillId="3" borderId="3" xfId="0" applyFont="true" applyBorder="true" applyAlignment="true" applyProtection="false">
      <alignment horizontal="right" vertical="center" textRotation="0" wrapText="true" indent="0" shrinkToFit="false"/>
      <protection locked="true" hidden="false"/>
    </xf>
    <xf numFmtId="167" fontId="8" fillId="2" borderId="3" xfId="0" applyFont="true" applyBorder="true" applyAlignment="false" applyProtection="false">
      <alignment horizontal="general" vertical="bottom" textRotation="0" wrapText="false" indent="0" shrinkToFit="false"/>
      <protection locked="true" hidden="false"/>
    </xf>
    <xf numFmtId="168" fontId="8" fillId="2" borderId="3"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9" fontId="10" fillId="0"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70" fontId="10" fillId="0"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71" fontId="10" fillId="0" borderId="0" xfId="0" applyFont="tru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73" fontId="12" fillId="2" borderId="0" xfId="0" applyFont="true" applyBorder="false" applyAlignment="false" applyProtection="false">
      <alignment horizontal="general" vertical="bottom" textRotation="0" wrapText="false" indent="0" shrinkToFit="false"/>
      <protection locked="true" hidden="false"/>
    </xf>
    <xf numFmtId="174" fontId="12" fillId="2"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72" fontId="10" fillId="0" borderId="0" xfId="0" applyFont="true" applyBorder="false" applyAlignment="false" applyProtection="false">
      <alignment horizontal="general" vertical="bottom" textRotation="0" wrapText="false" indent="0" shrinkToFit="false"/>
      <protection locked="true" hidden="false"/>
    </xf>
    <xf numFmtId="175" fontId="7" fillId="0" borderId="0" xfId="0" applyFont="true" applyBorder="false" applyAlignment="false" applyProtection="false">
      <alignment horizontal="general" vertical="bottom" textRotation="0" wrapText="false" indent="0" shrinkToFit="false"/>
      <protection locked="true" hidden="false"/>
    </xf>
    <xf numFmtId="164" fontId="11" fillId="0" borderId="1" xfId="0" applyFont="true" applyBorder="true" applyAlignment="false" applyProtection="false">
      <alignment horizontal="general" vertical="bottom" textRotation="0" wrapText="false" indent="0" shrinkToFit="false"/>
      <protection locked="true" hidden="false"/>
    </xf>
    <xf numFmtId="176" fontId="7" fillId="0" borderId="0" xfId="0" applyFont="true" applyBorder="false" applyAlignment="false" applyProtection="false">
      <alignment horizontal="general" vertical="bottom" textRotation="0" wrapText="false" indent="0" shrinkToFit="false"/>
      <protection locked="true" hidden="false"/>
    </xf>
    <xf numFmtId="177" fontId="10"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70" fontId="7" fillId="4" borderId="0" xfId="0" applyFont="true" applyBorder="false" applyAlignment="false" applyProtection="false">
      <alignment horizontal="general" vertical="bottom" textRotation="0" wrapText="false" indent="0" shrinkToFit="false"/>
      <protection locked="true" hidden="false"/>
    </xf>
    <xf numFmtId="176" fontId="7" fillId="4" borderId="0" xfId="0" applyFont="true" applyBorder="false" applyAlignment="false" applyProtection="false">
      <alignment horizontal="general" vertical="bottom" textRotation="0" wrapText="false" indent="0" shrinkToFit="false"/>
      <protection locked="true" hidden="false"/>
    </xf>
    <xf numFmtId="177" fontId="10" fillId="4" borderId="0" xfId="0" applyFont="true" applyBorder="false" applyAlignment="false" applyProtection="false">
      <alignment horizontal="general" vertical="bottom" textRotation="0" wrapText="false" indent="0" shrinkToFit="false"/>
      <protection locked="true" hidden="false"/>
    </xf>
    <xf numFmtId="166" fontId="7" fillId="4" borderId="0" xfId="0" applyFont="true" applyBorder="false" applyAlignment="false" applyProtection="false">
      <alignment horizontal="general" vertical="bottom" textRotation="0" wrapText="false" indent="0" shrinkToFit="false"/>
      <protection locked="true" hidden="false"/>
    </xf>
    <xf numFmtId="173" fontId="1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0"/>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30" hidden="false" customHeight="true" outlineLevel="0" collapsed="false">
      <c r="A7" s="5" t="s">
        <v>3</v>
      </c>
    </row>
    <row r="9" customFormat="false" ht="15" hidden="false" customHeight="false" outlineLevel="0" collapsed="false">
      <c r="A9" s="4" t="s">
        <v>4</v>
      </c>
    </row>
    <row r="11" customFormat="false" ht="45" hidden="false" customHeight="true" outlineLevel="0" collapsed="false">
      <c r="A11" s="5" t="s">
        <v>5</v>
      </c>
    </row>
    <row r="12" customFormat="false" ht="45" hidden="false" customHeight="true" outlineLevel="0" collapsed="false">
      <c r="A12" s="5" t="s">
        <v>6</v>
      </c>
    </row>
    <row r="14" customFormat="false" ht="15" hidden="false" customHeight="false" outlineLevel="0" collapsed="false">
      <c r="A14" s="4" t="s">
        <v>7</v>
      </c>
    </row>
    <row r="16" customFormat="false" ht="30" hidden="false" customHeight="true" outlineLevel="0" collapsed="false">
      <c r="A16" s="5" t="s">
        <v>8</v>
      </c>
    </row>
    <row r="17" customFormat="false" ht="30" hidden="false" customHeight="true" outlineLevel="0" collapsed="false">
      <c r="A17" s="5" t="s">
        <v>9</v>
      </c>
    </row>
    <row r="19" customFormat="false" ht="105" hidden="false" customHeight="true" outlineLevel="0" collapsed="false">
      <c r="A19" s="5" t="s">
        <v>10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4"/>
    <col collapsed="false" customWidth="true" hidden="false" outlineLevel="0" max="6" min="2" style="0" width="16"/>
    <col collapsed="false" customWidth="true" hidden="false" outlineLevel="0" max="7" min="7" style="0" width="14"/>
  </cols>
  <sheetData>
    <row r="1" customFormat="false" ht="24" hidden="false" customHeight="true" outlineLevel="0" collapsed="false">
      <c r="A1" s="1" t="s">
        <v>11</v>
      </c>
    </row>
    <row r="2" customFormat="false" ht="15" hidden="false" customHeight="false" outlineLevel="0" collapsed="false">
      <c r="A2" s="2" t="s">
        <v>12</v>
      </c>
    </row>
    <row r="3" customFormat="false" ht="15" hidden="false" customHeight="false" outlineLevel="0" collapsed="false">
      <c r="A3" s="3"/>
      <c r="B3" s="3"/>
      <c r="C3" s="3"/>
      <c r="D3" s="3"/>
      <c r="E3" s="3"/>
      <c r="F3" s="3"/>
      <c r="G3" s="3"/>
    </row>
    <row r="5" customFormat="false" ht="15" hidden="false" customHeight="false" outlineLevel="0" collapsed="false">
      <c r="A5" s="4" t="s">
        <v>13</v>
      </c>
      <c r="B5" s="6"/>
      <c r="C5" s="6"/>
      <c r="D5" s="6"/>
      <c r="E5" s="6"/>
      <c r="F5" s="6"/>
      <c r="G5" s="6"/>
    </row>
    <row r="7" customFormat="false" ht="15" hidden="false" customHeight="false" outlineLevel="0" collapsed="false">
      <c r="A7" s="7" t="s">
        <v>14</v>
      </c>
      <c r="B7" s="8" t="n">
        <v>500000000</v>
      </c>
    </row>
    <row r="8" customFormat="false" ht="15" hidden="false" customHeight="false" outlineLevel="0" collapsed="false">
      <c r="A8" s="7" t="s">
        <v>15</v>
      </c>
      <c r="B8" s="9" t="n">
        <v>0.0035</v>
      </c>
    </row>
    <row r="9" customFormat="false" ht="15" hidden="false" customHeight="false" outlineLevel="0" collapsed="false">
      <c r="A9" s="7" t="s">
        <v>16</v>
      </c>
      <c r="B9" s="9" t="n">
        <v>0.0022</v>
      </c>
    </row>
    <row r="10" customFormat="false" ht="15" hidden="false" customHeight="false" outlineLevel="0" collapsed="false">
      <c r="A10" s="7" t="s">
        <v>17</v>
      </c>
      <c r="B10" s="8" t="n">
        <v>250000000</v>
      </c>
    </row>
    <row r="12" customFormat="false" ht="15" hidden="false" customHeight="false" outlineLevel="0" collapsed="false">
      <c r="A12" s="4" t="s">
        <v>18</v>
      </c>
      <c r="B12" s="6"/>
      <c r="C12" s="6"/>
      <c r="D12" s="6"/>
      <c r="E12" s="6"/>
      <c r="F12" s="6"/>
      <c r="G12" s="6"/>
    </row>
    <row r="14" customFormat="false" ht="30" hidden="false" customHeight="true" outlineLevel="0" collapsed="false">
      <c r="A14" s="10"/>
      <c r="B14" s="11" t="s">
        <v>19</v>
      </c>
      <c r="C14" s="11" t="s">
        <v>20</v>
      </c>
      <c r="D14" s="11" t="s">
        <v>21</v>
      </c>
      <c r="E14" s="11" t="s">
        <v>22</v>
      </c>
      <c r="F14" s="11" t="s">
        <v>23</v>
      </c>
    </row>
    <row r="15" customFormat="false" ht="15" hidden="false" customHeight="false" outlineLevel="0" collapsed="false">
      <c r="A15" s="7" t="s">
        <v>24</v>
      </c>
      <c r="B15" s="8" t="n">
        <v>0</v>
      </c>
      <c r="C15" s="8" t="n">
        <v>120000000</v>
      </c>
      <c r="D15" s="8" t="n">
        <v>-180000000</v>
      </c>
      <c r="E15" s="8" t="n">
        <v>0</v>
      </c>
      <c r="F15" s="8" t="n">
        <v>0</v>
      </c>
    </row>
    <row r="17" customFormat="false" ht="15" hidden="false" customHeight="false" outlineLevel="0" collapsed="false">
      <c r="A17" s="4" t="s">
        <v>25</v>
      </c>
      <c r="B17" s="6"/>
      <c r="C17" s="6"/>
      <c r="D17" s="6"/>
      <c r="E17" s="6"/>
      <c r="F17" s="6"/>
      <c r="G17" s="6"/>
    </row>
    <row r="19" customFormat="false" ht="30" hidden="false" customHeight="true" outlineLevel="0" collapsed="false">
      <c r="A19" s="10" t="s">
        <v>26</v>
      </c>
      <c r="B19" s="11" t="s">
        <v>27</v>
      </c>
      <c r="C19" s="11" t="s">
        <v>19</v>
      </c>
      <c r="D19" s="11" t="s">
        <v>20</v>
      </c>
      <c r="E19" s="11" t="s">
        <v>21</v>
      </c>
      <c r="F19" s="11" t="s">
        <v>22</v>
      </c>
      <c r="G19" s="11" t="s">
        <v>23</v>
      </c>
    </row>
    <row r="20" customFormat="false" ht="15" hidden="false" customHeight="false" outlineLevel="0" collapsed="false">
      <c r="A20" s="7" t="s">
        <v>28</v>
      </c>
      <c r="B20" s="12" t="n">
        <v>0.45</v>
      </c>
      <c r="C20" s="13" t="n">
        <v>18.4</v>
      </c>
      <c r="D20" s="13" t="n">
        <v>-12.6</v>
      </c>
      <c r="E20" s="13" t="n">
        <v>19.2</v>
      </c>
      <c r="F20" s="13" t="n">
        <v>9.8</v>
      </c>
      <c r="G20" s="13" t="n">
        <v>2.6</v>
      </c>
    </row>
    <row r="21" customFormat="false" ht="15" hidden="false" customHeight="false" outlineLevel="0" collapsed="false">
      <c r="A21" s="7" t="s">
        <v>29</v>
      </c>
      <c r="B21" s="12" t="n">
        <v>0.25</v>
      </c>
      <c r="C21" s="13" t="n">
        <v>-1.2</v>
      </c>
      <c r="D21" s="13" t="n">
        <v>2.8</v>
      </c>
      <c r="E21" s="13" t="n">
        <v>4.1</v>
      </c>
      <c r="F21" s="13" t="n">
        <v>3.2</v>
      </c>
      <c r="G21" s="13" t="n">
        <v>4.4</v>
      </c>
    </row>
    <row r="22" customFormat="false" ht="15" hidden="false" customHeight="false" outlineLevel="0" collapsed="false">
      <c r="A22" s="7" t="s">
        <v>30</v>
      </c>
      <c r="B22" s="12" t="n">
        <v>0.15</v>
      </c>
      <c r="C22" s="13" t="n">
        <v>6.3</v>
      </c>
      <c r="D22" s="13" t="n">
        <v>-3.1</v>
      </c>
      <c r="E22" s="13" t="n">
        <v>8.6</v>
      </c>
      <c r="F22" s="13" t="n">
        <v>5.6</v>
      </c>
      <c r="G22" s="13" t="n">
        <v>3.9</v>
      </c>
    </row>
    <row r="23" customFormat="false" ht="15" hidden="false" customHeight="false" outlineLevel="0" collapsed="false">
      <c r="A23" s="7" t="s">
        <v>31</v>
      </c>
      <c r="B23" s="12" t="n">
        <v>0.1</v>
      </c>
      <c r="C23" s="13" t="n">
        <v>9.1</v>
      </c>
      <c r="D23" s="13" t="n">
        <v>-4.4</v>
      </c>
      <c r="E23" s="13" t="n">
        <v>2.2</v>
      </c>
      <c r="F23" s="13" t="n">
        <v>-1.8</v>
      </c>
      <c r="G23" s="13" t="n">
        <v>0.6</v>
      </c>
    </row>
    <row r="24" customFormat="false" ht="15" hidden="false" customHeight="false" outlineLevel="0" collapsed="false">
      <c r="A24" s="7" t="s">
        <v>32</v>
      </c>
      <c r="B24" s="12" t="n">
        <v>0.05</v>
      </c>
      <c r="C24" s="13" t="n">
        <v>1.1</v>
      </c>
      <c r="D24" s="13" t="n">
        <v>2.4</v>
      </c>
      <c r="E24" s="13" t="n">
        <v>3.3</v>
      </c>
      <c r="F24" s="13" t="n">
        <v>3.9</v>
      </c>
      <c r="G24" s="13" t="n">
        <v>3.6</v>
      </c>
    </row>
    <row r="25" customFormat="false" ht="15" hidden="false" customHeight="false" outlineLevel="0" collapsed="false">
      <c r="A25" s="14" t="s">
        <v>33</v>
      </c>
      <c r="B25" s="15" t="n">
        <f aca="false">SUM(B20:B24)</f>
        <v>1</v>
      </c>
    </row>
    <row r="27" customFormat="false" ht="15" hidden="false" customHeight="false" outlineLevel="0" collapsed="false">
      <c r="A27" s="4" t="s">
        <v>34</v>
      </c>
      <c r="B27" s="6"/>
      <c r="C27" s="6"/>
      <c r="D27" s="6"/>
      <c r="E27" s="6"/>
      <c r="F27" s="6"/>
      <c r="G27" s="6"/>
    </row>
    <row r="29" customFormat="false" ht="30" hidden="false" customHeight="true" outlineLevel="0" collapsed="false">
      <c r="A29" s="10" t="s">
        <v>26</v>
      </c>
      <c r="B29" s="11" t="s">
        <v>19</v>
      </c>
      <c r="C29" s="11" t="s">
        <v>20</v>
      </c>
      <c r="D29" s="11" t="s">
        <v>21</v>
      </c>
      <c r="E29" s="11" t="s">
        <v>22</v>
      </c>
      <c r="F29" s="11" t="s">
        <v>23</v>
      </c>
    </row>
    <row r="30" customFormat="false" ht="15" hidden="false" customHeight="false" outlineLevel="0" collapsed="false">
      <c r="A30" s="7" t="s">
        <v>28</v>
      </c>
      <c r="B30" s="12" t="n">
        <v>0.48</v>
      </c>
      <c r="C30" s="12" t="n">
        <v>0.46</v>
      </c>
      <c r="D30" s="12" t="n">
        <v>0.5</v>
      </c>
      <c r="E30" s="12" t="n">
        <v>0.47</v>
      </c>
      <c r="F30" s="12" t="n">
        <v>0.44</v>
      </c>
    </row>
    <row r="31" customFormat="false" ht="15" hidden="false" customHeight="false" outlineLevel="0" collapsed="false">
      <c r="A31" s="7" t="s">
        <v>29</v>
      </c>
      <c r="B31" s="12" t="n">
        <v>0.22</v>
      </c>
      <c r="C31" s="12" t="n">
        <v>0.24</v>
      </c>
      <c r="D31" s="12" t="n">
        <v>0.2</v>
      </c>
      <c r="E31" s="12" t="n">
        <v>0.23</v>
      </c>
      <c r="F31" s="12" t="n">
        <v>0.26</v>
      </c>
    </row>
    <row r="32" customFormat="false" ht="15" hidden="false" customHeight="false" outlineLevel="0" collapsed="false">
      <c r="A32" s="7" t="s">
        <v>30</v>
      </c>
      <c r="B32" s="12" t="n">
        <v>0.16</v>
      </c>
      <c r="C32" s="12" t="n">
        <v>0.16</v>
      </c>
      <c r="D32" s="12" t="n">
        <v>0.16</v>
      </c>
      <c r="E32" s="12" t="n">
        <v>0.15</v>
      </c>
      <c r="F32" s="12" t="n">
        <v>0.15</v>
      </c>
    </row>
    <row r="33" customFormat="false" ht="15" hidden="false" customHeight="false" outlineLevel="0" collapsed="false">
      <c r="A33" s="7" t="s">
        <v>31</v>
      </c>
      <c r="B33" s="12" t="n">
        <v>0.1</v>
      </c>
      <c r="C33" s="12" t="n">
        <v>0.1</v>
      </c>
      <c r="D33" s="12" t="n">
        <v>0.11</v>
      </c>
      <c r="E33" s="12" t="n">
        <v>0.11</v>
      </c>
      <c r="F33" s="12" t="n">
        <v>0.11</v>
      </c>
    </row>
    <row r="34" customFormat="false" ht="15" hidden="false" customHeight="false" outlineLevel="0" collapsed="false">
      <c r="A34" s="7" t="s">
        <v>32</v>
      </c>
      <c r="B34" s="12" t="n">
        <v>0.04</v>
      </c>
      <c r="C34" s="12" t="n">
        <v>0.04</v>
      </c>
      <c r="D34" s="12" t="n">
        <v>0.03</v>
      </c>
      <c r="E34" s="12" t="n">
        <v>0.04</v>
      </c>
      <c r="F34" s="12" t="n">
        <v>0.04</v>
      </c>
    </row>
    <row r="35" customFormat="false" ht="15" hidden="false" customHeight="false" outlineLevel="0" collapsed="false">
      <c r="A35" s="14" t="s">
        <v>33</v>
      </c>
      <c r="B35" s="15" t="n">
        <f aca="false">SUM(B30:B34)</f>
        <v>1</v>
      </c>
      <c r="C35" s="15" t="n">
        <f aca="false">SUM(C30:C34)</f>
        <v>1</v>
      </c>
      <c r="D35" s="15" t="n">
        <f aca="false">SUM(D30:D34)</f>
        <v>1</v>
      </c>
      <c r="E35" s="15" t="n">
        <f aca="false">SUM(E30:E34)</f>
        <v>1</v>
      </c>
      <c r="F35" s="15" t="n">
        <f aca="false">SUM(F30:F34)</f>
        <v>1</v>
      </c>
    </row>
    <row r="37" customFormat="false" ht="15" hidden="false" customHeight="false" outlineLevel="0" collapsed="false">
      <c r="A37" s="4" t="s">
        <v>35</v>
      </c>
      <c r="B37" s="6"/>
      <c r="C37" s="6"/>
      <c r="D37" s="6"/>
      <c r="E37" s="6"/>
      <c r="F37" s="6"/>
      <c r="G37" s="6"/>
    </row>
    <row r="39" customFormat="false" ht="30" hidden="false" customHeight="true" outlineLevel="0" collapsed="false">
      <c r="A39" s="10" t="s">
        <v>26</v>
      </c>
      <c r="B39" s="11" t="s">
        <v>19</v>
      </c>
      <c r="C39" s="11" t="s">
        <v>20</v>
      </c>
      <c r="D39" s="11" t="s">
        <v>21</v>
      </c>
      <c r="E39" s="11" t="s">
        <v>22</v>
      </c>
      <c r="F39" s="11" t="s">
        <v>23</v>
      </c>
    </row>
    <row r="40" customFormat="false" ht="15" hidden="false" customHeight="false" outlineLevel="0" collapsed="false">
      <c r="A40" s="7" t="s">
        <v>28</v>
      </c>
      <c r="B40" s="13" t="n">
        <v>18.9</v>
      </c>
      <c r="C40" s="13" t="n">
        <v>-12.1</v>
      </c>
      <c r="D40" s="13" t="n">
        <v>19.8</v>
      </c>
      <c r="E40" s="13" t="n">
        <v>9.2</v>
      </c>
      <c r="F40" s="13" t="n">
        <v>2.9</v>
      </c>
    </row>
    <row r="41" customFormat="false" ht="15" hidden="false" customHeight="false" outlineLevel="0" collapsed="false">
      <c r="A41" s="7" t="s">
        <v>29</v>
      </c>
      <c r="B41" s="13" t="n">
        <v>-1</v>
      </c>
      <c r="C41" s="13" t="n">
        <v>2.6</v>
      </c>
      <c r="D41" s="13" t="n">
        <v>3.8</v>
      </c>
      <c r="E41" s="13" t="n">
        <v>3.4</v>
      </c>
      <c r="F41" s="13" t="n">
        <v>4.2</v>
      </c>
    </row>
    <row r="42" customFormat="false" ht="15" hidden="false" customHeight="false" outlineLevel="0" collapsed="false">
      <c r="A42" s="7" t="s">
        <v>30</v>
      </c>
      <c r="B42" s="13" t="n">
        <v>6.9</v>
      </c>
      <c r="C42" s="13" t="n">
        <v>-3.6</v>
      </c>
      <c r="D42" s="13" t="n">
        <v>9.4</v>
      </c>
      <c r="E42" s="13" t="n">
        <v>5.9</v>
      </c>
      <c r="F42" s="13" t="n">
        <v>3.6</v>
      </c>
    </row>
    <row r="43" customFormat="false" ht="15" hidden="false" customHeight="false" outlineLevel="0" collapsed="false">
      <c r="A43" s="7" t="s">
        <v>31</v>
      </c>
      <c r="B43" s="13" t="n">
        <v>8.4</v>
      </c>
      <c r="C43" s="13" t="n">
        <v>-5.1</v>
      </c>
      <c r="D43" s="13" t="n">
        <v>2.6</v>
      </c>
      <c r="E43" s="13" t="n">
        <v>-2.4</v>
      </c>
      <c r="F43" s="13" t="n">
        <v>0.9</v>
      </c>
    </row>
    <row r="44" customFormat="false" ht="15" hidden="false" customHeight="false" outlineLevel="0" collapsed="false">
      <c r="A44" s="7" t="s">
        <v>32</v>
      </c>
      <c r="B44" s="13" t="n">
        <v>1.1</v>
      </c>
      <c r="C44" s="13" t="n">
        <v>2.4</v>
      </c>
      <c r="D44" s="13" t="n">
        <v>3.3</v>
      </c>
      <c r="E44" s="13" t="n">
        <v>3.9</v>
      </c>
      <c r="F44" s="13" t="n">
        <v>3.6</v>
      </c>
    </row>
    <row r="46" customFormat="false" ht="15" hidden="false" customHeight="false" outlineLevel="0" collapsed="false">
      <c r="A46" s="16" t="s">
        <v>36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0"/>
    <col collapsed="false" customWidth="true" hidden="false" outlineLevel="0" max="6" min="2" style="0" width="17"/>
  </cols>
  <sheetData>
    <row r="1" customFormat="false" ht="24" hidden="false" customHeight="true" outlineLevel="0" collapsed="false">
      <c r="A1" s="1" t="s">
        <v>37</v>
      </c>
    </row>
    <row r="2" customFormat="false" ht="15" hidden="false" customHeight="false" outlineLevel="0" collapsed="false">
      <c r="A2" s="2" t="s">
        <v>38</v>
      </c>
    </row>
    <row r="3" customFormat="false" ht="15" hidden="false" customHeight="false" outlineLevel="0" collapsed="false">
      <c r="A3" s="3"/>
      <c r="B3" s="3"/>
      <c r="C3" s="3"/>
      <c r="D3" s="3"/>
      <c r="E3" s="3"/>
      <c r="F3" s="3"/>
    </row>
    <row r="5" customFormat="false" ht="30" hidden="false" customHeight="true" outlineLevel="0" collapsed="false">
      <c r="A5" s="10"/>
      <c r="B5" s="11" t="s">
        <v>19</v>
      </c>
      <c r="C5" s="11" t="s">
        <v>20</v>
      </c>
      <c r="D5" s="11" t="s">
        <v>21</v>
      </c>
      <c r="E5" s="11" t="s">
        <v>22</v>
      </c>
      <c r="F5" s="11" t="s">
        <v>23</v>
      </c>
    </row>
    <row r="6" customFormat="false" ht="15" hidden="false" customHeight="false" outlineLevel="0" collapsed="false">
      <c r="A6" s="14" t="s">
        <v>39</v>
      </c>
      <c r="B6" s="17" t="n">
        <f aca="false">SUMPRODUCT(Inputs!$B$20:$B$24,Inputs!C20:C24)/100</f>
        <v>0.0989</v>
      </c>
      <c r="C6" s="17" t="n">
        <f aca="false">SUMPRODUCT(Inputs!$B$20:$B$24,Inputs!D20:D24)/100</f>
        <v>-0.05755</v>
      </c>
      <c r="D6" s="17" t="n">
        <f aca="false">SUMPRODUCT(Inputs!$B$20:$B$24,Inputs!E20:E24)/100</f>
        <v>0.1134</v>
      </c>
      <c r="E6" s="17" t="n">
        <f aca="false">SUMPRODUCT(Inputs!$B$20:$B$24,Inputs!F20:F24)/100</f>
        <v>0.06065</v>
      </c>
      <c r="F6" s="17" t="n">
        <f aca="false">SUMPRODUCT(Inputs!$B$20:$B$24,Inputs!G20:G24)/100</f>
        <v>0.03095</v>
      </c>
    </row>
    <row r="7" customFormat="false" ht="15" hidden="false" customHeight="false" outlineLevel="0" collapsed="false">
      <c r="A7" s="14" t="s">
        <v>40</v>
      </c>
      <c r="B7" s="17" t="n">
        <f aca="false">SUMPRODUCT(Inputs!B30:B34,Inputs!B40:B44)/100</f>
        <v>0.1084</v>
      </c>
      <c r="C7" s="17" t="n">
        <f aca="false">SUMPRODUCT(Inputs!C30:C34,Inputs!C40:C44)/100</f>
        <v>-0.05932</v>
      </c>
      <c r="D7" s="17" t="n">
        <f aca="false">SUMPRODUCT(Inputs!D30:D34,Inputs!D40:D44)/100</f>
        <v>0.12549</v>
      </c>
      <c r="E7" s="17" t="n">
        <f aca="false">SUMPRODUCT(Inputs!E30:E34,Inputs!E40:E44)/100</f>
        <v>0.05883</v>
      </c>
      <c r="F7" s="17" t="n">
        <f aca="false">SUMPRODUCT(Inputs!F30:F34,Inputs!F40:F44)/100</f>
        <v>0.03151</v>
      </c>
    </row>
    <row r="8" customFormat="false" ht="15" hidden="false" customHeight="false" outlineLevel="0" collapsed="false">
      <c r="A8" s="7" t="s">
        <v>41</v>
      </c>
      <c r="B8" s="18" t="n">
        <f aca="false">B7-B6</f>
        <v>0.00950000000000001</v>
      </c>
      <c r="C8" s="18" t="n">
        <f aca="false">C7-C6</f>
        <v>-0.00177</v>
      </c>
      <c r="D8" s="18" t="n">
        <f aca="false">D7-D6</f>
        <v>0.01209</v>
      </c>
      <c r="E8" s="18" t="n">
        <f aca="false">E7-E6</f>
        <v>-0.00182</v>
      </c>
      <c r="F8" s="18" t="n">
        <f aca="false">F7-F6</f>
        <v>0.000560000000000002</v>
      </c>
    </row>
    <row r="10" customFormat="false" ht="15" hidden="false" customHeight="false" outlineLevel="0" collapsed="false">
      <c r="A10" s="4" t="s">
        <v>42</v>
      </c>
      <c r="B10" s="6"/>
      <c r="C10" s="6"/>
      <c r="D10" s="6"/>
      <c r="E10" s="6"/>
      <c r="F10" s="6"/>
    </row>
    <row r="12" customFormat="false" ht="30" hidden="false" customHeight="true" outlineLevel="0" collapsed="false">
      <c r="A12" s="10"/>
      <c r="B12" s="11" t="s">
        <v>19</v>
      </c>
      <c r="C12" s="11" t="s">
        <v>20</v>
      </c>
      <c r="D12" s="11" t="s">
        <v>21</v>
      </c>
      <c r="E12" s="11" t="s">
        <v>22</v>
      </c>
      <c r="F12" s="11" t="s">
        <v>23</v>
      </c>
    </row>
    <row r="13" customFormat="false" ht="15" hidden="false" customHeight="false" outlineLevel="0" collapsed="false">
      <c r="A13" s="7" t="s">
        <v>43</v>
      </c>
      <c r="B13" s="19" t="n">
        <f aca="false">Inputs!B15</f>
        <v>0</v>
      </c>
      <c r="C13" s="19" t="n">
        <f aca="false">Inputs!C15</f>
        <v>120000000</v>
      </c>
      <c r="D13" s="19" t="n">
        <f aca="false">Inputs!D15</f>
        <v>-180000000</v>
      </c>
      <c r="E13" s="19" t="n">
        <f aca="false">Inputs!E15</f>
        <v>0</v>
      </c>
      <c r="F13" s="19" t="n">
        <f aca="false">Inputs!F15</f>
        <v>0</v>
      </c>
    </row>
    <row r="14" customFormat="false" ht="15" hidden="false" customHeight="false" outlineLevel="0" collapsed="false">
      <c r="A14" s="14" t="s">
        <v>44</v>
      </c>
      <c r="B14" s="20" t="n">
        <f aca="false">Inputs!$B$7+B13</f>
        <v>500000000</v>
      </c>
      <c r="C14" s="20" t="n">
        <f aca="false">B18+C13</f>
        <v>672715380</v>
      </c>
      <c r="D14" s="20" t="n">
        <f aca="false">C18+D13</f>
        <v>451048825.846376</v>
      </c>
      <c r="E14" s="20" t="n">
        <f aca="false">D18+E13</f>
        <v>506271373.256104</v>
      </c>
      <c r="F14" s="20" t="n">
        <f aca="false">E18+F13</f>
        <v>534583758.78422</v>
      </c>
    </row>
    <row r="15" customFormat="false" ht="15" hidden="false" customHeight="false" outlineLevel="0" collapsed="false">
      <c r="A15" s="7" t="s">
        <v>45</v>
      </c>
      <c r="B15" s="21" t="n">
        <f aca="false">B14*(1+B7)</f>
        <v>554200000</v>
      </c>
      <c r="C15" s="21" t="n">
        <f aca="false">C14*(1+C7)</f>
        <v>632809903.6584</v>
      </c>
      <c r="D15" s="21" t="n">
        <f aca="false">D14*(1+D7)</f>
        <v>507650943.001837</v>
      </c>
      <c r="E15" s="21" t="n">
        <f aca="false">E14*(1+E7)</f>
        <v>536055318.144761</v>
      </c>
      <c r="F15" s="21" t="n">
        <f aca="false">F14*(1+F7)</f>
        <v>551428493.023511</v>
      </c>
    </row>
    <row r="16" customFormat="false" ht="15" hidden="false" customHeight="false" outlineLevel="0" collapsed="false">
      <c r="A16" s="7" t="s">
        <v>46</v>
      </c>
      <c r="B16" s="21" t="n">
        <f aca="false">(B14+B15)/2</f>
        <v>527100000</v>
      </c>
      <c r="C16" s="21" t="n">
        <f aca="false">(C14+C15)/2</f>
        <v>652762641.8292</v>
      </c>
      <c r="D16" s="21" t="n">
        <f aca="false">(D14+D15)/2</f>
        <v>479349884.424107</v>
      </c>
      <c r="E16" s="21" t="n">
        <f aca="false">(E14+E15)/2</f>
        <v>521163345.700433</v>
      </c>
      <c r="F16" s="21" t="n">
        <f aca="false">(F14+F15)/2</f>
        <v>543006125.903866</v>
      </c>
    </row>
    <row r="17" customFormat="false" ht="15" hidden="false" customHeight="false" outlineLevel="0" collapsed="false">
      <c r="A17" s="7" t="s">
        <v>47</v>
      </c>
      <c r="B17" s="21" t="n">
        <f aca="false">MIN(B16,Inputs!$B$10)*Inputs!$B$8+MAX(0,B16-Inputs!$B$10)*Inputs!$B$9</f>
        <v>1484620</v>
      </c>
      <c r="C17" s="21" t="n">
        <f aca="false">MIN(C16,Inputs!$B$10)*Inputs!$B$8+MAX(0,C16-Inputs!$B$10)*Inputs!$B$9</f>
        <v>1761077.81202424</v>
      </c>
      <c r="D17" s="21" t="n">
        <f aca="false">MIN(D16,Inputs!$B$10)*Inputs!$B$8+MAX(0,D16-Inputs!$B$10)*Inputs!$B$9</f>
        <v>1379569.74573303</v>
      </c>
      <c r="E17" s="21" t="n">
        <f aca="false">MIN(E16,Inputs!$B$10)*Inputs!$B$8+MAX(0,E16-Inputs!$B$10)*Inputs!$B$9</f>
        <v>1471559.36054095</v>
      </c>
      <c r="F17" s="21" t="n">
        <f aca="false">MIN(F16,Inputs!$B$10)*Inputs!$B$8+MAX(0,F16-Inputs!$B$10)*Inputs!$B$9</f>
        <v>1519613.4769885</v>
      </c>
    </row>
    <row r="18" customFormat="false" ht="15" hidden="false" customHeight="false" outlineLevel="0" collapsed="false">
      <c r="A18" s="14" t="s">
        <v>48</v>
      </c>
      <c r="B18" s="20" t="n">
        <f aca="false">B15-B17</f>
        <v>552715380</v>
      </c>
      <c r="C18" s="20" t="n">
        <f aca="false">C15-C17</f>
        <v>631048825.846376</v>
      </c>
      <c r="D18" s="20" t="n">
        <f aca="false">D15-D17</f>
        <v>506271373.256104</v>
      </c>
      <c r="E18" s="20" t="n">
        <f aca="false">E15-E17</f>
        <v>534583758.78422</v>
      </c>
      <c r="F18" s="20" t="n">
        <f aca="false">F15-F17</f>
        <v>549908879.546522</v>
      </c>
    </row>
    <row r="19" customFormat="false" ht="15" hidden="false" customHeight="false" outlineLevel="0" collapsed="false">
      <c r="A19" s="14" t="s">
        <v>49</v>
      </c>
      <c r="B19" s="17" t="n">
        <f aca="false">B18/B14-1</f>
        <v>0.10543076</v>
      </c>
      <c r="C19" s="17" t="n">
        <f aca="false">C18/C14-1</f>
        <v>-0.0619378646488271</v>
      </c>
      <c r="D19" s="17" t="n">
        <f aca="false">D18/D14-1</f>
        <v>0.122431418164332</v>
      </c>
      <c r="E19" s="17" t="n">
        <f aca="false">E18/E14-1</f>
        <v>0.0559233387936267</v>
      </c>
      <c r="F19" s="17" t="n">
        <f aca="false">F18/F14-1</f>
        <v>0.028667389366926</v>
      </c>
    </row>
    <row r="21" customFormat="false" ht="15" hidden="false" customHeight="false" outlineLevel="0" collapsed="false">
      <c r="A21" s="14" t="s">
        <v>50</v>
      </c>
      <c r="B21" s="20" t="n">
        <f aca="false">SUM(B17:F17)</f>
        <v>7616440.39528673</v>
      </c>
    </row>
    <row r="22" customFormat="false" ht="15" hidden="false" customHeight="false" outlineLevel="0" collapsed="false">
      <c r="A22" s="7" t="s">
        <v>51</v>
      </c>
      <c r="B22" s="21" t="n">
        <f aca="false">Inputs!B7+SUM(B13:F13)</f>
        <v>440000000</v>
      </c>
    </row>
    <row r="23" customFormat="false" ht="15" hidden="false" customHeight="false" outlineLevel="0" collapsed="false">
      <c r="A23" s="7" t="s">
        <v>52</v>
      </c>
      <c r="B23" s="21" t="n">
        <f aca="false">F18-B22</f>
        <v>109908879.546522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6" min="2" style="0" width="17"/>
  </cols>
  <sheetData>
    <row r="1" customFormat="false" ht="24" hidden="false" customHeight="true" outlineLevel="0" collapsed="false">
      <c r="A1" s="1" t="s">
        <v>53</v>
      </c>
    </row>
    <row r="2" customFormat="false" ht="15" hidden="false" customHeight="false" outlineLevel="0" collapsed="false">
      <c r="A2" s="2" t="s">
        <v>54</v>
      </c>
    </row>
    <row r="3" customFormat="false" ht="15" hidden="false" customHeight="false" outlineLevel="0" collapsed="false">
      <c r="A3" s="3"/>
      <c r="B3" s="3"/>
      <c r="C3" s="3"/>
      <c r="D3" s="3"/>
      <c r="E3" s="3"/>
      <c r="F3" s="3"/>
    </row>
    <row r="5" customFormat="false" ht="30" hidden="false" customHeight="true" outlineLevel="0" collapsed="false">
      <c r="A5" s="10"/>
      <c r="B5" s="11" t="s">
        <v>19</v>
      </c>
      <c r="C5" s="11" t="s">
        <v>20</v>
      </c>
      <c r="D5" s="11" t="s">
        <v>21</v>
      </c>
      <c r="E5" s="11" t="s">
        <v>22</v>
      </c>
      <c r="F5" s="11" t="s">
        <v>23</v>
      </c>
    </row>
    <row r="6" customFormat="false" ht="15" hidden="false" customHeight="false" outlineLevel="0" collapsed="false">
      <c r="A6" s="7" t="s">
        <v>55</v>
      </c>
      <c r="B6" s="21" t="n">
        <f aca="false">Returns!B16</f>
        <v>527100000</v>
      </c>
      <c r="C6" s="21" t="n">
        <f aca="false">Returns!C16</f>
        <v>652762641.8292</v>
      </c>
      <c r="D6" s="21" t="n">
        <f aca="false">Returns!D16</f>
        <v>479349884.424107</v>
      </c>
      <c r="E6" s="21" t="n">
        <f aca="false">Returns!E16</f>
        <v>521163345.700433</v>
      </c>
      <c r="F6" s="21" t="n">
        <f aca="false">Returns!F16</f>
        <v>543006125.903866</v>
      </c>
    </row>
    <row r="7" customFormat="false" ht="15" hidden="false" customHeight="false" outlineLevel="0" collapsed="false">
      <c r="A7" s="7" t="s">
        <v>56</v>
      </c>
      <c r="B7" s="21" t="n">
        <f aca="false">MIN(B6,Inputs!$B$10)</f>
        <v>250000000</v>
      </c>
      <c r="C7" s="21" t="n">
        <f aca="false">MIN(C6,Inputs!$B$10)</f>
        <v>250000000</v>
      </c>
      <c r="D7" s="21" t="n">
        <f aca="false">MIN(D6,Inputs!$B$10)</f>
        <v>250000000</v>
      </c>
      <c r="E7" s="21" t="n">
        <f aca="false">MIN(E6,Inputs!$B$10)</f>
        <v>250000000</v>
      </c>
      <c r="F7" s="21" t="n">
        <f aca="false">MIN(F6,Inputs!$B$10)</f>
        <v>250000000</v>
      </c>
    </row>
    <row r="8" customFormat="false" ht="15" hidden="false" customHeight="false" outlineLevel="0" collapsed="false">
      <c r="A8" s="7" t="s">
        <v>57</v>
      </c>
      <c r="B8" s="21" t="n">
        <f aca="false">MAX(0,B6-Inputs!$B$10)</f>
        <v>277100000</v>
      </c>
      <c r="C8" s="21" t="n">
        <f aca="false">MAX(0,C6-Inputs!$B$10)</f>
        <v>402762641.8292</v>
      </c>
      <c r="D8" s="21" t="n">
        <f aca="false">MAX(0,D6-Inputs!$B$10)</f>
        <v>229349884.424107</v>
      </c>
      <c r="E8" s="21" t="n">
        <f aca="false">MAX(0,E6-Inputs!$B$10)</f>
        <v>271163345.700433</v>
      </c>
      <c r="F8" s="21" t="n">
        <f aca="false">MAX(0,F6-Inputs!$B$10)</f>
        <v>293006125.903865</v>
      </c>
    </row>
    <row r="9" customFormat="false" ht="15" hidden="false" customHeight="false" outlineLevel="0" collapsed="false">
      <c r="A9" s="14" t="s">
        <v>47</v>
      </c>
      <c r="B9" s="20" t="n">
        <f aca="false">Returns!B17</f>
        <v>1484620</v>
      </c>
      <c r="C9" s="20" t="n">
        <f aca="false">Returns!C17</f>
        <v>1761077.81202424</v>
      </c>
      <c r="D9" s="20" t="n">
        <f aca="false">Returns!D17</f>
        <v>1379569.74573303</v>
      </c>
      <c r="E9" s="20" t="n">
        <f aca="false">Returns!E17</f>
        <v>1471559.36054095</v>
      </c>
      <c r="F9" s="20" t="n">
        <f aca="false">Returns!F17</f>
        <v>1519613.4769885</v>
      </c>
    </row>
    <row r="10" customFormat="false" ht="15" hidden="false" customHeight="false" outlineLevel="0" collapsed="false">
      <c r="A10" s="14" t="s">
        <v>58</v>
      </c>
      <c r="B10" s="22" t="n">
        <f aca="false">B9/B6*10000</f>
        <v>28.1658129387213</v>
      </c>
      <c r="C10" s="22" t="n">
        <f aca="false">C9/C6*10000</f>
        <v>26.9788388485173</v>
      </c>
      <c r="D10" s="22" t="n">
        <f aca="false">D9/D6*10000</f>
        <v>28.7800162378355</v>
      </c>
      <c r="E10" s="22" t="n">
        <f aca="false">E9/E6*10000</f>
        <v>28.2360486914752</v>
      </c>
      <c r="F10" s="22" t="n">
        <f aca="false">F9/F6*10000</f>
        <v>27.9851995124184</v>
      </c>
    </row>
    <row r="12" customFormat="false" ht="15" hidden="false" customHeight="false" outlineLevel="0" collapsed="false">
      <c r="A12" s="4" t="s">
        <v>59</v>
      </c>
      <c r="B12" s="6"/>
      <c r="C12" s="6"/>
      <c r="D12" s="6"/>
      <c r="E12" s="6"/>
      <c r="F12" s="6"/>
    </row>
    <row r="14" customFormat="false" ht="15" hidden="false" customHeight="false" outlineLevel="0" collapsed="false">
      <c r="A14" s="14" t="s">
        <v>50</v>
      </c>
      <c r="B14" s="20" t="n">
        <f aca="false">Returns!B21</f>
        <v>7616440.39528673</v>
      </c>
    </row>
    <row r="15" customFormat="false" ht="15" hidden="false" customHeight="false" outlineLevel="0" collapsed="false">
      <c r="A15" s="7" t="s">
        <v>60</v>
      </c>
      <c r="B15" s="21" t="n">
        <f aca="false">Returns!B23</f>
        <v>109908879.546522</v>
      </c>
    </row>
    <row r="16" customFormat="false" ht="15" hidden="false" customHeight="false" outlineLevel="0" collapsed="false">
      <c r="A16" s="14" t="s">
        <v>61</v>
      </c>
      <c r="B16" s="23" t="n">
        <f aca="false">B14/B15</f>
        <v>0.0692977712693618</v>
      </c>
    </row>
    <row r="17" customFormat="false" ht="15" hidden="false" customHeight="false" outlineLevel="0" collapsed="false">
      <c r="A17" s="7" t="s">
        <v>62</v>
      </c>
      <c r="B17" s="24" t="n">
        <f aca="false">((1+Returns!B7)*(1+Returns!C7)*(1+Returns!D7)*(1+Returns!E7)*(1+Returns!F7))^(1/5)-1</f>
        <v>0.0508868308311674</v>
      </c>
    </row>
    <row r="18" customFormat="false" ht="15" hidden="false" customHeight="false" outlineLevel="0" collapsed="false">
      <c r="A18" s="7" t="s">
        <v>63</v>
      </c>
      <c r="B18" s="24" t="n">
        <f aca="false">((1+Returns!B19)*(1+Returns!C19)*(1+Returns!D19)*(1+Returns!E19)*(1+Returns!F19))^(1/5)-1</f>
        <v>0.0480115414321958</v>
      </c>
    </row>
    <row r="19" customFormat="false" ht="15" hidden="false" customHeight="false" outlineLevel="0" collapsed="false">
      <c r="A19" s="7" t="s">
        <v>64</v>
      </c>
      <c r="B19" s="24" t="n">
        <f aca="false">((1+Returns!B6)*(1+Returns!C6)*(1+Returns!D6)*(1+Returns!E6)*(1+Returns!F6))^(1/5)-1</f>
        <v>0.0474552592329778</v>
      </c>
    </row>
    <row r="20" customFormat="false" ht="15" hidden="false" customHeight="false" outlineLevel="0" collapsed="false">
      <c r="A20" s="14" t="s">
        <v>65</v>
      </c>
      <c r="B20" s="23" t="n">
        <f aca="false">B17-B18</f>
        <v>0.00287528939897164</v>
      </c>
    </row>
    <row r="21" customFormat="false" ht="15" hidden="false" customHeight="false" outlineLevel="0" collapsed="false">
      <c r="A21" s="7" t="s">
        <v>66</v>
      </c>
      <c r="B21" s="24" t="n">
        <f aca="false">B17-B19</f>
        <v>0.00343157159818963</v>
      </c>
    </row>
    <row r="22" customFormat="false" ht="15" hidden="false" customHeight="false" outlineLevel="0" collapsed="false">
      <c r="A22" s="7" t="s">
        <v>67</v>
      </c>
      <c r="B22" s="24" t="n">
        <f aca="false">B18-B19</f>
        <v>0.000556282199217995</v>
      </c>
    </row>
    <row r="23" customFormat="false" ht="15" hidden="false" customHeight="false" outlineLevel="0" collapsed="false">
      <c r="A23" s="14" t="s">
        <v>68</v>
      </c>
      <c r="B23" s="23" t="n">
        <f aca="false">B20/B21</f>
        <v>0.837892876980487</v>
      </c>
    </row>
    <row r="24" customFormat="false" ht="15" hidden="false" customHeight="false" outlineLevel="0" collapsed="false">
      <c r="A24" s="7" t="s">
        <v>69</v>
      </c>
      <c r="B24" s="24" t="n">
        <f aca="false">1-B23</f>
        <v>0.162107123019513</v>
      </c>
    </row>
    <row r="26" customFormat="false" ht="15" hidden="false" customHeight="false" outlineLevel="0" collapsed="false">
      <c r="A26" s="25" t="s">
        <v>70</v>
      </c>
    </row>
    <row r="27" customFormat="false" ht="15" hidden="false" customHeight="false" outlineLevel="0" collapsed="false">
      <c r="A27" s="7" t="s">
        <v>71</v>
      </c>
      <c r="B27" s="22" t="n">
        <f aca="false">SUM(B9:F9)/SUM(B6:F6)*10000</f>
        <v>27.9668456400106</v>
      </c>
    </row>
    <row r="28" customFormat="false" ht="15" hidden="false" customHeight="false" outlineLevel="0" collapsed="false">
      <c r="A28" s="7" t="s">
        <v>72</v>
      </c>
      <c r="B28" s="26" t="n">
        <f aca="false">B9/Returns!B14*10000</f>
        <v>29.6924</v>
      </c>
    </row>
    <row r="29" customFormat="false" ht="15" hidden="false" customHeight="false" outlineLevel="0" collapsed="false">
      <c r="A29" s="7" t="s">
        <v>73</v>
      </c>
      <c r="B29" s="27" t="n">
        <f aca="false">AVERAGE(Returns!B7:F7)-AVERAGE(Returns!B19:F19)</f>
        <v>0.00287899166478846</v>
      </c>
    </row>
    <row r="30" customFormat="false" ht="15" hidden="false" customHeight="false" outlineLevel="0" collapsed="false">
      <c r="A30" s="7" t="s">
        <v>74</v>
      </c>
      <c r="B30" s="27" t="n">
        <f aca="false">(1+B17)/(1+B18)-1</f>
        <v>0.00274356654034769</v>
      </c>
    </row>
    <row r="32" customFormat="false" ht="15" hidden="false" customHeight="false" outlineLevel="0" collapsed="false">
      <c r="A32" s="25" t="s">
        <v>75</v>
      </c>
    </row>
    <row r="33" customFormat="false" ht="15" hidden="false" customHeight="false" outlineLevel="0" collapsed="false">
      <c r="A33" s="7" t="s">
        <v>76</v>
      </c>
      <c r="B33" s="28" t="n">
        <v>5</v>
      </c>
    </row>
    <row r="34" customFormat="false" ht="15" hidden="false" customHeight="false" outlineLevel="0" collapsed="false">
      <c r="A34" s="7" t="s">
        <v>77</v>
      </c>
      <c r="B34" s="28" t="n">
        <v>2</v>
      </c>
    </row>
    <row r="35" customFormat="false" ht="15" hidden="false" customHeight="false" outlineLevel="0" collapsed="false">
      <c r="A35" s="7" t="s">
        <v>78</v>
      </c>
      <c r="B35" s="29" t="n">
        <v>100000000</v>
      </c>
    </row>
    <row r="36" customFormat="false" ht="15" hidden="false" customHeight="false" outlineLevel="0" collapsed="false">
      <c r="A36" s="7" t="s">
        <v>79</v>
      </c>
      <c r="B36" s="21" t="n">
        <f aca="false">B33/10000*SUM(B7:F7)</f>
        <v>625000</v>
      </c>
    </row>
    <row r="37" customFormat="false" ht="15" hidden="false" customHeight="false" outlineLevel="0" collapsed="false">
      <c r="A37" s="7" t="s">
        <v>80</v>
      </c>
      <c r="B37" s="21" t="n">
        <f aca="false">B34/10000*SUM(B8:F8)</f>
        <v>294676.399571521</v>
      </c>
    </row>
    <row r="38" customFormat="false" ht="15" hidden="false" customHeight="false" outlineLevel="0" collapsed="false">
      <c r="A38" s="7" t="s">
        <v>81</v>
      </c>
      <c r="B38" s="21" t="n">
        <f aca="false">B9-(MIN(B6,MAX(0,Inputs!$B$10-$B$35))*Inputs!$B$8+MAX(0,B6-MAX(0,Inputs!$B$10-$B$35))*Inputs!$B$9)</f>
        <v>130000</v>
      </c>
      <c r="C38" s="21" t="n">
        <f aca="false">C9-(MIN(C6,MAX(0,Inputs!$B$10-$B$35))*Inputs!$B$8+MAX(0,C6-MAX(0,Inputs!$B$10-$B$35))*Inputs!$B$9)</f>
        <v>130000</v>
      </c>
      <c r="D38" s="21" t="n">
        <f aca="false">D9-(MIN(D6,MAX(0,Inputs!$B$10-$B$35))*Inputs!$B$8+MAX(0,D6-MAX(0,Inputs!$B$10-$B$35))*Inputs!$B$9)</f>
        <v>130000</v>
      </c>
      <c r="E38" s="21" t="n">
        <f aca="false">E9-(MIN(E6,MAX(0,Inputs!$B$10-$B$35))*Inputs!$B$8+MAX(0,E6-MAX(0,Inputs!$B$10-$B$35))*Inputs!$B$9)</f>
        <v>130000</v>
      </c>
      <c r="F38" s="21" t="n">
        <f aca="false">F9-(MIN(F6,MAX(0,Inputs!$B$10-$B$35))*Inputs!$B$8+MAX(0,F6-MAX(0,Inputs!$B$10-$B$35))*Inputs!$B$9)</f>
        <v>130000</v>
      </c>
    </row>
    <row r="39" customFormat="false" ht="15" hidden="false" customHeight="false" outlineLevel="0" collapsed="false">
      <c r="A39" s="7" t="s">
        <v>82</v>
      </c>
      <c r="B39" s="20" t="n">
        <f aca="false">SUM(B38:F38)</f>
        <v>650000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6" min="2" style="0" width="17"/>
  </cols>
  <sheetData>
    <row r="1" customFormat="false" ht="24" hidden="false" customHeight="true" outlineLevel="0" collapsed="false">
      <c r="A1" s="1" t="s">
        <v>83</v>
      </c>
    </row>
    <row r="2" customFormat="false" ht="15" hidden="false" customHeight="false" outlineLevel="0" collapsed="false">
      <c r="A2" s="2" t="s">
        <v>84</v>
      </c>
    </row>
    <row r="3" customFormat="false" ht="15" hidden="false" customHeight="false" outlineLevel="0" collapsed="false">
      <c r="A3" s="3"/>
      <c r="B3" s="3"/>
      <c r="C3" s="3"/>
      <c r="D3" s="3"/>
      <c r="E3" s="3"/>
      <c r="F3" s="3"/>
    </row>
    <row r="5" customFormat="false" ht="15" hidden="false" customHeight="false" outlineLevel="0" collapsed="false">
      <c r="A5" s="7" t="s">
        <v>85</v>
      </c>
      <c r="B5" s="9" t="n">
        <v>0.0005</v>
      </c>
    </row>
    <row r="7" customFormat="false" ht="30" hidden="false" customHeight="true" outlineLevel="0" collapsed="false">
      <c r="A7" s="10"/>
      <c r="B7" s="11" t="s">
        <v>19</v>
      </c>
      <c r="C7" s="11" t="s">
        <v>20</v>
      </c>
      <c r="D7" s="11" t="s">
        <v>21</v>
      </c>
      <c r="E7" s="11" t="s">
        <v>22</v>
      </c>
      <c r="F7" s="11" t="s">
        <v>23</v>
      </c>
    </row>
    <row r="8" customFormat="false" ht="15" hidden="false" customHeight="false" outlineLevel="0" collapsed="false">
      <c r="A8" s="14" t="s">
        <v>44</v>
      </c>
      <c r="B8" s="20" t="n">
        <f aca="false">Inputs!$B$7+Returns!B13</f>
        <v>500000000</v>
      </c>
      <c r="C8" s="20" t="n">
        <f aca="false">B12+Returns!C13</f>
        <v>669187637.5</v>
      </c>
      <c r="D8" s="20" t="n">
        <f aca="false">C12+Returns!D13</f>
        <v>450350923.080259</v>
      </c>
      <c r="E8" s="20" t="n">
        <f aca="false">D12+Returns!E13</f>
        <v>501182774.847351</v>
      </c>
      <c r="F8" s="20" t="n">
        <f aca="false">E12+Returns!F13</f>
        <v>531321319.570596</v>
      </c>
    </row>
    <row r="9" customFormat="false" ht="15" hidden="false" customHeight="false" outlineLevel="0" collapsed="false">
      <c r="A9" s="7" t="s">
        <v>45</v>
      </c>
      <c r="B9" s="21" t="n">
        <f aca="false">B8*(1+Returns!B6)</f>
        <v>549450000</v>
      </c>
      <c r="C9" s="21" t="n">
        <f aca="false">C8*(1+Returns!C6)</f>
        <v>630675888.961875</v>
      </c>
      <c r="D9" s="21" t="n">
        <f aca="false">D8*(1+Returns!D6)</f>
        <v>501420717.757561</v>
      </c>
      <c r="E9" s="21" t="n">
        <f aca="false">E8*(1+Returns!E6)</f>
        <v>531579510.141843</v>
      </c>
      <c r="F9" s="21" t="n">
        <f aca="false">F8*(1+Returns!F6)</f>
        <v>547765714.411306</v>
      </c>
    </row>
    <row r="10" customFormat="false" ht="15" hidden="false" customHeight="false" outlineLevel="0" collapsed="false">
      <c r="A10" s="7" t="s">
        <v>55</v>
      </c>
      <c r="B10" s="21" t="n">
        <f aca="false">(B8+B9)/2</f>
        <v>524725000</v>
      </c>
      <c r="C10" s="21" t="n">
        <f aca="false">(C8+C9)/2</f>
        <v>649931763.230938</v>
      </c>
      <c r="D10" s="21" t="n">
        <f aca="false">(D8+D9)/2</f>
        <v>475885820.41891</v>
      </c>
      <c r="E10" s="21" t="n">
        <f aca="false">(E8+E9)/2</f>
        <v>516381142.494597</v>
      </c>
      <c r="F10" s="21" t="n">
        <f aca="false">(F8+F9)/2</f>
        <v>539543516.990951</v>
      </c>
    </row>
    <row r="11" customFormat="false" ht="15" hidden="false" customHeight="false" outlineLevel="0" collapsed="false">
      <c r="A11" s="7" t="s">
        <v>47</v>
      </c>
      <c r="B11" s="21" t="n">
        <f aca="false">B10*$B$5</f>
        <v>262362.5</v>
      </c>
      <c r="C11" s="21" t="n">
        <f aca="false">C10*$B$5</f>
        <v>324965.881615469</v>
      </c>
      <c r="D11" s="21" t="n">
        <f aca="false">D10*$B$5</f>
        <v>237942.910209455</v>
      </c>
      <c r="E11" s="21" t="n">
        <f aca="false">E10*$B$5</f>
        <v>258190.571247299</v>
      </c>
      <c r="F11" s="21" t="n">
        <f aca="false">F10*$B$5</f>
        <v>269771.758495475</v>
      </c>
    </row>
    <row r="12" customFormat="false" ht="15" hidden="false" customHeight="false" outlineLevel="0" collapsed="false">
      <c r="A12" s="14" t="s">
        <v>48</v>
      </c>
      <c r="B12" s="20" t="n">
        <f aca="false">B9-B11</f>
        <v>549187637.5</v>
      </c>
      <c r="C12" s="20" t="n">
        <f aca="false">C9-C11</f>
        <v>630350923.080259</v>
      </c>
      <c r="D12" s="20" t="n">
        <f aca="false">D9-D11</f>
        <v>501182774.847351</v>
      </c>
      <c r="E12" s="20" t="n">
        <f aca="false">E9-E11</f>
        <v>531321319.570596</v>
      </c>
      <c r="F12" s="20" t="n">
        <f aca="false">F9-F11</f>
        <v>547495942.652811</v>
      </c>
    </row>
    <row r="14" customFormat="false" ht="15" hidden="false" customHeight="false" outlineLevel="0" collapsed="false">
      <c r="A14" s="4" t="s">
        <v>86</v>
      </c>
      <c r="B14" s="6"/>
      <c r="C14" s="6"/>
      <c r="D14" s="6"/>
      <c r="E14" s="6"/>
      <c r="F14" s="6"/>
    </row>
    <row r="16" customFormat="false" ht="15" hidden="false" customHeight="false" outlineLevel="0" collapsed="false">
      <c r="A16" s="14" t="s">
        <v>87</v>
      </c>
      <c r="B16" s="20" t="n">
        <f aca="false">F12</f>
        <v>547495942.652811</v>
      </c>
    </row>
    <row r="17" customFormat="false" ht="15" hidden="false" customHeight="false" outlineLevel="0" collapsed="false">
      <c r="A17" s="14" t="s">
        <v>88</v>
      </c>
      <c r="B17" s="20" t="n">
        <f aca="false">Returns!F18</f>
        <v>549908879.546522</v>
      </c>
    </row>
    <row r="18" customFormat="false" ht="15" hidden="false" customHeight="false" outlineLevel="0" collapsed="false">
      <c r="A18" s="14" t="s">
        <v>89</v>
      </c>
      <c r="B18" s="20" t="n">
        <f aca="false">B17-B16</f>
        <v>2412936.89371181</v>
      </c>
    </row>
    <row r="19" customFormat="false" ht="15" hidden="false" customHeight="false" outlineLevel="0" collapsed="false">
      <c r="A19" s="7" t="s">
        <v>90</v>
      </c>
      <c r="B19" s="21" t="n">
        <f aca="false">SUM(B11:F11)</f>
        <v>1353233.6215677</v>
      </c>
    </row>
    <row r="20" customFormat="false" ht="15" hidden="false" customHeight="false" outlineLevel="0" collapsed="false">
      <c r="A20" s="7" t="s">
        <v>91</v>
      </c>
      <c r="B20" s="21" t="n">
        <f aca="false">Returns!B21</f>
        <v>7616440.39528673</v>
      </c>
    </row>
    <row r="21" customFormat="false" ht="15" hidden="false" customHeight="false" outlineLevel="0" collapsed="false">
      <c r="A21" s="14" t="s">
        <v>92</v>
      </c>
      <c r="B21" s="20" t="n">
        <f aca="false">B20-B19</f>
        <v>6263206.77371903</v>
      </c>
    </row>
    <row r="22" customFormat="false" ht="15" hidden="false" customHeight="false" outlineLevel="0" collapsed="false">
      <c r="A22" s="7" t="s">
        <v>93</v>
      </c>
      <c r="B22" s="21" t="n">
        <f aca="false">B18+B21</f>
        <v>8676143.66743084</v>
      </c>
    </row>
    <row r="23" customFormat="false" ht="15" hidden="false" customHeight="false" outlineLevel="0" collapsed="false">
      <c r="A23" s="14" t="s">
        <v>94</v>
      </c>
      <c r="B23" s="23" t="n">
        <f aca="false">B18/B22</f>
        <v>0.278111680281375</v>
      </c>
    </row>
    <row r="24" customFormat="false" ht="15" hidden="false" customHeight="false" outlineLevel="0" collapsed="false">
      <c r="A24" s="7" t="s">
        <v>95</v>
      </c>
      <c r="B24" s="24" t="n">
        <f aca="false">B34</f>
        <v>-0.00030766645976408</v>
      </c>
    </row>
    <row r="26" customFormat="false" ht="15" hidden="false" customHeight="false" outlineLevel="0" collapsed="false">
      <c r="A26" s="25" t="s">
        <v>96</v>
      </c>
    </row>
    <row r="27" customFormat="false" ht="15" hidden="false" customHeight="false" outlineLevel="0" collapsed="false">
      <c r="A27" s="16" t="s">
        <v>97</v>
      </c>
    </row>
    <row r="28" customFormat="false" ht="15" hidden="false" customHeight="false" outlineLevel="0" collapsed="false">
      <c r="A28" s="30" t="s">
        <v>98</v>
      </c>
      <c r="B28" s="30" t="s">
        <v>99</v>
      </c>
      <c r="C28" s="30" t="s">
        <v>100</v>
      </c>
      <c r="D28" s="30" t="s">
        <v>101</v>
      </c>
      <c r="E28" s="30" t="s">
        <v>102</v>
      </c>
    </row>
    <row r="29" customFormat="false" ht="15" hidden="false" customHeight="false" outlineLevel="0" collapsed="false">
      <c r="A29" s="7" t="s">
        <v>103</v>
      </c>
      <c r="B29" s="24" t="n">
        <f aca="false">$B$5</f>
        <v>0.0005</v>
      </c>
      <c r="C29" s="21" t="n">
        <f aca="false">((((((Inputs!$B$7+Returns!$B$13)*((1+Returns!$B$6)-$B29*(1+Returns!$B$6/2))+Returns!$C$13)*((1+Returns!$C$6)-$B29*(1+Returns!$C$6/2))+Returns!$D$13)*((1+Returns!$D$6)-$B29*(1+Returns!$D$6/2))+Returns!$E$13)*((1+Returns!$E$6)-$B29*(1+Returns!$E$6/2))+Returns!$F$13)*((1+Returns!$F$6)-$B29*(1+Returns!$F$6/2)))</f>
        <v>547495942.652811</v>
      </c>
      <c r="D29" s="24" t="n">
        <f aca="false">Fees!B27/10000</f>
        <v>0.00279668456400106</v>
      </c>
      <c r="E29" s="21" t="n">
        <f aca="false">((((((Inputs!$B$7+Returns!$B$13)*((1+Returns!$B$7)-$D29*(1+Returns!$B$7/2))+Returns!$C$13)*((1+Returns!$C$7)-$D29*(1+Returns!$C$7/2))+Returns!$D$13)*((1+Returns!$D$7)-$D29*(1+Returns!$D$7/2))+Returns!$E$13)*((1+Returns!$E$7)-$D29*(1+Returns!$E$7/2))+Returns!$F$13)*((1+Returns!$F$7)-$D29*(1+Returns!$F$7/2)))</f>
        <v>549900005.666038</v>
      </c>
    </row>
    <row r="30" customFormat="false" ht="15" hidden="false" customHeight="false" outlineLevel="0" collapsed="false">
      <c r="A30" s="7" t="s">
        <v>104</v>
      </c>
      <c r="B30" s="24" t="n">
        <f aca="false">B29+(C29-$B$17)/SUM($B$10:$F$10)</f>
        <v>-0.000391544835738053</v>
      </c>
      <c r="C30" s="21" t="n">
        <f aca="false">((((((Inputs!$B$7+Returns!$B$13)*((1+Returns!$B$6)-$B30*(1+Returns!$B$6/2))+Returns!$C$13)*((1+Returns!$C$6)-$B30*(1+Returns!$C$6/2))+Returns!$D$13)*((1+Returns!$D$6)-$B30*(1+Returns!$D$6/2))+Returns!$E$13)*((1+Returns!$E$6)-$B30*(1+Returns!$E$6/2))+Returns!$F$13)*((1+Returns!$F$6)-$B30*(1+Returns!$F$6/2)))</f>
        <v>550159934.467277</v>
      </c>
      <c r="D30" s="24" t="n">
        <f aca="false">D29+(E29-$B$16)/SUM(Fees!$B$6:$F$6)</f>
        <v>0.00367943366608039</v>
      </c>
      <c r="E30" s="21" t="n">
        <f aca="false">((((((Inputs!$B$7+Returns!$B$13)*((1+Returns!$B$7)-$D30*(1+Returns!$B$7/2))+Returns!$C$13)*((1+Returns!$C$7)-$D30*(1+Returns!$C$7/2))+Returns!$D$13)*((1+Returns!$D$7)-$D30*(1+Returns!$D$7/2))+Returns!$E$13)*((1+Returns!$E$7)-$D30*(1+Returns!$E$7/2))+Returns!$F$13)*((1+Returns!$F$7)-$D30*(1+Returns!$F$7/2)))</f>
        <v>547257984.791279</v>
      </c>
    </row>
    <row r="31" customFormat="false" ht="15" hidden="false" customHeight="false" outlineLevel="0" collapsed="false">
      <c r="A31" s="7" t="s">
        <v>105</v>
      </c>
      <c r="B31" s="24" t="n">
        <f aca="false">IFERROR(B30-(C30-$B$17)*(B30-B29)/(C30-C29),B30)</f>
        <v>-0.000307525539255908</v>
      </c>
      <c r="C31" s="21" t="n">
        <f aca="false">((((((Inputs!$B$7+Returns!$B$13)*((1+Returns!$B$6)-$B31*(1+Returns!$B$6/2))+Returns!$C$13)*((1+Returns!$C$6)-$B31*(1+Returns!$C$6/2))+Returns!$D$13)*((1+Returns!$D$6)-$B31*(1+Returns!$D$6/2))+Returns!$E$13)*((1+Returns!$E$6)-$B31*(1+Returns!$E$6/2))+Returns!$F$13)*((1+Returns!$F$6)-$B31*(1+Returns!$F$6/2)))</f>
        <v>549908457.833432</v>
      </c>
      <c r="D31" s="24" t="n">
        <f aca="false">IFERROR(D30-(E30-$B$16)*(D30-D29)/(E30-E29),D30)</f>
        <v>0.00359992744771314</v>
      </c>
      <c r="E31" s="21" t="n">
        <f aca="false">((((((Inputs!$B$7+Returns!$B$13)*((1+Returns!$B$7)-$D31*(1+Returns!$B$7/2))+Returns!$C$13)*((1+Returns!$C$7)-$D31*(1+Returns!$C$7/2))+Returns!$D$13)*((1+Returns!$D$7)-$D31*(1+Returns!$D$7/2))+Returns!$E$13)*((1+Returns!$E$7)-$D31*(1+Returns!$E$7/2))+Returns!$F$13)*((1+Returns!$F$7)-$D31*(1+Returns!$F$7/2)))</f>
        <v>547495544.58748</v>
      </c>
    </row>
    <row r="32" customFormat="false" ht="15" hidden="false" customHeight="false" outlineLevel="0" collapsed="false">
      <c r="A32" s="7" t="s">
        <v>105</v>
      </c>
      <c r="B32" s="24" t="n">
        <f aca="false">IFERROR(B31-(C31-$B$17)*(B31-B30)/(C31-C30),B31)</f>
        <v>-0.000307666435197819</v>
      </c>
      <c r="C32" s="21" t="n">
        <f aca="false">((((((Inputs!$B$7+Returns!$B$13)*((1+Returns!$B$6)-$B32*(1+Returns!$B$6/2))+Returns!$C$13)*((1+Returns!$C$6)-$B32*(1+Returns!$C$6/2))+Returns!$D$13)*((1+Returns!$D$6)-$B32*(1+Returns!$D$6/2))+Returns!$E$13)*((1+Returns!$E$6)-$B32*(1+Returns!$E$6/2))+Returns!$F$13)*((1+Returns!$F$6)-$B32*(1+Returns!$F$6/2)))</f>
        <v>549908879.473006</v>
      </c>
      <c r="D32" s="24" t="n">
        <f aca="false">IFERROR(D31-(E31-$B$16)*(D31-D30)/(E31-E30),D31)</f>
        <v>0.00359979422370142</v>
      </c>
      <c r="E32" s="21" t="n">
        <f aca="false">((((((Inputs!$B$7+Returns!$B$13)*((1+Returns!$B$7)-$D32*(1+Returns!$B$7/2))+Returns!$C$13)*((1+Returns!$C$7)-$D32*(1+Returns!$C$7/2))+Returns!$D$13)*((1+Returns!$D$7)-$D32*(1+Returns!$D$7/2))+Returns!$E$13)*((1+Returns!$E$7)-$D32*(1+Returns!$E$7/2))+Returns!$F$13)*((1+Returns!$F$7)-$D32*(1+Returns!$F$7/2)))</f>
        <v>547495942.71889</v>
      </c>
    </row>
    <row r="33" customFormat="false" ht="15" hidden="false" customHeight="false" outlineLevel="0" collapsed="false">
      <c r="A33" s="7" t="s">
        <v>105</v>
      </c>
      <c r="B33" s="24" t="n">
        <f aca="false">IFERROR(B32-(C32-$B$17)*(B32-B31)/(C32-C31),B32)</f>
        <v>-0.00030766645976408</v>
      </c>
      <c r="C33" s="21" t="n">
        <f aca="false">((((((Inputs!$B$7+Returns!$B$13)*((1+Returns!$B$6)-$B33*(1+Returns!$B$6/2))+Returns!$C$13)*((1+Returns!$C$6)-$B33*(1+Returns!$C$6/2))+Returns!$D$13)*((1+Returns!$D$6)-$B33*(1+Returns!$D$6/2))+Returns!$E$13)*((1+Returns!$E$6)-$B33*(1+Returns!$E$6/2))+Returns!$F$13)*((1+Returns!$F$6)-$B33*(1+Returns!$F$6/2)))</f>
        <v>549908879.546522</v>
      </c>
      <c r="D33" s="24" t="n">
        <f aca="false">IFERROR(D32-(E32-$B$16)*(D32-D31)/(E32-E31),D32)</f>
        <v>0.00359979424581316</v>
      </c>
      <c r="E33" s="21" t="n">
        <f aca="false">((((((Inputs!$B$7+Returns!$B$13)*((1+Returns!$B$7)-$D33*(1+Returns!$B$7/2))+Returns!$C$13)*((1+Returns!$C$7)-$D33*(1+Returns!$C$7/2))+Returns!$D$13)*((1+Returns!$D$7)-$D33*(1+Returns!$D$7/2))+Returns!$E$13)*((1+Returns!$E$7)-$D33*(1+Returns!$E$7/2))+Returns!$F$13)*((1+Returns!$F$7)-$D33*(1+Returns!$F$7/2)))</f>
        <v>547495942.652811</v>
      </c>
    </row>
    <row r="34" customFormat="false" ht="15" hidden="false" customHeight="false" outlineLevel="0" collapsed="false">
      <c r="A34" s="7" t="s">
        <v>105</v>
      </c>
      <c r="B34" s="24" t="n">
        <f aca="false">IFERROR(B33-(C33-$B$17)*(B33-B32)/(C33-C32),B33)</f>
        <v>-0.00030766645976408</v>
      </c>
      <c r="C34" s="21" t="n">
        <f aca="false">((((((Inputs!$B$7+Returns!$B$13)*((1+Returns!$B$6)-$B34*(1+Returns!$B$6/2))+Returns!$C$13)*((1+Returns!$C$6)-$B34*(1+Returns!$C$6/2))+Returns!$D$13)*((1+Returns!$D$6)-$B34*(1+Returns!$D$6/2))+Returns!$E$13)*((1+Returns!$E$6)-$B34*(1+Returns!$E$6/2))+Returns!$F$13)*((1+Returns!$F$6)-$B34*(1+Returns!$F$6/2)))</f>
        <v>549908879.546522</v>
      </c>
      <c r="D34" s="24" t="n">
        <f aca="false">IFERROR(D33-(E33-$B$16)*(D33-D32)/(E33-E32),D33)</f>
        <v>0.00359979424581316</v>
      </c>
      <c r="E34" s="21" t="n">
        <f aca="false">((((((Inputs!$B$7+Returns!$B$13)*((1+Returns!$B$7)-$D34*(1+Returns!$B$7/2))+Returns!$C$13)*((1+Returns!$C$7)-$D34*(1+Returns!$C$7/2))+Returns!$D$13)*((1+Returns!$D$7)-$D34*(1+Returns!$D$7/2))+Returns!$E$13)*((1+Returns!$E$7)-$D34*(1+Returns!$E$7/2))+Returns!$F$13)*((1+Returns!$F$7)-$D34*(1+Returns!$F$7/2)))</f>
        <v>547495942.652811</v>
      </c>
    </row>
    <row r="35" customFormat="false" ht="15" hidden="false" customHeight="false" outlineLevel="0" collapsed="false">
      <c r="A35" s="7" t="s">
        <v>106</v>
      </c>
      <c r="B35" s="22" t="n">
        <f aca="false">B34*10000</f>
        <v>-3.0766645976408</v>
      </c>
    </row>
    <row r="36" customFormat="false" ht="15" hidden="false" customHeight="false" outlineLevel="0" collapsed="false">
      <c r="A36" s="7" t="s">
        <v>107</v>
      </c>
      <c r="B36" s="22" t="n">
        <f aca="false">D34*10000</f>
        <v>35.9979424581316</v>
      </c>
    </row>
    <row r="37" customFormat="false" ht="15" hidden="false" customHeight="false" outlineLevel="0" collapsed="false">
      <c r="A37" s="7" t="s">
        <v>108</v>
      </c>
      <c r="B37" s="26" t="n">
        <f aca="false">Fees!B27</f>
        <v>27.9668456400106</v>
      </c>
    </row>
    <row r="38" customFormat="false" ht="15" hidden="false" customHeight="false" outlineLevel="0" collapsed="false">
      <c r="A38" s="16" t="s">
        <v>109</v>
      </c>
    </row>
    <row r="40" customFormat="false" ht="15" hidden="false" customHeight="false" outlineLevel="0" collapsed="false">
      <c r="A40" s="25" t="s">
        <v>110</v>
      </c>
    </row>
    <row r="41" customFormat="false" ht="15" hidden="false" customHeight="false" outlineLevel="0" collapsed="false">
      <c r="A41" s="7" t="s">
        <v>111</v>
      </c>
      <c r="B41" s="27" t="n">
        <f aca="false">((B12/B8)*(C12/C8)*(D12/D8)*(E12/E8)*(F12/F8))^(1/5)-1</f>
        <v>0.0469429481163763</v>
      </c>
    </row>
    <row r="42" customFormat="false" ht="15" hidden="false" customHeight="false" outlineLevel="0" collapsed="false">
      <c r="A42" s="7" t="s">
        <v>112</v>
      </c>
      <c r="B42" s="27" t="n">
        <f aca="false">Fees!B19-B41</f>
        <v>0.000512311116601438</v>
      </c>
    </row>
    <row r="43" customFormat="false" ht="15" hidden="false" customHeight="false" outlineLevel="0" collapsed="false">
      <c r="A43" s="7" t="s">
        <v>113</v>
      </c>
      <c r="B43" s="31" t="n">
        <f aca="false">Fees!B18-B41</f>
        <v>0.00106859331581943</v>
      </c>
    </row>
    <row r="44" customFormat="false" ht="15" hidden="false" customHeight="false" outlineLevel="0" collapsed="false">
      <c r="A44" s="7" t="s">
        <v>114</v>
      </c>
      <c r="B44" s="27" t="n">
        <f aca="false">B19/(B16-Returns!B22)</f>
        <v>0.0125886948676599</v>
      </c>
    </row>
    <row r="45" customFormat="false" ht="15" hidden="false" customHeight="false" outlineLevel="0" collapsed="false">
      <c r="A45" s="7" t="s">
        <v>115</v>
      </c>
      <c r="B45" s="26" t="n">
        <f aca="false">B20/B19</f>
        <v>5.62832630958667</v>
      </c>
    </row>
    <row r="46" customFormat="false" ht="15" hidden="false" customHeight="false" outlineLevel="0" collapsed="false">
      <c r="A46" s="7" t="s">
        <v>116</v>
      </c>
      <c r="B46" s="21" t="n">
        <f aca="false">Returns!B18-B12</f>
        <v>3527742.5</v>
      </c>
      <c r="C46" s="21" t="n">
        <f aca="false">Returns!C18-C12</f>
        <v>697902.766116262</v>
      </c>
      <c r="D46" s="21" t="n">
        <f aca="false">Returns!D18-D12</f>
        <v>5088598.40875304</v>
      </c>
      <c r="E46" s="21" t="n">
        <f aca="false">Returns!E18-E12</f>
        <v>3262439.21362412</v>
      </c>
      <c r="F46" s="21" t="n">
        <f aca="false">Returns!F18-F12</f>
        <v>2412936.89371181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4"/>
    <col collapsed="false" customWidth="true" hidden="false" outlineLevel="0" max="4" min="2" style="0" width="20"/>
    <col collapsed="false" customWidth="true" hidden="false" outlineLevel="0" max="5" min="5" style="0" width="24"/>
  </cols>
  <sheetData>
    <row r="1" customFormat="false" ht="24" hidden="false" customHeight="true" outlineLevel="0" collapsed="false">
      <c r="A1" s="1" t="s">
        <v>117</v>
      </c>
    </row>
    <row r="2" customFormat="false" ht="15" hidden="false" customHeight="false" outlineLevel="0" collapsed="false">
      <c r="A2" s="2" t="s">
        <v>118</v>
      </c>
    </row>
    <row r="3" customFormat="false" ht="15" hidden="false" customHeight="false" outlineLevel="0" collapsed="false">
      <c r="A3" s="3"/>
      <c r="B3" s="3"/>
      <c r="C3" s="3"/>
      <c r="D3" s="3"/>
      <c r="E3" s="3"/>
    </row>
    <row r="5" customFormat="false" ht="30" hidden="false" customHeight="true" outlineLevel="0" collapsed="false">
      <c r="A5" s="10" t="s">
        <v>119</v>
      </c>
      <c r="B5" s="11" t="s">
        <v>120</v>
      </c>
      <c r="C5" s="11" t="s">
        <v>121</v>
      </c>
      <c r="D5" s="11" t="s">
        <v>64</v>
      </c>
      <c r="E5" s="11" t="s">
        <v>122</v>
      </c>
    </row>
    <row r="6" customFormat="false" ht="15" hidden="false" customHeight="false" outlineLevel="0" collapsed="false">
      <c r="A6" s="7" t="s">
        <v>123</v>
      </c>
      <c r="B6" s="32" t="n">
        <f aca="false">(1+Returns!B19)*(1+Returns!C19)*(1+Returns!D19)</f>
        <v>1.16391955795333</v>
      </c>
      <c r="C6" s="23" t="n">
        <f aca="false">B6^(1/3)-1</f>
        <v>0.0518996775381304</v>
      </c>
      <c r="D6" s="24" t="n">
        <f aca="false">((1+Returns!B6)*(1+Returns!C6)*(1+Returns!D6))^(1/3)-1</f>
        <v>0.04863070391332</v>
      </c>
      <c r="E6" s="24" t="n">
        <f aca="false">C6-D6</f>
        <v>0.00326897362481038</v>
      </c>
    </row>
    <row r="7" customFormat="false" ht="15" hidden="false" customHeight="false" outlineLevel="0" collapsed="false">
      <c r="A7" s="7" t="s">
        <v>124</v>
      </c>
      <c r="B7" s="32" t="n">
        <f aca="false">(1+Returns!C19)*(1+Returns!D19)*(1+Returns!E19)</f>
        <v>1.1117926786489</v>
      </c>
      <c r="C7" s="23" t="n">
        <f aca="false">B7^(1/3)-1</f>
        <v>0.0359559042443951</v>
      </c>
      <c r="D7" s="24" t="n">
        <f aca="false">((1+Returns!C6)*(1+Returns!D6)*(1+Returns!E6))^(1/3)-1</f>
        <v>0.0363199943627688</v>
      </c>
      <c r="E7" s="24" t="n">
        <f aca="false">C7-D7</f>
        <v>-0.000364090118373683</v>
      </c>
    </row>
    <row r="8" customFormat="false" ht="15" hidden="false" customHeight="false" outlineLevel="0" collapsed="false">
      <c r="A8" s="7" t="s">
        <v>125</v>
      </c>
      <c r="B8" s="32" t="n">
        <f aca="false">(1+Returns!D19)*(1+Returns!E19)*(1+Returns!F19)</f>
        <v>1.21917816439194</v>
      </c>
      <c r="C8" s="23" t="n">
        <f aca="false">B8^(1/3)-1</f>
        <v>0.0682897429794644</v>
      </c>
      <c r="D8" s="24" t="n">
        <f aca="false">((1+Returns!D6)*(1+Returns!E6)*(1+Returns!F6))^(1/3)-1</f>
        <v>0.0677927605203705</v>
      </c>
      <c r="E8" s="24" t="n">
        <f aca="false">C8-D8</f>
        <v>0.000496982459093909</v>
      </c>
    </row>
    <row r="10" customFormat="false" ht="15" hidden="false" customHeight="false" outlineLevel="0" collapsed="false">
      <c r="A10" s="14" t="s">
        <v>126</v>
      </c>
      <c r="C10" s="23" t="n">
        <f aca="false">MAX(C6:C8)</f>
        <v>0.0682897429794644</v>
      </c>
    </row>
    <row r="11" customFormat="false" ht="15" hidden="false" customHeight="false" outlineLevel="0" collapsed="false">
      <c r="A11" s="14" t="s">
        <v>127</v>
      </c>
      <c r="C11" s="23" t="n">
        <f aca="false">MIN(C6:C8)</f>
        <v>0.0359559042443951</v>
      </c>
    </row>
    <row r="12" customFormat="false" ht="15" hidden="false" customHeight="false" outlineLevel="0" collapsed="false">
      <c r="A12" s="14" t="s">
        <v>128</v>
      </c>
      <c r="C12" s="23" t="n">
        <f aca="false">C10-C11</f>
        <v>0.0323338387350693</v>
      </c>
    </row>
    <row r="13" customFormat="false" ht="15" hidden="false" customHeight="false" outlineLevel="0" collapsed="false">
      <c r="A13" s="7" t="s">
        <v>129</v>
      </c>
      <c r="C13" s="24" t="n">
        <f aca="false">((1+Returns!B19)*(1+Returns!C19)*(1+Returns!D19)*(1+Returns!E19)*(1+Returns!F19))^(1/5)-1</f>
        <v>0.0480115414321958</v>
      </c>
    </row>
    <row r="15" customFormat="false" ht="15" hidden="false" customHeight="false" outlineLevel="0" collapsed="false">
      <c r="A15" s="16" t="s">
        <v>130</v>
      </c>
    </row>
    <row r="16" customFormat="false" ht="15" hidden="false" customHeight="false" outlineLevel="0" collapsed="false">
      <c r="A16" s="16" t="s">
        <v>131</v>
      </c>
    </row>
    <row r="17" customFormat="false" ht="15" hidden="false" customHeight="false" outlineLevel="0" collapsed="false">
      <c r="A17" s="16" t="s">
        <v>132</v>
      </c>
    </row>
    <row r="19" customFormat="false" ht="15" hidden="false" customHeight="false" outlineLevel="0" collapsed="false">
      <c r="A19" s="25" t="s">
        <v>133</v>
      </c>
    </row>
    <row r="20" customFormat="false" ht="15" hidden="false" customHeight="false" outlineLevel="0" collapsed="false">
      <c r="A20" s="7" t="s">
        <v>134</v>
      </c>
      <c r="C20" s="31" t="n">
        <f aca="false">(1+C8)^3/((1+Returns!E19)*(1+Returns!F19))-1</f>
        <v>0.122431418164332</v>
      </c>
    </row>
    <row r="21" customFormat="false" ht="15" hidden="false" customHeight="false" outlineLevel="0" collapsed="false">
      <c r="A21" s="7" t="s">
        <v>135</v>
      </c>
      <c r="C21" s="27" t="n">
        <f aca="false">Returns!D19</f>
        <v>0.122431418164332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5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2" min="2" style="0" width="62"/>
    <col collapsed="false" customWidth="true" hidden="false" outlineLevel="0" max="4" min="3" style="0" width="20"/>
    <col collapsed="false" customWidth="true" hidden="false" outlineLevel="0" max="5" min="5" style="0" width="14"/>
    <col collapsed="false" customWidth="true" hidden="false" outlineLevel="0" max="6" min="6" style="0" width="10"/>
    <col collapsed="false" customWidth="true" hidden="false" outlineLevel="0" max="7" min="7" style="0" width="70"/>
  </cols>
  <sheetData>
    <row r="1" customFormat="false" ht="24" hidden="false" customHeight="true" outlineLevel="0" collapsed="false">
      <c r="A1" s="1" t="s">
        <v>136</v>
      </c>
    </row>
    <row r="2" customFormat="false" ht="15" hidden="false" customHeight="false" outlineLevel="0" collapsed="false">
      <c r="A2" s="2" t="s">
        <v>137</v>
      </c>
    </row>
    <row r="3" customFormat="false" ht="15" hidden="false" customHeight="false" outlineLevel="0" collapsed="false">
      <c r="A3" s="33" t="s">
        <v>138</v>
      </c>
      <c r="B3" s="3"/>
      <c r="C3" s="3"/>
      <c r="D3" s="3"/>
      <c r="E3" s="3"/>
      <c r="F3" s="3"/>
    </row>
    <row r="5" customFormat="false" ht="30" hidden="false" customHeight="true" outlineLevel="0" collapsed="false">
      <c r="A5" s="10" t="s">
        <v>139</v>
      </c>
      <c r="B5" s="11" t="s">
        <v>140</v>
      </c>
      <c r="C5" s="11" t="s">
        <v>141</v>
      </c>
      <c r="D5" s="11" t="s">
        <v>142</v>
      </c>
      <c r="E5" s="11" t="s">
        <v>143</v>
      </c>
      <c r="F5" s="11" t="s">
        <v>144</v>
      </c>
      <c r="G5" s="30" t="s">
        <v>145</v>
      </c>
    </row>
    <row r="6" customFormat="false" ht="15" hidden="false" customHeight="false" outlineLevel="0" collapsed="false">
      <c r="A6" s="7" t="s">
        <v>146</v>
      </c>
      <c r="B6" s="7" t="s">
        <v>147</v>
      </c>
      <c r="C6" s="26" t="n">
        <v>28.1658</v>
      </c>
      <c r="D6" s="26" t="n">
        <f aca="false">Fees!B10</f>
        <v>28.1658129387213</v>
      </c>
      <c r="E6" s="34" t="n">
        <f aca="false">D6-C6</f>
        <v>1.29387213050336E-005</v>
      </c>
      <c r="F6" s="35" t="str">
        <f aca="false">IF(ABS(E6)&lt;=0.00005,"PASS","FAIL")</f>
        <v>PASS</v>
      </c>
      <c r="G6" s="16" t="s">
        <v>148</v>
      </c>
    </row>
    <row r="7" customFormat="false" ht="15" hidden="false" customHeight="false" outlineLevel="0" collapsed="false">
      <c r="A7" s="36" t="s">
        <v>149</v>
      </c>
      <c r="B7" s="36" t="s">
        <v>150</v>
      </c>
      <c r="C7" s="37" t="n">
        <v>1761077.81</v>
      </c>
      <c r="D7" s="37" t="n">
        <f aca="false">Fees!C9</f>
        <v>1761077.81202424</v>
      </c>
      <c r="E7" s="38" t="n">
        <f aca="false">D7-C7</f>
        <v>0.00202424009330571</v>
      </c>
      <c r="F7" s="39" t="str">
        <f aca="false">IF(ABS(E7)&lt;=0.005,"PASS","FAIL")</f>
        <v>PASS</v>
      </c>
      <c r="G7" s="16" t="s">
        <v>151</v>
      </c>
    </row>
    <row r="8" customFormat="false" ht="15" hidden="false" customHeight="false" outlineLevel="0" collapsed="false">
      <c r="A8" s="7" t="s">
        <v>149</v>
      </c>
      <c r="B8" s="7" t="s">
        <v>152</v>
      </c>
      <c r="C8" s="21" t="n">
        <v>7616440.4</v>
      </c>
      <c r="D8" s="21" t="n">
        <f aca="false">Fees!B14</f>
        <v>7616440.39528673</v>
      </c>
      <c r="E8" s="34" t="n">
        <f aca="false">D8-C8</f>
        <v>-0.00471326895058155</v>
      </c>
      <c r="F8" s="35" t="str">
        <f aca="false">IF(ABS(E8)&lt;=0.005,"PASS","FAIL")</f>
        <v>PASS</v>
      </c>
      <c r="G8" s="16" t="s">
        <v>151</v>
      </c>
    </row>
    <row r="9" customFormat="false" ht="15" hidden="false" customHeight="false" outlineLevel="0" collapsed="false">
      <c r="A9" s="36" t="s">
        <v>149</v>
      </c>
      <c r="B9" s="36" t="s">
        <v>61</v>
      </c>
      <c r="C9" s="40" t="n">
        <v>0.069298</v>
      </c>
      <c r="D9" s="40" t="n">
        <f aca="false">Fees!B16</f>
        <v>0.0692977712693618</v>
      </c>
      <c r="E9" s="38" t="n">
        <f aca="false">D9-C9</f>
        <v>-2.28730638249242E-007</v>
      </c>
      <c r="F9" s="39" t="str">
        <f aca="false">IF(ABS(E9)&lt;=0.0000005,"PASS","FAIL")</f>
        <v>PASS</v>
      </c>
      <c r="G9" s="16" t="s">
        <v>153</v>
      </c>
    </row>
    <row r="10" customFormat="false" ht="15" hidden="false" customHeight="false" outlineLevel="0" collapsed="false">
      <c r="A10" s="7" t="s">
        <v>146</v>
      </c>
      <c r="B10" s="7" t="s">
        <v>65</v>
      </c>
      <c r="C10" s="24" t="n">
        <v>0.002875</v>
      </c>
      <c r="D10" s="24" t="n">
        <f aca="false">Fees!B20</f>
        <v>0.00287528939897164</v>
      </c>
      <c r="E10" s="34" t="n">
        <f aca="false">D10-C10</f>
        <v>2.89398971636649E-007</v>
      </c>
      <c r="F10" s="35" t="str">
        <f aca="false">IF(ABS(E10)&lt;=0.0000005,"PASS","FAIL")</f>
        <v>PASS</v>
      </c>
      <c r="G10" s="16" t="s">
        <v>153</v>
      </c>
    </row>
    <row r="11" customFormat="false" ht="15" hidden="false" customHeight="false" outlineLevel="0" collapsed="false">
      <c r="A11" s="36" t="s">
        <v>146</v>
      </c>
      <c r="B11" s="36" t="s">
        <v>66</v>
      </c>
      <c r="C11" s="40" t="n">
        <v>0.003432</v>
      </c>
      <c r="D11" s="40" t="n">
        <f aca="false">Fees!B21</f>
        <v>0.00343157159818963</v>
      </c>
      <c r="E11" s="38" t="n">
        <f aca="false">D11-C11</f>
        <v>-4.28401810369065E-007</v>
      </c>
      <c r="F11" s="39" t="str">
        <f aca="false">IF(ABS(E11)&lt;=0.0000005,"PASS","FAIL")</f>
        <v>PASS</v>
      </c>
      <c r="G11" s="16" t="s">
        <v>153</v>
      </c>
    </row>
    <row r="12" customFormat="false" ht="15" hidden="false" customHeight="false" outlineLevel="0" collapsed="false">
      <c r="A12" s="7" t="s">
        <v>146</v>
      </c>
      <c r="B12" s="7" t="s">
        <v>67</v>
      </c>
      <c r="C12" s="24" t="n">
        <v>0.000556</v>
      </c>
      <c r="D12" s="24" t="n">
        <f aca="false">Fees!B22</f>
        <v>0.000556282199217995</v>
      </c>
      <c r="E12" s="34" t="n">
        <f aca="false">D12-C12</f>
        <v>2.82199217994526E-007</v>
      </c>
      <c r="F12" s="35" t="str">
        <f aca="false">IF(ABS(E12)&lt;=0.0000005,"PASS","FAIL")</f>
        <v>PASS</v>
      </c>
      <c r="G12" s="16" t="s">
        <v>153</v>
      </c>
    </row>
    <row r="13" customFormat="false" ht="15" hidden="false" customHeight="false" outlineLevel="0" collapsed="false">
      <c r="A13" s="36" t="s">
        <v>146</v>
      </c>
      <c r="B13" s="36" t="s">
        <v>154</v>
      </c>
      <c r="C13" s="40" t="n">
        <v>0.837893</v>
      </c>
      <c r="D13" s="40" t="n">
        <f aca="false">Fees!B23</f>
        <v>0.837892876980487</v>
      </c>
      <c r="E13" s="38" t="n">
        <f aca="false">D13-C13</f>
        <v>-1.23019513353917E-007</v>
      </c>
      <c r="F13" s="39" t="str">
        <f aca="false">IF(ABS(E13)&lt;=0.0000005,"PASS","FAIL")</f>
        <v>PASS</v>
      </c>
      <c r="G13" s="16" t="s">
        <v>153</v>
      </c>
    </row>
    <row r="14" customFormat="false" ht="15" hidden="false" customHeight="false" outlineLevel="0" collapsed="false">
      <c r="A14" s="7" t="s">
        <v>146</v>
      </c>
      <c r="B14" s="7" t="s">
        <v>69</v>
      </c>
      <c r="C14" s="24" t="n">
        <v>0.162107</v>
      </c>
      <c r="D14" s="24" t="n">
        <f aca="false">Fees!B24</f>
        <v>0.162107123019513</v>
      </c>
      <c r="E14" s="34" t="n">
        <f aca="false">D14-C14</f>
        <v>1.23019513353917E-007</v>
      </c>
      <c r="F14" s="35" t="str">
        <f aca="false">IF(ABS(E14)&lt;=0.0000005,"PASS","FAIL")</f>
        <v>PASS</v>
      </c>
      <c r="G14" s="16" t="s">
        <v>153</v>
      </c>
    </row>
    <row r="15" customFormat="false" ht="15" hidden="false" customHeight="false" outlineLevel="0" collapsed="false">
      <c r="A15" s="36" t="s">
        <v>155</v>
      </c>
      <c r="B15" s="36" t="s">
        <v>156</v>
      </c>
      <c r="C15" s="37" t="n">
        <v>547495942.65</v>
      </c>
      <c r="D15" s="37" t="n">
        <f aca="false">'Active vs passive'!B16</f>
        <v>547495942.652811</v>
      </c>
      <c r="E15" s="38" t="n">
        <f aca="false">D15-C15</f>
        <v>0.00281047821044922</v>
      </c>
      <c r="F15" s="39" t="str">
        <f aca="false">IF(ABS(E15)&lt;=0.005,"PASS","FAIL")</f>
        <v>PASS</v>
      </c>
      <c r="G15" s="16" t="s">
        <v>151</v>
      </c>
    </row>
    <row r="16" customFormat="false" ht="15" hidden="false" customHeight="false" outlineLevel="0" collapsed="false">
      <c r="A16" s="7" t="s">
        <v>155</v>
      </c>
      <c r="B16" s="7" t="s">
        <v>90</v>
      </c>
      <c r="C16" s="21" t="n">
        <v>1353233.62</v>
      </c>
      <c r="D16" s="21" t="n">
        <f aca="false">'Active vs passive'!B19</f>
        <v>1353233.6215677</v>
      </c>
      <c r="E16" s="34" t="n">
        <f aca="false">D16-C16</f>
        <v>0.00156769785098732</v>
      </c>
      <c r="F16" s="35" t="str">
        <f aca="false">IF(ABS(E16)&lt;=0.005,"PASS","FAIL")</f>
        <v>PASS</v>
      </c>
      <c r="G16" s="16" t="s">
        <v>151</v>
      </c>
    </row>
    <row r="17" customFormat="false" ht="15" hidden="false" customHeight="false" outlineLevel="0" collapsed="false">
      <c r="A17" s="36" t="s">
        <v>155</v>
      </c>
      <c r="B17" s="36" t="s">
        <v>88</v>
      </c>
      <c r="C17" s="37" t="n">
        <v>549908879.55</v>
      </c>
      <c r="D17" s="37" t="n">
        <f aca="false">'Active vs passive'!B17</f>
        <v>549908879.546522</v>
      </c>
      <c r="E17" s="38" t="n">
        <f aca="false">D17-C17</f>
        <v>-0.00347769260406494</v>
      </c>
      <c r="F17" s="39" t="str">
        <f aca="false">IF(ABS(E17)&lt;=0.005,"PASS","FAIL")</f>
        <v>PASS</v>
      </c>
      <c r="G17" s="16" t="s">
        <v>151</v>
      </c>
    </row>
    <row r="18" customFormat="false" ht="15" hidden="false" customHeight="false" outlineLevel="0" collapsed="false">
      <c r="A18" s="7" t="s">
        <v>155</v>
      </c>
      <c r="B18" s="7" t="s">
        <v>89</v>
      </c>
      <c r="C18" s="21" t="n">
        <v>2412936.89</v>
      </c>
      <c r="D18" s="21" t="n">
        <f aca="false">'Active vs passive'!B18</f>
        <v>2412936.89371181</v>
      </c>
      <c r="E18" s="34" t="n">
        <f aca="false">D18-C18</f>
        <v>0.00371180521324277</v>
      </c>
      <c r="F18" s="35" t="str">
        <f aca="false">IF(ABS(E18)&lt;=0.005,"PASS","FAIL")</f>
        <v>PASS</v>
      </c>
      <c r="G18" s="16" t="s">
        <v>151</v>
      </c>
    </row>
    <row r="19" customFormat="false" ht="15" hidden="false" customHeight="false" outlineLevel="0" collapsed="false">
      <c r="A19" s="36" t="s">
        <v>155</v>
      </c>
      <c r="B19" s="36" t="s">
        <v>92</v>
      </c>
      <c r="C19" s="37" t="n">
        <v>6263206.77</v>
      </c>
      <c r="D19" s="37" t="n">
        <f aca="false">'Active vs passive'!B21</f>
        <v>6263206.77371903</v>
      </c>
      <c r="E19" s="38" t="n">
        <f aca="false">D19-C19</f>
        <v>0.00371903367340565</v>
      </c>
      <c r="F19" s="39" t="str">
        <f aca="false">IF(ABS(E19)&lt;=0.005,"PASS","FAIL")</f>
        <v>PASS</v>
      </c>
      <c r="G19" s="16" t="s">
        <v>151</v>
      </c>
    </row>
    <row r="20" customFormat="false" ht="15" hidden="false" customHeight="false" outlineLevel="0" collapsed="false">
      <c r="A20" s="7" t="s">
        <v>157</v>
      </c>
      <c r="B20" s="7" t="s">
        <v>158</v>
      </c>
      <c r="C20" s="24" t="n">
        <v>0.0519</v>
      </c>
      <c r="D20" s="24" t="n">
        <f aca="false">'Rolling windows'!C6</f>
        <v>0.0518996775381304</v>
      </c>
      <c r="E20" s="34" t="n">
        <f aca="false">D20-C20</f>
        <v>-3.2246186959517E-007</v>
      </c>
      <c r="F20" s="35" t="str">
        <f aca="false">IF(ABS(E20)&lt;=0.0000005,"PASS","FAIL")</f>
        <v>PASS</v>
      </c>
      <c r="G20" s="16" t="s">
        <v>153</v>
      </c>
    </row>
    <row r="21" customFormat="false" ht="15" hidden="false" customHeight="false" outlineLevel="0" collapsed="false">
      <c r="A21" s="36" t="s">
        <v>157</v>
      </c>
      <c r="B21" s="36" t="s">
        <v>159</v>
      </c>
      <c r="C21" s="40" t="n">
        <v>0.035956</v>
      </c>
      <c r="D21" s="40" t="n">
        <f aca="false">'Rolling windows'!C7</f>
        <v>0.0359559042443951</v>
      </c>
      <c r="E21" s="38" t="n">
        <f aca="false">D21-C21</f>
        <v>-9.57556049036024E-008</v>
      </c>
      <c r="F21" s="39" t="str">
        <f aca="false">IF(ABS(E21)&lt;=0.0000005,"PASS","FAIL")</f>
        <v>PASS</v>
      </c>
      <c r="G21" s="16" t="s">
        <v>153</v>
      </c>
    </row>
    <row r="22" customFormat="false" ht="15" hidden="false" customHeight="false" outlineLevel="0" collapsed="false">
      <c r="A22" s="7" t="s">
        <v>157</v>
      </c>
      <c r="B22" s="7" t="s">
        <v>160</v>
      </c>
      <c r="C22" s="24" t="n">
        <v>0.06829</v>
      </c>
      <c r="D22" s="24" t="n">
        <f aca="false">'Rolling windows'!C8</f>
        <v>0.0682897429794644</v>
      </c>
      <c r="E22" s="34" t="n">
        <f aca="false">D22-C22</f>
        <v>-2.57020535562869E-007</v>
      </c>
      <c r="F22" s="35" t="str">
        <f aca="false">IF(ABS(E22)&lt;=0.0000005,"PASS","FAIL")</f>
        <v>PASS</v>
      </c>
      <c r="G22" s="16" t="s">
        <v>153</v>
      </c>
    </row>
    <row r="23" customFormat="false" ht="15" hidden="false" customHeight="false" outlineLevel="0" collapsed="false">
      <c r="A23" s="36" t="s">
        <v>157</v>
      </c>
      <c r="B23" s="36" t="s">
        <v>161</v>
      </c>
      <c r="C23" s="40" t="n">
        <v>0.032334</v>
      </c>
      <c r="D23" s="40" t="n">
        <f aca="false">'Rolling windows'!C12</f>
        <v>0.0323338387350693</v>
      </c>
      <c r="E23" s="38" t="n">
        <f aca="false">D23-C23</f>
        <v>-1.61264930659266E-007</v>
      </c>
      <c r="F23" s="39" t="str">
        <f aca="false">IF(ABS(E23)&lt;=0.0000005,"PASS","FAIL")</f>
        <v>PASS</v>
      </c>
      <c r="G23" s="16" t="s">
        <v>153</v>
      </c>
    </row>
    <row r="24" customFormat="false" ht="15" hidden="false" customHeight="false" outlineLevel="0" collapsed="false">
      <c r="A24" s="7" t="s">
        <v>162</v>
      </c>
      <c r="B24" s="7" t="s">
        <v>129</v>
      </c>
      <c r="C24" s="24" t="n">
        <v>0.048012</v>
      </c>
      <c r="D24" s="24" t="n">
        <f aca="false">'Rolling windows'!C13</f>
        <v>0.0480115414321958</v>
      </c>
      <c r="E24" s="34" t="n">
        <f aca="false">D24-C24</f>
        <v>-4.58567804229038E-007</v>
      </c>
      <c r="F24" s="35" t="str">
        <f aca="false">IF(ABS(E24)&lt;=0.0000005,"PASS","FAIL")</f>
        <v>PASS</v>
      </c>
      <c r="G24" s="16" t="s">
        <v>153</v>
      </c>
    </row>
    <row r="25" customFormat="false" ht="15" hidden="false" customHeight="false" outlineLevel="0" collapsed="false">
      <c r="A25" s="7" t="n">
        <v>6</v>
      </c>
      <c r="B25" s="7" t="s">
        <v>163</v>
      </c>
      <c r="C25" s="26" t="n">
        <v>26.9788</v>
      </c>
      <c r="D25" s="26" t="n">
        <f aca="false">Fees!C10</f>
        <v>26.9788388485173</v>
      </c>
      <c r="E25" s="34" t="n">
        <f aca="false">D25-C25</f>
        <v>3.884851729552E-005</v>
      </c>
      <c r="F25" s="35" t="str">
        <f aca="false">IF(ABS(E25)&lt;=0.00005,"PASS","FAIL")</f>
        <v>PASS</v>
      </c>
      <c r="G25" s="16" t="s">
        <v>148</v>
      </c>
    </row>
    <row r="26" customFormat="false" ht="15" hidden="false" customHeight="false" outlineLevel="0" collapsed="false">
      <c r="A26" s="7" t="n">
        <v>6</v>
      </c>
      <c r="B26" s="7" t="s">
        <v>164</v>
      </c>
      <c r="C26" s="26" t="n">
        <v>28.78</v>
      </c>
      <c r="D26" s="26" t="n">
        <f aca="false">Fees!D10</f>
        <v>28.7800162378355</v>
      </c>
      <c r="E26" s="34" t="n">
        <f aca="false">D26-C26</f>
        <v>1.62378354708892E-005</v>
      </c>
      <c r="F26" s="35" t="str">
        <f aca="false">IF(ABS(E26)&lt;=0.00005,"PASS","FAIL")</f>
        <v>PASS</v>
      </c>
      <c r="G26" s="16" t="s">
        <v>148</v>
      </c>
    </row>
    <row r="27" customFormat="false" ht="15" hidden="false" customHeight="false" outlineLevel="0" collapsed="false">
      <c r="A27" s="7" t="n">
        <v>6</v>
      </c>
      <c r="B27" s="7" t="s">
        <v>165</v>
      </c>
      <c r="C27" s="26" t="n">
        <v>28.236</v>
      </c>
      <c r="D27" s="26" t="n">
        <f aca="false">Fees!E10</f>
        <v>28.2360486914752</v>
      </c>
      <c r="E27" s="34" t="n">
        <f aca="false">D27-C27</f>
        <v>4.86914751611778E-005</v>
      </c>
      <c r="F27" s="35" t="str">
        <f aca="false">IF(ABS(E27)&lt;=0.00005,"PASS","FAIL")</f>
        <v>PASS</v>
      </c>
      <c r="G27" s="16" t="s">
        <v>148</v>
      </c>
    </row>
    <row r="28" customFormat="false" ht="15" hidden="false" customHeight="false" outlineLevel="0" collapsed="false">
      <c r="A28" s="7" t="n">
        <v>6</v>
      </c>
      <c r="B28" s="7" t="s">
        <v>166</v>
      </c>
      <c r="C28" s="26" t="n">
        <v>27.9852</v>
      </c>
      <c r="D28" s="26" t="n">
        <f aca="false">Fees!F10</f>
        <v>27.9851995124184</v>
      </c>
      <c r="E28" s="34" t="n">
        <f aca="false">D28-C28</f>
        <v>-4.87581630181921E-007</v>
      </c>
      <c r="F28" s="35" t="str">
        <f aca="false">IF(ABS(E28)&lt;=0.00005,"PASS","FAIL")</f>
        <v>PASS</v>
      </c>
      <c r="G28" s="16" t="s">
        <v>148</v>
      </c>
    </row>
    <row r="29" customFormat="false" ht="15" hidden="false" customHeight="false" outlineLevel="0" collapsed="false">
      <c r="A29" s="7" t="n">
        <v>12</v>
      </c>
      <c r="B29" s="7" t="s">
        <v>167</v>
      </c>
      <c r="C29" s="26" t="n">
        <v>27.9668</v>
      </c>
      <c r="D29" s="26" t="n">
        <f aca="false">Fees!B27</f>
        <v>27.9668456400106</v>
      </c>
      <c r="E29" s="34" t="n">
        <f aca="false">D29-C29</f>
        <v>4.56400106045862E-005</v>
      </c>
      <c r="F29" s="35" t="str">
        <f aca="false">IF(ABS(E29)&lt;=0.00005,"PASS","FAIL")</f>
        <v>PASS</v>
      </c>
      <c r="G29" s="16" t="s">
        <v>148</v>
      </c>
    </row>
    <row r="30" customFormat="false" ht="15" hidden="false" customHeight="false" outlineLevel="0" collapsed="false">
      <c r="A30" s="7" t="n">
        <v>6</v>
      </c>
      <c r="B30" s="7" t="s">
        <v>168</v>
      </c>
      <c r="C30" s="26" t="n">
        <v>29.6924</v>
      </c>
      <c r="D30" s="26" t="n">
        <f aca="false">Fees!B28</f>
        <v>29.6924</v>
      </c>
      <c r="E30" s="34" t="n">
        <f aca="false">D30-C30</f>
        <v>0</v>
      </c>
      <c r="F30" s="35" t="str">
        <f aca="false">IF(ABS(E30)&lt;=0.00005,"PASS","FAIL")</f>
        <v>PASS</v>
      </c>
      <c r="G30" s="16" t="s">
        <v>148</v>
      </c>
    </row>
    <row r="31" customFormat="false" ht="15" hidden="false" customHeight="false" outlineLevel="0" collapsed="false">
      <c r="A31" s="7" t="n">
        <v>6</v>
      </c>
      <c r="B31" s="7" t="s">
        <v>73</v>
      </c>
      <c r="C31" s="27" t="n">
        <v>0.002879</v>
      </c>
      <c r="D31" s="27" t="n">
        <f aca="false">Fees!B29</f>
        <v>0.00287899166478846</v>
      </c>
      <c r="E31" s="34" t="n">
        <f aca="false">D31-C31</f>
        <v>-8.33521154224373E-009</v>
      </c>
      <c r="F31" s="35" t="str">
        <f aca="false">IF(ABS(E31)&lt;=0.0000005,"PASS","FAIL")</f>
        <v>PASS</v>
      </c>
      <c r="G31" s="16" t="s">
        <v>153</v>
      </c>
    </row>
    <row r="32" customFormat="false" ht="15" hidden="false" customHeight="false" outlineLevel="0" collapsed="false">
      <c r="A32" s="7" t="n">
        <v>12</v>
      </c>
      <c r="B32" s="7" t="s">
        <v>169</v>
      </c>
      <c r="C32" s="21" t="n">
        <v>625000</v>
      </c>
      <c r="D32" s="21" t="n">
        <f aca="false">Fees!B36</f>
        <v>625000</v>
      </c>
      <c r="E32" s="34" t="n">
        <f aca="false">D32-C32</f>
        <v>0</v>
      </c>
      <c r="F32" s="35" t="str">
        <f aca="false">IF(ABS(E32)&lt;=0.005,"PASS","FAIL")</f>
        <v>PASS</v>
      </c>
      <c r="G32" s="16" t="s">
        <v>151</v>
      </c>
    </row>
    <row r="33" customFormat="false" ht="15" hidden="false" customHeight="false" outlineLevel="0" collapsed="false">
      <c r="A33" s="7" t="n">
        <v>12</v>
      </c>
      <c r="B33" s="7" t="s">
        <v>170</v>
      </c>
      <c r="C33" s="21" t="n">
        <v>294676.4</v>
      </c>
      <c r="D33" s="21" t="n">
        <f aca="false">Fees!B37</f>
        <v>294676.399571521</v>
      </c>
      <c r="E33" s="34" t="n">
        <f aca="false">D33-C33</f>
        <v>-0.000428478990215808</v>
      </c>
      <c r="F33" s="35" t="str">
        <f aca="false">IF(ABS(E33)&lt;=0.005,"PASS","FAIL")</f>
        <v>PASS</v>
      </c>
      <c r="G33" s="16" t="s">
        <v>151</v>
      </c>
    </row>
    <row r="34" customFormat="false" ht="15" hidden="false" customHeight="false" outlineLevel="0" collapsed="false">
      <c r="A34" s="7" t="n">
        <v>12</v>
      </c>
      <c r="B34" s="7" t="s">
        <v>171</v>
      </c>
      <c r="C34" s="21" t="n">
        <v>650000</v>
      </c>
      <c r="D34" s="21" t="n">
        <f aca="false">Fees!B39</f>
        <v>650000</v>
      </c>
      <c r="E34" s="34" t="n">
        <f aca="false">D34-C34</f>
        <v>0</v>
      </c>
      <c r="F34" s="35" t="str">
        <f aca="false">IF(ABS(E34)&lt;=0.005,"PASS","FAIL")</f>
        <v>PASS</v>
      </c>
      <c r="G34" s="16" t="s">
        <v>172</v>
      </c>
    </row>
    <row r="35" customFormat="false" ht="15" hidden="false" customHeight="false" outlineLevel="0" collapsed="false">
      <c r="A35" s="7" t="n">
        <v>13</v>
      </c>
      <c r="B35" s="7" t="s">
        <v>111</v>
      </c>
      <c r="C35" s="27" t="n">
        <v>0.046943</v>
      </c>
      <c r="D35" s="27" t="n">
        <f aca="false">'Active vs passive'!B41</f>
        <v>0.0469429481163763</v>
      </c>
      <c r="E35" s="34" t="n">
        <f aca="false">D35-C35</f>
        <v>-5.18836236612641E-008</v>
      </c>
      <c r="F35" s="35" t="str">
        <f aca="false">IF(ABS(E35)&lt;=0.0000005,"PASS","FAIL")</f>
        <v>PASS</v>
      </c>
      <c r="G35" s="16" t="s">
        <v>153</v>
      </c>
    </row>
    <row r="36" customFormat="false" ht="15" hidden="false" customHeight="false" outlineLevel="0" collapsed="false">
      <c r="A36" s="7" t="n">
        <v>13</v>
      </c>
      <c r="B36" s="7" t="s">
        <v>173</v>
      </c>
      <c r="C36" s="27" t="n">
        <v>0.000512</v>
      </c>
      <c r="D36" s="27" t="n">
        <f aca="false">'Active vs passive'!B42</f>
        <v>0.000512311116601438</v>
      </c>
      <c r="E36" s="34" t="n">
        <f aca="false">D36-C36</f>
        <v>3.11116601438267E-007</v>
      </c>
      <c r="F36" s="35" t="str">
        <f aca="false">IF(ABS(E36)&lt;=0.0000005,"PASS","FAIL")</f>
        <v>PASS</v>
      </c>
      <c r="G36" s="16" t="s">
        <v>153</v>
      </c>
    </row>
    <row r="37" customFormat="false" ht="15" hidden="false" customHeight="false" outlineLevel="0" collapsed="false">
      <c r="A37" s="7" t="n">
        <v>13</v>
      </c>
      <c r="B37" s="7" t="s">
        <v>113</v>
      </c>
      <c r="C37" s="27" t="n">
        <v>0.001069</v>
      </c>
      <c r="D37" s="27" t="n">
        <f aca="false">'Active vs passive'!B43</f>
        <v>0.00106859331581943</v>
      </c>
      <c r="E37" s="34" t="n">
        <f aca="false">D37-C37</f>
        <v>-4.0668418056734E-007</v>
      </c>
      <c r="F37" s="35" t="str">
        <f aca="false">IF(ABS(E37)&lt;=0.0000005,"PASS","FAIL")</f>
        <v>PASS</v>
      </c>
      <c r="G37" s="16" t="s">
        <v>153</v>
      </c>
    </row>
    <row r="38" customFormat="false" ht="15" hidden="false" customHeight="false" outlineLevel="0" collapsed="false">
      <c r="A38" s="7" t="n">
        <v>13</v>
      </c>
      <c r="B38" s="7" t="s">
        <v>114</v>
      </c>
      <c r="C38" s="27" t="n">
        <v>0.012589</v>
      </c>
      <c r="D38" s="27" t="n">
        <f aca="false">'Active vs passive'!B44</f>
        <v>0.0125886948676599</v>
      </c>
      <c r="E38" s="34" t="n">
        <f aca="false">D38-C38</f>
        <v>-3.0513234009974E-007</v>
      </c>
      <c r="F38" s="35" t="str">
        <f aca="false">IF(ABS(E38)&lt;=0.0000005,"PASS","FAIL")</f>
        <v>PASS</v>
      </c>
      <c r="G38" s="16" t="s">
        <v>153</v>
      </c>
    </row>
    <row r="39" customFormat="false" ht="15" hidden="false" customHeight="false" outlineLevel="0" collapsed="false">
      <c r="A39" s="7" t="n">
        <v>13</v>
      </c>
      <c r="B39" s="7" t="s">
        <v>115</v>
      </c>
      <c r="C39" s="26" t="n">
        <v>5.6283</v>
      </c>
      <c r="D39" s="26" t="n">
        <f aca="false">'Active vs passive'!B45</f>
        <v>5.62832630958667</v>
      </c>
      <c r="E39" s="34" t="n">
        <f aca="false">D39-C39</f>
        <v>2.63095866737118E-005</v>
      </c>
      <c r="F39" s="35" t="str">
        <f aca="false">IF(ABS(E39)&lt;=0.00005,"PASS","FAIL")</f>
        <v>PASS</v>
      </c>
      <c r="G39" s="16" t="s">
        <v>148</v>
      </c>
    </row>
    <row r="40" customFormat="false" ht="15" hidden="false" customHeight="false" outlineLevel="0" collapsed="false">
      <c r="A40" s="7" t="n">
        <v>13</v>
      </c>
      <c r="B40" s="7" t="s">
        <v>174</v>
      </c>
      <c r="C40" s="21" t="n">
        <v>5088598.41</v>
      </c>
      <c r="D40" s="21" t="n">
        <f aca="false">'Active vs passive'!D46</f>
        <v>5088598.40875304</v>
      </c>
      <c r="E40" s="34" t="n">
        <f aca="false">D40-C40</f>
        <v>-0.00124696269631386</v>
      </c>
      <c r="F40" s="35" t="str">
        <f aca="false">IF(ABS(E40)&lt;=0.005,"PASS","FAIL")</f>
        <v>PASS</v>
      </c>
      <c r="G40" s="16" t="s">
        <v>151</v>
      </c>
    </row>
    <row r="41" customFormat="false" ht="15" hidden="false" customHeight="false" outlineLevel="0" collapsed="false">
      <c r="A41" s="7" t="n">
        <v>13</v>
      </c>
      <c r="B41" s="7" t="s">
        <v>175</v>
      </c>
      <c r="C41" s="21" t="n">
        <v>0</v>
      </c>
      <c r="D41" s="21" t="n">
        <f aca="false">'Active vs passive'!C34-'Active vs passive'!B17</f>
        <v>0</v>
      </c>
      <c r="E41" s="34" t="n">
        <f aca="false">D41-C41</f>
        <v>0</v>
      </c>
      <c r="F41" s="35" t="str">
        <f aca="false">IF(ABS(E41)&lt;=0.001,"PASS","FAIL")</f>
        <v>PASS</v>
      </c>
      <c r="G41" s="16" t="s">
        <v>176</v>
      </c>
    </row>
    <row r="42" customFormat="false" ht="15" hidden="false" customHeight="false" outlineLevel="0" collapsed="false">
      <c r="A42" s="7" t="n">
        <v>13</v>
      </c>
      <c r="B42" s="7" t="s">
        <v>177</v>
      </c>
      <c r="C42" s="21" t="n">
        <v>0</v>
      </c>
      <c r="D42" s="21" t="n">
        <f aca="false">'Active vs passive'!E34-'Active vs passive'!B16</f>
        <v>0</v>
      </c>
      <c r="E42" s="34" t="n">
        <f aca="false">D42-C42</f>
        <v>0</v>
      </c>
      <c r="F42" s="35" t="str">
        <f aca="false">IF(ABS(E42)&lt;=0.001,"PASS","FAIL")</f>
        <v>PASS</v>
      </c>
      <c r="G42" s="16" t="s">
        <v>178</v>
      </c>
    </row>
    <row r="43" customFormat="false" ht="15" hidden="false" customHeight="false" outlineLevel="0" collapsed="false">
      <c r="A43" s="7" t="n">
        <v>15</v>
      </c>
      <c r="B43" s="7" t="s">
        <v>179</v>
      </c>
      <c r="C43" s="27" t="n">
        <v>0.048631</v>
      </c>
      <c r="D43" s="27" t="n">
        <f aca="false">'Rolling windows'!D6</f>
        <v>0.04863070391332</v>
      </c>
      <c r="E43" s="34" t="n">
        <f aca="false">D43-C43</f>
        <v>-2.96086679972551E-007</v>
      </c>
      <c r="F43" s="35" t="str">
        <f aca="false">IF(ABS(E43)&lt;=0.0000005,"PASS","FAIL")</f>
        <v>PASS</v>
      </c>
      <c r="G43" s="16" t="s">
        <v>153</v>
      </c>
    </row>
    <row r="44" customFormat="false" ht="15" hidden="false" customHeight="false" outlineLevel="0" collapsed="false">
      <c r="A44" s="7" t="n">
        <v>15</v>
      </c>
      <c r="B44" s="7" t="s">
        <v>180</v>
      </c>
      <c r="C44" s="27" t="n">
        <v>0.03632</v>
      </c>
      <c r="D44" s="27" t="n">
        <f aca="false">'Rolling windows'!D7</f>
        <v>0.0363199943627688</v>
      </c>
      <c r="E44" s="34" t="n">
        <f aca="false">D44-C44</f>
        <v>-5.63723121654869E-009</v>
      </c>
      <c r="F44" s="35" t="str">
        <f aca="false">IF(ABS(E44)&lt;=0.0000005,"PASS","FAIL")</f>
        <v>PASS</v>
      </c>
      <c r="G44" s="16" t="s">
        <v>153</v>
      </c>
    </row>
    <row r="45" customFormat="false" ht="15" hidden="false" customHeight="false" outlineLevel="0" collapsed="false">
      <c r="A45" s="7" t="n">
        <v>15</v>
      </c>
      <c r="B45" s="7" t="s">
        <v>181</v>
      </c>
      <c r="C45" s="27" t="n">
        <v>0.067793</v>
      </c>
      <c r="D45" s="27" t="n">
        <f aca="false">'Rolling windows'!D8</f>
        <v>0.0677927605203705</v>
      </c>
      <c r="E45" s="34" t="n">
        <f aca="false">D45-C45</f>
        <v>-2.39479629474126E-007</v>
      </c>
      <c r="F45" s="35" t="str">
        <f aca="false">IF(ABS(E45)&lt;=0.0000005,"PASS","FAIL")</f>
        <v>PASS</v>
      </c>
      <c r="G45" s="16" t="s">
        <v>153</v>
      </c>
    </row>
    <row r="46" customFormat="false" ht="15" hidden="false" customHeight="false" outlineLevel="0" collapsed="false">
      <c r="A46" s="7" t="n">
        <v>15</v>
      </c>
      <c r="B46" s="7" t="s">
        <v>182</v>
      </c>
      <c r="C46" s="27" t="n">
        <v>0.003269</v>
      </c>
      <c r="D46" s="27" t="n">
        <f aca="false">'Rolling windows'!E6</f>
        <v>0.00326897362481038</v>
      </c>
      <c r="E46" s="34" t="n">
        <f aca="false">D46-C46</f>
        <v>-2.6375189621751E-008</v>
      </c>
      <c r="F46" s="35" t="str">
        <f aca="false">IF(ABS(E46)&lt;=0.0000005,"PASS","FAIL")</f>
        <v>PASS</v>
      </c>
      <c r="G46" s="16" t="s">
        <v>153</v>
      </c>
    </row>
    <row r="47" customFormat="false" ht="15" hidden="false" customHeight="false" outlineLevel="0" collapsed="false">
      <c r="A47" s="7" t="n">
        <v>15</v>
      </c>
      <c r="B47" s="7" t="s">
        <v>183</v>
      </c>
      <c r="C47" s="27" t="n">
        <v>-0.000364</v>
      </c>
      <c r="D47" s="27" t="n">
        <f aca="false">'Rolling windows'!E7</f>
        <v>-0.000364090118373683</v>
      </c>
      <c r="E47" s="34" t="n">
        <f aca="false">D47-C47</f>
        <v>-9.01183736833132E-008</v>
      </c>
      <c r="F47" s="35" t="str">
        <f aca="false">IF(ABS(E47)&lt;=0.0000005,"PASS","FAIL")</f>
        <v>PASS</v>
      </c>
      <c r="G47" s="16" t="s">
        <v>153</v>
      </c>
    </row>
    <row r="48" customFormat="false" ht="15" hidden="false" customHeight="false" outlineLevel="0" collapsed="false">
      <c r="A48" s="7" t="n">
        <v>15</v>
      </c>
      <c r="B48" s="7" t="s">
        <v>184</v>
      </c>
      <c r="C48" s="27" t="n">
        <v>0.000497</v>
      </c>
      <c r="D48" s="27" t="n">
        <f aca="false">'Rolling windows'!E8</f>
        <v>0.000496982459093909</v>
      </c>
      <c r="E48" s="34" t="n">
        <f aca="false">D48-C48</f>
        <v>-1.75409060913442E-008</v>
      </c>
      <c r="F48" s="35" t="str">
        <f aca="false">IF(ABS(E48)&lt;=0.0000005,"PASS","FAIL")</f>
        <v>PASS</v>
      </c>
      <c r="G48" s="16" t="s">
        <v>153</v>
      </c>
    </row>
    <row r="49" customFormat="false" ht="15" hidden="false" customHeight="false" outlineLevel="0" collapsed="false">
      <c r="A49" s="7" t="n">
        <v>15</v>
      </c>
      <c r="B49" s="7" t="s">
        <v>185</v>
      </c>
      <c r="C49" s="27" t="n">
        <v>0.122431</v>
      </c>
      <c r="D49" s="27" t="n">
        <f aca="false">'Rolling windows'!C20</f>
        <v>0.122431418164332</v>
      </c>
      <c r="E49" s="34" t="n">
        <f aca="false">D49-C49</f>
        <v>4.18164332008364E-007</v>
      </c>
      <c r="F49" s="35" t="str">
        <f aca="false">IF(ABS(E49)&lt;=0.0000005,"PASS","FAIL")</f>
        <v>PASS</v>
      </c>
      <c r="G49" s="16" t="s">
        <v>186</v>
      </c>
    </row>
    <row r="51" customFormat="false" ht="15" hidden="false" customHeight="false" outlineLevel="0" collapsed="false">
      <c r="B51" s="14" t="s">
        <v>187</v>
      </c>
      <c r="C51" s="41" t="n">
        <f aca="false">COUNTIF(F6:F49,"PASS")</f>
        <v>44</v>
      </c>
    </row>
    <row r="52" customFormat="false" ht="15" hidden="false" customHeight="false" outlineLevel="0" collapsed="false">
      <c r="B52" s="14" t="s">
        <v>188</v>
      </c>
      <c r="C52" s="41" t="n">
        <f aca="false">COUNTIF(F6:F49,"FAIL")</f>
        <v>0</v>
      </c>
    </row>
    <row r="53" customFormat="false" ht="15" hidden="false" customHeight="false" outlineLevel="0" collapsed="false">
      <c r="B53" s="14" t="s">
        <v>189</v>
      </c>
      <c r="C53" s="14" t="str">
        <f aca="false">IF(C51=44,"ALL OK","SOME FAIL")</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2026-08-29T01:42:14Z</dcterms:created>
  <dc:creator>openpyxl</dc:creator>
  <dc:description/>
  <dc:language>en-US</dc:language>
  <cp:lastModifiedBy/>
  <dcterms:modified xsi:type="dcterms:W3CDTF">2026-09-24T01:11:40Z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