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sharedStrings.xml" ContentType="application/vnd.openxmlformats-officedocument.spreadsheetml.sharedStrings+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600" firstSheet="0" activeTab="0"/>
  </bookViews>
  <sheets>
    <sheet name="Read me" sheetId="1" state="visible" r:id="rId3"/>
    <sheet name="Inputs" sheetId="2" state="visible" r:id="rId4"/>
    <sheet name="Returns" sheetId="3" state="visible" r:id="rId5"/>
    <sheet name="Attribution" sheetId="4" state="visible" r:id="rId6"/>
    <sheet name="Benchmark choices" sheetId="5" state="visible" r:id="rId7"/>
    <sheet name="Risk" sheetId="6" state="visible" r:id="rId8"/>
    <sheet name="Checks" sheetId="7" state="visible" r:id="rId9"/>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<sst xmlns="http://schemas.openxmlformats.org/spreadsheetml/2006/main" count="354" uniqueCount="188">
  <si>
    <t xml:space="preserve">Attribution</t>
  </si>
  <si>
    <t xml:space="preserve">Companion workbook 3 to Asset Management, by Julian R. Sterling</t>
  </si>
  <si>
    <t xml:space="preserve">What this workbook is</t>
  </si>
  <si>
    <t xml:space="preserve">The Brinson decomposition of the mandate's active return, segment by segment and year by year, and the risk-adjusted measures built on the same five observations.</t>
  </si>
  <si>
    <t xml:space="preserve">The row that matters most</t>
  </si>
  <si>
    <t xml:space="preserve">On the Attribution sheet, the Reconciliation block subtracts the active return from the sum of allocation, selection and interaction. It must read zero in every year. An attribution that does not reconcile is not an attribution; it is a set of opinions with a table around it.</t>
  </si>
  <si>
    <t xml:space="preserve">Arithmetic against geometric</t>
  </si>
  <si>
    <t xml:space="preserve">The average of the five annual totals is not the annualised outperformance, and the difference is compounding rather than error. Both are on the page, with the residue between them, so you can decide which belongs in a client report and say why.</t>
  </si>
  <si>
    <t xml:space="preserve">On the risk sheet</t>
  </si>
  <si>
    <t xml:space="preserve">Five annual observations give four degrees of freedom. Every ratio here is therefore an estimate with a wide interval around it, and the workbook shows the ingredients rather than only the ratio so that you can see how little is behind it.</t>
  </si>
  <si>
    <t xml:space="preserve">The Checks sheet reproduces every figure the book prints from this workbook's own formulas. If a check ever reads FAIL, the workbook is wrong, not the book.</t>
  </si>
  <si>
    <t xml:space="preserve">Revised 24 September 2026. The net information ratio is the mean of the five net active returns over the tracking error: 0.1262. The first version subtracted the compound fee drag (0.2875) from the arithmetic gross mean and printed 0.1268; on the net tracking error of 0.6472 the ratio is 0.1287. A new sheet, Benchmark choices, prices Chapter 3: rebalancing worth 0.5010 in Year 2, five points of weight worth 0.98 and 0.755 in Years 1 and 3 but 0.20 a year annualised, and a fully invested composite that is a higher bar in three years, not four. The checks now test to half a unit of the last printed decimal.</t>
  </si>
  <si>
    <t xml:space="preserve">Marchwood — inputs</t>
  </si>
  <si>
    <t xml:space="preserve">Blue cells on a yellow fill are inputs. Everything else in this workbook is a formula.</t>
  </si>
  <si>
    <t xml:space="preserve">The mandate</t>
  </si>
  <si>
    <t xml:space="preserve">Initial funding, start of Year 1</t>
  </si>
  <si>
    <t xml:space="preserve">Fee rate on the first tranche</t>
  </si>
  <si>
    <t xml:space="preserve">Fee rate above the breakpoint</t>
  </si>
  <si>
    <t xml:space="preserve">Breakpoint (average assets)</t>
  </si>
  <si>
    <t xml:space="preserve">External cash flows, first day of the year</t>
  </si>
  <si>
    <t xml:space="preserve">Year 1</t>
  </si>
  <si>
    <t xml:space="preserve">Year 2</t>
  </si>
  <si>
    <t xml:space="preserve">Year 3</t>
  </si>
  <si>
    <t xml:space="preserve">Year 4</t>
  </si>
  <si>
    <t xml:space="preserve">Year 5</t>
  </si>
  <si>
    <t xml:space="preserve">Flow</t>
  </si>
  <si>
    <t xml:space="preserve">Benchmark weights and segment returns (per cent)</t>
  </si>
  <si>
    <t xml:space="preserve">Segment</t>
  </si>
  <si>
    <t xml:space="preserve">Weight</t>
  </si>
  <si>
    <t xml:space="preserve">Global equities</t>
  </si>
  <si>
    <t xml:space="preserve">Government bonds</t>
  </si>
  <si>
    <t xml:space="preserve">Credit</t>
  </si>
  <si>
    <t xml:space="preserve">Property</t>
  </si>
  <si>
    <t xml:space="preserve">Cash</t>
  </si>
  <si>
    <t xml:space="preserve">Total weight</t>
  </si>
  <si>
    <t xml:space="preserve">Portfolio weights (per cent of the mandate)</t>
  </si>
  <si>
    <t xml:space="preserve">Portfolio segment returns achieved (per cent)</t>
  </si>
  <si>
    <t xml:space="preserve">Cash is held at the benchmark rate in both rows: the mandate does not take a view on it.</t>
  </si>
  <si>
    <t xml:space="preserve">Annual returns, built from the segments</t>
  </si>
  <si>
    <t xml:space="preserve">Each year is the weight vector times the return vector. Nothing here is typed.</t>
  </si>
  <si>
    <t xml:space="preserve">Benchmark return</t>
  </si>
  <si>
    <t xml:space="preserve">Portfolio return, gross</t>
  </si>
  <si>
    <t xml:space="preserve">Active return, gross</t>
  </si>
  <si>
    <t xml:space="preserve">The account, year by year</t>
  </si>
  <si>
    <t xml:space="preserve">External flow</t>
  </si>
  <si>
    <t xml:space="preserve">Opening value, after the flow</t>
  </si>
  <si>
    <t xml:space="preserve">Value before fees</t>
  </si>
  <si>
    <t xml:space="preserve">Average assets for the fee</t>
  </si>
  <si>
    <t xml:space="preserve">Fee</t>
  </si>
  <si>
    <t xml:space="preserve">Closing value</t>
  </si>
  <si>
    <t xml:space="preserve">Net return for the year</t>
  </si>
  <si>
    <t xml:space="preserve">Fees over the five years</t>
  </si>
  <si>
    <t xml:space="preserve">Net contributions</t>
  </si>
  <si>
    <t xml:space="preserve">Gain</t>
  </si>
  <si>
    <t xml:space="preserve">Brinson attribution, segment by segment</t>
  </si>
  <si>
    <t xml:space="preserve">Allocation, selection and interaction. The three must sum to the active return, and they do.</t>
  </si>
  <si>
    <t xml:space="preserve">Allocation — (portfolio weight less benchmark weight) x (segment benchmark return less total benchmark return)</t>
  </si>
  <si>
    <t xml:space="preserve">Total allocation</t>
  </si>
  <si>
    <t xml:space="preserve">Selection — benchmark weight x (return achieved less segment benchmark return)</t>
  </si>
  <si>
    <t xml:space="preserve">Total selection</t>
  </si>
  <si>
    <t xml:space="preserve">Interaction — (weight difference) x (return difference)</t>
  </si>
  <si>
    <t xml:space="preserve">Total interaction</t>
  </si>
  <si>
    <t xml:space="preserve">Reconciliation</t>
  </si>
  <si>
    <t xml:space="preserve">Allocation + selection + interaction</t>
  </si>
  <si>
    <t xml:space="preserve">Active return, from the Returns sheet</t>
  </si>
  <si>
    <t xml:space="preserve">Difference (must be zero)</t>
  </si>
  <si>
    <t xml:space="preserve">Five-year averages, and the compounding residue</t>
  </si>
  <si>
    <t xml:space="preserve">Allocation, average per year</t>
  </si>
  <si>
    <t xml:space="preserve">Selection, average per year</t>
  </si>
  <si>
    <t xml:space="preserve">Interaction, average per year</t>
  </si>
  <si>
    <t xml:space="preserve">Sum, arithmetic</t>
  </si>
  <si>
    <t xml:space="preserve">Outperformance, geometric</t>
  </si>
  <si>
    <t xml:space="preserve">Compounding residue</t>
  </si>
  <si>
    <t xml:space="preserve">Allocation as a share of the sum</t>
  </si>
  <si>
    <t xml:space="preserve">Selection as a share of the sum</t>
  </si>
  <si>
    <t xml:space="preserve">The benchmark is a decision</t>
  </si>
  <si>
    <t xml:space="preserve">Chapter 3: the rebalancing rule, the weights and the cash line, each priced on the same segment returns.</t>
  </si>
  <si>
    <t xml:space="preserve">Rebalancing: the weights a drifting composite carries into Year 2</t>
  </si>
  <si>
    <t xml:space="preserve">Policy weight</t>
  </si>
  <si>
    <t xml:space="preserve">Drifted weight</t>
  </si>
  <si>
    <t xml:space="preserve">Year 2 return</t>
  </si>
  <si>
    <t xml:space="preserve">Year 2 benchmark on the drifted weights</t>
  </si>
  <si>
    <t xml:space="preserve">Year 2 benchmark, rebalanced</t>
  </si>
  <si>
    <t xml:space="preserve">What the rebalancing rule was worth in Year 2</t>
  </si>
  <si>
    <t xml:space="preserve">Year 2 active return against the drifting composite</t>
  </si>
  <si>
    <t xml:space="preserve">The weights: move points from government bonds to global equities</t>
  </si>
  <si>
    <t xml:space="preserve">Points moved (a step)</t>
  </si>
  <si>
    <t xml:space="preserve">Annualised</t>
  </si>
  <si>
    <t xml:space="preserve">Benchmark with the moved weights</t>
  </si>
  <si>
    <t xml:space="preserve">Change in the bar</t>
  </si>
  <si>
    <t xml:space="preserve">Years in which the bar moves by more than the manager's 0.3712 a year</t>
  </si>
  <si>
    <t xml:space="preserve">The cash line: a fully invested composite (cash spread pro rata)</t>
  </si>
  <si>
    <t xml:space="preserve">Composite without the cash line</t>
  </si>
  <si>
    <t xml:space="preserve">Years in which the fully invested bar is higher</t>
  </si>
  <si>
    <t xml:space="preserve">Revised 24 September 2026. Chapter 3 says a fully invested composite would be a higher bar in four of the five years; it is higher in three. In Years 2 and 5 cash (2.40 and 3.60) beat the rest of the composite.</t>
  </si>
  <si>
    <t xml:space="preserve">What the risk-adjusted measures say</t>
  </si>
  <si>
    <t xml:space="preserve">Built from the same five years. One of them disagrees with the return figures.</t>
  </si>
  <si>
    <t xml:space="preserve">Portfolio return, net</t>
  </si>
  <si>
    <t xml:space="preserve">Cash return</t>
  </si>
  <si>
    <t xml:space="preserve">Active return, net</t>
  </si>
  <si>
    <t xml:space="preserve">Tracking error and the information ratio</t>
  </si>
  <si>
    <t xml:space="preserve">Mean active return, gross</t>
  </si>
  <si>
    <t xml:space="preserve">Tracking error (sample standard deviation)</t>
  </si>
  <si>
    <t xml:space="preserve">Information ratio, gross</t>
  </si>
  <si>
    <t xml:space="preserve">Fee drag, annualised (for reference)</t>
  </si>
  <si>
    <t xml:space="preserve">Information ratio, net: mean net active return over the tracking error</t>
  </si>
  <si>
    <t xml:space="preserve">Volatility and the Sharpe ratio</t>
  </si>
  <si>
    <t xml:space="preserve">Portfolio volatility, net</t>
  </si>
  <si>
    <t xml:space="preserve">Benchmark volatility</t>
  </si>
  <si>
    <t xml:space="preserve">Mean cash return</t>
  </si>
  <si>
    <t xml:space="preserve">Sharpe ratio, portfolio net</t>
  </si>
  <si>
    <t xml:space="preserve">Sharpe ratio, benchmark</t>
  </si>
  <si>
    <t xml:space="preserve">Difference</t>
  </si>
  <si>
    <t xml:space="preserve">A positive outperformance and a negative Sharpe difference are not a contradiction: the</t>
  </si>
  <si>
    <t xml:space="preserve">portfolio carried more equity than the benchmark, and the extra return did not pay for it.</t>
  </si>
  <si>
    <t xml:space="preserve">Net of fees, measured consistently</t>
  </si>
  <si>
    <t xml:space="preserve">Mean active return, net (arithmetic)</t>
  </si>
  <si>
    <t xml:space="preserve">Tracking error, net</t>
  </si>
  <si>
    <t xml:space="preserve">Information ratio, net, on the net tracking error</t>
  </si>
  <si>
    <t xml:space="preserve">The first edition's net ratio: gross mean less the geometric drag</t>
  </si>
  <si>
    <t xml:space="preserve">Revised 24 September 2026. Row 35 subtracts a compound drag (0.2875) from an arithmetic mean; the arithmetic net active return is 0.0833, the figure Chapter 11 itself uses for Sharpe. Row 17 is the like-for-like ratio.</t>
  </si>
  <si>
    <t xml:space="preserve">How little five observations say</t>
  </si>
  <si>
    <t xml:space="preserve">Standard error of the mean active return</t>
  </si>
  <si>
    <t xml:space="preserve">t-statistic, gross</t>
  </si>
  <si>
    <t xml:space="preserve">Years of data for a t-statistic of 2, gross</t>
  </si>
  <si>
    <t xml:space="preserve">Years of data for a t-statistic of 2, net</t>
  </si>
  <si>
    <t xml:space="preserve">Mean net return that would match the benchmark Sharpe ratio</t>
  </si>
  <si>
    <t xml:space="preserve">Selection, mean per year</t>
  </si>
  <si>
    <t xml:space="preserve">Selection, standard deviation</t>
  </si>
  <si>
    <t xml:space="preserve">Selection t-statistic on its own dispersion</t>
  </si>
  <si>
    <t xml:space="preserve">Years for selection to reach 1.96 on its own dispersion</t>
  </si>
  <si>
    <t xml:space="preserve">  on the whole tracking error</t>
  </si>
  <si>
    <t xml:space="preserve">Checks</t>
  </si>
  <si>
    <t xml:space="preserve">Each row sets a figure printed in the book beside the figure this workbook computes.</t>
  </si>
  <si>
    <t xml:space="preserve">The tolerance of each row is half a unit in the last decimal the book prints. Rows marked revised carry the corrected figure; the note says what the first edition printed.</t>
  </si>
  <si>
    <t xml:space="preserve">Ch.</t>
  </si>
  <si>
    <t xml:space="preserve">Figure</t>
  </si>
  <si>
    <t xml:space="preserve">Printed</t>
  </si>
  <si>
    <t xml:space="preserve">Workbook</t>
  </si>
  <si>
    <t xml:space="preserve">Result</t>
  </si>
  <si>
    <t xml:space="preserve">Note</t>
  </si>
  <si>
    <t xml:space="preserve">9</t>
  </si>
  <si>
    <t xml:space="preserve">Allocation, Year 1</t>
  </si>
  <si>
    <t xml:space="preserve">tolerance 5e-07</t>
  </si>
  <si>
    <t xml:space="preserve">Allocation, Year 2</t>
  </si>
  <si>
    <t xml:space="preserve">Allocation, Year 3</t>
  </si>
  <si>
    <t xml:space="preserve">Allocation, Year 4</t>
  </si>
  <si>
    <t xml:space="preserve">Allocation, Year 5</t>
  </si>
  <si>
    <t xml:space="preserve">Selection, Year 1</t>
  </si>
  <si>
    <t xml:space="preserve">Selection, Year 3</t>
  </si>
  <si>
    <t xml:space="preserve">10</t>
  </si>
  <si>
    <t xml:space="preserve">Selection, Year 4</t>
  </si>
  <si>
    <t xml:space="preserve">Interaction, Year 3</t>
  </si>
  <si>
    <t xml:space="preserve">Total attribution, Year 1</t>
  </si>
  <si>
    <t xml:space="preserve">Total attribution, Year 3</t>
  </si>
  <si>
    <t xml:space="preserve">Total attribution, Year 5</t>
  </si>
  <si>
    <t xml:space="preserve">Reconciliation gap, Year 3 (must be zero)</t>
  </si>
  <si>
    <t xml:space="preserve">tolerance 1e-09</t>
  </si>
  <si>
    <t xml:space="preserve">8</t>
  </si>
  <si>
    <t xml:space="preserve">Allocation as a share of the skill</t>
  </si>
  <si>
    <t xml:space="preserve">tolerance 0.0005</t>
  </si>
  <si>
    <t xml:space="preserve">Selection as a share of the skill</t>
  </si>
  <si>
    <t xml:space="preserve">11</t>
  </si>
  <si>
    <t xml:space="preserve">Tracking error</t>
  </si>
  <si>
    <t xml:space="preserve">tolerance 5e-05</t>
  </si>
  <si>
    <t xml:space="preserve">Information ratio, net (mean net active over tracking error)</t>
  </si>
  <si>
    <t xml:space="preserve">Revised 24 September 2026. the first edition printed 0.1268: gross mean less a compound drag; tolerance 5e-05</t>
  </si>
  <si>
    <t xml:space="preserve">Portfolio volatility</t>
  </si>
  <si>
    <t xml:space="preserve">Sharpe ratio, portfolio</t>
  </si>
  <si>
    <t xml:space="preserve">Sharpe difference</t>
  </si>
  <si>
    <t xml:space="preserve">Chapter 11 prints it for Sharpe; tolerance 5e-07</t>
  </si>
  <si>
    <t xml:space="preserve">t-statistic, gross (information ratio basis)</t>
  </si>
  <si>
    <t xml:space="preserve">tolerance 0.005</t>
  </si>
  <si>
    <t xml:space="preserve">revised: the first edition printed 248.77 (and 249 in Chapter 18); tolerance 0.005</t>
  </si>
  <si>
    <t xml:space="preserve">Mean net return matching the benchmark Sharpe ratio</t>
  </si>
  <si>
    <t xml:space="preserve">Years for selection to reach 1.96, own dispersion</t>
  </si>
  <si>
    <t xml:space="preserve">printed as 20; tolerance 0.05</t>
  </si>
  <si>
    <t xml:space="preserve">Drifted equity weight into Year 2</t>
  </si>
  <si>
    <t xml:space="preserve">Year 2 benchmark on drifted weights</t>
  </si>
  <si>
    <t xml:space="preserve">What rebalancing was worth in Year 2</t>
  </si>
  <si>
    <t xml:space="preserve">Five points to equities: change in the Year 1 bar</t>
  </si>
  <si>
    <t xml:space="preserve">Five points to equities: change in the Year 3 bar</t>
  </si>
  <si>
    <t xml:space="preserve">Years with a higher fully invested bar (count)</t>
  </si>
  <si>
    <t xml:space="preserve">revised: the first edition says four; tolerance 0</t>
  </si>
  <si>
    <t xml:space="preserve">Year 3 allocation from the equity and bond lines</t>
  </si>
  <si>
    <t xml:space="preserve">Checks that pass</t>
  </si>
  <si>
    <t xml:space="preserve">Checks that fail</t>
  </si>
  <si>
    <t xml:space="preserve">All checks</t>
  </si>
</sst>
</file>

<file path=xl/styles.xml><?xml version="1.0" encoding="utf-8"?>
<styleSheet xmlns="http://schemas.openxmlformats.org/spreadsheetml/2006/main">
  <numFmts count="16">
    <numFmt numFmtId="164" formatCode="General"/>
    <numFmt numFmtId="165" formatCode="#,##0;\-#,##0"/>
    <numFmt numFmtId="166" formatCode="0.0000%"/>
    <numFmt numFmtId="167" formatCode="0.0%;\-0.0%"/>
    <numFmt numFmtId="168" formatCode="0.00"/>
    <numFmt numFmtId="169" formatCode="0.00%;\-0.00%"/>
    <numFmt numFmtId="170" formatCode="#,##0.00;\-#,##0.00"/>
    <numFmt numFmtId="171" formatCode="0.0000000"/>
    <numFmt numFmtId="172" formatCode="0.00%"/>
    <numFmt numFmtId="173" formatCode="0.0000%;\-0.0000%"/>
    <numFmt numFmtId="174" formatCode="0%"/>
    <numFmt numFmtId="175" formatCode="0"/>
    <numFmt numFmtId="176" formatCode="0.0000"/>
    <numFmt numFmtId="177" formatCode="0.0"/>
    <numFmt numFmtId="178" formatCode="0.000000"/>
    <numFmt numFmtId="179" formatCode="@"/>
  </numFmts>
  <fonts count="14">
    <font>
      <sz val="11"/>
      <color theme="1"/>
      <name val="Calibri"/>
      <family val="2"/>
      <charset val="1"/>
    </font>
    <font>
      <sz val="10"/>
      <name val="Arial"/>
      <family val="0"/>
    </font>
    <font>
      <sz val="10"/>
      <name val="Arial"/>
      <family val="0"/>
    </font>
    <font>
      <sz val="10"/>
      <name val="Arial"/>
      <family val="0"/>
    </font>
    <font>
      <b val="true"/>
      <sz val="16"/>
      <color rgb="FF1F4E5F"/>
      <name val="Calibri"/>
      <family val="0"/>
      <charset val="1"/>
    </font>
    <font>
      <i val="true"/>
      <sz val="10"/>
      <color rgb="FF5A6A70"/>
      <name val="Calibri"/>
      <family val="0"/>
      <charset val="1"/>
    </font>
    <font>
      <b val="true"/>
      <sz val="12"/>
      <color rgb="FF1F4E5F"/>
      <name val="Calibri"/>
      <family val="0"/>
      <charset val="1"/>
    </font>
    <font>
      <sz val="11"/>
      <color rgb="FF1A1A1A"/>
      <name val="Calibri"/>
      <family val="0"/>
      <charset val="1"/>
    </font>
    <font>
      <b val="true"/>
      <sz val="11"/>
      <color rgb="FF0B4FA0"/>
      <name val="Calibri"/>
      <family val="0"/>
      <charset val="1"/>
    </font>
    <font>
      <b val="true"/>
      <sz val="10"/>
      <color rgb="FFFFFFFF"/>
      <name val="Calibri"/>
      <family val="0"/>
      <charset val="1"/>
    </font>
    <font>
      <b val="true"/>
      <sz val="11"/>
      <color rgb="FF1A1A1A"/>
      <name val="Calibri"/>
      <family val="0"/>
      <charset val="1"/>
    </font>
    <font>
      <i val="true"/>
      <sz val="9"/>
      <color rgb="FF5A6A70"/>
      <name val="Calibri"/>
      <family val="0"/>
      <charset val="1"/>
    </font>
    <font>
      <sz val="10"/>
      <color rgb="FF5A6A70"/>
      <name val="Calibri"/>
      <family val="0"/>
      <charset val="1"/>
    </font>
    <font>
      <sz val="11"/>
      <color rgb="FF0B4FA0"/>
      <name val="Calibri"/>
      <family val="0"/>
      <charset val="1"/>
    </font>
  </fonts>
  <fills count="5">
    <fill>
      <patternFill patternType="none"/>
    </fill>
    <fill>
      <patternFill patternType="gray125"/>
    </fill>
    <fill>
      <patternFill patternType="solid">
        <fgColor rgb="FFFFF6D8"/>
        <bgColor rgb="FFF2F5F7"/>
      </patternFill>
    </fill>
    <fill>
      <patternFill patternType="solid">
        <fgColor rgb="FF1F4E5F"/>
        <bgColor rgb="FF0B4FA0"/>
      </patternFill>
    </fill>
    <fill>
      <patternFill patternType="solid">
        <fgColor rgb="FFF2F5F7"/>
        <bgColor rgb="FFFFFFFF"/>
      </patternFill>
    </fill>
  </fills>
  <borders count="4">
    <border diagonalUp="false" diagonalDown="false">
      <left/>
      <right/>
      <top/>
      <bottom/>
      <diagonal/>
    </border>
    <border diagonalUp="false" diagonalDown="false">
      <left/>
      <right/>
      <top/>
      <bottom style="medium">
        <color rgb="FF1F4E5F"/>
      </bottom>
      <diagonal/>
    </border>
    <border diagonalUp="false" diagonalDown="false">
      <left/>
      <right/>
      <top/>
      <bottom style="thin">
        <color rgb="FFBFC8CC"/>
      </bottom>
      <diagonal/>
    </border>
    <border diagonalUp="false" diagonalDown="false">
      <left style="thin">
        <color rgb="FFBFC8CC"/>
      </left>
      <right style="thin">
        <color rgb="FFBFC8CC"/>
      </right>
      <top style="thin">
        <color rgb="FFBFC8CC"/>
      </top>
      <bottom style="thin">
        <color rgb="FFBFC8CC"/>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49">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true" applyProtection="false">
      <alignment horizontal="general" vertical="center" textRotation="0" wrapText="false" indent="0" shrinkToFit="false"/>
      <protection locked="true" hidden="false"/>
    </xf>
    <xf numFmtId="164" fontId="5" fillId="0" borderId="0" xfId="0" applyFont="true" applyBorder="false" applyAlignment="false" applyProtection="false">
      <alignment horizontal="general" vertical="bottom" textRotation="0" wrapText="false" indent="0" shrinkToFit="false"/>
      <protection locked="true" hidden="false"/>
    </xf>
    <xf numFmtId="164" fontId="0" fillId="0" borderId="1" xfId="0" applyFont="false" applyBorder="true" applyAlignment="false" applyProtection="false">
      <alignment horizontal="general" vertical="bottom" textRotation="0" wrapText="false" indent="0" shrinkToFit="false"/>
      <protection locked="true" hidden="false"/>
    </xf>
    <xf numFmtId="164" fontId="6" fillId="0" borderId="2" xfId="0" applyFont="true" applyBorder="true" applyAlignment="false" applyProtection="false">
      <alignment horizontal="general" vertical="bottom" textRotation="0" wrapText="false" indent="0" shrinkToFit="false"/>
      <protection locked="true" hidden="false"/>
    </xf>
    <xf numFmtId="164" fontId="7" fillId="0" borderId="0" xfId="0" applyFont="true" applyBorder="false" applyAlignment="true" applyProtection="false">
      <alignment horizontal="general" vertical="top" textRotation="0" wrapText="true" indent="0" shrinkToFit="false"/>
      <protection locked="true" hidden="false"/>
    </xf>
    <xf numFmtId="164" fontId="0" fillId="0" borderId="2" xfId="0" applyFont="false" applyBorder="true" applyAlignment="false" applyProtection="false">
      <alignment horizontal="general" vertical="bottom" textRotation="0" wrapText="false" indent="0" shrinkToFit="false"/>
      <protection locked="true" hidden="false"/>
    </xf>
    <xf numFmtId="164" fontId="7" fillId="0" borderId="0" xfId="0" applyFont="true" applyBorder="false" applyAlignment="false" applyProtection="false">
      <alignment horizontal="general" vertical="bottom" textRotation="0" wrapText="false" indent="0" shrinkToFit="false"/>
      <protection locked="true" hidden="false"/>
    </xf>
    <xf numFmtId="165" fontId="8" fillId="2" borderId="3" xfId="0" applyFont="true" applyBorder="true" applyAlignment="false" applyProtection="false">
      <alignment horizontal="general" vertical="bottom" textRotation="0" wrapText="false" indent="0" shrinkToFit="false"/>
      <protection locked="true" hidden="false"/>
    </xf>
    <xf numFmtId="166" fontId="8" fillId="2" borderId="3" xfId="0" applyFont="true" applyBorder="true" applyAlignment="false" applyProtection="false">
      <alignment horizontal="general" vertical="bottom" textRotation="0" wrapText="false" indent="0" shrinkToFit="false"/>
      <protection locked="true" hidden="false"/>
    </xf>
    <xf numFmtId="164" fontId="9" fillId="3" borderId="3" xfId="0" applyFont="true" applyBorder="true" applyAlignment="true" applyProtection="false">
      <alignment horizontal="left" vertical="center" textRotation="0" wrapText="true" indent="0" shrinkToFit="false"/>
      <protection locked="true" hidden="false"/>
    </xf>
    <xf numFmtId="164" fontId="9" fillId="3" borderId="3" xfId="0" applyFont="true" applyBorder="true" applyAlignment="true" applyProtection="false">
      <alignment horizontal="right" vertical="center" textRotation="0" wrapText="true" indent="0" shrinkToFit="false"/>
      <protection locked="true" hidden="false"/>
    </xf>
    <xf numFmtId="167" fontId="8" fillId="2" borderId="3" xfId="0" applyFont="true" applyBorder="true" applyAlignment="false" applyProtection="false">
      <alignment horizontal="general" vertical="bottom" textRotation="0" wrapText="false" indent="0" shrinkToFit="false"/>
      <protection locked="true" hidden="false"/>
    </xf>
    <xf numFmtId="168" fontId="8" fillId="2" borderId="3" xfId="0" applyFont="true" applyBorder="true" applyAlignment="false" applyProtection="false">
      <alignment horizontal="general" vertical="bottom" textRotation="0" wrapText="false" indent="0" shrinkToFit="false"/>
      <protection locked="true" hidden="false"/>
    </xf>
    <xf numFmtId="164" fontId="10" fillId="0" borderId="0" xfId="0" applyFont="true" applyBorder="false" applyAlignment="false" applyProtection="false">
      <alignment horizontal="general" vertical="bottom" textRotation="0" wrapText="false" indent="0" shrinkToFit="false"/>
      <protection locked="true" hidden="false"/>
    </xf>
    <xf numFmtId="167" fontId="10" fillId="0" borderId="0" xfId="0" applyFont="true" applyBorder="false" applyAlignment="false" applyProtection="false">
      <alignment horizontal="general" vertical="bottom" textRotation="0" wrapText="false" indent="0" shrinkToFit="false"/>
      <protection locked="true" hidden="false"/>
    </xf>
    <xf numFmtId="164" fontId="11" fillId="0" borderId="0" xfId="0" applyFont="true" applyBorder="false" applyAlignment="false" applyProtection="false">
      <alignment horizontal="general" vertical="bottom" textRotation="0" wrapText="false" indent="0" shrinkToFit="false"/>
      <protection locked="true" hidden="false"/>
    </xf>
    <xf numFmtId="169" fontId="10" fillId="0" borderId="0" xfId="0" applyFont="true" applyBorder="false" applyAlignment="false" applyProtection="false">
      <alignment horizontal="general" vertical="bottom" textRotation="0" wrapText="false" indent="0" shrinkToFit="false"/>
      <protection locked="true" hidden="false"/>
    </xf>
    <xf numFmtId="169" fontId="7" fillId="0" borderId="0" xfId="0" applyFont="true" applyBorder="false" applyAlignment="false" applyProtection="false">
      <alignment horizontal="general" vertical="bottom" textRotation="0" wrapText="false" indent="0" shrinkToFit="false"/>
      <protection locked="true" hidden="false"/>
    </xf>
    <xf numFmtId="165" fontId="7" fillId="0" borderId="0" xfId="0" applyFont="true" applyBorder="false" applyAlignment="false" applyProtection="false">
      <alignment horizontal="general" vertical="bottom" textRotation="0" wrapText="false" indent="0" shrinkToFit="false"/>
      <protection locked="true" hidden="false"/>
    </xf>
    <xf numFmtId="170" fontId="10" fillId="0" borderId="0" xfId="0" applyFont="true" applyBorder="false" applyAlignment="false" applyProtection="false">
      <alignment horizontal="general" vertical="bottom" textRotation="0" wrapText="false" indent="0" shrinkToFit="false"/>
      <protection locked="true" hidden="false"/>
    </xf>
    <xf numFmtId="170" fontId="7" fillId="0" borderId="0" xfId="0" applyFont="true" applyBorder="false" applyAlignment="false" applyProtection="false">
      <alignment horizontal="general" vertical="bottom" textRotation="0" wrapText="false" indent="0" shrinkToFit="false"/>
      <protection locked="true" hidden="false"/>
    </xf>
    <xf numFmtId="166" fontId="7" fillId="0" borderId="0" xfId="0" applyFont="true" applyBorder="false" applyAlignment="false" applyProtection="false">
      <alignment horizontal="general" vertical="bottom" textRotation="0" wrapText="false" indent="0" shrinkToFit="false"/>
      <protection locked="true" hidden="false"/>
    </xf>
    <xf numFmtId="166" fontId="10" fillId="0" borderId="0" xfId="0" applyFont="true" applyBorder="false" applyAlignment="false" applyProtection="false">
      <alignment horizontal="general" vertical="bottom" textRotation="0" wrapText="false" indent="0" shrinkToFit="false"/>
      <protection locked="true" hidden="false"/>
    </xf>
    <xf numFmtId="171" fontId="7" fillId="0" borderId="0" xfId="0" applyFont="true" applyBorder="false" applyAlignment="false" applyProtection="false">
      <alignment horizontal="general" vertical="bottom" textRotation="0" wrapText="false" indent="0" shrinkToFit="false"/>
      <protection locked="true" hidden="false"/>
    </xf>
    <xf numFmtId="172" fontId="7" fillId="0" borderId="0" xfId="0" applyFont="tru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false" applyProtection="false">
      <alignment horizontal="general" vertical="bottom" textRotation="0" wrapText="false" indent="0" shrinkToFit="false"/>
      <protection locked="true" hidden="false"/>
    </xf>
    <xf numFmtId="164" fontId="12" fillId="0" borderId="0" xfId="0" applyFont="true" applyBorder="false" applyAlignment="false" applyProtection="false">
      <alignment horizontal="general" vertical="bottom" textRotation="0" wrapText="false" indent="0" shrinkToFit="false"/>
      <protection locked="true" hidden="false"/>
    </xf>
    <xf numFmtId="164" fontId="6" fillId="0" borderId="0" xfId="0" applyFont="true" applyBorder="false" applyAlignment="false" applyProtection="false">
      <alignment horizontal="general" vertical="bottom" textRotation="0" wrapText="false" indent="0" shrinkToFit="false"/>
      <protection locked="true" hidden="false"/>
    </xf>
    <xf numFmtId="164" fontId="9" fillId="3" borderId="0" xfId="0" applyFont="true" applyBorder="false" applyAlignment="false" applyProtection="false">
      <alignment horizontal="general" vertical="bottom" textRotation="0" wrapText="false" indent="0" shrinkToFit="false"/>
      <protection locked="true" hidden="false"/>
    </xf>
    <xf numFmtId="173" fontId="7" fillId="0" borderId="0" xfId="0" applyFont="true" applyBorder="false" applyAlignment="false" applyProtection="false">
      <alignment horizontal="general" vertical="bottom" textRotation="0" wrapText="false" indent="0" shrinkToFit="false"/>
      <protection locked="true" hidden="false"/>
    </xf>
    <xf numFmtId="173" fontId="10" fillId="0" borderId="0" xfId="0" applyFont="true" applyBorder="false" applyAlignment="false" applyProtection="false">
      <alignment horizontal="general" vertical="bottom" textRotation="0" wrapText="false" indent="0" shrinkToFit="false"/>
      <protection locked="true" hidden="false"/>
    </xf>
    <xf numFmtId="174" fontId="13" fillId="2" borderId="0" xfId="0" applyFont="true" applyBorder="false" applyAlignment="false" applyProtection="false">
      <alignment horizontal="general" vertical="bottom" textRotation="0" wrapText="false" indent="0" shrinkToFit="false"/>
      <protection locked="true" hidden="false"/>
    </xf>
    <xf numFmtId="175" fontId="7" fillId="0" borderId="0" xfId="0" applyFont="true" applyBorder="false" applyAlignment="false" applyProtection="false">
      <alignment horizontal="general" vertical="bottom" textRotation="0" wrapText="false" indent="0" shrinkToFit="false"/>
      <protection locked="true" hidden="false"/>
    </xf>
    <xf numFmtId="175" fontId="10" fillId="0" borderId="0" xfId="0" applyFont="true" applyBorder="false" applyAlignment="false" applyProtection="false">
      <alignment horizontal="general" vertical="bottom" textRotation="0" wrapText="false" indent="0" shrinkToFit="false"/>
      <protection locked="true" hidden="false"/>
    </xf>
    <xf numFmtId="176" fontId="10" fillId="0" borderId="0" xfId="0" applyFont="true" applyBorder="false" applyAlignment="false" applyProtection="false">
      <alignment horizontal="general" vertical="bottom" textRotation="0" wrapText="false" indent="0" shrinkToFit="false"/>
      <protection locked="true" hidden="false"/>
    </xf>
    <xf numFmtId="176" fontId="7" fillId="0" borderId="0" xfId="0" applyFont="true" applyBorder="false" applyAlignment="false" applyProtection="false">
      <alignment horizontal="general" vertical="bottom" textRotation="0" wrapText="false" indent="0" shrinkToFit="false"/>
      <protection locked="true" hidden="false"/>
    </xf>
    <xf numFmtId="168" fontId="7" fillId="0" borderId="0" xfId="0" applyFont="true" applyBorder="false" applyAlignment="false" applyProtection="false">
      <alignment horizontal="general" vertical="bottom" textRotation="0" wrapText="false" indent="0" shrinkToFit="false"/>
      <protection locked="true" hidden="false"/>
    </xf>
    <xf numFmtId="168" fontId="10" fillId="0" borderId="0" xfId="0" applyFont="true" applyBorder="false" applyAlignment="false" applyProtection="false">
      <alignment horizontal="general" vertical="bottom" textRotation="0" wrapText="false" indent="0" shrinkToFit="false"/>
      <protection locked="true" hidden="false"/>
    </xf>
    <xf numFmtId="177" fontId="7" fillId="0" borderId="0" xfId="0" applyFont="true" applyBorder="false" applyAlignment="false" applyProtection="false">
      <alignment horizontal="general" vertical="bottom" textRotation="0" wrapText="false" indent="0" shrinkToFit="false"/>
      <protection locked="true" hidden="false"/>
    </xf>
    <xf numFmtId="164" fontId="11" fillId="0" borderId="1" xfId="0" applyFont="true" applyBorder="true" applyAlignment="false" applyProtection="false">
      <alignment horizontal="general" vertical="bottom" textRotation="0" wrapText="false" indent="0" shrinkToFit="false"/>
      <protection locked="true" hidden="false"/>
    </xf>
    <xf numFmtId="178" fontId="7" fillId="0" borderId="0" xfId="0" applyFont="true" applyBorder="false" applyAlignment="false" applyProtection="false">
      <alignment horizontal="general" vertical="bottom" textRotation="0" wrapText="false" indent="0" shrinkToFit="false"/>
      <protection locked="true" hidden="false"/>
    </xf>
    <xf numFmtId="179" fontId="10" fillId="0" borderId="0" xfId="0" applyFont="true" applyBorder="false" applyAlignment="false" applyProtection="false">
      <alignment horizontal="general" vertical="bottom" textRotation="0" wrapText="false" indent="0" shrinkToFit="false"/>
      <protection locked="true" hidden="false"/>
    </xf>
    <xf numFmtId="164" fontId="7" fillId="4" borderId="0" xfId="0" applyFont="true" applyBorder="false" applyAlignment="false" applyProtection="false">
      <alignment horizontal="general" vertical="bottom" textRotation="0" wrapText="false" indent="0" shrinkToFit="false"/>
      <protection locked="true" hidden="false"/>
    </xf>
    <xf numFmtId="166" fontId="7" fillId="4" borderId="0" xfId="0" applyFont="true" applyBorder="false" applyAlignment="false" applyProtection="false">
      <alignment horizontal="general" vertical="bottom" textRotation="0" wrapText="false" indent="0" shrinkToFit="false"/>
      <protection locked="true" hidden="false"/>
    </xf>
    <xf numFmtId="178" fontId="7" fillId="4" borderId="0" xfId="0" applyFont="true" applyBorder="false" applyAlignment="false" applyProtection="false">
      <alignment horizontal="general" vertical="bottom" textRotation="0" wrapText="false" indent="0" shrinkToFit="false"/>
      <protection locked="true" hidden="false"/>
    </xf>
    <xf numFmtId="179" fontId="10" fillId="4" borderId="0" xfId="0" applyFont="true" applyBorder="false" applyAlignment="false" applyProtection="false">
      <alignment horizontal="general" vertical="bottom" textRotation="0" wrapText="false" indent="0" shrinkToFit="false"/>
      <protection locked="true" hidden="false"/>
    </xf>
    <xf numFmtId="172" fontId="7" fillId="4" borderId="0" xfId="0" applyFont="true" applyBorder="false" applyAlignment="false" applyProtection="false">
      <alignment horizontal="general" vertical="bottom" textRotation="0" wrapText="false" indent="0" shrinkToFit="false"/>
      <protection locked="true" hidden="false"/>
    </xf>
    <xf numFmtId="176" fontId="7" fillId="4" borderId="0" xfId="0" applyFont="true" applyBorder="false" applyAlignment="false" applyProtection="false">
      <alignment horizontal="general"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BFC8CC"/>
      <rgbColor rgb="FF808080"/>
      <rgbColor rgb="FF9999FF"/>
      <rgbColor rgb="FF993366"/>
      <rgbColor rgb="FFFFF6D8"/>
      <rgbColor rgb="FFF2F5F7"/>
      <rgbColor rgb="FF660066"/>
      <rgbColor rgb="FFFF8080"/>
      <rgbColor rgb="FF0B4FA0"/>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5A6A70"/>
      <rgbColor rgb="FF969696"/>
      <rgbColor rgb="FF1F4E5F"/>
      <rgbColor rgb="FF339966"/>
      <rgbColor rgb="FF003300"/>
      <rgbColor rgb="FF333300"/>
      <rgbColor rgb="FF993300"/>
      <rgbColor rgb="FF993366"/>
      <rgbColor rgb="FF333399"/>
      <rgbColor rgb="FF1A1A1A"/>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worksheet" Target="worksheets/sheet6.xml"/><Relationship Id="rId9" Type="http://schemas.openxmlformats.org/officeDocument/2006/relationships/worksheet" Target="worksheets/sheet7.xml"/><Relationship Id="rId10"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A22"/>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110"/>
  </cols>
  <sheetData>
    <row r="1" customFormat="false" ht="24" hidden="false" customHeight="true" outlineLevel="0" collapsed="false">
      <c r="A1" s="1" t="s">
        <v>0</v>
      </c>
    </row>
    <row r="2" customFormat="false" ht="15" hidden="false" customHeight="false" outlineLevel="0" collapsed="false">
      <c r="A2" s="2" t="s">
        <v>1</v>
      </c>
    </row>
    <row r="3" customFormat="false" ht="15" hidden="false" customHeight="false" outlineLevel="0" collapsed="false">
      <c r="A3" s="3"/>
    </row>
    <row r="5" customFormat="false" ht="15" hidden="false" customHeight="false" outlineLevel="0" collapsed="false">
      <c r="A5" s="4" t="s">
        <v>2</v>
      </c>
    </row>
    <row r="7" customFormat="false" ht="30" hidden="false" customHeight="true" outlineLevel="0" collapsed="false">
      <c r="A7" s="5" t="s">
        <v>3</v>
      </c>
    </row>
    <row r="9" customFormat="false" ht="15" hidden="false" customHeight="false" outlineLevel="0" collapsed="false">
      <c r="A9" s="4" t="s">
        <v>4</v>
      </c>
    </row>
    <row r="11" customFormat="false" ht="45" hidden="false" customHeight="true" outlineLevel="0" collapsed="false">
      <c r="A11" s="5" t="s">
        <v>5</v>
      </c>
    </row>
    <row r="13" customFormat="false" ht="15" hidden="false" customHeight="false" outlineLevel="0" collapsed="false">
      <c r="A13" s="4" t="s">
        <v>6</v>
      </c>
    </row>
    <row r="15" customFormat="false" ht="45" hidden="false" customHeight="true" outlineLevel="0" collapsed="false">
      <c r="A15" s="5" t="s">
        <v>7</v>
      </c>
    </row>
    <row r="17" customFormat="false" ht="15" hidden="false" customHeight="false" outlineLevel="0" collapsed="false">
      <c r="A17" s="4" t="s">
        <v>8</v>
      </c>
    </row>
    <row r="19" customFormat="false" ht="45" hidden="false" customHeight="true" outlineLevel="0" collapsed="false">
      <c r="A19" s="5" t="s">
        <v>9</v>
      </c>
    </row>
    <row r="20" customFormat="false" ht="30" hidden="false" customHeight="true" outlineLevel="0" collapsed="false">
      <c r="A20" s="5" t="s">
        <v>10</v>
      </c>
    </row>
    <row r="22" customFormat="false" ht="105" hidden="false" customHeight="true" outlineLevel="0" collapsed="false">
      <c r="A22" s="5" t="s">
        <v>11</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G46"/>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34"/>
    <col collapsed="false" customWidth="true" hidden="false" outlineLevel="0" max="6" min="2" style="0" width="16"/>
    <col collapsed="false" customWidth="true" hidden="false" outlineLevel="0" max="7" min="7" style="0" width="14"/>
  </cols>
  <sheetData>
    <row r="1" customFormat="false" ht="24" hidden="false" customHeight="true" outlineLevel="0" collapsed="false">
      <c r="A1" s="1" t="s">
        <v>12</v>
      </c>
    </row>
    <row r="2" customFormat="false" ht="15" hidden="false" customHeight="false" outlineLevel="0" collapsed="false">
      <c r="A2" s="2" t="s">
        <v>13</v>
      </c>
    </row>
    <row r="3" customFormat="false" ht="15" hidden="false" customHeight="false" outlineLevel="0" collapsed="false">
      <c r="A3" s="3"/>
      <c r="B3" s="3"/>
      <c r="C3" s="3"/>
      <c r="D3" s="3"/>
      <c r="E3" s="3"/>
      <c r="F3" s="3"/>
      <c r="G3" s="3"/>
    </row>
    <row r="5" customFormat="false" ht="15" hidden="false" customHeight="false" outlineLevel="0" collapsed="false">
      <c r="A5" s="4" t="s">
        <v>14</v>
      </c>
      <c r="B5" s="6"/>
      <c r="C5" s="6"/>
      <c r="D5" s="6"/>
      <c r="E5" s="6"/>
      <c r="F5" s="6"/>
      <c r="G5" s="6"/>
    </row>
    <row r="7" customFormat="false" ht="15" hidden="false" customHeight="false" outlineLevel="0" collapsed="false">
      <c r="A7" s="7" t="s">
        <v>15</v>
      </c>
      <c r="B7" s="8" t="n">
        <v>500000000</v>
      </c>
    </row>
    <row r="8" customFormat="false" ht="15" hidden="false" customHeight="false" outlineLevel="0" collapsed="false">
      <c r="A8" s="7" t="s">
        <v>16</v>
      </c>
      <c r="B8" s="9" t="n">
        <v>0.0035</v>
      </c>
    </row>
    <row r="9" customFormat="false" ht="15" hidden="false" customHeight="false" outlineLevel="0" collapsed="false">
      <c r="A9" s="7" t="s">
        <v>17</v>
      </c>
      <c r="B9" s="9" t="n">
        <v>0.0022</v>
      </c>
    </row>
    <row r="10" customFormat="false" ht="15" hidden="false" customHeight="false" outlineLevel="0" collapsed="false">
      <c r="A10" s="7" t="s">
        <v>18</v>
      </c>
      <c r="B10" s="8" t="n">
        <v>250000000</v>
      </c>
    </row>
    <row r="12" customFormat="false" ht="15" hidden="false" customHeight="false" outlineLevel="0" collapsed="false">
      <c r="A12" s="4" t="s">
        <v>19</v>
      </c>
      <c r="B12" s="6"/>
      <c r="C12" s="6"/>
      <c r="D12" s="6"/>
      <c r="E12" s="6"/>
      <c r="F12" s="6"/>
      <c r="G12" s="6"/>
    </row>
    <row r="14" customFormat="false" ht="30" hidden="false" customHeight="true" outlineLevel="0" collapsed="false">
      <c r="A14" s="10"/>
      <c r="B14" s="11" t="s">
        <v>20</v>
      </c>
      <c r="C14" s="11" t="s">
        <v>21</v>
      </c>
      <c r="D14" s="11" t="s">
        <v>22</v>
      </c>
      <c r="E14" s="11" t="s">
        <v>23</v>
      </c>
      <c r="F14" s="11" t="s">
        <v>24</v>
      </c>
    </row>
    <row r="15" customFormat="false" ht="15" hidden="false" customHeight="false" outlineLevel="0" collapsed="false">
      <c r="A15" s="7" t="s">
        <v>25</v>
      </c>
      <c r="B15" s="8" t="n">
        <v>0</v>
      </c>
      <c r="C15" s="8" t="n">
        <v>120000000</v>
      </c>
      <c r="D15" s="8" t="n">
        <v>-180000000</v>
      </c>
      <c r="E15" s="8" t="n">
        <v>0</v>
      </c>
      <c r="F15" s="8" t="n">
        <v>0</v>
      </c>
    </row>
    <row r="17" customFormat="false" ht="15" hidden="false" customHeight="false" outlineLevel="0" collapsed="false">
      <c r="A17" s="4" t="s">
        <v>26</v>
      </c>
      <c r="B17" s="6"/>
      <c r="C17" s="6"/>
      <c r="D17" s="6"/>
      <c r="E17" s="6"/>
      <c r="F17" s="6"/>
      <c r="G17" s="6"/>
    </row>
    <row r="19" customFormat="false" ht="30" hidden="false" customHeight="true" outlineLevel="0" collapsed="false">
      <c r="A19" s="10" t="s">
        <v>27</v>
      </c>
      <c r="B19" s="11" t="s">
        <v>28</v>
      </c>
      <c r="C19" s="11" t="s">
        <v>20</v>
      </c>
      <c r="D19" s="11" t="s">
        <v>21</v>
      </c>
      <c r="E19" s="11" t="s">
        <v>22</v>
      </c>
      <c r="F19" s="11" t="s">
        <v>23</v>
      </c>
      <c r="G19" s="11" t="s">
        <v>24</v>
      </c>
    </row>
    <row r="20" customFormat="false" ht="15" hidden="false" customHeight="false" outlineLevel="0" collapsed="false">
      <c r="A20" s="7" t="s">
        <v>29</v>
      </c>
      <c r="B20" s="12" t="n">
        <v>0.45</v>
      </c>
      <c r="C20" s="13" t="n">
        <v>18.4</v>
      </c>
      <c r="D20" s="13" t="n">
        <v>-12.6</v>
      </c>
      <c r="E20" s="13" t="n">
        <v>19.2</v>
      </c>
      <c r="F20" s="13" t="n">
        <v>9.8</v>
      </c>
      <c r="G20" s="13" t="n">
        <v>2.6</v>
      </c>
    </row>
    <row r="21" customFormat="false" ht="15" hidden="false" customHeight="false" outlineLevel="0" collapsed="false">
      <c r="A21" s="7" t="s">
        <v>30</v>
      </c>
      <c r="B21" s="12" t="n">
        <v>0.25</v>
      </c>
      <c r="C21" s="13" t="n">
        <v>-1.2</v>
      </c>
      <c r="D21" s="13" t="n">
        <v>2.8</v>
      </c>
      <c r="E21" s="13" t="n">
        <v>4.1</v>
      </c>
      <c r="F21" s="13" t="n">
        <v>3.2</v>
      </c>
      <c r="G21" s="13" t="n">
        <v>4.4</v>
      </c>
    </row>
    <row r="22" customFormat="false" ht="15" hidden="false" customHeight="false" outlineLevel="0" collapsed="false">
      <c r="A22" s="7" t="s">
        <v>31</v>
      </c>
      <c r="B22" s="12" t="n">
        <v>0.15</v>
      </c>
      <c r="C22" s="13" t="n">
        <v>6.3</v>
      </c>
      <c r="D22" s="13" t="n">
        <v>-3.1</v>
      </c>
      <c r="E22" s="13" t="n">
        <v>8.6</v>
      </c>
      <c r="F22" s="13" t="n">
        <v>5.6</v>
      </c>
      <c r="G22" s="13" t="n">
        <v>3.9</v>
      </c>
    </row>
    <row r="23" customFormat="false" ht="15" hidden="false" customHeight="false" outlineLevel="0" collapsed="false">
      <c r="A23" s="7" t="s">
        <v>32</v>
      </c>
      <c r="B23" s="12" t="n">
        <v>0.1</v>
      </c>
      <c r="C23" s="13" t="n">
        <v>9.1</v>
      </c>
      <c r="D23" s="13" t="n">
        <v>-4.4</v>
      </c>
      <c r="E23" s="13" t="n">
        <v>2.2</v>
      </c>
      <c r="F23" s="13" t="n">
        <v>-1.8</v>
      </c>
      <c r="G23" s="13" t="n">
        <v>0.6</v>
      </c>
    </row>
    <row r="24" customFormat="false" ht="15" hidden="false" customHeight="false" outlineLevel="0" collapsed="false">
      <c r="A24" s="7" t="s">
        <v>33</v>
      </c>
      <c r="B24" s="12" t="n">
        <v>0.05</v>
      </c>
      <c r="C24" s="13" t="n">
        <v>1.1</v>
      </c>
      <c r="D24" s="13" t="n">
        <v>2.4</v>
      </c>
      <c r="E24" s="13" t="n">
        <v>3.3</v>
      </c>
      <c r="F24" s="13" t="n">
        <v>3.9</v>
      </c>
      <c r="G24" s="13" t="n">
        <v>3.6</v>
      </c>
    </row>
    <row r="25" customFormat="false" ht="15" hidden="false" customHeight="false" outlineLevel="0" collapsed="false">
      <c r="A25" s="14" t="s">
        <v>34</v>
      </c>
      <c r="B25" s="15" t="n">
        <f aca="false">SUM(B20:B24)</f>
        <v>1</v>
      </c>
    </row>
    <row r="27" customFormat="false" ht="15" hidden="false" customHeight="false" outlineLevel="0" collapsed="false">
      <c r="A27" s="4" t="s">
        <v>35</v>
      </c>
      <c r="B27" s="6"/>
      <c r="C27" s="6"/>
      <c r="D27" s="6"/>
      <c r="E27" s="6"/>
      <c r="F27" s="6"/>
      <c r="G27" s="6"/>
    </row>
    <row r="29" customFormat="false" ht="30" hidden="false" customHeight="true" outlineLevel="0" collapsed="false">
      <c r="A29" s="10" t="s">
        <v>27</v>
      </c>
      <c r="B29" s="11" t="s">
        <v>20</v>
      </c>
      <c r="C29" s="11" t="s">
        <v>21</v>
      </c>
      <c r="D29" s="11" t="s">
        <v>22</v>
      </c>
      <c r="E29" s="11" t="s">
        <v>23</v>
      </c>
      <c r="F29" s="11" t="s">
        <v>24</v>
      </c>
    </row>
    <row r="30" customFormat="false" ht="15" hidden="false" customHeight="false" outlineLevel="0" collapsed="false">
      <c r="A30" s="7" t="s">
        <v>29</v>
      </c>
      <c r="B30" s="12" t="n">
        <v>0.48</v>
      </c>
      <c r="C30" s="12" t="n">
        <v>0.46</v>
      </c>
      <c r="D30" s="12" t="n">
        <v>0.5</v>
      </c>
      <c r="E30" s="12" t="n">
        <v>0.47</v>
      </c>
      <c r="F30" s="12" t="n">
        <v>0.44</v>
      </c>
    </row>
    <row r="31" customFormat="false" ht="15" hidden="false" customHeight="false" outlineLevel="0" collapsed="false">
      <c r="A31" s="7" t="s">
        <v>30</v>
      </c>
      <c r="B31" s="12" t="n">
        <v>0.22</v>
      </c>
      <c r="C31" s="12" t="n">
        <v>0.24</v>
      </c>
      <c r="D31" s="12" t="n">
        <v>0.2</v>
      </c>
      <c r="E31" s="12" t="n">
        <v>0.23</v>
      </c>
      <c r="F31" s="12" t="n">
        <v>0.26</v>
      </c>
    </row>
    <row r="32" customFormat="false" ht="15" hidden="false" customHeight="false" outlineLevel="0" collapsed="false">
      <c r="A32" s="7" t="s">
        <v>31</v>
      </c>
      <c r="B32" s="12" t="n">
        <v>0.16</v>
      </c>
      <c r="C32" s="12" t="n">
        <v>0.16</v>
      </c>
      <c r="D32" s="12" t="n">
        <v>0.16</v>
      </c>
      <c r="E32" s="12" t="n">
        <v>0.15</v>
      </c>
      <c r="F32" s="12" t="n">
        <v>0.15</v>
      </c>
    </row>
    <row r="33" customFormat="false" ht="15" hidden="false" customHeight="false" outlineLevel="0" collapsed="false">
      <c r="A33" s="7" t="s">
        <v>32</v>
      </c>
      <c r="B33" s="12" t="n">
        <v>0.1</v>
      </c>
      <c r="C33" s="12" t="n">
        <v>0.1</v>
      </c>
      <c r="D33" s="12" t="n">
        <v>0.11</v>
      </c>
      <c r="E33" s="12" t="n">
        <v>0.11</v>
      </c>
      <c r="F33" s="12" t="n">
        <v>0.11</v>
      </c>
    </row>
    <row r="34" customFormat="false" ht="15" hidden="false" customHeight="false" outlineLevel="0" collapsed="false">
      <c r="A34" s="7" t="s">
        <v>33</v>
      </c>
      <c r="B34" s="12" t="n">
        <v>0.04</v>
      </c>
      <c r="C34" s="12" t="n">
        <v>0.04</v>
      </c>
      <c r="D34" s="12" t="n">
        <v>0.03</v>
      </c>
      <c r="E34" s="12" t="n">
        <v>0.04</v>
      </c>
      <c r="F34" s="12" t="n">
        <v>0.04</v>
      </c>
    </row>
    <row r="35" customFormat="false" ht="15" hidden="false" customHeight="false" outlineLevel="0" collapsed="false">
      <c r="A35" s="14" t="s">
        <v>34</v>
      </c>
      <c r="B35" s="15" t="n">
        <f aca="false">SUM(B30:B34)</f>
        <v>1</v>
      </c>
      <c r="C35" s="15" t="n">
        <f aca="false">SUM(C30:C34)</f>
        <v>1</v>
      </c>
      <c r="D35" s="15" t="n">
        <f aca="false">SUM(D30:D34)</f>
        <v>1</v>
      </c>
      <c r="E35" s="15" t="n">
        <f aca="false">SUM(E30:E34)</f>
        <v>1</v>
      </c>
      <c r="F35" s="15" t="n">
        <f aca="false">SUM(F30:F34)</f>
        <v>1</v>
      </c>
    </row>
    <row r="37" customFormat="false" ht="15" hidden="false" customHeight="false" outlineLevel="0" collapsed="false">
      <c r="A37" s="4" t="s">
        <v>36</v>
      </c>
      <c r="B37" s="6"/>
      <c r="C37" s="6"/>
      <c r="D37" s="6"/>
      <c r="E37" s="6"/>
      <c r="F37" s="6"/>
      <c r="G37" s="6"/>
    </row>
    <row r="39" customFormat="false" ht="30" hidden="false" customHeight="true" outlineLevel="0" collapsed="false">
      <c r="A39" s="10" t="s">
        <v>27</v>
      </c>
      <c r="B39" s="11" t="s">
        <v>20</v>
      </c>
      <c r="C39" s="11" t="s">
        <v>21</v>
      </c>
      <c r="D39" s="11" t="s">
        <v>22</v>
      </c>
      <c r="E39" s="11" t="s">
        <v>23</v>
      </c>
      <c r="F39" s="11" t="s">
        <v>24</v>
      </c>
    </row>
    <row r="40" customFormat="false" ht="15" hidden="false" customHeight="false" outlineLevel="0" collapsed="false">
      <c r="A40" s="7" t="s">
        <v>29</v>
      </c>
      <c r="B40" s="13" t="n">
        <v>18.9</v>
      </c>
      <c r="C40" s="13" t="n">
        <v>-12.1</v>
      </c>
      <c r="D40" s="13" t="n">
        <v>19.8</v>
      </c>
      <c r="E40" s="13" t="n">
        <v>9.2</v>
      </c>
      <c r="F40" s="13" t="n">
        <v>2.9</v>
      </c>
    </row>
    <row r="41" customFormat="false" ht="15" hidden="false" customHeight="false" outlineLevel="0" collapsed="false">
      <c r="A41" s="7" t="s">
        <v>30</v>
      </c>
      <c r="B41" s="13" t="n">
        <v>-1</v>
      </c>
      <c r="C41" s="13" t="n">
        <v>2.6</v>
      </c>
      <c r="D41" s="13" t="n">
        <v>3.8</v>
      </c>
      <c r="E41" s="13" t="n">
        <v>3.4</v>
      </c>
      <c r="F41" s="13" t="n">
        <v>4.2</v>
      </c>
    </row>
    <row r="42" customFormat="false" ht="15" hidden="false" customHeight="false" outlineLevel="0" collapsed="false">
      <c r="A42" s="7" t="s">
        <v>31</v>
      </c>
      <c r="B42" s="13" t="n">
        <v>6.9</v>
      </c>
      <c r="C42" s="13" t="n">
        <v>-3.6</v>
      </c>
      <c r="D42" s="13" t="n">
        <v>9.4</v>
      </c>
      <c r="E42" s="13" t="n">
        <v>5.9</v>
      </c>
      <c r="F42" s="13" t="n">
        <v>3.6</v>
      </c>
    </row>
    <row r="43" customFormat="false" ht="15" hidden="false" customHeight="false" outlineLevel="0" collapsed="false">
      <c r="A43" s="7" t="s">
        <v>32</v>
      </c>
      <c r="B43" s="13" t="n">
        <v>8.4</v>
      </c>
      <c r="C43" s="13" t="n">
        <v>-5.1</v>
      </c>
      <c r="D43" s="13" t="n">
        <v>2.6</v>
      </c>
      <c r="E43" s="13" t="n">
        <v>-2.4</v>
      </c>
      <c r="F43" s="13" t="n">
        <v>0.9</v>
      </c>
    </row>
    <row r="44" customFormat="false" ht="15" hidden="false" customHeight="false" outlineLevel="0" collapsed="false">
      <c r="A44" s="7" t="s">
        <v>33</v>
      </c>
      <c r="B44" s="13" t="n">
        <v>1.1</v>
      </c>
      <c r="C44" s="13" t="n">
        <v>2.4</v>
      </c>
      <c r="D44" s="13" t="n">
        <v>3.3</v>
      </c>
      <c r="E44" s="13" t="n">
        <v>3.9</v>
      </c>
      <c r="F44" s="13" t="n">
        <v>3.6</v>
      </c>
    </row>
    <row r="46" customFormat="false" ht="15" hidden="false" customHeight="false" outlineLevel="0" collapsed="false">
      <c r="A46" s="16" t="s">
        <v>37</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F23"/>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40"/>
    <col collapsed="false" customWidth="true" hidden="false" outlineLevel="0" max="6" min="2" style="0" width="17"/>
  </cols>
  <sheetData>
    <row r="1" customFormat="false" ht="24" hidden="false" customHeight="true" outlineLevel="0" collapsed="false">
      <c r="A1" s="1" t="s">
        <v>38</v>
      </c>
    </row>
    <row r="2" customFormat="false" ht="15" hidden="false" customHeight="false" outlineLevel="0" collapsed="false">
      <c r="A2" s="2" t="s">
        <v>39</v>
      </c>
    </row>
    <row r="3" customFormat="false" ht="15" hidden="false" customHeight="false" outlineLevel="0" collapsed="false">
      <c r="A3" s="3"/>
      <c r="B3" s="3"/>
      <c r="C3" s="3"/>
      <c r="D3" s="3"/>
      <c r="E3" s="3"/>
      <c r="F3" s="3"/>
    </row>
    <row r="5" customFormat="false" ht="30" hidden="false" customHeight="true" outlineLevel="0" collapsed="false">
      <c r="A5" s="10"/>
      <c r="B5" s="11" t="s">
        <v>20</v>
      </c>
      <c r="C5" s="11" t="s">
        <v>21</v>
      </c>
      <c r="D5" s="11" t="s">
        <v>22</v>
      </c>
      <c r="E5" s="11" t="s">
        <v>23</v>
      </c>
      <c r="F5" s="11" t="s">
        <v>24</v>
      </c>
    </row>
    <row r="6" customFormat="false" ht="15" hidden="false" customHeight="false" outlineLevel="0" collapsed="false">
      <c r="A6" s="14" t="s">
        <v>40</v>
      </c>
      <c r="B6" s="17" t="n">
        <f aca="false">SUMPRODUCT(Inputs!$B$20:$B$24,Inputs!C20:C24)/100</f>
        <v>0.0989</v>
      </c>
      <c r="C6" s="17" t="n">
        <f aca="false">SUMPRODUCT(Inputs!$B$20:$B$24,Inputs!D20:D24)/100</f>
        <v>-0.05755</v>
      </c>
      <c r="D6" s="17" t="n">
        <f aca="false">SUMPRODUCT(Inputs!$B$20:$B$24,Inputs!E20:E24)/100</f>
        <v>0.1134</v>
      </c>
      <c r="E6" s="17" t="n">
        <f aca="false">SUMPRODUCT(Inputs!$B$20:$B$24,Inputs!F20:F24)/100</f>
        <v>0.06065</v>
      </c>
      <c r="F6" s="17" t="n">
        <f aca="false">SUMPRODUCT(Inputs!$B$20:$B$24,Inputs!G20:G24)/100</f>
        <v>0.03095</v>
      </c>
    </row>
    <row r="7" customFormat="false" ht="15" hidden="false" customHeight="false" outlineLevel="0" collapsed="false">
      <c r="A7" s="14" t="s">
        <v>41</v>
      </c>
      <c r="B7" s="17" t="n">
        <f aca="false">SUMPRODUCT(Inputs!B30:B34,Inputs!B40:B44)/100</f>
        <v>0.1084</v>
      </c>
      <c r="C7" s="17" t="n">
        <f aca="false">SUMPRODUCT(Inputs!C30:C34,Inputs!C40:C44)/100</f>
        <v>-0.05932</v>
      </c>
      <c r="D7" s="17" t="n">
        <f aca="false">SUMPRODUCT(Inputs!D30:D34,Inputs!D40:D44)/100</f>
        <v>0.12549</v>
      </c>
      <c r="E7" s="17" t="n">
        <f aca="false">SUMPRODUCT(Inputs!E30:E34,Inputs!E40:E44)/100</f>
        <v>0.05883</v>
      </c>
      <c r="F7" s="17" t="n">
        <f aca="false">SUMPRODUCT(Inputs!F30:F34,Inputs!F40:F44)/100</f>
        <v>0.03151</v>
      </c>
    </row>
    <row r="8" customFormat="false" ht="15" hidden="false" customHeight="false" outlineLevel="0" collapsed="false">
      <c r="A8" s="7" t="s">
        <v>42</v>
      </c>
      <c r="B8" s="18" t="n">
        <f aca="false">B7-B6</f>
        <v>0.00950000000000001</v>
      </c>
      <c r="C8" s="18" t="n">
        <f aca="false">C7-C6</f>
        <v>-0.00177</v>
      </c>
      <c r="D8" s="18" t="n">
        <f aca="false">D7-D6</f>
        <v>0.01209</v>
      </c>
      <c r="E8" s="18" t="n">
        <f aca="false">E7-E6</f>
        <v>-0.00182</v>
      </c>
      <c r="F8" s="18" t="n">
        <f aca="false">F7-F6</f>
        <v>0.000560000000000002</v>
      </c>
    </row>
    <row r="10" customFormat="false" ht="15" hidden="false" customHeight="false" outlineLevel="0" collapsed="false">
      <c r="A10" s="4" t="s">
        <v>43</v>
      </c>
      <c r="B10" s="6"/>
      <c r="C10" s="6"/>
      <c r="D10" s="6"/>
      <c r="E10" s="6"/>
      <c r="F10" s="6"/>
    </row>
    <row r="12" customFormat="false" ht="30" hidden="false" customHeight="true" outlineLevel="0" collapsed="false">
      <c r="A12" s="10"/>
      <c r="B12" s="11" t="s">
        <v>20</v>
      </c>
      <c r="C12" s="11" t="s">
        <v>21</v>
      </c>
      <c r="D12" s="11" t="s">
        <v>22</v>
      </c>
      <c r="E12" s="11" t="s">
        <v>23</v>
      </c>
      <c r="F12" s="11" t="s">
        <v>24</v>
      </c>
    </row>
    <row r="13" customFormat="false" ht="15" hidden="false" customHeight="false" outlineLevel="0" collapsed="false">
      <c r="A13" s="7" t="s">
        <v>44</v>
      </c>
      <c r="B13" s="19" t="n">
        <f aca="false">Inputs!B15</f>
        <v>0</v>
      </c>
      <c r="C13" s="19" t="n">
        <f aca="false">Inputs!C15</f>
        <v>120000000</v>
      </c>
      <c r="D13" s="19" t="n">
        <f aca="false">Inputs!D15</f>
        <v>-180000000</v>
      </c>
      <c r="E13" s="19" t="n">
        <f aca="false">Inputs!E15</f>
        <v>0</v>
      </c>
      <c r="F13" s="19" t="n">
        <f aca="false">Inputs!F15</f>
        <v>0</v>
      </c>
    </row>
    <row r="14" customFormat="false" ht="15" hidden="false" customHeight="false" outlineLevel="0" collapsed="false">
      <c r="A14" s="14" t="s">
        <v>45</v>
      </c>
      <c r="B14" s="20" t="n">
        <f aca="false">Inputs!$B$7+B13</f>
        <v>500000000</v>
      </c>
      <c r="C14" s="20" t="n">
        <f aca="false">B18+C13</f>
        <v>672715380</v>
      </c>
      <c r="D14" s="20" t="n">
        <f aca="false">C18+D13</f>
        <v>451048825.846376</v>
      </c>
      <c r="E14" s="20" t="n">
        <f aca="false">D18+E13</f>
        <v>506271373.256104</v>
      </c>
      <c r="F14" s="20" t="n">
        <f aca="false">E18+F13</f>
        <v>534583758.78422</v>
      </c>
    </row>
    <row r="15" customFormat="false" ht="15" hidden="false" customHeight="false" outlineLevel="0" collapsed="false">
      <c r="A15" s="7" t="s">
        <v>46</v>
      </c>
      <c r="B15" s="21" t="n">
        <f aca="false">B14*(1+B7)</f>
        <v>554200000</v>
      </c>
      <c r="C15" s="21" t="n">
        <f aca="false">C14*(1+C7)</f>
        <v>632809903.6584</v>
      </c>
      <c r="D15" s="21" t="n">
        <f aca="false">D14*(1+D7)</f>
        <v>507650943.001837</v>
      </c>
      <c r="E15" s="21" t="n">
        <f aca="false">E14*(1+E7)</f>
        <v>536055318.144761</v>
      </c>
      <c r="F15" s="21" t="n">
        <f aca="false">F14*(1+F7)</f>
        <v>551428493.023511</v>
      </c>
    </row>
    <row r="16" customFormat="false" ht="15" hidden="false" customHeight="false" outlineLevel="0" collapsed="false">
      <c r="A16" s="7" t="s">
        <v>47</v>
      </c>
      <c r="B16" s="21" t="n">
        <f aca="false">(B14+B15)/2</f>
        <v>527100000</v>
      </c>
      <c r="C16" s="21" t="n">
        <f aca="false">(C14+C15)/2</f>
        <v>652762641.8292</v>
      </c>
      <c r="D16" s="21" t="n">
        <f aca="false">(D14+D15)/2</f>
        <v>479349884.424107</v>
      </c>
      <c r="E16" s="21" t="n">
        <f aca="false">(E14+E15)/2</f>
        <v>521163345.700433</v>
      </c>
      <c r="F16" s="21" t="n">
        <f aca="false">(F14+F15)/2</f>
        <v>543006125.903866</v>
      </c>
    </row>
    <row r="17" customFormat="false" ht="15" hidden="false" customHeight="false" outlineLevel="0" collapsed="false">
      <c r="A17" s="7" t="s">
        <v>48</v>
      </c>
      <c r="B17" s="21" t="n">
        <f aca="false">MIN(B16,Inputs!$B$10)*Inputs!$B$8+MAX(0,B16-Inputs!$B$10)*Inputs!$B$9</f>
        <v>1484620</v>
      </c>
      <c r="C17" s="21" t="n">
        <f aca="false">MIN(C16,Inputs!$B$10)*Inputs!$B$8+MAX(0,C16-Inputs!$B$10)*Inputs!$B$9</f>
        <v>1761077.81202424</v>
      </c>
      <c r="D17" s="21" t="n">
        <f aca="false">MIN(D16,Inputs!$B$10)*Inputs!$B$8+MAX(0,D16-Inputs!$B$10)*Inputs!$B$9</f>
        <v>1379569.74573303</v>
      </c>
      <c r="E17" s="21" t="n">
        <f aca="false">MIN(E16,Inputs!$B$10)*Inputs!$B$8+MAX(0,E16-Inputs!$B$10)*Inputs!$B$9</f>
        <v>1471559.36054095</v>
      </c>
      <c r="F17" s="21" t="n">
        <f aca="false">MIN(F16,Inputs!$B$10)*Inputs!$B$8+MAX(0,F16-Inputs!$B$10)*Inputs!$B$9</f>
        <v>1519613.4769885</v>
      </c>
    </row>
    <row r="18" customFormat="false" ht="15" hidden="false" customHeight="false" outlineLevel="0" collapsed="false">
      <c r="A18" s="14" t="s">
        <v>49</v>
      </c>
      <c r="B18" s="20" t="n">
        <f aca="false">B15-B17</f>
        <v>552715380</v>
      </c>
      <c r="C18" s="20" t="n">
        <f aca="false">C15-C17</f>
        <v>631048825.846376</v>
      </c>
      <c r="D18" s="20" t="n">
        <f aca="false">D15-D17</f>
        <v>506271373.256104</v>
      </c>
      <c r="E18" s="20" t="n">
        <f aca="false">E15-E17</f>
        <v>534583758.78422</v>
      </c>
      <c r="F18" s="20" t="n">
        <f aca="false">F15-F17</f>
        <v>549908879.546522</v>
      </c>
    </row>
    <row r="19" customFormat="false" ht="15" hidden="false" customHeight="false" outlineLevel="0" collapsed="false">
      <c r="A19" s="14" t="s">
        <v>50</v>
      </c>
      <c r="B19" s="17" t="n">
        <f aca="false">B18/B14-1</f>
        <v>0.10543076</v>
      </c>
      <c r="C19" s="17" t="n">
        <f aca="false">C18/C14-1</f>
        <v>-0.0619378646488271</v>
      </c>
      <c r="D19" s="17" t="n">
        <f aca="false">D18/D14-1</f>
        <v>0.122431418164332</v>
      </c>
      <c r="E19" s="17" t="n">
        <f aca="false">E18/E14-1</f>
        <v>0.0559233387936267</v>
      </c>
      <c r="F19" s="17" t="n">
        <f aca="false">F18/F14-1</f>
        <v>0.028667389366926</v>
      </c>
    </row>
    <row r="21" customFormat="false" ht="15" hidden="false" customHeight="false" outlineLevel="0" collapsed="false">
      <c r="A21" s="14" t="s">
        <v>51</v>
      </c>
      <c r="B21" s="20" t="n">
        <f aca="false">SUM(B17:F17)</f>
        <v>7616440.39528673</v>
      </c>
    </row>
    <row r="22" customFormat="false" ht="15" hidden="false" customHeight="false" outlineLevel="0" collapsed="false">
      <c r="A22" s="7" t="s">
        <v>52</v>
      </c>
      <c r="B22" s="21" t="n">
        <f aca="false">Inputs!B7+SUM(B13:F13)</f>
        <v>440000000</v>
      </c>
    </row>
    <row r="23" customFormat="false" ht="15" hidden="false" customHeight="false" outlineLevel="0" collapsed="false">
      <c r="A23" s="7" t="s">
        <v>53</v>
      </c>
      <c r="B23" s="21" t="n">
        <f aca="false">F18-B22</f>
        <v>109908879.546522</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G51"/>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34"/>
    <col collapsed="false" customWidth="true" hidden="false" outlineLevel="0" max="7" min="2" style="0" width="15"/>
  </cols>
  <sheetData>
    <row r="1" customFormat="false" ht="24" hidden="false" customHeight="true" outlineLevel="0" collapsed="false">
      <c r="A1" s="1" t="s">
        <v>54</v>
      </c>
    </row>
    <row r="2" customFormat="false" ht="15" hidden="false" customHeight="false" outlineLevel="0" collapsed="false">
      <c r="A2" s="2" t="s">
        <v>55</v>
      </c>
    </row>
    <row r="3" customFormat="false" ht="15" hidden="false" customHeight="false" outlineLevel="0" collapsed="false">
      <c r="A3" s="3"/>
      <c r="B3" s="3"/>
      <c r="C3" s="3"/>
      <c r="D3" s="3"/>
      <c r="E3" s="3"/>
      <c r="F3" s="3"/>
      <c r="G3" s="3"/>
    </row>
    <row r="5" customFormat="false" ht="15" hidden="false" customHeight="false" outlineLevel="0" collapsed="false">
      <c r="A5" s="4" t="s">
        <v>56</v>
      </c>
      <c r="B5" s="6"/>
      <c r="C5" s="6"/>
      <c r="D5" s="6"/>
      <c r="E5" s="6"/>
      <c r="F5" s="6"/>
      <c r="G5" s="6"/>
    </row>
    <row r="7" customFormat="false" ht="30" hidden="false" customHeight="true" outlineLevel="0" collapsed="false">
      <c r="A7" s="10" t="s">
        <v>27</v>
      </c>
      <c r="B7" s="11" t="s">
        <v>20</v>
      </c>
      <c r="C7" s="11" t="s">
        <v>21</v>
      </c>
      <c r="D7" s="11" t="s">
        <v>22</v>
      </c>
      <c r="E7" s="11" t="s">
        <v>23</v>
      </c>
      <c r="F7" s="11" t="s">
        <v>24</v>
      </c>
    </row>
    <row r="8" customFormat="false" ht="15" hidden="false" customHeight="false" outlineLevel="0" collapsed="false">
      <c r="A8" s="7" t="s">
        <v>29</v>
      </c>
      <c r="B8" s="22" t="n">
        <f aca="false">(Inputs!B30-Inputs!$B$20)*(Inputs!C20/100-Returns!B6)</f>
        <v>0.002553</v>
      </c>
      <c r="C8" s="22" t="n">
        <f aca="false">(Inputs!C30-Inputs!$B$20)*(Inputs!D20/100-Returns!C6)</f>
        <v>-0.000684500000000001</v>
      </c>
      <c r="D8" s="22" t="n">
        <f aca="false">(Inputs!D30-Inputs!$B$20)*(Inputs!E20/100-Returns!D6)</f>
        <v>0.00393</v>
      </c>
      <c r="E8" s="22" t="n">
        <f aca="false">(Inputs!E30-Inputs!$B$20)*(Inputs!F20/100-Returns!E6)</f>
        <v>0.000746999999999999</v>
      </c>
      <c r="F8" s="22" t="n">
        <f aca="false">(Inputs!F30-Inputs!$B$20)*(Inputs!G20/100-Returns!F6)</f>
        <v>4.95E-005</v>
      </c>
    </row>
    <row r="9" customFormat="false" ht="15" hidden="false" customHeight="false" outlineLevel="0" collapsed="false">
      <c r="A9" s="7" t="s">
        <v>30</v>
      </c>
      <c r="B9" s="22" t="n">
        <f aca="false">(Inputs!B31-Inputs!$B$21)*(Inputs!C21/100-Returns!B6)</f>
        <v>0.003327</v>
      </c>
      <c r="C9" s="22" t="n">
        <f aca="false">(Inputs!C31-Inputs!$B$21)*(Inputs!D21/100-Returns!C6)</f>
        <v>-0.000855500000000001</v>
      </c>
      <c r="D9" s="22" t="n">
        <f aca="false">(Inputs!D31-Inputs!$B$21)*(Inputs!E21/100-Returns!D6)</f>
        <v>0.00362</v>
      </c>
      <c r="E9" s="22" t="n">
        <f aca="false">(Inputs!E31-Inputs!$B$21)*(Inputs!F21/100-Returns!E6)</f>
        <v>0.000573</v>
      </c>
      <c r="F9" s="22" t="n">
        <f aca="false">(Inputs!F31-Inputs!$B$21)*(Inputs!G21/100-Returns!F6)</f>
        <v>0.0001305</v>
      </c>
    </row>
    <row r="10" customFormat="false" ht="15" hidden="false" customHeight="false" outlineLevel="0" collapsed="false">
      <c r="A10" s="7" t="s">
        <v>31</v>
      </c>
      <c r="B10" s="22" t="n">
        <f aca="false">(Inputs!B32-Inputs!$B$22)*(Inputs!C22/100-Returns!B6)</f>
        <v>-0.000359</v>
      </c>
      <c r="C10" s="22" t="n">
        <f aca="false">(Inputs!C32-Inputs!$B$22)*(Inputs!D22/100-Returns!C6)</f>
        <v>0.0002655</v>
      </c>
      <c r="D10" s="22" t="n">
        <f aca="false">(Inputs!D32-Inputs!$B$22)*(Inputs!E22/100-Returns!D6)</f>
        <v>-0.000274</v>
      </c>
      <c r="E10" s="22" t="n">
        <f aca="false">(Inputs!E32-Inputs!$B$22)*(Inputs!F22/100-Returns!E6)</f>
        <v>-0</v>
      </c>
      <c r="F10" s="22" t="n">
        <f aca="false">(Inputs!F32-Inputs!$B$22)*(Inputs!G22/100-Returns!F6)</f>
        <v>0</v>
      </c>
    </row>
    <row r="11" customFormat="false" ht="15" hidden="false" customHeight="false" outlineLevel="0" collapsed="false">
      <c r="A11" s="7" t="s">
        <v>32</v>
      </c>
      <c r="B11" s="22" t="n">
        <f aca="false">(Inputs!B33-Inputs!$B$23)*(Inputs!C23/100-Returns!B6)</f>
        <v>-0</v>
      </c>
      <c r="C11" s="22" t="n">
        <f aca="false">(Inputs!C33-Inputs!$B$23)*(Inputs!D23/100-Returns!C6)</f>
        <v>0</v>
      </c>
      <c r="D11" s="22" t="n">
        <f aca="false">(Inputs!D33-Inputs!$B$23)*(Inputs!E23/100-Returns!D6)</f>
        <v>-0.000913999999999999</v>
      </c>
      <c r="E11" s="22" t="n">
        <f aca="false">(Inputs!E33-Inputs!$B$23)*(Inputs!F23/100-Returns!E6)</f>
        <v>-0.0007865</v>
      </c>
      <c r="F11" s="22" t="n">
        <f aca="false">(Inputs!F33-Inputs!$B$23)*(Inputs!G23/100-Returns!F6)</f>
        <v>-0.0002495</v>
      </c>
    </row>
    <row r="12" customFormat="false" ht="15" hidden="false" customHeight="false" outlineLevel="0" collapsed="false">
      <c r="A12" s="7" t="s">
        <v>33</v>
      </c>
      <c r="B12" s="22" t="n">
        <f aca="false">(Inputs!B34-Inputs!$B$24)*(Inputs!C24/100-Returns!B6)</f>
        <v>0.000879</v>
      </c>
      <c r="C12" s="22" t="n">
        <f aca="false">(Inputs!C34-Inputs!$B$24)*(Inputs!D24/100-Returns!C6)</f>
        <v>-0.0008155</v>
      </c>
      <c r="D12" s="22" t="n">
        <f aca="false">(Inputs!D34-Inputs!$B$24)*(Inputs!E24/100-Returns!D6)</f>
        <v>0.001608</v>
      </c>
      <c r="E12" s="22" t="n">
        <f aca="false">(Inputs!E34-Inputs!$B$24)*(Inputs!F24/100-Returns!E6)</f>
        <v>0.0002165</v>
      </c>
      <c r="F12" s="22" t="n">
        <f aca="false">(Inputs!F34-Inputs!$B$24)*(Inputs!G24/100-Returns!F6)</f>
        <v>-5.05E-005</v>
      </c>
    </row>
    <row r="13" customFormat="false" ht="15" hidden="false" customHeight="false" outlineLevel="0" collapsed="false">
      <c r="A13" s="14" t="s">
        <v>57</v>
      </c>
      <c r="B13" s="23" t="n">
        <f aca="false">SUM(B8:B12)</f>
        <v>0.0064</v>
      </c>
      <c r="C13" s="23" t="n">
        <f aca="false">SUM(C8:C12)</f>
        <v>-0.00209</v>
      </c>
      <c r="D13" s="23" t="n">
        <f aca="false">SUM(D8:D12)</f>
        <v>0.00797</v>
      </c>
      <c r="E13" s="23" t="n">
        <f aca="false">SUM(E8:E12)</f>
        <v>0.000749999999999999</v>
      </c>
      <c r="F13" s="23" t="n">
        <f aca="false">SUM(F8:F12)</f>
        <v>-0.00012</v>
      </c>
    </row>
    <row r="15" customFormat="false" ht="15" hidden="false" customHeight="false" outlineLevel="0" collapsed="false">
      <c r="A15" s="4" t="s">
        <v>58</v>
      </c>
      <c r="B15" s="6"/>
      <c r="C15" s="6"/>
      <c r="D15" s="6"/>
      <c r="E15" s="6"/>
      <c r="F15" s="6"/>
      <c r="G15" s="6"/>
    </row>
    <row r="17" customFormat="false" ht="30" hidden="false" customHeight="true" outlineLevel="0" collapsed="false">
      <c r="A17" s="10" t="s">
        <v>27</v>
      </c>
      <c r="B17" s="11" t="s">
        <v>20</v>
      </c>
      <c r="C17" s="11" t="s">
        <v>21</v>
      </c>
      <c r="D17" s="11" t="s">
        <v>22</v>
      </c>
      <c r="E17" s="11" t="s">
        <v>23</v>
      </c>
      <c r="F17" s="11" t="s">
        <v>24</v>
      </c>
    </row>
    <row r="18" customFormat="false" ht="15" hidden="false" customHeight="false" outlineLevel="0" collapsed="false">
      <c r="A18" s="7" t="s">
        <v>29</v>
      </c>
      <c r="B18" s="22" t="n">
        <f aca="false">Inputs!$B$20*(Inputs!B40/100-Inputs!C20/100)</f>
        <v>0.00224999999999999</v>
      </c>
      <c r="C18" s="22" t="n">
        <f aca="false">Inputs!$B$20*(Inputs!C40/100-Inputs!D20/100)</f>
        <v>0.00225</v>
      </c>
      <c r="D18" s="22" t="n">
        <f aca="false">Inputs!$B$20*(Inputs!D40/100-Inputs!E20/100)</f>
        <v>0.0027</v>
      </c>
      <c r="E18" s="22" t="n">
        <f aca="false">Inputs!$B$20*(Inputs!E40/100-Inputs!F20/100)</f>
        <v>-0.0027</v>
      </c>
      <c r="F18" s="22" t="n">
        <f aca="false">Inputs!$B$20*(Inputs!F40/100-Inputs!G20/100)</f>
        <v>0.00135</v>
      </c>
    </row>
    <row r="19" customFormat="false" ht="15" hidden="false" customHeight="false" outlineLevel="0" collapsed="false">
      <c r="A19" s="7" t="s">
        <v>30</v>
      </c>
      <c r="B19" s="22" t="n">
        <f aca="false">Inputs!$B$21*(Inputs!B41/100-Inputs!C21/100)</f>
        <v>0.0005</v>
      </c>
      <c r="C19" s="22" t="n">
        <f aca="false">Inputs!$B$21*(Inputs!C41/100-Inputs!D21/100)</f>
        <v>-0.000499999999999999</v>
      </c>
      <c r="D19" s="22" t="n">
        <f aca="false">Inputs!$B$21*(Inputs!D41/100-Inputs!E21/100)</f>
        <v>-0.000749999999999999</v>
      </c>
      <c r="E19" s="22" t="n">
        <f aca="false">Inputs!$B$21*(Inputs!E41/100-Inputs!F21/100)</f>
        <v>0.0005</v>
      </c>
      <c r="F19" s="22" t="n">
        <f aca="false">Inputs!$B$21*(Inputs!F41/100-Inputs!G21/100)</f>
        <v>-0.0005</v>
      </c>
    </row>
    <row r="20" customFormat="false" ht="15" hidden="false" customHeight="false" outlineLevel="0" collapsed="false">
      <c r="A20" s="7" t="s">
        <v>31</v>
      </c>
      <c r="B20" s="22" t="n">
        <f aca="false">Inputs!$B$22*(Inputs!B42/100-Inputs!C22/100)</f>
        <v>0.000900000000000001</v>
      </c>
      <c r="C20" s="22" t="n">
        <f aca="false">Inputs!$B$22*(Inputs!C42/100-Inputs!D22/100)</f>
        <v>-0.000750000000000001</v>
      </c>
      <c r="D20" s="22" t="n">
        <f aca="false">Inputs!$B$22*(Inputs!D42/100-Inputs!E22/100)</f>
        <v>0.0012</v>
      </c>
      <c r="E20" s="22" t="n">
        <f aca="false">Inputs!$B$22*(Inputs!E42/100-Inputs!F22/100)</f>
        <v>0.000450000000000001</v>
      </c>
      <c r="F20" s="22" t="n">
        <f aca="false">Inputs!$B$22*(Inputs!F42/100-Inputs!G22/100)</f>
        <v>-0.000449999999999999</v>
      </c>
    </row>
    <row r="21" customFormat="false" ht="15" hidden="false" customHeight="false" outlineLevel="0" collapsed="false">
      <c r="A21" s="7" t="s">
        <v>32</v>
      </c>
      <c r="B21" s="22" t="n">
        <f aca="false">Inputs!$B$23*(Inputs!B43/100-Inputs!C23/100)</f>
        <v>-0.000699999999999999</v>
      </c>
      <c r="C21" s="22" t="n">
        <f aca="false">Inputs!$B$23*(Inputs!C43/100-Inputs!D23/100)</f>
        <v>-0.000699999999999999</v>
      </c>
      <c r="D21" s="22" t="n">
        <f aca="false">Inputs!$B$23*(Inputs!D43/100-Inputs!E23/100)</f>
        <v>0.0004</v>
      </c>
      <c r="E21" s="22" t="n">
        <f aca="false">Inputs!$B$23*(Inputs!E43/100-Inputs!F23/100)</f>
        <v>-0.0006</v>
      </c>
      <c r="F21" s="22" t="n">
        <f aca="false">Inputs!$B$23*(Inputs!F43/100-Inputs!G23/100)</f>
        <v>0.0003</v>
      </c>
    </row>
    <row r="22" customFormat="false" ht="15" hidden="false" customHeight="false" outlineLevel="0" collapsed="false">
      <c r="A22" s="7" t="s">
        <v>33</v>
      </c>
      <c r="B22" s="22" t="n">
        <f aca="false">Inputs!$B$24*(Inputs!B44/100-Inputs!C24/100)</f>
        <v>0</v>
      </c>
      <c r="C22" s="22" t="n">
        <f aca="false">Inputs!$B$24*(Inputs!C44/100-Inputs!D24/100)</f>
        <v>0</v>
      </c>
      <c r="D22" s="22" t="n">
        <f aca="false">Inputs!$B$24*(Inputs!D44/100-Inputs!E24/100)</f>
        <v>0</v>
      </c>
      <c r="E22" s="22" t="n">
        <f aca="false">Inputs!$B$24*(Inputs!E44/100-Inputs!F24/100)</f>
        <v>0</v>
      </c>
      <c r="F22" s="22" t="n">
        <f aca="false">Inputs!$B$24*(Inputs!F44/100-Inputs!G24/100)</f>
        <v>0</v>
      </c>
    </row>
    <row r="23" customFormat="false" ht="15" hidden="false" customHeight="false" outlineLevel="0" collapsed="false">
      <c r="A23" s="14" t="s">
        <v>59</v>
      </c>
      <c r="B23" s="23" t="n">
        <f aca="false">SUM(B18:B22)</f>
        <v>0.00294999999999999</v>
      </c>
      <c r="C23" s="23" t="n">
        <f aca="false">SUM(C18:C22)</f>
        <v>0.000300000000000003</v>
      </c>
      <c r="D23" s="23" t="n">
        <f aca="false">SUM(D18:D22)</f>
        <v>0.00355</v>
      </c>
      <c r="E23" s="23" t="n">
        <f aca="false">SUM(E18:E22)</f>
        <v>-0.00235</v>
      </c>
      <c r="F23" s="23" t="n">
        <f aca="false">SUM(F18:F22)</f>
        <v>0.000699999999999999</v>
      </c>
    </row>
    <row r="25" customFormat="false" ht="15" hidden="false" customHeight="false" outlineLevel="0" collapsed="false">
      <c r="A25" s="4" t="s">
        <v>60</v>
      </c>
      <c r="B25" s="6"/>
      <c r="C25" s="6"/>
      <c r="D25" s="6"/>
      <c r="E25" s="6"/>
      <c r="F25" s="6"/>
      <c r="G25" s="6"/>
    </row>
    <row r="27" customFormat="false" ht="30" hidden="false" customHeight="true" outlineLevel="0" collapsed="false">
      <c r="A27" s="10" t="s">
        <v>27</v>
      </c>
      <c r="B27" s="11" t="s">
        <v>20</v>
      </c>
      <c r="C27" s="11" t="s">
        <v>21</v>
      </c>
      <c r="D27" s="11" t="s">
        <v>22</v>
      </c>
      <c r="E27" s="11" t="s">
        <v>23</v>
      </c>
      <c r="F27" s="11" t="s">
        <v>24</v>
      </c>
    </row>
    <row r="28" customFormat="false" ht="15" hidden="false" customHeight="false" outlineLevel="0" collapsed="false">
      <c r="A28" s="7" t="s">
        <v>29</v>
      </c>
      <c r="B28" s="22" t="n">
        <f aca="false">(Inputs!B30-Inputs!$B$20)*(Inputs!B40/100-Inputs!C20/100)</f>
        <v>0.000149999999999999</v>
      </c>
      <c r="C28" s="22" t="n">
        <f aca="false">(Inputs!C30-Inputs!$B$20)*(Inputs!C40/100-Inputs!D20/100)</f>
        <v>5.00000000000001E-005</v>
      </c>
      <c r="D28" s="22" t="n">
        <f aca="false">(Inputs!D30-Inputs!$B$20)*(Inputs!D40/100-Inputs!E20/100)</f>
        <v>0.0003</v>
      </c>
      <c r="E28" s="22" t="n">
        <f aca="false">(Inputs!E30-Inputs!$B$20)*(Inputs!E40/100-Inputs!F20/100)</f>
        <v>-0.00012</v>
      </c>
      <c r="F28" s="22" t="n">
        <f aca="false">(Inputs!F30-Inputs!$B$20)*(Inputs!F40/100-Inputs!G20/100)</f>
        <v>-3E-005</v>
      </c>
    </row>
    <row r="29" customFormat="false" ht="15" hidden="false" customHeight="false" outlineLevel="0" collapsed="false">
      <c r="A29" s="7" t="s">
        <v>30</v>
      </c>
      <c r="B29" s="22" t="n">
        <f aca="false">(Inputs!B31-Inputs!$B$21)*(Inputs!B41/100-Inputs!C21/100)</f>
        <v>-6E-005</v>
      </c>
      <c r="C29" s="22" t="n">
        <f aca="false">(Inputs!C31-Inputs!$B$21)*(Inputs!C41/100-Inputs!D21/100)</f>
        <v>2E-005</v>
      </c>
      <c r="D29" s="22" t="n">
        <f aca="false">(Inputs!D31-Inputs!$B$21)*(Inputs!D41/100-Inputs!E21/100)</f>
        <v>0.00015</v>
      </c>
      <c r="E29" s="22" t="n">
        <f aca="false">(Inputs!E31-Inputs!$B$21)*(Inputs!E41/100-Inputs!F21/100)</f>
        <v>-4E-005</v>
      </c>
      <c r="F29" s="22" t="n">
        <f aca="false">(Inputs!F31-Inputs!$B$21)*(Inputs!F41/100-Inputs!G21/100)</f>
        <v>-2E-005</v>
      </c>
    </row>
    <row r="30" customFormat="false" ht="15" hidden="false" customHeight="false" outlineLevel="0" collapsed="false">
      <c r="A30" s="7" t="s">
        <v>31</v>
      </c>
      <c r="B30" s="22" t="n">
        <f aca="false">(Inputs!B32-Inputs!$B$22)*(Inputs!B42/100-Inputs!C22/100)</f>
        <v>6.00000000000001E-005</v>
      </c>
      <c r="C30" s="22" t="n">
        <f aca="false">(Inputs!C32-Inputs!$B$22)*(Inputs!C42/100-Inputs!D22/100)</f>
        <v>-5.00000000000001E-005</v>
      </c>
      <c r="D30" s="22" t="n">
        <f aca="false">(Inputs!D32-Inputs!$B$22)*(Inputs!D42/100-Inputs!E22/100)</f>
        <v>8.00000000000001E-005</v>
      </c>
      <c r="E30" s="22" t="n">
        <f aca="false">(Inputs!E32-Inputs!$B$22)*(Inputs!E42/100-Inputs!F22/100)</f>
        <v>0</v>
      </c>
      <c r="F30" s="22" t="n">
        <f aca="false">(Inputs!F32-Inputs!$B$22)*(Inputs!F42/100-Inputs!G22/100)</f>
        <v>-0</v>
      </c>
    </row>
    <row r="31" customFormat="false" ht="15" hidden="false" customHeight="false" outlineLevel="0" collapsed="false">
      <c r="A31" s="7" t="s">
        <v>32</v>
      </c>
      <c r="B31" s="22" t="n">
        <f aca="false">(Inputs!B33-Inputs!$B$23)*(Inputs!B43/100-Inputs!C23/100)</f>
        <v>-0</v>
      </c>
      <c r="C31" s="22" t="n">
        <f aca="false">(Inputs!C33-Inputs!$B$23)*(Inputs!C43/100-Inputs!D23/100)</f>
        <v>-0</v>
      </c>
      <c r="D31" s="22" t="n">
        <f aca="false">(Inputs!D33-Inputs!$B$23)*(Inputs!D43/100-Inputs!E23/100)</f>
        <v>4E-005</v>
      </c>
      <c r="E31" s="22" t="n">
        <f aca="false">(Inputs!E33-Inputs!$B$23)*(Inputs!E43/100-Inputs!F23/100)</f>
        <v>-6E-005</v>
      </c>
      <c r="F31" s="22" t="n">
        <f aca="false">(Inputs!F33-Inputs!$B$23)*(Inputs!F43/100-Inputs!G23/100)</f>
        <v>3E-005</v>
      </c>
    </row>
    <row r="32" customFormat="false" ht="15" hidden="false" customHeight="false" outlineLevel="0" collapsed="false">
      <c r="A32" s="7" t="s">
        <v>33</v>
      </c>
      <c r="B32" s="22" t="n">
        <f aca="false">(Inputs!B34-Inputs!$B$24)*(Inputs!B44/100-Inputs!C24/100)</f>
        <v>-0</v>
      </c>
      <c r="C32" s="22" t="n">
        <f aca="false">(Inputs!C34-Inputs!$B$24)*(Inputs!C44/100-Inputs!D24/100)</f>
        <v>-0</v>
      </c>
      <c r="D32" s="22" t="n">
        <f aca="false">(Inputs!D34-Inputs!$B$24)*(Inputs!D44/100-Inputs!E24/100)</f>
        <v>-0</v>
      </c>
      <c r="E32" s="22" t="n">
        <f aca="false">(Inputs!E34-Inputs!$B$24)*(Inputs!E44/100-Inputs!F24/100)</f>
        <v>-0</v>
      </c>
      <c r="F32" s="22" t="n">
        <f aca="false">(Inputs!F34-Inputs!$B$24)*(Inputs!F44/100-Inputs!G24/100)</f>
        <v>-0</v>
      </c>
    </row>
    <row r="33" customFormat="false" ht="15" hidden="false" customHeight="false" outlineLevel="0" collapsed="false">
      <c r="A33" s="14" t="s">
        <v>61</v>
      </c>
      <c r="B33" s="23" t="n">
        <f aca="false">SUM(B28:B32)</f>
        <v>0.000149999999999999</v>
      </c>
      <c r="C33" s="23" t="n">
        <f aca="false">SUM(C28:C32)</f>
        <v>2E-005</v>
      </c>
      <c r="D33" s="23" t="n">
        <f aca="false">SUM(D28:D32)</f>
        <v>0.00057</v>
      </c>
      <c r="E33" s="23" t="n">
        <f aca="false">SUM(E28:E32)</f>
        <v>-0.00022</v>
      </c>
      <c r="F33" s="23" t="n">
        <f aca="false">SUM(F28:F32)</f>
        <v>-2E-005</v>
      </c>
    </row>
    <row r="35" customFormat="false" ht="15" hidden="false" customHeight="false" outlineLevel="0" collapsed="false">
      <c r="A35" s="4" t="s">
        <v>62</v>
      </c>
      <c r="B35" s="6"/>
      <c r="C35" s="6"/>
      <c r="D35" s="6"/>
      <c r="E35" s="6"/>
      <c r="F35" s="6"/>
      <c r="G35" s="6"/>
    </row>
    <row r="37" customFormat="false" ht="30" hidden="false" customHeight="true" outlineLevel="0" collapsed="false">
      <c r="A37" s="10"/>
      <c r="B37" s="11" t="s">
        <v>20</v>
      </c>
      <c r="C37" s="11" t="s">
        <v>21</v>
      </c>
      <c r="D37" s="11" t="s">
        <v>22</v>
      </c>
      <c r="E37" s="11" t="s">
        <v>23</v>
      </c>
      <c r="F37" s="11" t="s">
        <v>24</v>
      </c>
    </row>
    <row r="38" customFormat="false" ht="15" hidden="false" customHeight="false" outlineLevel="0" collapsed="false">
      <c r="A38" s="14" t="s">
        <v>63</v>
      </c>
      <c r="B38" s="23" t="n">
        <f aca="false">B13+B23+B33</f>
        <v>0.00949999999999999</v>
      </c>
      <c r="C38" s="23" t="n">
        <f aca="false">C13+C23+C33</f>
        <v>-0.00177</v>
      </c>
      <c r="D38" s="23" t="n">
        <f aca="false">D13+D23+D33</f>
        <v>0.01209</v>
      </c>
      <c r="E38" s="23" t="n">
        <f aca="false">E13+E23+E33</f>
        <v>-0.00182</v>
      </c>
      <c r="F38" s="23" t="n">
        <f aca="false">F13+F23+F33</f>
        <v>0.000559999999999999</v>
      </c>
    </row>
    <row r="39" customFormat="false" ht="15" hidden="false" customHeight="false" outlineLevel="0" collapsed="false">
      <c r="A39" s="14" t="s">
        <v>64</v>
      </c>
      <c r="B39" s="23" t="n">
        <f aca="false">Returns!B8</f>
        <v>0.00950000000000001</v>
      </c>
      <c r="C39" s="23" t="n">
        <f aca="false">Returns!C8</f>
        <v>-0.00177</v>
      </c>
      <c r="D39" s="23" t="n">
        <f aca="false">Returns!D8</f>
        <v>0.01209</v>
      </c>
      <c r="E39" s="23" t="n">
        <f aca="false">Returns!E8</f>
        <v>-0.00182</v>
      </c>
      <c r="F39" s="23" t="n">
        <f aca="false">Returns!F8</f>
        <v>0.000560000000000002</v>
      </c>
    </row>
    <row r="40" customFormat="false" ht="15" hidden="false" customHeight="false" outlineLevel="0" collapsed="false">
      <c r="A40" s="14" t="s">
        <v>65</v>
      </c>
      <c r="B40" s="24" t="n">
        <f aca="false">B38-B39</f>
        <v>0</v>
      </c>
      <c r="C40" s="24" t="n">
        <f aca="false">C38-C39</f>
        <v>0</v>
      </c>
      <c r="D40" s="24" t="n">
        <f aca="false">D38-D39</f>
        <v>0</v>
      </c>
      <c r="E40" s="24" t="n">
        <f aca="false">E38-E39</f>
        <v>0</v>
      </c>
      <c r="F40" s="24" t="n">
        <f aca="false">F38-F39</f>
        <v>-2.81892564846231E-018</v>
      </c>
    </row>
    <row r="42" customFormat="false" ht="15" hidden="false" customHeight="false" outlineLevel="0" collapsed="false">
      <c r="A42" s="4" t="s">
        <v>66</v>
      </c>
      <c r="B42" s="6"/>
      <c r="C42" s="6"/>
      <c r="D42" s="6"/>
      <c r="E42" s="6"/>
      <c r="F42" s="6"/>
      <c r="G42" s="6"/>
    </row>
    <row r="44" customFormat="false" ht="15" hidden="false" customHeight="false" outlineLevel="0" collapsed="false">
      <c r="A44" s="14" t="s">
        <v>67</v>
      </c>
      <c r="B44" s="23" t="n">
        <f aca="false">AVERAGE(B13:F13)</f>
        <v>0.002582</v>
      </c>
    </row>
    <row r="45" customFormat="false" ht="15" hidden="false" customHeight="false" outlineLevel="0" collapsed="false">
      <c r="A45" s="14" t="s">
        <v>68</v>
      </c>
      <c r="B45" s="23" t="n">
        <f aca="false">AVERAGE(B23:F23)</f>
        <v>0.00103</v>
      </c>
    </row>
    <row r="46" customFormat="false" ht="15" hidden="false" customHeight="false" outlineLevel="0" collapsed="false">
      <c r="A46" s="7" t="s">
        <v>69</v>
      </c>
      <c r="B46" s="22" t="n">
        <f aca="false">AVERAGE(B33:F33)</f>
        <v>9.99999999999999E-005</v>
      </c>
    </row>
    <row r="47" customFormat="false" ht="15" hidden="false" customHeight="false" outlineLevel="0" collapsed="false">
      <c r="A47" s="14" t="s">
        <v>70</v>
      </c>
      <c r="B47" s="23" t="n">
        <f aca="false">B44+B45+B46</f>
        <v>0.003712</v>
      </c>
    </row>
    <row r="48" customFormat="false" ht="15" hidden="false" customHeight="false" outlineLevel="0" collapsed="false">
      <c r="A48" s="7" t="s">
        <v>71</v>
      </c>
      <c r="B48" s="22" t="n">
        <f aca="false">((1+Returns!B7)*(1+Returns!C7)*(1+Returns!D7)*(1+Returns!E7)*(1+Returns!F7))^(1/5)-((1+Returns!B6)*(1+Returns!C6)*(1+Returns!D6)*(1+Returns!E6)*(1+Returns!F6))^(1/5)</f>
        <v>0.00343157159818963</v>
      </c>
    </row>
    <row r="49" customFormat="false" ht="15" hidden="false" customHeight="false" outlineLevel="0" collapsed="false">
      <c r="A49" s="14" t="s">
        <v>72</v>
      </c>
      <c r="B49" s="23" t="n">
        <f aca="false">B47-B48</f>
        <v>0.000280428401810367</v>
      </c>
    </row>
    <row r="50" customFormat="false" ht="15" hidden="false" customHeight="false" outlineLevel="0" collapsed="false">
      <c r="A50" s="7" t="s">
        <v>73</v>
      </c>
      <c r="B50" s="25" t="n">
        <f aca="false">B44/B47</f>
        <v>0.695581896551724</v>
      </c>
    </row>
    <row r="51" customFormat="false" ht="15" hidden="false" customHeight="false" outlineLevel="0" collapsed="false">
      <c r="A51" s="7" t="s">
        <v>74</v>
      </c>
      <c r="B51" s="25" t="n">
        <f aca="false">B45/B47</f>
        <v>0.277478448275862</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G28"/>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46"/>
    <col collapsed="false" customWidth="true" hidden="false" outlineLevel="0" max="6" min="2" style="0" width="15"/>
    <col collapsed="false" customWidth="true" hidden="false" outlineLevel="0" max="7" min="7" style="0" width="18"/>
  </cols>
  <sheetData>
    <row r="1" customFormat="false" ht="19.7" hidden="false" customHeight="false" outlineLevel="0" collapsed="false">
      <c r="A1" s="26" t="s">
        <v>75</v>
      </c>
    </row>
    <row r="2" customFormat="false" ht="15" hidden="false" customHeight="false" outlineLevel="0" collapsed="false">
      <c r="A2" s="27" t="s">
        <v>76</v>
      </c>
    </row>
    <row r="4" customFormat="false" ht="15" hidden="false" customHeight="false" outlineLevel="0" collapsed="false">
      <c r="A4" s="28" t="s">
        <v>77</v>
      </c>
    </row>
    <row r="5" customFormat="false" ht="15" hidden="false" customHeight="false" outlineLevel="0" collapsed="false">
      <c r="A5" s="29" t="s">
        <v>27</v>
      </c>
      <c r="B5" s="29" t="s">
        <v>78</v>
      </c>
      <c r="C5" s="29" t="s">
        <v>79</v>
      </c>
      <c r="D5" s="29" t="s">
        <v>80</v>
      </c>
    </row>
    <row r="6" customFormat="false" ht="15" hidden="false" customHeight="false" outlineLevel="0" collapsed="false">
      <c r="A6" s="7" t="str">
        <f aca="false">Inputs!A20</f>
        <v>Global equities</v>
      </c>
      <c r="B6" s="22" t="n">
        <f aca="false">Inputs!B20</f>
        <v>0.45</v>
      </c>
      <c r="C6" s="22" t="n">
        <f aca="false">Inputs!B20*(1+Inputs!C20/100)/SUMPRODUCT(Inputs!$B$20:$B$24,1+Inputs!$C$20:$C$24/100)</f>
        <v>0.484848484848485</v>
      </c>
      <c r="D6" s="25" t="n">
        <f aca="false">Inputs!D20/100</f>
        <v>-0.126</v>
      </c>
    </row>
    <row r="7" customFormat="false" ht="15" hidden="false" customHeight="false" outlineLevel="0" collapsed="false">
      <c r="A7" s="7" t="str">
        <f aca="false">Inputs!A21</f>
        <v>Government bonds</v>
      </c>
      <c r="B7" s="22" t="n">
        <f aca="false">Inputs!B21</f>
        <v>0.25</v>
      </c>
      <c r="C7" s="22" t="n">
        <f aca="false">Inputs!B21*(1+Inputs!C21/100)/SUMPRODUCT(Inputs!$B$20:$B$24,1+Inputs!$C$20:$C$24/100)</f>
        <v>0.224770224770225</v>
      </c>
      <c r="D7" s="25" t="n">
        <f aca="false">Inputs!D21/100</f>
        <v>0.028</v>
      </c>
    </row>
    <row r="8" customFormat="false" ht="15" hidden="false" customHeight="false" outlineLevel="0" collapsed="false">
      <c r="A8" s="7" t="str">
        <f aca="false">Inputs!A22</f>
        <v>Credit</v>
      </c>
      <c r="B8" s="22" t="n">
        <f aca="false">Inputs!B22</f>
        <v>0.15</v>
      </c>
      <c r="C8" s="22" t="n">
        <f aca="false">Inputs!B22*(1+Inputs!C22/100)/SUMPRODUCT(Inputs!$B$20:$B$24,1+Inputs!$C$20:$C$24/100)</f>
        <v>0.145099645099645</v>
      </c>
      <c r="D8" s="25" t="n">
        <f aca="false">Inputs!D22/100</f>
        <v>-0.031</v>
      </c>
    </row>
    <row r="9" customFormat="false" ht="15" hidden="false" customHeight="false" outlineLevel="0" collapsed="false">
      <c r="A9" s="7" t="str">
        <f aca="false">Inputs!A23</f>
        <v>Property</v>
      </c>
      <c r="B9" s="22" t="n">
        <f aca="false">Inputs!B23</f>
        <v>0.1</v>
      </c>
      <c r="C9" s="22" t="n">
        <f aca="false">Inputs!B23*(1+Inputs!C23/100)/SUMPRODUCT(Inputs!$B$20:$B$24,1+Inputs!$C$20:$C$24/100)</f>
        <v>0.0992810992810993</v>
      </c>
      <c r="D9" s="25" t="n">
        <f aca="false">Inputs!D23/100</f>
        <v>-0.044</v>
      </c>
    </row>
    <row r="10" customFormat="false" ht="15" hidden="false" customHeight="false" outlineLevel="0" collapsed="false">
      <c r="A10" s="7" t="str">
        <f aca="false">Inputs!A24</f>
        <v>Cash</v>
      </c>
      <c r="B10" s="22" t="n">
        <f aca="false">Inputs!B24</f>
        <v>0.05</v>
      </c>
      <c r="C10" s="22" t="n">
        <f aca="false">Inputs!B24*(1+Inputs!C24/100)/SUMPRODUCT(Inputs!$B$20:$B$24,1+Inputs!$C$20:$C$24/100)</f>
        <v>0.046000546000546</v>
      </c>
      <c r="D10" s="25" t="n">
        <f aca="false">Inputs!D24/100</f>
        <v>0.024</v>
      </c>
    </row>
    <row r="12" customFormat="false" ht="15" hidden="false" customHeight="false" outlineLevel="0" collapsed="false">
      <c r="A12" s="7" t="s">
        <v>81</v>
      </c>
      <c r="B12" s="30" t="n">
        <f aca="false">SUMPRODUCT(C6:C10,D6:D10)</f>
        <v>-0.0625597870597871</v>
      </c>
    </row>
    <row r="13" customFormat="false" ht="15" hidden="false" customHeight="false" outlineLevel="0" collapsed="false">
      <c r="A13" s="7" t="s">
        <v>82</v>
      </c>
      <c r="B13" s="30" t="n">
        <f aca="false">Returns!C6</f>
        <v>-0.05755</v>
      </c>
    </row>
    <row r="14" customFormat="false" ht="15" hidden="false" customHeight="false" outlineLevel="0" collapsed="false">
      <c r="A14" s="7" t="s">
        <v>83</v>
      </c>
      <c r="B14" s="31" t="n">
        <f aca="false">B13-B12</f>
        <v>0.00500978705978706</v>
      </c>
    </row>
    <row r="15" customFormat="false" ht="15" hidden="false" customHeight="false" outlineLevel="0" collapsed="false">
      <c r="A15" s="7" t="s">
        <v>84</v>
      </c>
      <c r="B15" s="30" t="n">
        <f aca="false">Returns!C7-B12</f>
        <v>0.00323978705978706</v>
      </c>
    </row>
    <row r="17" customFormat="false" ht="15" hidden="false" customHeight="false" outlineLevel="0" collapsed="false">
      <c r="A17" s="28" t="s">
        <v>85</v>
      </c>
    </row>
    <row r="18" customFormat="false" ht="15" hidden="false" customHeight="false" outlineLevel="0" collapsed="false">
      <c r="A18" s="7" t="s">
        <v>86</v>
      </c>
      <c r="B18" s="32" t="n">
        <v>0.05</v>
      </c>
    </row>
    <row r="19" customFormat="false" ht="15" hidden="false" customHeight="false" outlineLevel="0" collapsed="false">
      <c r="B19" s="29" t="s">
        <v>20</v>
      </c>
      <c r="C19" s="29" t="s">
        <v>21</v>
      </c>
      <c r="D19" s="29" t="s">
        <v>22</v>
      </c>
      <c r="E19" s="29" t="s">
        <v>23</v>
      </c>
      <c r="F19" s="29" t="s">
        <v>24</v>
      </c>
      <c r="G19" s="29" t="s">
        <v>87</v>
      </c>
    </row>
    <row r="20" customFormat="false" ht="15" hidden="false" customHeight="false" outlineLevel="0" collapsed="false">
      <c r="A20" s="7" t="s">
        <v>88</v>
      </c>
      <c r="B20" s="30" t="n">
        <f aca="false">Returns!B6+$B$18*(Inputs!C20-Inputs!C21)/100</f>
        <v>0.1087</v>
      </c>
      <c r="C20" s="30" t="n">
        <f aca="false">Returns!C6+$B$18*(Inputs!D20-Inputs!D21)/100</f>
        <v>-0.06525</v>
      </c>
      <c r="D20" s="30" t="n">
        <f aca="false">Returns!D6+$B$18*(Inputs!E20-Inputs!E21)/100</f>
        <v>0.12095</v>
      </c>
      <c r="E20" s="30" t="n">
        <f aca="false">Returns!E6+$B$18*(Inputs!F20-Inputs!F21)/100</f>
        <v>0.06395</v>
      </c>
      <c r="F20" s="30" t="n">
        <f aca="false">Returns!F6+$B$18*(Inputs!G20-Inputs!G21)/100</f>
        <v>0.03005</v>
      </c>
      <c r="G20" s="30" t="n">
        <f aca="false">((1+B20)*(1+C20)*(1+D20)*(1+E20)*(1+F20))^(1/5)-1</f>
        <v>0.0494821530741789</v>
      </c>
    </row>
    <row r="21" customFormat="false" ht="15" hidden="false" customHeight="false" outlineLevel="0" collapsed="false">
      <c r="A21" s="7" t="s">
        <v>89</v>
      </c>
      <c r="B21" s="30" t="n">
        <f aca="false">B20-Returns!B6</f>
        <v>0.0098</v>
      </c>
      <c r="C21" s="30" t="n">
        <f aca="false">C20-Returns!C6</f>
        <v>-0.00770000000000001</v>
      </c>
      <c r="D21" s="30" t="n">
        <f aca="false">D20-Returns!D6</f>
        <v>0.00755</v>
      </c>
      <c r="E21" s="30" t="n">
        <f aca="false">E20-Returns!E6</f>
        <v>0.0033</v>
      </c>
      <c r="F21" s="30" t="n">
        <f aca="false">F20-Returns!F6</f>
        <v>-0.000900000000000002</v>
      </c>
      <c r="G21" s="31" t="n">
        <f aca="false">G20-(((1+Returns!B6)*(1+Returns!C6)*(1+Returns!D6)*(1+Returns!E6)*(1+Returns!F6))^(1/5)-1)</f>
        <v>0.00202689384120114</v>
      </c>
    </row>
    <row r="22" customFormat="false" ht="15" hidden="false" customHeight="false" outlineLevel="0" collapsed="false">
      <c r="A22" s="7" t="s">
        <v>90</v>
      </c>
      <c r="B22" s="33" t="n">
        <f aca="false">COUNTIF(B21:F21,"&gt;"&amp;Attribution!B47)+COUNTIF(B21:F21,"&lt;"&amp;-Attribution!B47)</f>
        <v>3</v>
      </c>
    </row>
    <row r="24" customFormat="false" ht="15" hidden="false" customHeight="false" outlineLevel="0" collapsed="false">
      <c r="A24" s="28" t="s">
        <v>91</v>
      </c>
    </row>
    <row r="25" customFormat="false" ht="15" hidden="false" customHeight="false" outlineLevel="0" collapsed="false">
      <c r="A25" s="7" t="s">
        <v>92</v>
      </c>
      <c r="B25" s="30" t="n">
        <f aca="false">(Returns!B6-Inputs!$B$24*Inputs!C24/100)/(1-Inputs!$B$24)</f>
        <v>0.103526315789474</v>
      </c>
      <c r="C25" s="30" t="n">
        <f aca="false">(Returns!C6-Inputs!$B$24*Inputs!D24/100)/(1-Inputs!$B$24)</f>
        <v>-0.0618421052631579</v>
      </c>
      <c r="D25" s="30" t="n">
        <f aca="false">(Returns!D6-Inputs!$B$24*Inputs!E24/100)/(1-Inputs!$B$24)</f>
        <v>0.117631578947368</v>
      </c>
      <c r="E25" s="30" t="n">
        <f aca="false">(Returns!E6-Inputs!$B$24*Inputs!F24/100)/(1-Inputs!$B$24)</f>
        <v>0.0617894736842105</v>
      </c>
      <c r="F25" s="30" t="n">
        <f aca="false">(Returns!F6-Inputs!$B$24*Inputs!G24/100)/(1-Inputs!$B$24)</f>
        <v>0.0306842105263158</v>
      </c>
    </row>
    <row r="26" customFormat="false" ht="15" hidden="false" customHeight="false" outlineLevel="0" collapsed="false">
      <c r="A26" s="7" t="s">
        <v>89</v>
      </c>
      <c r="B26" s="30" t="n">
        <f aca="false">B25-Returns!B6</f>
        <v>0.0046263157894737</v>
      </c>
      <c r="C26" s="30" t="n">
        <f aca="false">C25-Returns!C6</f>
        <v>-0.0042921052631579</v>
      </c>
      <c r="D26" s="30" t="n">
        <f aca="false">D25-Returns!D6</f>
        <v>0.00423157894736843</v>
      </c>
      <c r="E26" s="30" t="n">
        <f aca="false">E25-Returns!E6</f>
        <v>0.00113947368421053</v>
      </c>
      <c r="F26" s="30" t="n">
        <f aca="false">F25-Returns!F6</f>
        <v>-0.000265789473684209</v>
      </c>
    </row>
    <row r="27" customFormat="false" ht="15" hidden="false" customHeight="false" outlineLevel="0" collapsed="false">
      <c r="A27" s="7" t="s">
        <v>93</v>
      </c>
      <c r="B27" s="34" t="n">
        <f aca="false">COUNTIF(B26:F26,"&gt;0")</f>
        <v>3</v>
      </c>
    </row>
    <row r="28" customFormat="false" ht="15" hidden="false" customHeight="false" outlineLevel="0" collapsed="false">
      <c r="A28" s="16" t="s">
        <v>94</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F48"/>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46"/>
    <col collapsed="false" customWidth="true" hidden="false" outlineLevel="0" max="6" min="2" style="0" width="16"/>
  </cols>
  <sheetData>
    <row r="1" customFormat="false" ht="24" hidden="false" customHeight="true" outlineLevel="0" collapsed="false">
      <c r="A1" s="1" t="s">
        <v>95</v>
      </c>
    </row>
    <row r="2" customFormat="false" ht="15" hidden="false" customHeight="false" outlineLevel="0" collapsed="false">
      <c r="A2" s="2" t="s">
        <v>96</v>
      </c>
    </row>
    <row r="3" customFormat="false" ht="15" hidden="false" customHeight="false" outlineLevel="0" collapsed="false">
      <c r="A3" s="3"/>
      <c r="B3" s="3"/>
      <c r="C3" s="3"/>
      <c r="D3" s="3"/>
      <c r="E3" s="3"/>
      <c r="F3" s="3"/>
    </row>
    <row r="5" customFormat="false" ht="30" hidden="false" customHeight="true" outlineLevel="0" collapsed="false">
      <c r="A5" s="10"/>
      <c r="B5" s="11" t="s">
        <v>20</v>
      </c>
      <c r="C5" s="11" t="s">
        <v>21</v>
      </c>
      <c r="D5" s="11" t="s">
        <v>22</v>
      </c>
      <c r="E5" s="11" t="s">
        <v>23</v>
      </c>
      <c r="F5" s="11" t="s">
        <v>24</v>
      </c>
    </row>
    <row r="6" customFormat="false" ht="15" hidden="false" customHeight="false" outlineLevel="0" collapsed="false">
      <c r="A6" s="7" t="s">
        <v>42</v>
      </c>
      <c r="B6" s="22" t="n">
        <f aca="false">Returns!B8</f>
        <v>0.00950000000000001</v>
      </c>
      <c r="C6" s="22" t="n">
        <f aca="false">Returns!C8</f>
        <v>-0.00177</v>
      </c>
      <c r="D6" s="22" t="n">
        <f aca="false">Returns!D8</f>
        <v>0.01209</v>
      </c>
      <c r="E6" s="22" t="n">
        <f aca="false">Returns!E8</f>
        <v>-0.00182</v>
      </c>
      <c r="F6" s="22" t="n">
        <f aca="false">Returns!F8</f>
        <v>0.000560000000000002</v>
      </c>
    </row>
    <row r="7" customFormat="false" ht="15" hidden="false" customHeight="false" outlineLevel="0" collapsed="false">
      <c r="A7" s="7" t="s">
        <v>97</v>
      </c>
      <c r="B7" s="22" t="n">
        <f aca="false">Returns!B19</f>
        <v>0.10543076</v>
      </c>
      <c r="C7" s="22" t="n">
        <f aca="false">Returns!C19</f>
        <v>-0.0619378646488271</v>
      </c>
      <c r="D7" s="22" t="n">
        <f aca="false">Returns!D19</f>
        <v>0.122431418164332</v>
      </c>
      <c r="E7" s="22" t="n">
        <f aca="false">Returns!E19</f>
        <v>0.0559233387936267</v>
      </c>
      <c r="F7" s="22" t="n">
        <f aca="false">Returns!F19</f>
        <v>0.028667389366926</v>
      </c>
    </row>
    <row r="8" customFormat="false" ht="15" hidden="false" customHeight="false" outlineLevel="0" collapsed="false">
      <c r="A8" s="7" t="s">
        <v>40</v>
      </c>
      <c r="B8" s="22" t="n">
        <f aca="false">Returns!B6</f>
        <v>0.0989</v>
      </c>
      <c r="C8" s="22" t="n">
        <f aca="false">Returns!C6</f>
        <v>-0.05755</v>
      </c>
      <c r="D8" s="22" t="n">
        <f aca="false">Returns!D6</f>
        <v>0.1134</v>
      </c>
      <c r="E8" s="22" t="n">
        <f aca="false">Returns!E6</f>
        <v>0.06065</v>
      </c>
      <c r="F8" s="22" t="n">
        <f aca="false">Returns!F6</f>
        <v>0.03095</v>
      </c>
    </row>
    <row r="9" customFormat="false" ht="15" hidden="false" customHeight="false" outlineLevel="0" collapsed="false">
      <c r="A9" s="7" t="s">
        <v>98</v>
      </c>
      <c r="B9" s="22" t="n">
        <f aca="false">Inputs!C24/100</f>
        <v>0.011</v>
      </c>
      <c r="C9" s="22" t="n">
        <f aca="false">Inputs!D24/100</f>
        <v>0.024</v>
      </c>
      <c r="D9" s="22" t="n">
        <f aca="false">Inputs!E24/100</f>
        <v>0.033</v>
      </c>
      <c r="E9" s="22" t="n">
        <f aca="false">Inputs!F24/100</f>
        <v>0.039</v>
      </c>
      <c r="F9" s="22" t="n">
        <f aca="false">Inputs!G24/100</f>
        <v>0.036</v>
      </c>
    </row>
    <row r="10" customFormat="false" ht="15" hidden="false" customHeight="false" outlineLevel="0" collapsed="false">
      <c r="A10" s="7" t="s">
        <v>99</v>
      </c>
      <c r="B10" s="22" t="n">
        <f aca="false">B7-B8</f>
        <v>0.00653075999999997</v>
      </c>
      <c r="C10" s="22" t="n">
        <f aca="false">C7-C8</f>
        <v>-0.00438786464882712</v>
      </c>
      <c r="D10" s="22" t="n">
        <f aca="false">D7-D8</f>
        <v>0.00903141816433223</v>
      </c>
      <c r="E10" s="22" t="n">
        <f aca="false">E7-E8</f>
        <v>-0.00472666120637335</v>
      </c>
      <c r="F10" s="22" t="n">
        <f aca="false">F7-F8</f>
        <v>-0.00228261063307397</v>
      </c>
    </row>
    <row r="11" customFormat="false" ht="15" hidden="false" customHeight="false" outlineLevel="0" collapsed="false">
      <c r="A11" s="4" t="s">
        <v>100</v>
      </c>
      <c r="B11" s="6"/>
      <c r="C11" s="6"/>
      <c r="D11" s="6"/>
      <c r="E11" s="6"/>
      <c r="F11" s="6"/>
    </row>
    <row r="13" customFormat="false" ht="15" hidden="false" customHeight="false" outlineLevel="0" collapsed="false">
      <c r="A13" s="7" t="s">
        <v>101</v>
      </c>
      <c r="B13" s="22" t="n">
        <f aca="false">AVERAGE(B6:F6)</f>
        <v>0.00371200000000001</v>
      </c>
    </row>
    <row r="14" customFormat="false" ht="15" hidden="false" customHeight="false" outlineLevel="0" collapsed="false">
      <c r="A14" s="14" t="s">
        <v>102</v>
      </c>
      <c r="B14" s="23" t="n">
        <f aca="false">STDEV(B6:F6)</f>
        <v>0.00660080070900494</v>
      </c>
    </row>
    <row r="15" customFormat="false" ht="15" hidden="false" customHeight="false" outlineLevel="0" collapsed="false">
      <c r="A15" s="14" t="s">
        <v>103</v>
      </c>
      <c r="B15" s="35" t="n">
        <f aca="false">B13/B14</f>
        <v>0.562356017647378</v>
      </c>
    </row>
    <row r="16" customFormat="false" ht="15" hidden="false" customHeight="false" outlineLevel="0" collapsed="false">
      <c r="A16" s="7" t="s">
        <v>104</v>
      </c>
      <c r="B16" s="22" t="n">
        <f aca="false">((1+Returns!B7)*(1+Returns!C7)*(1+Returns!D7)*(1+Returns!E7)*(1+Returns!F7))^(1/5)-((1+Returns!B19)*(1+Returns!C19)*(1+Returns!D19)*(1+Returns!E19)*(1+Returns!F19))^(1/5)</f>
        <v>0.00287528939897164</v>
      </c>
    </row>
    <row r="17" customFormat="false" ht="15" hidden="false" customHeight="false" outlineLevel="0" collapsed="false">
      <c r="A17" s="14" t="s">
        <v>105</v>
      </c>
      <c r="B17" s="35" t="n">
        <f aca="false">AVERAGE(B10:F10)/B14</f>
        <v>0.126198073829914</v>
      </c>
    </row>
    <row r="19" customFormat="false" ht="15" hidden="false" customHeight="false" outlineLevel="0" collapsed="false">
      <c r="A19" s="4" t="s">
        <v>106</v>
      </c>
      <c r="B19" s="6"/>
      <c r="C19" s="6"/>
      <c r="D19" s="6"/>
      <c r="E19" s="6"/>
      <c r="F19" s="6"/>
    </row>
    <row r="21" customFormat="false" ht="15" hidden="false" customHeight="false" outlineLevel="0" collapsed="false">
      <c r="A21" s="7" t="s">
        <v>107</v>
      </c>
      <c r="B21" s="22" t="n">
        <f aca="false">STDEV(B7:F7)</f>
        <v>0.0730395067735844</v>
      </c>
    </row>
    <row r="22" customFormat="false" ht="15" hidden="false" customHeight="false" outlineLevel="0" collapsed="false">
      <c r="A22" s="7" t="s">
        <v>108</v>
      </c>
      <c r="B22" s="22" t="n">
        <f aca="false">STDEV(B8:F8)</f>
        <v>0.0679180259577677</v>
      </c>
    </row>
    <row r="23" customFormat="false" ht="15" hidden="false" customHeight="false" outlineLevel="0" collapsed="false">
      <c r="A23" s="7" t="s">
        <v>109</v>
      </c>
      <c r="B23" s="22" t="n">
        <f aca="false">AVERAGE(B9:F9)</f>
        <v>0.0286</v>
      </c>
    </row>
    <row r="24" customFormat="false" ht="15" hidden="false" customHeight="false" outlineLevel="0" collapsed="false">
      <c r="A24" s="14" t="s">
        <v>110</v>
      </c>
      <c r="B24" s="35" t="n">
        <f aca="false">(AVERAGE(B7:F7)-B23)/B21</f>
        <v>0.294402430753932</v>
      </c>
    </row>
    <row r="25" customFormat="false" ht="15" hidden="false" customHeight="false" outlineLevel="0" collapsed="false">
      <c r="A25" s="14" t="s">
        <v>111</v>
      </c>
      <c r="B25" s="35" t="n">
        <f aca="false">(AVERAGE(B8:F8)-B23)/B22</f>
        <v>0.304337467241066</v>
      </c>
    </row>
    <row r="26" customFormat="false" ht="15" hidden="false" customHeight="false" outlineLevel="0" collapsed="false">
      <c r="A26" s="14" t="s">
        <v>112</v>
      </c>
      <c r="B26" s="35" t="n">
        <f aca="false">B24-B25</f>
        <v>-0.00993503648713373</v>
      </c>
    </row>
    <row r="28" customFormat="false" ht="15" hidden="false" customHeight="false" outlineLevel="0" collapsed="false">
      <c r="A28" s="16" t="s">
        <v>113</v>
      </c>
    </row>
    <row r="29" customFormat="false" ht="15" hidden="false" customHeight="false" outlineLevel="0" collapsed="false">
      <c r="A29" s="16" t="s">
        <v>114</v>
      </c>
    </row>
    <row r="31" customFormat="false" ht="15" hidden="false" customHeight="false" outlineLevel="0" collapsed="false">
      <c r="A31" s="28" t="s">
        <v>115</v>
      </c>
    </row>
    <row r="32" customFormat="false" ht="15" hidden="false" customHeight="false" outlineLevel="0" collapsed="false">
      <c r="A32" s="7" t="s">
        <v>116</v>
      </c>
      <c r="B32" s="30" t="n">
        <f aca="false">AVERAGE(B10:F10)</f>
        <v>0.000833008335211553</v>
      </c>
    </row>
    <row r="33" customFormat="false" ht="15" hidden="false" customHeight="false" outlineLevel="0" collapsed="false">
      <c r="A33" s="7" t="s">
        <v>117</v>
      </c>
      <c r="B33" s="30" t="n">
        <f aca="false">STDEV(B10:F10)</f>
        <v>0.00647210976889403</v>
      </c>
    </row>
    <row r="34" customFormat="false" ht="15" hidden="false" customHeight="false" outlineLevel="0" collapsed="false">
      <c r="A34" s="7" t="s">
        <v>118</v>
      </c>
      <c r="B34" s="36" t="n">
        <f aca="false">B32/B33</f>
        <v>0.128707386765151</v>
      </c>
    </row>
    <row r="35" customFormat="false" ht="15" hidden="false" customHeight="false" outlineLevel="0" collapsed="false">
      <c r="A35" s="7" t="s">
        <v>119</v>
      </c>
      <c r="B35" s="36" t="n">
        <f aca="false">(B13-B16)/B14</f>
        <v>0.126758955150231</v>
      </c>
    </row>
    <row r="36" customFormat="false" ht="15" hidden="false" customHeight="false" outlineLevel="0" collapsed="false">
      <c r="A36" s="16" t="s">
        <v>120</v>
      </c>
    </row>
    <row r="38" customFormat="false" ht="15" hidden="false" customHeight="false" outlineLevel="0" collapsed="false">
      <c r="A38" s="28" t="s">
        <v>121</v>
      </c>
    </row>
    <row r="39" customFormat="false" ht="15" hidden="false" customHeight="false" outlineLevel="0" collapsed="false">
      <c r="A39" s="7" t="s">
        <v>122</v>
      </c>
      <c r="B39" s="30" t="n">
        <f aca="false">B14/SQRT(5)</f>
        <v>0.00295196781825277</v>
      </c>
    </row>
    <row r="40" customFormat="false" ht="15" hidden="false" customHeight="false" outlineLevel="0" collapsed="false">
      <c r="A40" s="7" t="s">
        <v>123</v>
      </c>
      <c r="B40" s="36" t="n">
        <f aca="false">B13/B39</f>
        <v>1.25746628301561</v>
      </c>
    </row>
    <row r="41" customFormat="false" ht="15" hidden="false" customHeight="false" outlineLevel="0" collapsed="false">
      <c r="A41" s="7" t="s">
        <v>124</v>
      </c>
      <c r="B41" s="37" t="n">
        <f aca="false">(2/B15)^2</f>
        <v>12.6484496925163</v>
      </c>
    </row>
    <row r="42" customFormat="false" ht="15" hidden="false" customHeight="false" outlineLevel="0" collapsed="false">
      <c r="A42" s="7" t="s">
        <v>125</v>
      </c>
      <c r="B42" s="38" t="n">
        <f aca="false">(2/B17)^2</f>
        <v>251.162350499867</v>
      </c>
    </row>
    <row r="43" customFormat="false" ht="15" hidden="false" customHeight="false" outlineLevel="0" collapsed="false">
      <c r="A43" s="7" t="s">
        <v>126</v>
      </c>
      <c r="B43" s="30" t="n">
        <f aca="false">B23+B25*B21</f>
        <v>0.0508286585000094</v>
      </c>
    </row>
    <row r="44" customFormat="false" ht="15" hidden="false" customHeight="false" outlineLevel="0" collapsed="false">
      <c r="A44" s="7" t="s">
        <v>127</v>
      </c>
      <c r="B44" s="30" t="n">
        <f aca="false">AVERAGE(Attribution!B23:F23)</f>
        <v>0.00103</v>
      </c>
    </row>
    <row r="45" customFormat="false" ht="15" hidden="false" customHeight="false" outlineLevel="0" collapsed="false">
      <c r="A45" s="7" t="s">
        <v>128</v>
      </c>
      <c r="B45" s="30" t="n">
        <f aca="false">STDEV(Attribution!B23:F23)</f>
        <v>0.00235069138765598</v>
      </c>
    </row>
    <row r="46" customFormat="false" ht="15" hidden="false" customHeight="false" outlineLevel="0" collapsed="false">
      <c r="A46" s="7" t="s">
        <v>129</v>
      </c>
      <c r="B46" s="36" t="n">
        <f aca="false">B44/(B45/SQRT(5))</f>
        <v>0.979775579609961</v>
      </c>
    </row>
    <row r="47" customFormat="false" ht="15" hidden="false" customHeight="false" outlineLevel="0" collapsed="false">
      <c r="A47" s="7" t="s">
        <v>130</v>
      </c>
      <c r="B47" s="39" t="n">
        <f aca="false">(1.96*B45/B44)^2</f>
        <v>20.0091631633519</v>
      </c>
    </row>
    <row r="48" customFormat="false" ht="15" hidden="false" customHeight="false" outlineLevel="0" collapsed="false">
      <c r="A48" s="7" t="s">
        <v>131</v>
      </c>
      <c r="B48" s="39" t="n">
        <f aca="false">(1.96*B14/B44)^2</f>
        <v>157.772364701669</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G54"/>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7"/>
    <col collapsed="false" customWidth="true" hidden="false" outlineLevel="0" max="2" min="2" style="0" width="62"/>
    <col collapsed="false" customWidth="true" hidden="false" outlineLevel="0" max="4" min="3" style="0" width="20"/>
    <col collapsed="false" customWidth="true" hidden="false" outlineLevel="0" max="5" min="5" style="0" width="14"/>
    <col collapsed="false" customWidth="true" hidden="false" outlineLevel="0" max="6" min="6" style="0" width="10"/>
    <col collapsed="false" customWidth="true" hidden="false" outlineLevel="0" max="7" min="7" style="0" width="70"/>
  </cols>
  <sheetData>
    <row r="1" customFormat="false" ht="24" hidden="false" customHeight="true" outlineLevel="0" collapsed="false">
      <c r="A1" s="1" t="s">
        <v>132</v>
      </c>
    </row>
    <row r="2" customFormat="false" ht="15" hidden="false" customHeight="false" outlineLevel="0" collapsed="false">
      <c r="A2" s="2" t="s">
        <v>133</v>
      </c>
    </row>
    <row r="3" customFormat="false" ht="15" hidden="false" customHeight="false" outlineLevel="0" collapsed="false">
      <c r="A3" s="40" t="s">
        <v>134</v>
      </c>
      <c r="B3" s="3"/>
      <c r="C3" s="3"/>
      <c r="D3" s="3"/>
      <c r="E3" s="3"/>
      <c r="F3" s="3"/>
    </row>
    <row r="5" customFormat="false" ht="30" hidden="false" customHeight="true" outlineLevel="0" collapsed="false">
      <c r="A5" s="10" t="s">
        <v>135</v>
      </c>
      <c r="B5" s="11" t="s">
        <v>136</v>
      </c>
      <c r="C5" s="11" t="s">
        <v>137</v>
      </c>
      <c r="D5" s="11" t="s">
        <v>138</v>
      </c>
      <c r="E5" s="11" t="s">
        <v>112</v>
      </c>
      <c r="F5" s="11" t="s">
        <v>139</v>
      </c>
      <c r="G5" s="29" t="s">
        <v>140</v>
      </c>
    </row>
    <row r="6" customFormat="false" ht="15" hidden="false" customHeight="false" outlineLevel="0" collapsed="false">
      <c r="A6" s="7" t="s">
        <v>141</v>
      </c>
      <c r="B6" s="7" t="s">
        <v>142</v>
      </c>
      <c r="C6" s="22" t="n">
        <v>0.0064</v>
      </c>
      <c r="D6" s="22" t="n">
        <f aca="false">Attribution!B13</f>
        <v>0.0064</v>
      </c>
      <c r="E6" s="41" t="n">
        <f aca="false">D6-C6</f>
        <v>0</v>
      </c>
      <c r="F6" s="42" t="str">
        <f aca="false">IF(ABS(E6)&lt;=0.0000005,"PASS","FAIL")</f>
        <v>PASS</v>
      </c>
      <c r="G6" s="16" t="s">
        <v>143</v>
      </c>
    </row>
    <row r="7" customFormat="false" ht="15" hidden="false" customHeight="false" outlineLevel="0" collapsed="false">
      <c r="A7" s="43" t="s">
        <v>141</v>
      </c>
      <c r="B7" s="43" t="s">
        <v>144</v>
      </c>
      <c r="C7" s="44" t="n">
        <v>-0.00209</v>
      </c>
      <c r="D7" s="44" t="n">
        <f aca="false">Attribution!C13</f>
        <v>-0.00209</v>
      </c>
      <c r="E7" s="45" t="n">
        <f aca="false">D7-C7</f>
        <v>0</v>
      </c>
      <c r="F7" s="46" t="str">
        <f aca="false">IF(ABS(E7)&lt;=0.0000005,"PASS","FAIL")</f>
        <v>PASS</v>
      </c>
      <c r="G7" s="16" t="s">
        <v>143</v>
      </c>
    </row>
    <row r="8" customFormat="false" ht="15" hidden="false" customHeight="false" outlineLevel="0" collapsed="false">
      <c r="A8" s="7" t="s">
        <v>141</v>
      </c>
      <c r="B8" s="7" t="s">
        <v>145</v>
      </c>
      <c r="C8" s="22" t="n">
        <v>0.00797</v>
      </c>
      <c r="D8" s="22" t="n">
        <f aca="false">Attribution!D13</f>
        <v>0.00797</v>
      </c>
      <c r="E8" s="41" t="n">
        <f aca="false">D8-C8</f>
        <v>0</v>
      </c>
      <c r="F8" s="42" t="str">
        <f aca="false">IF(ABS(E8)&lt;=0.0000005,"PASS","FAIL")</f>
        <v>PASS</v>
      </c>
      <c r="G8" s="16" t="s">
        <v>143</v>
      </c>
    </row>
    <row r="9" customFormat="false" ht="15" hidden="false" customHeight="false" outlineLevel="0" collapsed="false">
      <c r="A9" s="43" t="s">
        <v>141</v>
      </c>
      <c r="B9" s="43" t="s">
        <v>146</v>
      </c>
      <c r="C9" s="44" t="n">
        <v>0.00075</v>
      </c>
      <c r="D9" s="44" t="n">
        <f aca="false">Attribution!E13</f>
        <v>0.000749999999999999</v>
      </c>
      <c r="E9" s="45" t="n">
        <f aca="false">D9-C9</f>
        <v>0</v>
      </c>
      <c r="F9" s="46" t="str">
        <f aca="false">IF(ABS(E9)&lt;=0.0000005,"PASS","FAIL")</f>
        <v>PASS</v>
      </c>
      <c r="G9" s="16" t="s">
        <v>143</v>
      </c>
    </row>
    <row r="10" customFormat="false" ht="15" hidden="false" customHeight="false" outlineLevel="0" collapsed="false">
      <c r="A10" s="7" t="s">
        <v>141</v>
      </c>
      <c r="B10" s="7" t="s">
        <v>147</v>
      </c>
      <c r="C10" s="22" t="n">
        <v>-0.00012</v>
      </c>
      <c r="D10" s="22" t="n">
        <f aca="false">Attribution!F13</f>
        <v>-0.00012</v>
      </c>
      <c r="E10" s="41" t="n">
        <f aca="false">D10-C10</f>
        <v>0</v>
      </c>
      <c r="F10" s="42" t="str">
        <f aca="false">IF(ABS(E10)&lt;=0.0000005,"PASS","FAIL")</f>
        <v>PASS</v>
      </c>
      <c r="G10" s="16" t="s">
        <v>143</v>
      </c>
    </row>
    <row r="11" customFormat="false" ht="15" hidden="false" customHeight="false" outlineLevel="0" collapsed="false">
      <c r="A11" s="43" t="s">
        <v>141</v>
      </c>
      <c r="B11" s="43" t="s">
        <v>148</v>
      </c>
      <c r="C11" s="44" t="n">
        <v>0.00295</v>
      </c>
      <c r="D11" s="44" t="n">
        <f aca="false">Attribution!B23</f>
        <v>0.00294999999999999</v>
      </c>
      <c r="E11" s="45" t="n">
        <f aca="false">D11-C11</f>
        <v>0</v>
      </c>
      <c r="F11" s="46" t="str">
        <f aca="false">IF(ABS(E11)&lt;=0.0000005,"PASS","FAIL")</f>
        <v>PASS</v>
      </c>
      <c r="G11" s="16" t="s">
        <v>143</v>
      </c>
    </row>
    <row r="12" customFormat="false" ht="15" hidden="false" customHeight="false" outlineLevel="0" collapsed="false">
      <c r="A12" s="7" t="s">
        <v>141</v>
      </c>
      <c r="B12" s="7" t="s">
        <v>149</v>
      </c>
      <c r="C12" s="22" t="n">
        <v>0.00355</v>
      </c>
      <c r="D12" s="22" t="n">
        <f aca="false">Attribution!D23</f>
        <v>0.00355</v>
      </c>
      <c r="E12" s="41" t="n">
        <f aca="false">D12-C12</f>
        <v>0</v>
      </c>
      <c r="F12" s="42" t="str">
        <f aca="false">IF(ABS(E12)&lt;=0.0000005,"PASS","FAIL")</f>
        <v>PASS</v>
      </c>
      <c r="G12" s="16" t="s">
        <v>143</v>
      </c>
    </row>
    <row r="13" customFormat="false" ht="15" hidden="false" customHeight="false" outlineLevel="0" collapsed="false">
      <c r="A13" s="43" t="s">
        <v>150</v>
      </c>
      <c r="B13" s="43" t="s">
        <v>151</v>
      </c>
      <c r="C13" s="44" t="n">
        <v>-0.00235</v>
      </c>
      <c r="D13" s="44" t="n">
        <f aca="false">Attribution!E23</f>
        <v>-0.00235</v>
      </c>
      <c r="E13" s="45" t="n">
        <f aca="false">D13-C13</f>
        <v>0</v>
      </c>
      <c r="F13" s="46" t="str">
        <f aca="false">IF(ABS(E13)&lt;=0.0000005,"PASS","FAIL")</f>
        <v>PASS</v>
      </c>
      <c r="G13" s="16" t="s">
        <v>143</v>
      </c>
    </row>
    <row r="14" customFormat="false" ht="15" hidden="false" customHeight="false" outlineLevel="0" collapsed="false">
      <c r="A14" s="7" t="s">
        <v>141</v>
      </c>
      <c r="B14" s="7" t="s">
        <v>152</v>
      </c>
      <c r="C14" s="22" t="n">
        <v>0.00057</v>
      </c>
      <c r="D14" s="22" t="n">
        <f aca="false">Attribution!D33</f>
        <v>0.00057</v>
      </c>
      <c r="E14" s="41" t="n">
        <f aca="false">D14-C14</f>
        <v>0</v>
      </c>
      <c r="F14" s="42" t="str">
        <f aca="false">IF(ABS(E14)&lt;=0.0000005,"PASS","FAIL")</f>
        <v>PASS</v>
      </c>
      <c r="G14" s="16" t="s">
        <v>143</v>
      </c>
    </row>
    <row r="15" customFormat="false" ht="15" hidden="false" customHeight="false" outlineLevel="0" collapsed="false">
      <c r="A15" s="43" t="s">
        <v>141</v>
      </c>
      <c r="B15" s="43" t="s">
        <v>153</v>
      </c>
      <c r="C15" s="44" t="n">
        <v>0.0095</v>
      </c>
      <c r="D15" s="44" t="n">
        <f aca="false">Attribution!B38</f>
        <v>0.00949999999999999</v>
      </c>
      <c r="E15" s="45" t="n">
        <f aca="false">D15-C15</f>
        <v>0</v>
      </c>
      <c r="F15" s="46" t="str">
        <f aca="false">IF(ABS(E15)&lt;=0.0000005,"PASS","FAIL")</f>
        <v>PASS</v>
      </c>
      <c r="G15" s="16" t="s">
        <v>143</v>
      </c>
    </row>
    <row r="16" customFormat="false" ht="15" hidden="false" customHeight="false" outlineLevel="0" collapsed="false">
      <c r="A16" s="7" t="s">
        <v>141</v>
      </c>
      <c r="B16" s="7" t="s">
        <v>154</v>
      </c>
      <c r="C16" s="22" t="n">
        <v>0.01209</v>
      </c>
      <c r="D16" s="22" t="n">
        <f aca="false">Attribution!D38</f>
        <v>0.01209</v>
      </c>
      <c r="E16" s="41" t="n">
        <f aca="false">D16-C16</f>
        <v>0</v>
      </c>
      <c r="F16" s="42" t="str">
        <f aca="false">IF(ABS(E16)&lt;=0.0000005,"PASS","FAIL")</f>
        <v>PASS</v>
      </c>
      <c r="G16" s="16" t="s">
        <v>143</v>
      </c>
    </row>
    <row r="17" customFormat="false" ht="15" hidden="false" customHeight="false" outlineLevel="0" collapsed="false">
      <c r="A17" s="43" t="s">
        <v>141</v>
      </c>
      <c r="B17" s="43" t="s">
        <v>155</v>
      </c>
      <c r="C17" s="44" t="n">
        <v>0.00056</v>
      </c>
      <c r="D17" s="44" t="n">
        <f aca="false">Attribution!F38</f>
        <v>0.000559999999999999</v>
      </c>
      <c r="E17" s="45" t="n">
        <f aca="false">D17-C17</f>
        <v>0</v>
      </c>
      <c r="F17" s="46" t="str">
        <f aca="false">IF(ABS(E17)&lt;=0.0000005,"PASS","FAIL")</f>
        <v>PASS</v>
      </c>
      <c r="G17" s="16" t="s">
        <v>143</v>
      </c>
    </row>
    <row r="18" customFormat="false" ht="15" hidden="false" customHeight="false" outlineLevel="0" collapsed="false">
      <c r="A18" s="7" t="s">
        <v>141</v>
      </c>
      <c r="B18" s="7" t="s">
        <v>156</v>
      </c>
      <c r="C18" s="24" t="n">
        <v>0</v>
      </c>
      <c r="D18" s="24" t="n">
        <f aca="false">Attribution!D40</f>
        <v>0</v>
      </c>
      <c r="E18" s="41" t="n">
        <f aca="false">D18-C18</f>
        <v>0</v>
      </c>
      <c r="F18" s="42" t="str">
        <f aca="false">IF(ABS(E18)&lt;=0.000000001,"PASS","FAIL")</f>
        <v>PASS</v>
      </c>
      <c r="G18" s="16" t="s">
        <v>157</v>
      </c>
    </row>
    <row r="19" customFormat="false" ht="15" hidden="false" customHeight="false" outlineLevel="0" collapsed="false">
      <c r="A19" s="43" t="s">
        <v>158</v>
      </c>
      <c r="B19" s="43" t="s">
        <v>67</v>
      </c>
      <c r="C19" s="44" t="n">
        <v>0.002582</v>
      </c>
      <c r="D19" s="44" t="n">
        <f aca="false">Attribution!B44</f>
        <v>0.002582</v>
      </c>
      <c r="E19" s="45" t="n">
        <f aca="false">D19-C19</f>
        <v>0</v>
      </c>
      <c r="F19" s="46" t="str">
        <f aca="false">IF(ABS(E19)&lt;=0.0000005,"PASS","FAIL")</f>
        <v>PASS</v>
      </c>
      <c r="G19" s="16" t="s">
        <v>143</v>
      </c>
    </row>
    <row r="20" customFormat="false" ht="15" hidden="false" customHeight="false" outlineLevel="0" collapsed="false">
      <c r="A20" s="7" t="s">
        <v>150</v>
      </c>
      <c r="B20" s="7" t="s">
        <v>68</v>
      </c>
      <c r="C20" s="22" t="n">
        <v>0.00103</v>
      </c>
      <c r="D20" s="22" t="n">
        <f aca="false">Attribution!B45</f>
        <v>0.00103</v>
      </c>
      <c r="E20" s="41" t="n">
        <f aca="false">D20-C20</f>
        <v>0</v>
      </c>
      <c r="F20" s="42" t="str">
        <f aca="false">IF(ABS(E20)&lt;=0.0000005,"PASS","FAIL")</f>
        <v>PASS</v>
      </c>
      <c r="G20" s="16" t="s">
        <v>143</v>
      </c>
    </row>
    <row r="21" customFormat="false" ht="15" hidden="false" customHeight="false" outlineLevel="0" collapsed="false">
      <c r="A21" s="43" t="s">
        <v>141</v>
      </c>
      <c r="B21" s="43" t="s">
        <v>69</v>
      </c>
      <c r="C21" s="44" t="n">
        <v>0.0001</v>
      </c>
      <c r="D21" s="44" t="n">
        <f aca="false">Attribution!B46</f>
        <v>9.99999999999999E-005</v>
      </c>
      <c r="E21" s="45" t="n">
        <f aca="false">D21-C21</f>
        <v>0</v>
      </c>
      <c r="F21" s="46" t="str">
        <f aca="false">IF(ABS(E21)&lt;=0.0000005,"PASS","FAIL")</f>
        <v>PASS</v>
      </c>
      <c r="G21" s="16" t="s">
        <v>143</v>
      </c>
    </row>
    <row r="22" customFormat="false" ht="15" hidden="false" customHeight="false" outlineLevel="0" collapsed="false">
      <c r="A22" s="7" t="s">
        <v>141</v>
      </c>
      <c r="B22" s="7" t="s">
        <v>70</v>
      </c>
      <c r="C22" s="22" t="n">
        <v>0.003712</v>
      </c>
      <c r="D22" s="22" t="n">
        <f aca="false">Attribution!B47</f>
        <v>0.003712</v>
      </c>
      <c r="E22" s="41" t="n">
        <f aca="false">D22-C22</f>
        <v>0</v>
      </c>
      <c r="F22" s="42" t="str">
        <f aca="false">IF(ABS(E22)&lt;=0.0000005,"PASS","FAIL")</f>
        <v>PASS</v>
      </c>
      <c r="G22" s="16" t="s">
        <v>143</v>
      </c>
    </row>
    <row r="23" customFormat="false" ht="15" hidden="false" customHeight="false" outlineLevel="0" collapsed="false">
      <c r="A23" s="43" t="s">
        <v>141</v>
      </c>
      <c r="B23" s="43" t="s">
        <v>71</v>
      </c>
      <c r="C23" s="44" t="n">
        <v>0.003432</v>
      </c>
      <c r="D23" s="44" t="n">
        <f aca="false">Attribution!B48</f>
        <v>0.00343157159818963</v>
      </c>
      <c r="E23" s="45" t="n">
        <f aca="false">D23-C23</f>
        <v>-4.28401810369065E-007</v>
      </c>
      <c r="F23" s="46" t="str">
        <f aca="false">IF(ABS(E23)&lt;=0.0000005,"PASS","FAIL")</f>
        <v>PASS</v>
      </c>
      <c r="G23" s="16" t="s">
        <v>143</v>
      </c>
    </row>
    <row r="24" customFormat="false" ht="15" hidden="false" customHeight="false" outlineLevel="0" collapsed="false">
      <c r="A24" s="7" t="s">
        <v>141</v>
      </c>
      <c r="B24" s="7" t="s">
        <v>72</v>
      </c>
      <c r="C24" s="22" t="n">
        <v>0.00028</v>
      </c>
      <c r="D24" s="22" t="n">
        <f aca="false">Attribution!B49</f>
        <v>0.000280428401810367</v>
      </c>
      <c r="E24" s="41" t="n">
        <f aca="false">D24-C24</f>
        <v>4.28401810366789E-007</v>
      </c>
      <c r="F24" s="42" t="str">
        <f aca="false">IF(ABS(E24)&lt;=0.0000005,"PASS","FAIL")</f>
        <v>PASS</v>
      </c>
      <c r="G24" s="16" t="s">
        <v>143</v>
      </c>
    </row>
    <row r="25" customFormat="false" ht="15" hidden="false" customHeight="false" outlineLevel="0" collapsed="false">
      <c r="A25" s="43" t="s">
        <v>158</v>
      </c>
      <c r="B25" s="43" t="s">
        <v>159</v>
      </c>
      <c r="C25" s="47" t="n">
        <v>0.696</v>
      </c>
      <c r="D25" s="47" t="n">
        <f aca="false">Attribution!B50</f>
        <v>0.695581896551724</v>
      </c>
      <c r="E25" s="45" t="n">
        <f aca="false">D25-C25</f>
        <v>-0.000418103448275753</v>
      </c>
      <c r="F25" s="46" t="str">
        <f aca="false">IF(ABS(E25)&lt;=0.0005,"PASS","FAIL")</f>
        <v>PASS</v>
      </c>
      <c r="G25" s="16" t="s">
        <v>160</v>
      </c>
    </row>
    <row r="26" customFormat="false" ht="15" hidden="false" customHeight="false" outlineLevel="0" collapsed="false">
      <c r="A26" s="7" t="s">
        <v>158</v>
      </c>
      <c r="B26" s="7" t="s">
        <v>161</v>
      </c>
      <c r="C26" s="25" t="n">
        <v>0.277</v>
      </c>
      <c r="D26" s="25" t="n">
        <f aca="false">Attribution!B51</f>
        <v>0.277478448275862</v>
      </c>
      <c r="E26" s="41" t="n">
        <f aca="false">D26-C26</f>
        <v>0.00047844827586202</v>
      </c>
      <c r="F26" s="42" t="str">
        <f aca="false">IF(ABS(E26)&lt;=0.0005,"PASS","FAIL")</f>
        <v>PASS</v>
      </c>
      <c r="G26" s="16" t="s">
        <v>160</v>
      </c>
    </row>
    <row r="27" customFormat="false" ht="15" hidden="false" customHeight="false" outlineLevel="0" collapsed="false">
      <c r="A27" s="43" t="s">
        <v>162</v>
      </c>
      <c r="B27" s="43" t="s">
        <v>163</v>
      </c>
      <c r="C27" s="44" t="n">
        <v>0.006601</v>
      </c>
      <c r="D27" s="44" t="n">
        <f aca="false">Risk!B14</f>
        <v>0.00660080070900494</v>
      </c>
      <c r="E27" s="45" t="n">
        <f aca="false">D27-C27</f>
        <v>-1.99290995061586E-007</v>
      </c>
      <c r="F27" s="46" t="str">
        <f aca="false">IF(ABS(E27)&lt;=0.0000005,"PASS","FAIL")</f>
        <v>PASS</v>
      </c>
      <c r="G27" s="16" t="s">
        <v>143</v>
      </c>
    </row>
    <row r="28" customFormat="false" ht="15" hidden="false" customHeight="false" outlineLevel="0" collapsed="false">
      <c r="A28" s="7" t="s">
        <v>162</v>
      </c>
      <c r="B28" s="7" t="s">
        <v>103</v>
      </c>
      <c r="C28" s="36" t="n">
        <v>0.5624</v>
      </c>
      <c r="D28" s="36" t="n">
        <f aca="false">Risk!B15</f>
        <v>0.562356017647378</v>
      </c>
      <c r="E28" s="41" t="n">
        <f aca="false">D28-C28</f>
        <v>-4.39823526222627E-005</v>
      </c>
      <c r="F28" s="42" t="str">
        <f aca="false">IF(ABS(E28)&lt;=0.00005,"PASS","FAIL")</f>
        <v>PASS</v>
      </c>
      <c r="G28" s="16" t="s">
        <v>164</v>
      </c>
    </row>
    <row r="29" customFormat="false" ht="15" hidden="false" customHeight="false" outlineLevel="0" collapsed="false">
      <c r="A29" s="43" t="s">
        <v>162</v>
      </c>
      <c r="B29" s="43" t="s">
        <v>165</v>
      </c>
      <c r="C29" s="48" t="n">
        <v>0.1262</v>
      </c>
      <c r="D29" s="48" t="n">
        <f aca="false">Risk!B17</f>
        <v>0.126198073829914</v>
      </c>
      <c r="E29" s="45" t="n">
        <f aca="false">D29-C29</f>
        <v>-1.92617008620832E-006</v>
      </c>
      <c r="F29" s="46" t="str">
        <f aca="false">IF(ABS(E29)&lt;=0.00005,"PASS","FAIL")</f>
        <v>PASS</v>
      </c>
      <c r="G29" s="16" t="s">
        <v>166</v>
      </c>
    </row>
    <row r="30" customFormat="false" ht="15" hidden="false" customHeight="false" outlineLevel="0" collapsed="false">
      <c r="A30" s="7" t="s">
        <v>162</v>
      </c>
      <c r="B30" s="7" t="s">
        <v>167</v>
      </c>
      <c r="C30" s="22" t="n">
        <v>0.07304</v>
      </c>
      <c r="D30" s="22" t="n">
        <f aca="false">Risk!B21</f>
        <v>0.0730395067735844</v>
      </c>
      <c r="E30" s="41" t="n">
        <f aca="false">D30-C30</f>
        <v>-4.93226415640424E-007</v>
      </c>
      <c r="F30" s="42" t="str">
        <f aca="false">IF(ABS(E30)&lt;=0.0000005,"PASS","FAIL")</f>
        <v>PASS</v>
      </c>
      <c r="G30" s="16" t="s">
        <v>143</v>
      </c>
    </row>
    <row r="31" customFormat="false" ht="15" hidden="false" customHeight="false" outlineLevel="0" collapsed="false">
      <c r="A31" s="43" t="s">
        <v>162</v>
      </c>
      <c r="B31" s="43" t="s">
        <v>108</v>
      </c>
      <c r="C31" s="44" t="n">
        <v>0.067918</v>
      </c>
      <c r="D31" s="44" t="n">
        <f aca="false">Risk!B22</f>
        <v>0.0679180259577677</v>
      </c>
      <c r="E31" s="45" t="n">
        <f aca="false">D31-C31</f>
        <v>2.59577676436917E-008</v>
      </c>
      <c r="F31" s="46" t="str">
        <f aca="false">IF(ABS(E31)&lt;=0.0000005,"PASS","FAIL")</f>
        <v>PASS</v>
      </c>
      <c r="G31" s="16" t="s">
        <v>143</v>
      </c>
    </row>
    <row r="32" customFormat="false" ht="15" hidden="false" customHeight="false" outlineLevel="0" collapsed="false">
      <c r="A32" s="7" t="s">
        <v>162</v>
      </c>
      <c r="B32" s="7" t="s">
        <v>168</v>
      </c>
      <c r="C32" s="36" t="n">
        <v>0.2944</v>
      </c>
      <c r="D32" s="36" t="n">
        <f aca="false">Risk!B24</f>
        <v>0.294402430753932</v>
      </c>
      <c r="E32" s="41" t="n">
        <f aca="false">D32-C32</f>
        <v>2.43075393241421E-006</v>
      </c>
      <c r="F32" s="42" t="str">
        <f aca="false">IF(ABS(E32)&lt;=0.00005,"PASS","FAIL")</f>
        <v>PASS</v>
      </c>
      <c r="G32" s="16" t="s">
        <v>164</v>
      </c>
    </row>
    <row r="33" customFormat="false" ht="15" hidden="false" customHeight="false" outlineLevel="0" collapsed="false">
      <c r="A33" s="43" t="s">
        <v>162</v>
      </c>
      <c r="B33" s="43" t="s">
        <v>111</v>
      </c>
      <c r="C33" s="48" t="n">
        <v>0.3043</v>
      </c>
      <c r="D33" s="48" t="n">
        <f aca="false">Risk!B25</f>
        <v>0.304337467241066</v>
      </c>
      <c r="E33" s="45" t="n">
        <f aca="false">D33-C33</f>
        <v>3.74672410661248E-005</v>
      </c>
      <c r="F33" s="46" t="str">
        <f aca="false">IF(ABS(E33)&lt;=0.00005,"PASS","FAIL")</f>
        <v>PASS</v>
      </c>
      <c r="G33" s="16" t="s">
        <v>164</v>
      </c>
    </row>
    <row r="34" customFormat="false" ht="15" hidden="false" customHeight="false" outlineLevel="0" collapsed="false">
      <c r="A34" s="7" t="s">
        <v>162</v>
      </c>
      <c r="B34" s="7" t="s">
        <v>169</v>
      </c>
      <c r="C34" s="36" t="n">
        <v>-0.0099</v>
      </c>
      <c r="D34" s="36" t="n">
        <f aca="false">Risk!B26</f>
        <v>-0.00993503648713373</v>
      </c>
      <c r="E34" s="41" t="n">
        <f aca="false">D34-C34</f>
        <v>-3.50364871337296E-005</v>
      </c>
      <c r="F34" s="42" t="str">
        <f aca="false">IF(ABS(E34)&lt;=0.00005,"PASS","FAIL")</f>
        <v>PASS</v>
      </c>
      <c r="G34" s="16" t="s">
        <v>164</v>
      </c>
    </row>
    <row r="35" customFormat="false" ht="15" hidden="false" customHeight="false" outlineLevel="0" collapsed="false">
      <c r="A35" s="7" t="n">
        <v>11</v>
      </c>
      <c r="B35" s="7" t="s">
        <v>116</v>
      </c>
      <c r="C35" s="30" t="n">
        <v>0.000833</v>
      </c>
      <c r="D35" s="30" t="n">
        <f aca="false">Risk!B32</f>
        <v>0.000833008335211553</v>
      </c>
      <c r="E35" s="41" t="n">
        <f aca="false">D35-C35</f>
        <v>8.33521155265207E-009</v>
      </c>
      <c r="F35" s="42" t="str">
        <f aca="false">IF(ABS(E35)&lt;=0.0000005,"PASS","FAIL")</f>
        <v>PASS</v>
      </c>
      <c r="G35" s="16" t="s">
        <v>170</v>
      </c>
    </row>
    <row r="36" customFormat="false" ht="15" hidden="false" customHeight="false" outlineLevel="0" collapsed="false">
      <c r="A36" s="7" t="n">
        <v>11</v>
      </c>
      <c r="B36" s="7" t="s">
        <v>122</v>
      </c>
      <c r="C36" s="30" t="n">
        <v>0.002952</v>
      </c>
      <c r="D36" s="30" t="n">
        <f aca="false">Risk!B39</f>
        <v>0.00295196781825277</v>
      </c>
      <c r="E36" s="41" t="n">
        <f aca="false">D36-C36</f>
        <v>-3.21817472301832E-008</v>
      </c>
      <c r="F36" s="42" t="str">
        <f aca="false">IF(ABS(E36)&lt;=0.0000005,"PASS","FAIL")</f>
        <v>PASS</v>
      </c>
      <c r="G36" s="16" t="s">
        <v>143</v>
      </c>
    </row>
    <row r="37" customFormat="false" ht="15" hidden="false" customHeight="false" outlineLevel="0" collapsed="false">
      <c r="A37" s="7" t="n">
        <v>11</v>
      </c>
      <c r="B37" s="7" t="s">
        <v>171</v>
      </c>
      <c r="C37" s="36" t="n">
        <v>1.2575</v>
      </c>
      <c r="D37" s="36" t="n">
        <f aca="false">Risk!B40</f>
        <v>1.25746628301561</v>
      </c>
      <c r="E37" s="41" t="n">
        <f aca="false">D37-C37</f>
        <v>-3.37169843920293E-005</v>
      </c>
      <c r="F37" s="42" t="str">
        <f aca="false">IF(ABS(E37)&lt;=0.00005,"PASS","FAIL")</f>
        <v>PASS</v>
      </c>
      <c r="G37" s="16" t="s">
        <v>164</v>
      </c>
    </row>
    <row r="38" customFormat="false" ht="15" hidden="false" customHeight="false" outlineLevel="0" collapsed="false">
      <c r="A38" s="7" t="n">
        <v>11</v>
      </c>
      <c r="B38" s="7" t="s">
        <v>124</v>
      </c>
      <c r="C38" s="37" t="n">
        <v>12.65</v>
      </c>
      <c r="D38" s="37" t="n">
        <f aca="false">Risk!B41</f>
        <v>12.6484496925163</v>
      </c>
      <c r="E38" s="41" t="n">
        <f aca="false">D38-C38</f>
        <v>-0.00155030748365625</v>
      </c>
      <c r="F38" s="42" t="str">
        <f aca="false">IF(ABS(E38)&lt;=0.005,"PASS","FAIL")</f>
        <v>PASS</v>
      </c>
      <c r="G38" s="16" t="s">
        <v>172</v>
      </c>
    </row>
    <row r="39" customFormat="false" ht="15" hidden="false" customHeight="false" outlineLevel="0" collapsed="false">
      <c r="A39" s="7" t="n">
        <v>11</v>
      </c>
      <c r="B39" s="7" t="s">
        <v>125</v>
      </c>
      <c r="C39" s="37" t="n">
        <v>251.16</v>
      </c>
      <c r="D39" s="37" t="n">
        <f aca="false">Risk!B42</f>
        <v>251.162350499867</v>
      </c>
      <c r="E39" s="41" t="n">
        <f aca="false">D39-C39</f>
        <v>0.00235049986739</v>
      </c>
      <c r="F39" s="42" t="str">
        <f aca="false">IF(ABS(E39)&lt;=0.005,"PASS","FAIL")</f>
        <v>PASS</v>
      </c>
      <c r="G39" s="16" t="s">
        <v>173</v>
      </c>
    </row>
    <row r="40" customFormat="false" ht="15" hidden="false" customHeight="false" outlineLevel="0" collapsed="false">
      <c r="A40" s="7" t="n">
        <v>11</v>
      </c>
      <c r="B40" s="7" t="s">
        <v>174</v>
      </c>
      <c r="C40" s="30" t="n">
        <v>0.050829</v>
      </c>
      <c r="D40" s="30" t="n">
        <f aca="false">Risk!B43</f>
        <v>0.0508286585000094</v>
      </c>
      <c r="E40" s="41" t="n">
        <f aca="false">D40-C40</f>
        <v>-3.41499990640093E-007</v>
      </c>
      <c r="F40" s="42" t="str">
        <f aca="false">IF(ABS(E40)&lt;=0.00005,"PASS","FAIL")</f>
        <v>PASS</v>
      </c>
      <c r="G40" s="16" t="s">
        <v>164</v>
      </c>
    </row>
    <row r="41" customFormat="false" ht="15" hidden="false" customHeight="false" outlineLevel="0" collapsed="false">
      <c r="A41" s="7" t="n">
        <v>10</v>
      </c>
      <c r="B41" s="7" t="s">
        <v>128</v>
      </c>
      <c r="C41" s="30" t="n">
        <v>0.002351</v>
      </c>
      <c r="D41" s="30" t="n">
        <f aca="false">Risk!B45</f>
        <v>0.00235069138765598</v>
      </c>
      <c r="E41" s="41" t="n">
        <f aca="false">D41-C41</f>
        <v>-3.08612344019753E-007</v>
      </c>
      <c r="F41" s="42" t="str">
        <f aca="false">IF(ABS(E41)&lt;=0.0000005,"PASS","FAIL")</f>
        <v>PASS</v>
      </c>
      <c r="G41" s="16" t="s">
        <v>143</v>
      </c>
    </row>
    <row r="42" customFormat="false" ht="15" hidden="false" customHeight="false" outlineLevel="0" collapsed="false">
      <c r="A42" s="7" t="n">
        <v>10</v>
      </c>
      <c r="B42" s="7" t="s">
        <v>129</v>
      </c>
      <c r="C42" s="36" t="n">
        <v>0.9798</v>
      </c>
      <c r="D42" s="36" t="n">
        <f aca="false">Risk!B46</f>
        <v>0.979775579609961</v>
      </c>
      <c r="E42" s="41" t="n">
        <f aca="false">D42-C42</f>
        <v>-2.4420390038804E-005</v>
      </c>
      <c r="F42" s="42" t="str">
        <f aca="false">IF(ABS(E42)&lt;=0.00005,"PASS","FAIL")</f>
        <v>PASS</v>
      </c>
      <c r="G42" s="16" t="s">
        <v>164</v>
      </c>
    </row>
    <row r="43" customFormat="false" ht="15" hidden="false" customHeight="false" outlineLevel="0" collapsed="false">
      <c r="A43" s="7" t="n">
        <v>10</v>
      </c>
      <c r="B43" s="7" t="s">
        <v>175</v>
      </c>
      <c r="C43" s="39" t="n">
        <v>20</v>
      </c>
      <c r="D43" s="39" t="n">
        <f aca="false">Risk!B47</f>
        <v>20.0091631633519</v>
      </c>
      <c r="E43" s="41" t="n">
        <f aca="false">D43-C43</f>
        <v>0.00916316335188583</v>
      </c>
      <c r="F43" s="42" t="str">
        <f aca="false">IF(ABS(E43)&lt;=0.05,"PASS","FAIL")</f>
        <v>PASS</v>
      </c>
      <c r="G43" s="16" t="s">
        <v>176</v>
      </c>
    </row>
    <row r="44" customFormat="false" ht="15" hidden="false" customHeight="false" outlineLevel="0" collapsed="false">
      <c r="A44" s="7" t="n">
        <v>3</v>
      </c>
      <c r="B44" s="7" t="s">
        <v>177</v>
      </c>
      <c r="C44" s="22" t="n">
        <v>0.484848</v>
      </c>
      <c r="D44" s="22" t="n">
        <f aca="false">'Benchmark choices'!C6</f>
        <v>0.484848484848485</v>
      </c>
      <c r="E44" s="41" t="n">
        <f aca="false">D44-C44</f>
        <v>4.84848484805234E-007</v>
      </c>
      <c r="F44" s="42" t="str">
        <f aca="false">IF(ABS(E44)&lt;=0.0000005,"PASS","FAIL")</f>
        <v>PASS</v>
      </c>
      <c r="G44" s="16" t="s">
        <v>143</v>
      </c>
    </row>
    <row r="45" customFormat="false" ht="15" hidden="false" customHeight="false" outlineLevel="0" collapsed="false">
      <c r="A45" s="7" t="n">
        <v>3</v>
      </c>
      <c r="B45" s="7" t="s">
        <v>178</v>
      </c>
      <c r="C45" s="30" t="n">
        <v>-0.06256</v>
      </c>
      <c r="D45" s="30" t="n">
        <f aca="false">'Benchmark choices'!B12</f>
        <v>-0.0625597870597871</v>
      </c>
      <c r="E45" s="41" t="n">
        <f aca="false">D45-C45</f>
        <v>2.12940212948598E-007</v>
      </c>
      <c r="F45" s="42" t="str">
        <f aca="false">IF(ABS(E45)&lt;=0.0000005,"PASS","FAIL")</f>
        <v>PASS</v>
      </c>
      <c r="G45" s="16" t="s">
        <v>143</v>
      </c>
    </row>
    <row r="46" customFormat="false" ht="15" hidden="false" customHeight="false" outlineLevel="0" collapsed="false">
      <c r="A46" s="7" t="n">
        <v>3</v>
      </c>
      <c r="B46" s="7" t="s">
        <v>179</v>
      </c>
      <c r="C46" s="30" t="n">
        <v>0.00501</v>
      </c>
      <c r="D46" s="30" t="n">
        <f aca="false">'Benchmark choices'!B14</f>
        <v>0.00500978705978706</v>
      </c>
      <c r="E46" s="41" t="n">
        <f aca="false">D46-C46</f>
        <v>-2.12940212940792E-007</v>
      </c>
      <c r="F46" s="42" t="str">
        <f aca="false">IF(ABS(E46)&lt;=0.0000005,"PASS","FAIL")</f>
        <v>PASS</v>
      </c>
      <c r="G46" s="16" t="s">
        <v>143</v>
      </c>
    </row>
    <row r="47" customFormat="false" ht="15" hidden="false" customHeight="false" outlineLevel="0" collapsed="false">
      <c r="A47" s="7" t="n">
        <v>3</v>
      </c>
      <c r="B47" s="7" t="s">
        <v>180</v>
      </c>
      <c r="C47" s="30" t="n">
        <v>0.0098</v>
      </c>
      <c r="D47" s="30" t="n">
        <f aca="false">'Benchmark choices'!B21</f>
        <v>0.0098</v>
      </c>
      <c r="E47" s="41" t="n">
        <f aca="false">D47-C47</f>
        <v>0</v>
      </c>
      <c r="F47" s="42" t="str">
        <f aca="false">IF(ABS(E47)&lt;=0.0000005,"PASS","FAIL")</f>
        <v>PASS</v>
      </c>
      <c r="G47" s="16" t="s">
        <v>143</v>
      </c>
    </row>
    <row r="48" customFormat="false" ht="15" hidden="false" customHeight="false" outlineLevel="0" collapsed="false">
      <c r="A48" s="7" t="n">
        <v>3</v>
      </c>
      <c r="B48" s="7" t="s">
        <v>181</v>
      </c>
      <c r="C48" s="30" t="n">
        <v>0.00755</v>
      </c>
      <c r="D48" s="30" t="n">
        <f aca="false">'Benchmark choices'!D21</f>
        <v>0.00755</v>
      </c>
      <c r="E48" s="41" t="n">
        <f aca="false">D48-C48</f>
        <v>0</v>
      </c>
      <c r="F48" s="42" t="str">
        <f aca="false">IF(ABS(E48)&lt;=0.0000005,"PASS","FAIL")</f>
        <v>PASS</v>
      </c>
      <c r="G48" s="16" t="s">
        <v>143</v>
      </c>
    </row>
    <row r="49" customFormat="false" ht="15" hidden="false" customHeight="false" outlineLevel="0" collapsed="false">
      <c r="A49" s="7" t="n">
        <v>3</v>
      </c>
      <c r="B49" s="7" t="s">
        <v>182</v>
      </c>
      <c r="C49" s="33" t="n">
        <v>3</v>
      </c>
      <c r="D49" s="33" t="n">
        <f aca="false">'Benchmark choices'!B27</f>
        <v>3</v>
      </c>
      <c r="E49" s="41" t="n">
        <f aca="false">D49-C49</f>
        <v>0</v>
      </c>
      <c r="F49" s="42" t="str">
        <f aca="false">IF(ABS(E49)&lt;=0,"PASS","FAIL")</f>
        <v>PASS</v>
      </c>
      <c r="G49" s="16" t="s">
        <v>183</v>
      </c>
    </row>
    <row r="50" customFormat="false" ht="15" hidden="false" customHeight="false" outlineLevel="0" collapsed="false">
      <c r="A50" s="7" t="n">
        <v>2</v>
      </c>
      <c r="B50" s="7" t="s">
        <v>184</v>
      </c>
      <c r="C50" s="30" t="n">
        <v>0.00755</v>
      </c>
      <c r="D50" s="30" t="n">
        <f aca="false">Attribution!D8+Attribution!D9</f>
        <v>0.00755</v>
      </c>
      <c r="E50" s="41" t="n">
        <f aca="false">D50-C50</f>
        <v>0</v>
      </c>
      <c r="F50" s="42" t="str">
        <f aca="false">IF(ABS(E50)&lt;=0.0000005,"PASS","FAIL")</f>
        <v>PASS</v>
      </c>
      <c r="G50" s="16" t="s">
        <v>143</v>
      </c>
    </row>
    <row r="52" customFormat="false" ht="15" hidden="false" customHeight="false" outlineLevel="0" collapsed="false">
      <c r="B52" s="14" t="s">
        <v>185</v>
      </c>
      <c r="C52" s="34" t="n">
        <f aca="false">COUNTIF(F6:F50,"PASS")</f>
        <v>45</v>
      </c>
    </row>
    <row r="53" customFormat="false" ht="15" hidden="false" customHeight="false" outlineLevel="0" collapsed="false">
      <c r="B53" s="14" t="s">
        <v>186</v>
      </c>
      <c r="C53" s="34" t="n">
        <f aca="false">COUNTIF(F6:F50,"FAIL")</f>
        <v>0</v>
      </c>
    </row>
    <row r="54" customFormat="false" ht="15" hidden="false" customHeight="false" outlineLevel="0" collapsed="false">
      <c r="B54" s="14" t="s">
        <v>187</v>
      </c>
      <c r="C54" s="14" t="str">
        <f aca="false">IF(C52=45,"ALL OK","SOME FAIL")</f>
        <v>ALL OK</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2026-08-29T01:40:55Z</dcterms:created>
  <dc:creator>openpyxl</dc:creator>
  <dc:description/>
  <dc:language>en-US</dc:language>
  <cp:lastModifiedBy/>
  <dcterms:modified xsi:type="dcterms:W3CDTF">2026-09-24T01:11:40Z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