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1. Capital intensity" sheetId="2" state="visible" r:id="rId4"/>
    <sheet name="2. Height" sheetId="3" state="visible" r:id="rId5"/>
    <sheet name="3. Site coverage" sheetId="4" state="visible" r:id="rId6"/>
    <sheet name="4. Two sites" sheetId="5" state="visible" r:id="rId7"/>
    <sheet name="5. Occupier cost" sheetId="6" state="visible" r:id="rId8"/>
    <sheet name="6. Renewal" sheetId="7" state="visible" r:id="rId9"/>
    <sheet name="7. Urban" sheetId="8" state="visible" r:id="rId10"/>
    <sheet name="8. Cold storage" sheetId="9" state="visible" r:id="rId11"/>
    <sheet name="9. Rent review" sheetId="10" state="visible" r:id="rId12"/>
    <sheet name="10. Income" sheetId="11" state="visible" r:id="rId13"/>
    <sheet name="11. Land residual" sheetId="12" state="visible" r:id="rId14"/>
    <sheet name="12. Cost and delay" sheetId="13" state="visible" r:id="rId15"/>
    <sheet name="13. Spec or pre-let" sheetId="14" state="visible" r:id="rId16"/>
    <sheet name="14. Yields" sheetId="15" state="visible" r:id="rId17"/>
    <sheet name="15. Ageing asset" sheetId="16" state="visible" r:id="rId18"/>
    <sheet name="16. Roof" sheetId="17" state="visible" r:id="rId19"/>
    <sheet name="17. Net income" sheetId="18" state="visible" r:id="rId20"/>
    <sheet name="18. Exit timing" sheetId="19" state="visible" r:id="rId21"/>
    <sheet name="Checks" sheetId="20" state="visible" r:id="rId2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<sst xmlns="http://schemas.openxmlformats.org/spreadsheetml/2006/main" count="1828" uniqueCount="997">
  <si>
    <t xml:space="preserve">Logistics and Industrial Real Estate — Workbook 5 of 5</t>
  </si>
  <si>
    <t xml:space="preserve">The eighteen chapters, worked: every figure the chapters print, as a live formula</t>
  </si>
  <si>
    <t xml:space="preserve">Julian R. Sterling · julianrsterling.com/logistics</t>
  </si>
  <si>
    <t xml:space="preserve">Why this workbook exists</t>
  </si>
  <si>
    <t xml:space="preserve">The book says that every figure it prints is reproduced by a live formula. The first four workbooks carry the appendices; the chapters' own worked examples were not in them. They are here, one sheet per chapter, in the order of the book, each with the chapter's inputs in blue on yellow.</t>
  </si>
  <si>
    <t xml:space="preserve">What the checks sheet shows</t>
  </si>
  <si>
    <t xml:space="preserve">Each line sets the figure as the book prints it beside the figure this workbook computes, with a tolerance set to the precision the book prints. "reproduced" means it matches; "rounding" means the book rounded an intermediate and carried it forward; "corrected" means the book is wrong, and the column "Should read" gives the figure it should print.</t>
  </si>
  <si>
    <t xml:space="preserve">The four corrections that change a conclusion</t>
  </si>
  <si>
    <t xml:space="preserve">Chapter 4: moving the barrier weighting from 30 to 15 does not change the investor's answer; Ashford Point still leads by 60 in the best case for Kelbrook. Chapter 16: the roof recovering is due in year twelve with or without the array, so only the strip-and-refit belongs to the contract; the roof lease is worth 1,642,567, not 887,748. Chapter 18: the renewal's rent-free is counted twice; waiting is worth 1,586,047 more in expectation, not 816,013. Chapter 12: the contingency absorbed all of the ground and provisional-sum overrun, not most of it.</t>
  </si>
  <si>
    <t xml:space="preserve">Conventions</t>
  </si>
  <si>
    <t xml:space="preserve">Blue is an input; yellow marks the inputs that carry the answer. Black is a formula. Income is taken annually in arrears unless the chapter says otherwise. Where the book rounds an intermediate and carries it, this workbook does the same and says so.</t>
  </si>
  <si>
    <t xml:space="preserve">Provided for education. Not investment advice.</t>
  </si>
  <si>
    <t xml:space="preserve">Chapter 1. The same headline rent, two buildings, and how much of it survives</t>
  </si>
  <si>
    <t xml:space="preserve">Blue on yellow is an input. Black is a formula.</t>
  </si>
  <si>
    <t xml:space="preserve">THE TWO ASSETS, OVER A TEN-YEAR HOLD</t>
  </si>
  <si>
    <t xml:space="preserve">Headline rent, each asset, a year</t>
  </si>
  <si>
    <t xml:space="preserve">Hold, years</t>
  </si>
  <si>
    <t xml:space="preserve">Yield on net income, for illustration</t>
  </si>
  <si>
    <t xml:space="preserve">Office: plant and common part renewal</t>
  </si>
  <si>
    <t xml:space="preserve">Office: fit-out contributions and rent-free, two lease events</t>
  </si>
  <si>
    <t xml:space="preserve">Office: void rates and service charge shortfall</t>
  </si>
  <si>
    <t xml:space="preserve">Office: leasing fees, professional costs, irrecoverable management</t>
  </si>
  <si>
    <t xml:space="preserve">Warehouse: roof overhaul contribution and redecoration</t>
  </si>
  <si>
    <t xml:space="preserve">Warehouse: professional and management cost</t>
  </si>
  <si>
    <t xml:space="preserve">WHAT SURVIVES</t>
  </si>
  <si>
    <t xml:space="preserve">Office: total landlord capital and cost</t>
  </si>
  <si>
    <t xml:space="preserve">  a year</t>
  </si>
  <si>
    <t xml:space="preserve">Office: net income a year</t>
  </si>
  <si>
    <t xml:space="preserve">Warehouse: total</t>
  </si>
  <si>
    <t xml:space="preserve">Warehouse: net income a year</t>
  </si>
  <si>
    <t xml:space="preserve">Office value at the same yield</t>
  </si>
  <si>
    <t xml:space="preserve">Warehouse value</t>
  </si>
  <si>
    <t xml:space="preserve">Warehouse value above the office</t>
  </si>
  <si>
    <t xml:space="preserve">Chapter 2. What height is worth: rent per square meter against rent per pallet position</t>
  </si>
  <si>
    <t xml:space="preserve">The positions per level are rounded down to 5,800 in the book; that rounding is an input here.</t>
  </si>
  <si>
    <t xml:space="preserve">TWO BUILDINGS, IDENTICAL BUT FOR HEIGHT</t>
  </si>
  <si>
    <t xml:space="preserve">Gross internal area, each, square meters</t>
  </si>
  <si>
    <t xml:space="preserve">Building A, clear height, meters</t>
  </si>
  <si>
    <t xml:space="preserve">Building B, clear height, meters</t>
  </si>
  <si>
    <t xml:space="preserve">Sprinkler and services clearance, meters</t>
  </si>
  <si>
    <t xml:space="preserve">Height consumed by each stored level, meters</t>
  </si>
  <si>
    <t xml:space="preserve">Share of the floor racked</t>
  </si>
  <si>
    <t xml:space="preserve">Pallet positions per square meter racked</t>
  </si>
  <si>
    <t xml:space="preserve">Positions per level, as the book rounds them</t>
  </si>
  <si>
    <t xml:space="preserve">Rent, Building A, per square meter</t>
  </si>
  <si>
    <t xml:space="preserve">Rent, Building B, per square meter</t>
  </si>
  <si>
    <t xml:space="preserve">CAPACITY</t>
  </si>
  <si>
    <t xml:space="preserve">Usable height, A</t>
  </si>
  <si>
    <t xml:space="preserve">Usable height, B</t>
  </si>
  <si>
    <t xml:space="preserve">Levels, A (exact)</t>
  </si>
  <si>
    <t xml:space="preserve">Levels, B (exact)</t>
  </si>
  <si>
    <t xml:space="preserve">Levels, A (whole)</t>
  </si>
  <si>
    <t xml:space="preserve">Levels, B (whole)</t>
  </si>
  <si>
    <t xml:space="preserve">Racked area</t>
  </si>
  <si>
    <t xml:space="preserve">Positions per level before rounding</t>
  </si>
  <si>
    <t xml:space="preserve">Positions, A</t>
  </si>
  <si>
    <t xml:space="preserve">Positions, B</t>
  </si>
  <si>
    <t xml:space="preserve">B holds more, by</t>
  </si>
  <si>
    <t xml:space="preserve">RENT</t>
  </si>
  <si>
    <t xml:space="preserve">Rent, A</t>
  </si>
  <si>
    <t xml:space="preserve">A, rent per pallet position</t>
  </si>
  <si>
    <t xml:space="preserve">B at A's cost per position (the ceiling)</t>
  </si>
  <si>
    <t xml:space="preserve">  per square meter</t>
  </si>
  <si>
    <t xml:space="preserve">Rent, B</t>
  </si>
  <si>
    <t xml:space="preserve">B, rent per pallet position</t>
  </si>
  <si>
    <t xml:space="preserve">Occupier's saving per position</t>
  </si>
  <si>
    <t xml:space="preserve">while paying more per square meter</t>
  </si>
  <si>
    <t xml:space="preserve">Landlord's extra rent a year</t>
  </si>
  <si>
    <t xml:space="preserve">Chapter 3. The site coverage arithmetic: what 15 points of coverage buy, and what they cost</t>
  </si>
  <si>
    <t xml:space="preserve">THE BUILDING AND THE TWO SITES</t>
  </si>
  <si>
    <t xml:space="preserve">Building footprint, square meters</t>
  </si>
  <si>
    <t xml:space="preserve">Dock elevation, meters</t>
  </si>
  <si>
    <t xml:space="preserve">Building perimeter, meters</t>
  </si>
  <si>
    <t xml:space="preserve">Site A, square meters</t>
  </si>
  <si>
    <t xml:space="preserve">Site B, square meters</t>
  </si>
  <si>
    <t xml:space="preserve">THE REQUIREMENT</t>
  </si>
  <si>
    <t xml:space="preserve">Yard depth, meters</t>
  </si>
  <si>
    <t xml:space="preserve">Trailer bays</t>
  </si>
  <si>
    <t xml:space="preserve">Square meters per trailer bay</t>
  </si>
  <si>
    <t xml:space="preserve">Car spaces</t>
  </si>
  <si>
    <t xml:space="preserve">Square meters per car space</t>
  </si>
  <si>
    <t xml:space="preserve">Circulation road width, meters</t>
  </si>
  <si>
    <t xml:space="preserve">Attenuation, substation, landscaping, boundary</t>
  </si>
  <si>
    <t xml:space="preserve">Coverage, site A</t>
  </si>
  <si>
    <t xml:space="preserve">External area, site A</t>
  </si>
  <si>
    <t xml:space="preserve">Yard</t>
  </si>
  <si>
    <t xml:space="preserve">Trailer parking</t>
  </si>
  <si>
    <t xml:space="preserve">Car parking</t>
  </si>
  <si>
    <t xml:space="preserve">Circulation road on the other three sides</t>
  </si>
  <si>
    <t xml:space="preserve">Total required</t>
  </si>
  <si>
    <t xml:space="preserve">Surplus on site A</t>
  </si>
  <si>
    <t xml:space="preserve">SITE B, AND THE CUTS</t>
  </si>
  <si>
    <t xml:space="preserve">Yard depth cut to, meters</t>
  </si>
  <si>
    <t xml:space="preserve">Car spaces cut to</t>
  </si>
  <si>
    <t xml:space="preserve">Coverage, site B</t>
  </si>
  <si>
    <t xml:space="preserve">External area, site B</t>
  </si>
  <si>
    <t xml:space="preserve">Saved: yard</t>
  </si>
  <si>
    <t xml:space="preserve">Saved: car parking</t>
  </si>
  <si>
    <t xml:space="preserve">Saved: trailer parking eliminated</t>
  </si>
  <si>
    <t xml:space="preserve">Total saved</t>
  </si>
  <si>
    <t xml:space="preserve">New requirement</t>
  </si>
  <si>
    <t xml:space="preserve">Fits exactly? (new requirement less site B's external area)</t>
  </si>
  <si>
    <t xml:space="preserve">Extra coverage</t>
  </si>
  <si>
    <t xml:space="preserve">Extra building the extra coverage buys on site A</t>
  </si>
  <si>
    <t xml:space="preserve">Chapter 4. Two sites, one requirement: the occupier's scores, the investor's, and the reweighting the chapter asserts</t>
  </si>
  <si>
    <t xml:space="preserve">Weights and scores are the chapter's. Rows 30 onward test its sentence about the barrier weighting.</t>
  </si>
  <si>
    <t xml:space="preserve">Criterion</t>
  </si>
  <si>
    <t xml:space="preserve">Occupier weight</t>
  </si>
  <si>
    <t xml:space="preserve">Ashford Point</t>
  </si>
  <si>
    <t xml:space="preserve">Kelbrook</t>
  </si>
  <si>
    <t xml:space="preserve">Investor weight</t>
  </si>
  <si>
    <t xml:space="preserve">Population reach</t>
  </si>
  <si>
    <t xml:space="preserve">Labor availability and cost</t>
  </si>
  <si>
    <t xml:space="preserve">Road access and journey time</t>
  </si>
  <si>
    <t xml:space="preserve">Power capacity</t>
  </si>
  <si>
    <t xml:space="preserve">Occupancy cost / rent level (inverted for the investor)</t>
  </si>
  <si>
    <t xml:space="preserve">Expansion / scarcity of adjacent land (inverted)</t>
  </si>
  <si>
    <t xml:space="preserve">Barriers to competing supply</t>
  </si>
  <si>
    <t xml:space="preserve">Weights, occupier</t>
  </si>
  <si>
    <t xml:space="preserve">Occupier's total, Ashford Point</t>
  </si>
  <si>
    <t xml:space="preserve">Occupier's total, Kelbrook</t>
  </si>
  <si>
    <t xml:space="preserve">Maximum</t>
  </si>
  <si>
    <t xml:space="preserve">Investor's total, Ashford Point</t>
  </si>
  <si>
    <t xml:space="preserve">Investor's total, Kelbrook</t>
  </si>
  <si>
    <t xml:space="preserve">Investor's lead for Ashford Point</t>
  </si>
  <si>
    <t xml:space="preserve">THE CHAPTER: "MOVE THE BARRIER WEIGHTING FROM 30 TO 15 AND REDISTRIBUTE IT, AND THE INVESTOR'S ANSWER CHANGES"</t>
  </si>
  <si>
    <t xml:space="preserve">Barrier weight moved to</t>
  </si>
  <si>
    <t xml:space="preserve">Points to redistribute</t>
  </si>
  <si>
    <t xml:space="preserve">Barrier: Ashford's score less Kelbrook's</t>
  </si>
  <si>
    <t xml:space="preserve">Labor, where Kelbrook gains most: Kelbrook's score less Ashford's</t>
  </si>
  <si>
    <t xml:space="preserve">Best case for Kelbrook (all the points to labor): Ashford's lead</t>
  </si>
  <si>
    <t xml:space="preserve">Points spread across the other six in proportion: Ashford's lead</t>
  </si>
  <si>
    <t xml:space="preserve">Barrier weight below which Kelbrook wins, best case</t>
  </si>
  <si>
    <t xml:space="preserve">Ashford's lead with the barrier weighted at zero, proportional spread</t>
  </si>
  <si>
    <t xml:space="preserve">Moving 15 points off the barrier cannot reverse a 165-point lead: each point moved takes at most 4 points off Ashford (the barrier) and gives 3 to Kelbrook (labor). The answer changes only below a barrier weight of 6.4, and only if every point goes to labor; spread in proportion, it never changes. The chapter's wider point stands: the weights are judgments and the table makes the disagreement visible.</t>
  </si>
  <si>
    <t xml:space="preserve">Chapter 5. Property is a small share of total cost, and what that does to rent</t>
  </si>
  <si>
    <t xml:space="preserve">THE FULFILLMENT OPERATION</t>
  </si>
  <si>
    <t xml:space="preserve">Floor area, square meters</t>
  </si>
  <si>
    <t xml:space="preserve">Rent per square meter</t>
  </si>
  <si>
    <t xml:space="preserve">Property outgoings</t>
  </si>
  <si>
    <t xml:space="preserve">Energy</t>
  </si>
  <si>
    <t xml:space="preserve">Staff</t>
  </si>
  <si>
    <t xml:space="preserve">Fully loaded cost per head</t>
  </si>
  <si>
    <t xml:space="preserve">Transport</t>
  </si>
  <si>
    <t xml:space="preserve">Fit-out and equipment amortization</t>
  </si>
  <si>
    <t xml:space="preserve">Rent</t>
  </si>
  <si>
    <t xml:space="preserve">Labor</t>
  </si>
  <si>
    <t xml:space="preserve">Total operating cost</t>
  </si>
  <si>
    <t xml:space="preserve">Property cost: rent, outgoings, energy</t>
  </si>
  <si>
    <t xml:space="preserve">  share of the total</t>
  </si>
  <si>
    <t xml:space="preserve">THE SENSITIVITIES</t>
  </si>
  <si>
    <t xml:space="preserve">Rent up</t>
  </si>
  <si>
    <t xml:space="preserve">Transport down</t>
  </si>
  <si>
    <t xml:space="preserve">Labor down</t>
  </si>
  <si>
    <t xml:space="preserve">Energy down</t>
  </si>
  <si>
    <t xml:space="preserve">Rent up: annual effect</t>
  </si>
  <si>
    <t xml:space="preserve">  share of total cost</t>
  </si>
  <si>
    <t xml:space="preserve">  rent equivalent per square meter</t>
  </si>
  <si>
    <t xml:space="preserve">  as a rent premium</t>
  </si>
  <si>
    <t xml:space="preserve">Transport down: annual effect</t>
  </si>
  <si>
    <t xml:space="preserve">Labor down: annual effect</t>
  </si>
  <si>
    <t xml:space="preserve">Energy down: annual effect</t>
  </si>
  <si>
    <t xml:space="preserve">Five per cent of the rent, as a share of total cost</t>
  </si>
  <si>
    <t xml:space="preserve">THE THIRD-PARTY LOGISTICS MISMATCH</t>
  </si>
  <si>
    <t xml:space="preserve">Lease term, years</t>
  </si>
  <si>
    <t xml:space="preserve">Customer contract, years</t>
  </si>
  <si>
    <t xml:space="preserve">Rent covered by contracted revenue</t>
  </si>
  <si>
    <t xml:space="preserve">Rent committed</t>
  </si>
  <si>
    <t xml:space="preserve">Uncovered years</t>
  </si>
  <si>
    <t xml:space="preserve">Chapter 6. The renewal conversation: relocation cost annualized, and the overage valued honestly</t>
  </si>
  <si>
    <t xml:space="preserve">Floor area</t>
  </si>
  <si>
    <t xml:space="preserve">Passing rent per square meter</t>
  </si>
  <si>
    <t xml:space="preserve">Market rent per square meter</t>
  </si>
  <si>
    <t xml:space="preserve">Relocation cost, conventional occupier A</t>
  </si>
  <si>
    <t xml:space="preserve">Relocation cost, automated occupier B</t>
  </si>
  <si>
    <t xml:space="preserve">Forward horizon, years</t>
  </si>
  <si>
    <t xml:space="preserve">Rate</t>
  </si>
  <si>
    <t xml:space="preserve">Passing rent</t>
  </si>
  <si>
    <t xml:space="preserve">Market rent</t>
  </si>
  <si>
    <t xml:space="preserve">Annuity factor</t>
  </si>
  <si>
    <t xml:space="preserve">Occupier A: the annual cost of moving</t>
  </si>
  <si>
    <t xml:space="preserve">Occupier B: the annual cost of moving</t>
  </si>
  <si>
    <t xml:space="preserve">THE SETTLEMENT, VALUED</t>
  </si>
  <si>
    <t xml:space="preserve">Settled rent per square meter</t>
  </si>
  <si>
    <t xml:space="preserve">Capitalization rate</t>
  </si>
  <si>
    <t xml:space="preserve">Rate on the overage</t>
  </si>
  <si>
    <t xml:space="preserve">Overage term, years</t>
  </si>
  <si>
    <t xml:space="preserve">Removal cost and void at year ten</t>
  </si>
  <si>
    <t xml:space="preserve">Settled rent</t>
  </si>
  <si>
    <t xml:space="preserve">Premium to market</t>
  </si>
  <si>
    <t xml:space="preserve">Market rent capitalized</t>
  </si>
  <si>
    <t xml:space="preserve">Settled rent capitalized, naively</t>
  </si>
  <si>
    <t xml:space="preserve">Annuity factor on the overage</t>
  </si>
  <si>
    <t xml:space="preserve">Overage, as a term-certain annuity</t>
  </si>
  <si>
    <t xml:space="preserve">Rigorous value</t>
  </si>
  <si>
    <t xml:space="preserve">The naive gain</t>
  </si>
  <si>
    <t xml:space="preserve">Removal and void, in today's money</t>
  </si>
  <si>
    <t xml:space="preserve">What is left of the gain</t>
  </si>
  <si>
    <t xml:space="preserve">Chapter 7. Rent per square meter, per cubic meter and per pallet; what the van saves; the estate waterfall</t>
  </si>
  <si>
    <t xml:space="preserve">THE TWO BUILDINGS</t>
  </si>
  <si>
    <t xml:space="preserve">Urban unit, square meters</t>
  </si>
  <si>
    <t xml:space="preserve">  clear height</t>
  </si>
  <si>
    <t xml:space="preserve">  rent per square meter</t>
  </si>
  <si>
    <t xml:space="preserve">  racking levels the chapter assumes</t>
  </si>
  <si>
    <t xml:space="preserve">Big box, square meters</t>
  </si>
  <si>
    <t xml:space="preserve">  racking levels</t>
  </si>
  <si>
    <t xml:space="preserve">Share racked</t>
  </si>
  <si>
    <t xml:space="preserve">Square meters of footprint per pallet position</t>
  </si>
  <si>
    <t xml:space="preserve">Urban rent</t>
  </si>
  <si>
    <t xml:space="preserve">  volume</t>
  </si>
  <si>
    <t xml:space="preserve">  per cubic meter</t>
  </si>
  <si>
    <t xml:space="preserve">Big box rent</t>
  </si>
  <si>
    <t xml:space="preserve">Urban against big box, on area</t>
  </si>
  <si>
    <t xml:space="preserve">on volume</t>
  </si>
  <si>
    <t xml:space="preserve">Urban, racked area</t>
  </si>
  <si>
    <t xml:space="preserve">  positions per level</t>
  </si>
  <si>
    <t xml:space="preserve">  positions</t>
  </si>
  <si>
    <t xml:space="preserve">  rent per position</t>
  </si>
  <si>
    <t xml:space="preserve">Big box, racked area</t>
  </si>
  <si>
    <t xml:space="preserve">Urban against big box, per unit of storage</t>
  </si>
  <si>
    <t xml:space="preserve">THE SAME UNIT ON CHAPTER 2'S CONVENTION: 1.5 METERS OF CLEARANCE, 1.65 METERS A LEVEL</t>
  </si>
  <si>
    <t xml:space="preserve">Clearance</t>
  </si>
  <si>
    <t xml:space="preserve">Meters a level</t>
  </si>
  <si>
    <t xml:space="preserve">Levels that fit in 6 meters</t>
  </si>
  <si>
    <t xml:space="preserve">Urban rent per position</t>
  </si>
  <si>
    <t xml:space="preserve">Against the big box</t>
  </si>
  <si>
    <t xml:space="preserve">The chapter gives the urban unit three levels in six meters; the convention of chapter 2 leaves room for two. On two levels the unit costs 183 a position, eleven times the big box rather than 7.3: the chapter's conclusion holds with more force.</t>
  </si>
  <si>
    <t xml:space="preserve">WHAT THE SOMETHING ELSE IS WORTH</t>
  </si>
  <si>
    <t xml:space="preserve">Van routes a day</t>
  </si>
  <si>
    <t xml:space="preserve">Operating days</t>
  </si>
  <si>
    <t xml:space="preserve">Extra minutes per route</t>
  </si>
  <si>
    <t xml:space="preserve">Extra kilometers per route</t>
  </si>
  <si>
    <t xml:space="preserve">Cost per van-hour</t>
  </si>
  <si>
    <t xml:space="preserve">Cost per kilometer</t>
  </si>
  <si>
    <t xml:space="preserve">Hours</t>
  </si>
  <si>
    <t xml:space="preserve">Time cost per route</t>
  </si>
  <si>
    <t xml:space="preserve">Distance cost per route</t>
  </si>
  <si>
    <t xml:space="preserve">Per route per day</t>
  </si>
  <si>
    <t xml:space="preserve">Saving a year</t>
  </si>
  <si>
    <t xml:space="preserve">Same floor out of town</t>
  </si>
  <si>
    <t xml:space="preserve">Rent premium for being urban</t>
  </si>
  <si>
    <t xml:space="preserve">The operator is ahead by</t>
  </si>
  <si>
    <t xml:space="preserve">THE MULTI-LET ESTATE</t>
  </si>
  <si>
    <t xml:space="preserve">Headline rent roll</t>
  </si>
  <si>
    <t xml:space="preserve">Area</t>
  </si>
  <si>
    <t xml:space="preserve">Structural vacancy</t>
  </si>
  <si>
    <t xml:space="preserve">Service charge shortfall</t>
  </si>
  <si>
    <t xml:space="preserve">Management and letting fees, % of collected</t>
  </si>
  <si>
    <t xml:space="preserve">Bad debt, % of collected</t>
  </si>
  <si>
    <t xml:space="preserve">Amortized re-letting incentives and small works</t>
  </si>
  <si>
    <t xml:space="preserve">Headline yield</t>
  </si>
  <si>
    <t xml:space="preserve">Vacancy</t>
  </si>
  <si>
    <t xml:space="preserve">Collectible rent</t>
  </si>
  <si>
    <t xml:space="preserve">after service charge</t>
  </si>
  <si>
    <t xml:space="preserve">Management and letting</t>
  </si>
  <si>
    <t xml:space="preserve">after management</t>
  </si>
  <si>
    <t xml:space="preserve">Bad debt</t>
  </si>
  <si>
    <t xml:space="preserve">after bad debt</t>
  </si>
  <si>
    <t xml:space="preserve">Net income</t>
  </si>
  <si>
    <t xml:space="preserve">Net to gross</t>
  </si>
  <si>
    <t xml:space="preserve">Actual income yield at the headline price</t>
  </si>
  <si>
    <t xml:space="preserve">Big box management at 0.5%</t>
  </si>
  <si>
    <t xml:space="preserve">Big box net to gross</t>
  </si>
  <si>
    <t xml:space="preserve">Turnover cost per small unit</t>
  </si>
  <si>
    <t xml:space="preserve">Units</t>
  </si>
  <si>
    <t xml:space="preserve">Average unexpired term, years</t>
  </si>
  <si>
    <t xml:space="preserve">Churn: units turning over a year</t>
  </si>
  <si>
    <t xml:space="preserve">Recurring cost of churn a year</t>
  </si>
  <si>
    <t xml:space="preserve">Net income with the churn in place of the 55,000</t>
  </si>
  <si>
    <t xml:space="preserve">  net to gross</t>
  </si>
  <si>
    <t xml:space="preserve">  income yield at the headline price</t>
  </si>
  <si>
    <t xml:space="preserve">The churn paragraph puts the standing cost of turning units over at 150,000 a year; the waterfall above deducts 55,000 for incentives and small works, with letting fees inside the 4 per cent. Part of the churn cost is already in the vacancy and fee lines, so the truth sits between 81.2 and 74.0 per cent. Either way, more than a point of yield has gone before year two.</t>
  </si>
  <si>
    <t xml:space="preserve">Chapter 8. The same plot developed ambient and frozen, and the frozen building without its occupier</t>
  </si>
  <si>
    <t xml:space="preserve">Land</t>
  </si>
  <si>
    <t xml:space="preserve">Ambient construction per square meter</t>
  </si>
  <si>
    <t xml:space="preserve">Ambient fees, finance, contingency</t>
  </si>
  <si>
    <t xml:space="preserve">Ambient rent per square meter</t>
  </si>
  <si>
    <t xml:space="preserve">Ambient yield</t>
  </si>
  <si>
    <t xml:space="preserve">Frozen construction per square meter</t>
  </si>
  <si>
    <t xml:space="preserve">Frozen fees, finance, contingency</t>
  </si>
  <si>
    <t xml:space="preserve">Frozen rent per square meter</t>
  </si>
  <si>
    <t xml:space="preserve">Frozen yield</t>
  </si>
  <si>
    <t xml:space="preserve">Ambient construction</t>
  </si>
  <si>
    <t xml:space="preserve">Ambient total cost</t>
  </si>
  <si>
    <t xml:space="preserve">Ambient rent</t>
  </si>
  <si>
    <t xml:space="preserve">Ambient value</t>
  </si>
  <si>
    <t xml:space="preserve">Value over cost</t>
  </si>
  <si>
    <t xml:space="preserve">  on cost</t>
  </si>
  <si>
    <t xml:space="preserve">Frozen construction</t>
  </si>
  <si>
    <t xml:space="preserve">Frozen total cost</t>
  </si>
  <si>
    <t xml:space="preserve">Frozen rent</t>
  </si>
  <si>
    <t xml:space="preserve">Frozen value</t>
  </si>
  <si>
    <t xml:space="preserve">Shortfall</t>
  </si>
  <si>
    <t xml:space="preserve">Cost multiple</t>
  </si>
  <si>
    <t xml:space="preserve">Rent multiple</t>
  </si>
  <si>
    <t xml:space="preserve">Rent needed to justify the cost</t>
  </si>
  <si>
    <t xml:space="preserve">  above the rent assumed</t>
  </si>
  <si>
    <t xml:space="preserve">WITHOUT THE OCCUPIER</t>
  </si>
  <si>
    <t xml:space="preserve">Conversion per square meter</t>
  </si>
  <si>
    <t xml:space="preserve">Ambient rent after conversion</t>
  </si>
  <si>
    <t xml:space="preserve">Yield</t>
  </si>
  <si>
    <t xml:space="preserve">Pallet positions</t>
  </si>
  <si>
    <t xml:space="preserve">Stock value per pallet</t>
  </si>
  <si>
    <t xml:space="preserve">Conversion cost</t>
  </si>
  <si>
    <t xml:space="preserve">Rent as ambient</t>
  </si>
  <si>
    <t xml:space="preserve">Capitalized</t>
  </si>
  <si>
    <t xml:space="preserve">Less conversion</t>
  </si>
  <si>
    <t xml:space="preserve">Worth less than the plain building by</t>
  </si>
  <si>
    <t xml:space="preserve">Stock in the building</t>
  </si>
  <si>
    <t xml:space="preserve">Chapter 9. Four review mechanisms over ten years, and what the cap costs</t>
  </si>
  <si>
    <t xml:space="preserve">Years run across the columns. The index paths are the chapter's three scenarios.</t>
  </si>
  <si>
    <t xml:space="preserve">Starting rent</t>
  </si>
  <si>
    <t xml:space="preserve">Fixed uplift</t>
  </si>
  <si>
    <t xml:space="preserve">Collar</t>
  </si>
  <si>
    <t xml:space="preserve">Cap</t>
  </si>
  <si>
    <t xml:space="preserve">Index, low inflation</t>
  </si>
  <si>
    <t xml:space="preserve">Index, central</t>
  </si>
  <si>
    <t xml:space="preserve">Index, high inflation</t>
  </si>
  <si>
    <t xml:space="preserve">Market rental growth, open-market review</t>
  </si>
  <si>
    <t xml:space="preserve">Exit yield</t>
  </si>
  <si>
    <t xml:space="preserve">Year</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</si>
  <si>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</si>
  <si>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</si>
  <si>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</si>
  <si>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</si>
  <si>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</si>
  <si>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</si>
  <si>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</si>
  <si>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</si>
  <si>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</si>
  <si>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</si>
  <si>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Total</t>
  </si>
  <si>
    <t xml:space="preserve">Fixed 2.5 per cent</t>
  </si>
  <si>
    <t xml:space="preserve">Indexed, low: collar binds</t>
  </si>
  <si>
    <t xml:space="preserve">Indexed, central</t>
  </si>
  <si>
    <t xml:space="preserve">Indexed, high: cap binds</t>
  </si>
  <si>
    <t xml:space="preserve">Index at 6 per cent, no cap</t>
  </si>
  <si>
    <t xml:space="preserve">Open market, reviews at years five and ten</t>
  </si>
  <si>
    <t xml:space="preserve">What the cap costs in rent over the term</t>
  </si>
  <si>
    <t xml:space="preserve">Year-ten rent given up</t>
  </si>
  <si>
    <t xml:space="preserve">  at the exit yield</t>
  </si>
  <si>
    <t xml:space="preserve">Rent plus capital value given up</t>
  </si>
  <si>
    <t xml:space="preserve">Open market: the rent the exit buyer inherits at the year-ten review</t>
  </si>
  <si>
    <t xml:space="preserve">Chapter 10. Headline rent, net effective rent two ways, the stepped rent, and what the deal is worth</t>
  </si>
  <si>
    <t xml:space="preserve">Headline rent per square meter</t>
  </si>
  <si>
    <t xml:space="preserve">Rent-free months</t>
  </si>
  <si>
    <t xml:space="preserve">Capital contribution to racking</t>
  </si>
  <si>
    <t xml:space="preserve">Landlord works above base specification</t>
  </si>
  <si>
    <t xml:space="preserve">Years to the break</t>
  </si>
  <si>
    <t xml:space="preserve">Term, years</t>
  </si>
  <si>
    <t xml:space="preserve">Discount rate</t>
  </si>
  <si>
    <t xml:space="preserve">Headline rent</t>
  </si>
  <si>
    <t xml:space="preserve">Rent-free, valued</t>
  </si>
  <si>
    <t xml:space="preserve">Total incentives</t>
  </si>
  <si>
    <t xml:space="preserve">Rent over five years</t>
  </si>
  <si>
    <t xml:space="preserve">Straight-line to the break</t>
  </si>
  <si>
    <t xml:space="preserve">  of the headline</t>
  </si>
  <si>
    <t xml:space="preserve">Rent over ten years</t>
  </si>
  <si>
    <t xml:space="preserve">Straight-line to expiry</t>
  </si>
  <si>
    <t xml:space="preserve">Year one rent after the rent-free</t>
  </si>
  <si>
    <t xml:space="preserve">  present value</t>
  </si>
  <si>
    <t xml:space="preserve">Present value factor, year 2</t>
  </si>
  <si>
    <t xml:space="preserve">Present value factor, year 3</t>
  </si>
  <si>
    <t xml:space="preserve">Present value factor, year 4</t>
  </si>
  <si>
    <t xml:space="preserve">Present value factor, year 5</t>
  </si>
  <si>
    <t xml:space="preserve">Sum of the four factors</t>
  </si>
  <si>
    <t xml:space="preserve">Years two to five</t>
  </si>
  <si>
    <t xml:space="preserve">Cash incentives, paid at the start</t>
  </si>
  <si>
    <t xml:space="preserve">Net present value</t>
  </si>
  <si>
    <t xml:space="preserve">Five-year annuity factor</t>
  </si>
  <si>
    <t xml:space="preserve">Discounted net effective rent</t>
  </si>
  <si>
    <t xml:space="preserve">Discounted below straight-line by</t>
  </si>
  <si>
    <t xml:space="preserve">THE STEPPED RENT</t>
  </si>
  <si>
    <t xml:space="preserve">Year one, per square meter</t>
  </si>
  <si>
    <t xml:space="preserve">Year two</t>
  </si>
  <si>
    <t xml:space="preserve">Rent received over five years</t>
  </si>
  <si>
    <t xml:space="preserve">Forgone against the headline</t>
  </si>
  <si>
    <t xml:space="preserve">Straight-line net effective, per square meter</t>
  </si>
  <si>
    <t xml:space="preserve">RENT COVER</t>
  </si>
  <si>
    <t xml:space="preserve">Distributor A: operating profit</t>
  </si>
  <si>
    <t xml:space="preserve">Occupier B: operating profit</t>
  </si>
  <si>
    <t xml:space="preserve">Rent as a share of A's profit</t>
  </si>
  <si>
    <t xml:space="preserve">Rent as a share of B's profit</t>
  </si>
  <si>
    <t xml:space="preserve">THE LEASE EVENT AT THE BREAK</t>
  </si>
  <si>
    <t xml:space="preserve">Void holding costs, twelve months</t>
  </si>
  <si>
    <t xml:space="preserve">New letting</t>
  </si>
  <si>
    <t xml:space="preserve">Rent-free on the new letting, months</t>
  </si>
  <si>
    <t xml:space="preserve">Letting fee</t>
  </si>
  <si>
    <t xml:space="preserve">Capital expenditure net of dilapidations</t>
  </si>
  <si>
    <t xml:space="preserve">Cost of the event</t>
  </si>
  <si>
    <t xml:space="preserve">plus the rent not received</t>
  </si>
  <si>
    <t xml:space="preserve">  as a multiple of the annual rent</t>
  </si>
  <si>
    <t xml:space="preserve">WHAT THE DEAL IS WORTH</t>
  </si>
  <si>
    <t xml:space="preserve">Naive: headline capitalized</t>
  </si>
  <si>
    <t xml:space="preserve">Market rent in perpetuity</t>
  </si>
  <si>
    <t xml:space="preserve">Five-year annuity at 7%</t>
  </si>
  <si>
    <t xml:space="preserve">Overage to the break</t>
  </si>
  <si>
    <t xml:space="preserve">Unexpired incentives the buyer funds</t>
  </si>
  <si>
    <t xml:space="preserve">Value</t>
  </si>
  <si>
    <t xml:space="preserve">Naive less value</t>
  </si>
  <si>
    <t xml:space="preserve">  of the naive figure</t>
  </si>
  <si>
    <t xml:space="preserve">Chapter 11. Land value as a residual, and the sensitivity that is the whole point</t>
  </si>
  <si>
    <t xml:space="preserve">Each column recomputes the whole residual. The book rounds net value and finance to the thousand and carries them; so does this sheet. "Construction cost 5 per cent higher" is applied to construction and site infrastructure, which is how the chapter's 2,310,000 arises.</t>
  </si>
  <si>
    <t xml:space="preserve">Site, square meters</t>
  </si>
  <si>
    <t xml:space="preserve">Coverage</t>
  </si>
  <si>
    <t xml:space="preserve">Purchaser's costs</t>
  </si>
  <si>
    <t xml:space="preserve">Construction per square meter</t>
  </si>
  <si>
    <t xml:space="preserve">Site infrastructure</t>
  </si>
  <si>
    <t xml:space="preserve">Professional fees</t>
  </si>
  <si>
    <t xml:space="preserve">Contingency</t>
  </si>
  <si>
    <t xml:space="preserve">Letting fee, % of rent</t>
  </si>
  <si>
    <t xml:space="preserve">Sale fee, % of net value</t>
  </si>
  <si>
    <t xml:space="preserve">Marketing</t>
  </si>
  <si>
    <t xml:space="preserve">Finance rate</t>
  </si>
  <si>
    <t xml:space="preserve">Average months of construction finance</t>
  </si>
  <si>
    <t xml:space="preserve">Profit on net development value</t>
  </si>
  <si>
    <t xml:space="preserve">Land finance, months</t>
  </si>
  <si>
    <t xml:space="preserve">Land acquisition costs</t>
  </si>
  <si>
    <t xml:space="preserve">Base</t>
  </si>
  <si>
    <t xml:space="preserve">Rent +5%</t>
  </si>
  <si>
    <t xml:space="preserve">Rent -5%</t>
  </si>
  <si>
    <t xml:space="preserve">Yield 5.25%</t>
  </si>
  <si>
    <t xml:space="preserve">Yield 5.75%</t>
  </si>
  <si>
    <t xml:space="preserve">Cost +5%</t>
  </si>
  <si>
    <t xml:space="preserve">Rent factor</t>
  </si>
  <si>
    <t xml:space="preserve">Yield shift</t>
  </si>
  <si>
    <t xml:space="preserve">Cost factor</t>
  </si>
  <si>
    <t xml:space="preserve">Building, square meters</t>
  </si>
  <si>
    <t xml:space="preserve">Gross value</t>
  </si>
  <si>
    <t xml:space="preserve">Net value, to the thousand</t>
  </si>
  <si>
    <t xml:space="preserve">Construction</t>
  </si>
  <si>
    <t xml:space="preserve">Infrastructure</t>
  </si>
  <si>
    <t xml:space="preserve">Fees</t>
  </si>
  <si>
    <t xml:space="preserve">Subtotal</t>
  </si>
  <si>
    <t xml:space="preserve">Sale fee</t>
  </si>
  <si>
    <t xml:space="preserve">Finance, to the thousand</t>
  </si>
  <si>
    <t xml:space="preserve">Development cost excluding land</t>
  </si>
  <si>
    <t xml:space="preserve">Profit</t>
  </si>
  <si>
    <t xml:space="preserve">Residual</t>
  </si>
  <si>
    <t xml:space="preserve">Land finance and acquisition factor</t>
  </si>
  <si>
    <t xml:space="preserve">Land value</t>
  </si>
  <si>
    <t xml:space="preserve">Change against the base</t>
  </si>
  <si>
    <t xml:space="preserve">Land value per hectare</t>
  </si>
  <si>
    <t xml:space="preserve">Land as a share of net value</t>
  </si>
  <si>
    <t xml:space="preserve">Chapter 12. The cost stack for a 40,000 square meter unit, and a four-month delay</t>
  </si>
  <si>
    <t xml:space="preserve">The book rounds construction finance and the sale fee to the thousand and carries them; so does this sheet.</t>
  </si>
  <si>
    <t xml:space="preserve">Substructure and ground works</t>
  </si>
  <si>
    <t xml:space="preserve">Frame and cladding</t>
  </si>
  <si>
    <t xml:space="preserve">Roof</t>
  </si>
  <si>
    <t xml:space="preserve">Ground floor slab</t>
  </si>
  <si>
    <t xml:space="preserve">Doors and levellers</t>
  </si>
  <si>
    <t xml:space="preserve">Fire systems</t>
  </si>
  <si>
    <t xml:space="preserve">Warehouse services</t>
  </si>
  <si>
    <t xml:space="preserve">Office fit-out</t>
  </si>
  <si>
    <t xml:space="preserve">External works and yard</t>
  </si>
  <si>
    <t xml:space="preserve">Incoming utilities</t>
  </si>
  <si>
    <t xml:space="preserve">Construction subtotal</t>
  </si>
  <si>
    <t xml:space="preserve">External works and utilities</t>
  </si>
  <si>
    <t xml:space="preserve">  share of the subtotal</t>
  </si>
  <si>
    <t xml:space="preserve">Construction and fees</t>
  </si>
  <si>
    <t xml:space="preserve">Construction budget</t>
  </si>
  <si>
    <t xml:space="preserve">PROJECT COST AND VALUE</t>
  </si>
  <si>
    <t xml:space="preserve">Land including acquisition costs</t>
  </si>
  <si>
    <t xml:space="preserve">Build, months</t>
  </si>
  <si>
    <t xml:space="preserve">Land finance</t>
  </si>
  <si>
    <t xml:space="preserve">Construction finance, to the thousand</t>
  </si>
  <si>
    <t xml:space="preserve">Sale fee, to the thousand</t>
  </si>
  <si>
    <t xml:space="preserve">Total project cost</t>
  </si>
  <si>
    <t xml:space="preserve">THE OVERRUN</t>
  </si>
  <si>
    <t xml:space="preserve">Made ground</t>
  </si>
  <si>
    <t xml:space="preserve">Provisional sum for the supply</t>
  </si>
  <si>
    <t xml:space="preserve">  actual</t>
  </si>
  <si>
    <t xml:space="preserve">Extended preliminaries a month</t>
  </si>
  <si>
    <t xml:space="preserve">Delay, months</t>
  </si>
  <si>
    <t xml:space="preserve">Overruns</t>
  </si>
  <si>
    <t xml:space="preserve">Actual construction and fees</t>
  </si>
  <si>
    <t xml:space="preserve">Cost per square meter rises by</t>
  </si>
  <si>
    <t xml:space="preserve">Profit falls by</t>
  </si>
  <si>
    <t xml:space="preserve">Ground and provisional-sum overrun</t>
  </si>
  <si>
    <t xml:space="preserve">Share of it the contingency absorbed</t>
  </si>
  <si>
    <t xml:space="preserve">Contingency left over for the preliminaries</t>
  </si>
  <si>
    <t xml:space="preserve">Chapter 13. The same building, pre-let and speculative, and the void at which they tie</t>
  </si>
  <si>
    <t xml:space="preserve">The book rounds the sale fees to the thousand; so does this sheet. Rent and rent-free are held constant across the void bands, as in the chapter: case one of the archive lets them move.</t>
  </si>
  <si>
    <t xml:space="preserve">Development cost to practical completion</t>
  </si>
  <si>
    <t xml:space="preserve">Holding costs a year</t>
  </si>
  <si>
    <t xml:space="preserve">Finance a year</t>
  </si>
  <si>
    <t xml:space="preserve">  a month</t>
  </si>
  <si>
    <t xml:space="preserve">Holding a month</t>
  </si>
  <si>
    <t xml:space="preserve">Carry a month</t>
  </si>
  <si>
    <t xml:space="preserve">PRE-LET</t>
  </si>
  <si>
    <t xml:space="preserve">Rent-free, months</t>
  </si>
  <si>
    <t xml:space="preserve">Gross</t>
  </si>
  <si>
    <t xml:space="preserve">Net of costs</t>
  </si>
  <si>
    <t xml:space="preserve">Rent-free top-up</t>
  </si>
  <si>
    <t xml:space="preserve">Net proceeds</t>
  </si>
  <si>
    <t xml:space="preserve">  on total cost</t>
  </si>
  <si>
    <t xml:space="preserve">SPECULATIVE</t>
  </si>
  <si>
    <t xml:space="preserve">Costs before any void</t>
  </si>
  <si>
    <t xml:space="preserve">Profit if let at completion</t>
  </si>
  <si>
    <t xml:space="preserve">Speculative ahead by, if the letting is instantaneous</t>
  </si>
  <si>
    <t xml:space="preserve">Break-even void, months</t>
  </si>
  <si>
    <t xml:space="preserve">Parity with the pre-let, months</t>
  </si>
  <si>
    <t xml:space="preserve">Void after completion, months</t>
  </si>
  <si>
    <t xml:space="preserve">Total cost</t>
  </si>
  <si>
    <t xml:space="preserve">Return on cost</t>
  </si>
  <si>
    <t xml:space="preserve">Probability</t>
  </si>
  <si>
    <t xml:space="preserve">Probability, more confident</t>
  </si>
  <si>
    <t xml:space="preserve">Expected profit</t>
  </si>
  <si>
    <t xml:space="preserve">  against the pre-let</t>
  </si>
  <si>
    <t xml:space="preserve">Expected profit, more confident</t>
  </si>
  <si>
    <t xml:space="preserve">  as a share of the pre-let profit</t>
  </si>
  <si>
    <t xml:space="preserve">Chapter 14. Term and reversion, affordability, the over-rented asset, and exit yield against growth</t>
  </si>
  <si>
    <t xml:space="preserve">The chapter multiplies by factors rounded to four decimals; tolerances on those lines follow the rounding.</t>
  </si>
  <si>
    <t xml:space="preserve">TERM AND REVERSION</t>
  </si>
  <si>
    <t xml:space="preserve">Years to the review</t>
  </si>
  <si>
    <t xml:space="preserve">Term yield</t>
  </si>
  <si>
    <t xml:space="preserve">Reversion yield</t>
  </si>
  <si>
    <t xml:space="preserve">Years purchase</t>
  </si>
  <si>
    <t xml:space="preserve">Term</t>
  </si>
  <si>
    <t xml:space="preserve">Reversion in perpetuity</t>
  </si>
  <si>
    <t xml:space="preserve">Deferment factor</t>
  </si>
  <si>
    <t xml:space="preserve">Reversion, deferred</t>
  </si>
  <si>
    <t xml:space="preserve">  rounded, as the chapter does</t>
  </si>
  <si>
    <t xml:space="preserve">Initial yield</t>
  </si>
  <si>
    <t xml:space="preserve">Reversionary yield</t>
  </si>
  <si>
    <t xml:space="preserve">TESTING GROWTH AGAINST AFFORDABILITY</t>
  </si>
  <si>
    <t xml:space="preserve">Occupier A: transport</t>
  </si>
  <si>
    <t xml:space="preserve">  labor</t>
  </si>
  <si>
    <t xml:space="preserve">  utilities and other</t>
  </si>
  <si>
    <t xml:space="preserve">Rent growth</t>
  </si>
  <si>
    <t xml:space="preserve">Other cost growth</t>
  </si>
  <si>
    <t xml:space="preserve">A move: rent cut</t>
  </si>
  <si>
    <t xml:space="preserve">  transport added</t>
  </si>
  <si>
    <t xml:space="preserve">Rent share</t>
  </si>
  <si>
    <t xml:space="preserve">Growth factor at 4%</t>
  </si>
  <si>
    <t xml:space="preserve">Rent in year ten</t>
  </si>
  <si>
    <t xml:space="preserve">Growth factor at 2%</t>
  </si>
  <si>
    <t xml:space="preserve">Other costs in year ten</t>
  </si>
  <si>
    <t xml:space="preserve">Total in year ten</t>
  </si>
  <si>
    <t xml:space="preserve">Rent saving from moving</t>
  </si>
  <si>
    <t xml:space="preserve">Transport in year ten</t>
  </si>
  <si>
    <t xml:space="preserve">Transport penalty</t>
  </si>
  <si>
    <t xml:space="preserve">Rent at which moving pays</t>
  </si>
  <si>
    <t xml:space="preserve">  against today</t>
  </si>
  <si>
    <t xml:space="preserve">Occupier B: labor</t>
  </si>
  <si>
    <t xml:space="preserve">  transport</t>
  </si>
  <si>
    <t xml:space="preserve">  other</t>
  </si>
  <si>
    <t xml:space="preserve">  rent increase tested</t>
  </si>
  <si>
    <t xml:space="preserve">Increase</t>
  </si>
  <si>
    <t xml:space="preserve">  of the cost base</t>
  </si>
  <si>
    <t xml:space="preserve">THE OVER-RENTED ASSET</t>
  </si>
  <si>
    <t xml:space="preserve">Years to expiry</t>
  </si>
  <si>
    <t xml:space="preserve">Term rate</t>
  </si>
  <si>
    <t xml:space="preserve">Reversion rate</t>
  </si>
  <si>
    <t xml:space="preserve">EXIT VALUE AT YEAR TEN: RENTAL GROWTH ACROSS, EXIT YIELD DOWN</t>
  </si>
  <si>
    <t xml:space="preserve">Growth</t>
  </si>
  <si>
    <t xml:space="preserve">Exit at 4.75%</t>
  </si>
  <si>
    <t xml:space="preserve">Exit at 5.25%</t>
  </si>
  <si>
    <t xml:space="preserve">Exit at 5.75%</t>
  </si>
  <si>
    <t xml:space="preserve">Exit 50 basis points out, from the base</t>
  </si>
  <si>
    <t xml:space="preserve">  in per cent</t>
  </si>
  <si>
    <t xml:space="preserve">Growth one point lower</t>
  </si>
  <si>
    <t xml:space="preserve">Year-five rent at 2%</t>
  </si>
  <si>
    <t xml:space="preserve">at 1%</t>
  </si>
  <si>
    <t xml:space="preserve">Value at 5.25%</t>
  </si>
  <si>
    <t xml:space="preserve">Difference</t>
  </si>
  <si>
    <t xml:space="preserve">At 2% and 5.75%</t>
  </si>
  <si>
    <t xml:space="preserve">Loss</t>
  </si>
  <si>
    <t xml:space="preserve">Chapter 15. The same building, conveniently and honestly valued, and the land check</t>
  </si>
  <si>
    <t xml:space="preserve">Convenient yield</t>
  </si>
  <si>
    <t xml:space="preserve">Convenient, gross</t>
  </si>
  <si>
    <t xml:space="preserve">  net</t>
  </si>
  <si>
    <t xml:space="preserve">  called</t>
  </si>
  <si>
    <t xml:space="preserve">Dock levellers</t>
  </si>
  <si>
    <t xml:space="preserve">Lighting</t>
  </si>
  <si>
    <t xml:space="preserve">Roof recovering</t>
  </si>
  <si>
    <t xml:space="preserve">Yard resurfacing</t>
  </si>
  <si>
    <t xml:space="preserve">Office refurbishment</t>
  </si>
  <si>
    <t xml:space="preserve">Power upgrade</t>
  </si>
  <si>
    <t xml:space="preserve">Holding costs during the void</t>
  </si>
  <si>
    <t xml:space="preserve">Re-letting rent per square meter</t>
  </si>
  <si>
    <t xml:space="preserve">Sale costs</t>
  </si>
  <si>
    <t xml:space="preserve">Capital expenditure</t>
  </si>
  <si>
    <t xml:space="preserve">Year five</t>
  </si>
  <si>
    <t xml:space="preserve">New rent</t>
  </si>
  <si>
    <t xml:space="preserve">Year six: the fee, no rent</t>
  </si>
  <si>
    <t xml:space="preserve">Exit, gross</t>
  </si>
  <si>
    <t xml:space="preserve">Exit, net of sale costs</t>
  </si>
  <si>
    <t xml:space="preserve">Factors, years 1-4</t>
  </si>
  <si>
    <t xml:space="preserve">Factors, years 7-10</t>
  </si>
  <si>
    <t xml:space="preserve">Years one to four</t>
  </si>
  <si>
    <t xml:space="preserve">Year six</t>
  </si>
  <si>
    <t xml:space="preserve">Years seven to ten</t>
  </si>
  <si>
    <t xml:space="preserve">Exit</t>
  </si>
  <si>
    <t xml:space="preserve">Honest value</t>
  </si>
  <si>
    <t xml:space="preserve">Gap</t>
  </si>
  <si>
    <t xml:space="preserve">  of the convenient figure</t>
  </si>
  <si>
    <t xml:space="preserve">Serviced land per hectare</t>
  </si>
  <si>
    <t xml:space="preserve">Hectares</t>
  </si>
  <si>
    <t xml:space="preserve">Demolition per square meter</t>
  </si>
  <si>
    <t xml:space="preserve">Remaining economic life, years</t>
  </si>
  <si>
    <t xml:space="preserve">Demolition</t>
  </si>
  <si>
    <t xml:space="preserve">Cleared land value</t>
  </si>
  <si>
    <t xml:space="preserve">Land share, honest</t>
  </si>
  <si>
    <t xml:space="preserve">Building, honest</t>
  </si>
  <si>
    <t xml:space="preserve">Depreciation a year</t>
  </si>
  <si>
    <t xml:space="preserve">  of the rent</t>
  </si>
  <si>
    <t xml:space="preserve">Land share, convenient</t>
  </si>
  <si>
    <t xml:space="preserve">Building, convenient</t>
  </si>
  <si>
    <t xml:space="preserve">Chapter 16. The life mismatch, and how a purchaser treats the income</t>
  </si>
  <si>
    <t xml:space="preserve">Rows 20 onward correct the chapter: the roof is recovered in year twelve with or without the array, so only the strip-and-refit belongs to the contract.</t>
  </si>
  <si>
    <t xml:space="preserve">Array area</t>
  </si>
  <si>
    <t xml:space="preserve">Roof rent per square meter</t>
  </si>
  <si>
    <t xml:space="preserve">Roof life left, years</t>
  </si>
  <si>
    <t xml:space="preserve">Strip and refit per square meter</t>
  </si>
  <si>
    <t xml:space="preserve">Roof works per square meter</t>
  </si>
  <si>
    <t xml:space="preserve">Roof life, shorter case</t>
  </si>
  <si>
    <t xml:space="preserve">Property yield</t>
  </si>
  <si>
    <t xml:space="preserve">Wider yield</t>
  </si>
  <si>
    <t xml:space="preserve">Roof rent</t>
  </si>
  <si>
    <t xml:space="preserve">Strip and refit</t>
  </si>
  <si>
    <t xml:space="preserve">Roof works</t>
  </si>
  <si>
    <t xml:space="preserve">The chapter's liability</t>
  </si>
  <si>
    <t xml:space="preserve">Years purchase, 25 years</t>
  </si>
  <si>
    <t xml:space="preserve">Income, present value</t>
  </si>
  <si>
    <t xml:space="preserve">Factor, year twelve</t>
  </si>
  <si>
    <t xml:space="preserve">Liability, present value</t>
  </si>
  <si>
    <t xml:space="preserve">The chapter's net contribution</t>
  </si>
  <si>
    <t xml:space="preserve">Factor, year eight</t>
  </si>
  <si>
    <t xml:space="preserve">Liability on an eight-year roof</t>
  </si>
  <si>
    <t xml:space="preserve">At the property yield</t>
  </si>
  <si>
    <t xml:space="preserve">At a wider yield</t>
  </si>
  <si>
    <t xml:space="preserve">Spread between the highest and lowest</t>
  </si>
  <si>
    <t xml:space="preserve">CORRECTED: WITH AND WITHOUT THE ARRAY</t>
  </si>
  <si>
    <t xml:space="preserve">What the array adds: the strip-and-refit, present value</t>
  </si>
  <si>
    <t xml:space="preserve">Net contribution of the contract</t>
  </si>
  <si>
    <t xml:space="preserve">  the mismatch as a share of the income</t>
  </si>
  <si>
    <t xml:space="preserve">On an eight-year roof</t>
  </si>
  <si>
    <t xml:space="preserve">The chapter charges the whole roof event, 2,200,000, to the contract. The recovering itself, 1,700,000, is due in year twelve whatever sits on the roof; only the 500,000 of strip-and-refit exists because of the array. On that basis the contract is worth 1,642,567, and the mismatch costs 12 per cent of the income, not half. The practical lesson survives, and case three of the archive prices the three remedies.</t>
  </si>
  <si>
    <t xml:space="preserve">Chapter 17. Net income at the same gross rent: single-let and multi-let, and a cap on development</t>
  </si>
  <si>
    <t xml:space="preserve">Gross rent, each</t>
  </si>
  <si>
    <t xml:space="preserve">Single-let: management</t>
  </si>
  <si>
    <t xml:space="preserve">  void at expiry, months</t>
  </si>
  <si>
    <t xml:space="preserve">  rent-free, months</t>
  </si>
  <si>
    <t xml:space="preserve">  capital expenditure</t>
  </si>
  <si>
    <t xml:space="preserve">  letting fee</t>
  </si>
  <si>
    <t xml:space="preserve">  cycle, years</t>
  </si>
  <si>
    <t xml:space="preserve">Management fee</t>
  </si>
  <si>
    <t xml:space="preserve">Net in a normal year</t>
  </si>
  <si>
    <t xml:space="preserve">Void</t>
  </si>
  <si>
    <t xml:space="preserve">Rent-free</t>
  </si>
  <si>
    <t xml:space="preserve">Event cost</t>
  </si>
  <si>
    <t xml:space="preserve">Long-run net income</t>
  </si>
  <si>
    <t xml:space="preserve">Estate: structural vacancy</t>
  </si>
  <si>
    <t xml:space="preserve">  service charge budget</t>
  </si>
  <si>
    <t xml:space="preserve">  non-recoverable, % of budget</t>
  </si>
  <si>
    <t xml:space="preserve">  property taxes on voids</t>
  </si>
  <si>
    <t xml:space="preserve">  management</t>
  </si>
  <si>
    <t xml:space="preserve">  bad debt</t>
  </si>
  <si>
    <t xml:space="preserve">  structural reserve per square meter</t>
  </si>
  <si>
    <t xml:space="preserve">  recurring letting costs</t>
  </si>
  <si>
    <t xml:space="preserve">Single-let yield</t>
  </si>
  <si>
    <t xml:space="preserve">Average unit</t>
  </si>
  <si>
    <t xml:space="preserve">Irrecoverable service charge</t>
  </si>
  <si>
    <t xml:space="preserve">Collected rent</t>
  </si>
  <si>
    <t xml:space="preserve">Management</t>
  </si>
  <si>
    <t xml:space="preserve">Reserve</t>
  </si>
  <si>
    <t xml:space="preserve">Total deductions</t>
  </si>
  <si>
    <t xml:space="preserve">Vacancy and letting drag</t>
  </si>
  <si>
    <t xml:space="preserve">Irrecoverable and property costs</t>
  </si>
  <si>
    <t xml:space="preserve">Management, bad debt, reserve</t>
  </si>
  <si>
    <t xml:space="preserve">Estate produces less, by</t>
  </si>
  <si>
    <t xml:space="preserve">Estate yield for the same net return</t>
  </si>
  <si>
    <t xml:space="preserve">Portfolio</t>
  </si>
  <si>
    <t xml:space="preserve">Loss on development</t>
  </si>
  <si>
    <t xml:space="preserve">10% allocation loss, share of portfolio</t>
  </si>
  <si>
    <t xml:space="preserve">20%</t>
  </si>
  <si>
    <t xml:space="preserve">30%</t>
  </si>
  <si>
    <t xml:space="preserve">Loss in money at 10%</t>
  </si>
  <si>
    <t xml:space="preserve">Chapter 18. Sell a year before the break or a year after, and the probability that decides it</t>
  </si>
  <si>
    <t xml:space="preserve">Rows 44 onward correct the chapter: its renewal costs include the six months of rent-free that the year-two rent already leaves out.</t>
  </si>
  <si>
    <t xml:space="preserve">Discount and reinvestment rate</t>
  </si>
  <si>
    <t xml:space="preserve">Void holding costs</t>
  </si>
  <si>
    <t xml:space="preserve">Months of rent in year three</t>
  </si>
  <si>
    <t xml:space="preserve">Year one</t>
  </si>
  <si>
    <t xml:space="preserve">  discounted</t>
  </si>
  <si>
    <t xml:space="preserve">Year three rent</t>
  </si>
  <si>
    <t xml:space="preserve">Reversion</t>
  </si>
  <si>
    <t xml:space="preserve">Total, gross</t>
  </si>
  <si>
    <t xml:space="preserve">Sell now, net</t>
  </si>
  <si>
    <t xml:space="preserve">Sell now and reinvest for two years</t>
  </si>
  <si>
    <t xml:space="preserve">WAIT: THE OCCUPIER RENEWS</t>
  </si>
  <si>
    <t xml:space="preserve">Renewal rent-free, months</t>
  </si>
  <si>
    <t xml:space="preserve">Renewal letting fee</t>
  </si>
  <si>
    <t xml:space="preserve">Landlord works</t>
  </si>
  <si>
    <t xml:space="preserve">Yield after renewal</t>
  </si>
  <si>
    <t xml:space="preserve">Sale, gross</t>
  </si>
  <si>
    <t xml:space="preserve">Sale, net</t>
  </si>
  <si>
    <t xml:space="preserve">Year-one rent, compounded</t>
  </si>
  <si>
    <t xml:space="preserve">Year-two rent after the rent-free</t>
  </si>
  <si>
    <t xml:space="preserve">The chapter's renewal costs (rent-free, fee, works)</t>
  </si>
  <si>
    <t xml:space="preserve">  compounded</t>
  </si>
  <si>
    <t xml:space="preserve">Wait, the chapter's arithmetic</t>
  </si>
  <si>
    <t xml:space="preserve">  worth more than selling now, as printed</t>
  </si>
  <si>
    <t xml:space="preserve">WAIT: THE OCCUPIER BREAKS</t>
  </si>
  <si>
    <t xml:space="preserve">Value-add buyer's yield</t>
  </si>
  <si>
    <t xml:space="preserve">Void, incentive and capital expenditure</t>
  </si>
  <si>
    <t xml:space="preserve">Net</t>
  </si>
  <si>
    <t xml:space="preserve">First year's rent, compounded, less holding costs</t>
  </si>
  <si>
    <t xml:space="preserve">Break branch</t>
  </si>
  <si>
    <t xml:space="preserve">Probability the occupier stays</t>
  </si>
  <si>
    <t xml:space="preserve">Expected, the chapter's arithmetic</t>
  </si>
  <si>
    <t xml:space="preserve">  against selling now</t>
  </si>
  <si>
    <t xml:space="preserve">  range</t>
  </si>
  <si>
    <t xml:space="preserve">CORRECTED: THE RENT-FREE COUNTED ONCE</t>
  </si>
  <si>
    <t xml:space="preserve">Renewal costs without the rent-free</t>
  </si>
  <si>
    <t xml:space="preserve">Wait, the occupier renews</t>
  </si>
  <si>
    <t xml:space="preserve">  worth more than selling now</t>
  </si>
  <si>
    <t xml:space="preserve">Expected outcome of waiting</t>
  </si>
  <si>
    <t xml:space="preserve">Probability of staying at which waiting ties</t>
  </si>
  <si>
    <t xml:space="preserve">Every figure the chapters print, against what this workbook computes</t>
  </si>
  <si>
    <t xml:space="preserve">Chapters 1 to 18. Tolerances follow the precision the book prints; "corrected" lines carry the figure the book should print.</t>
  </si>
  <si>
    <t xml:space="preserve">Source</t>
  </si>
  <si>
    <t xml:space="preserve">Figure as the book prints it</t>
  </si>
  <si>
    <t xml:space="preserve">Printed</t>
  </si>
  <si>
    <t xml:space="preserve">Should read</t>
  </si>
  <si>
    <t xml:space="preserve">Computed</t>
  </si>
  <si>
    <t xml:space="preserve">Variance</t>
  </si>
  <si>
    <t xml:space="preserve">Status</t>
  </si>
  <si>
    <t xml:space="preserve">Note</t>
  </si>
  <si>
    <t xml:space="preserve">Ch. 1</t>
  </si>
  <si>
    <t xml:space="preserve">Office: average a year</t>
  </si>
  <si>
    <t xml:space="preserve">Office: net income</t>
  </si>
  <si>
    <t xml:space="preserve">Warehouse: average a year</t>
  </si>
  <si>
    <t xml:space="preserve">Warehouse: net income</t>
  </si>
  <si>
    <t xml:space="preserve">Office value at 6.0 per cent</t>
  </si>
  <si>
    <t xml:space="preserve">Warehouse value at 6.0 per cent</t>
  </si>
  <si>
    <t xml:space="preserve">Value difference, "just under 48 per cent"</t>
  </si>
  <si>
    <t xml:space="preserve">Ch. 2</t>
  </si>
  <si>
    <t xml:space="preserve">Levels, A, 8.5 / 1.65</t>
  </si>
  <si>
    <t xml:space="preserve">Levels, B, 13.5 / 1.65</t>
  </si>
  <si>
    <t xml:space="preserve">Positions per level</t>
  </si>
  <si>
    <t xml:space="preserve">B holds more</t>
  </si>
  <si>
    <t xml:space="preserve">A, per position</t>
  </si>
  <si>
    <t xml:space="preserve">B at cost parity</t>
  </si>
  <si>
    <t xml:space="preserve">B, per position</t>
  </si>
  <si>
    <t xml:space="preserve">Occupier's saving</t>
  </si>
  <si>
    <t xml:space="preserve">Rent more per square meter</t>
  </si>
  <si>
    <t xml:space="preserve">Landlord's extra rent</t>
  </si>
  <si>
    <t xml:space="preserve">Ch. 3</t>
  </si>
  <si>
    <t xml:space="preserve">External, site A</t>
  </si>
  <si>
    <t xml:space="preserve">Circulation road</t>
  </si>
  <si>
    <t xml:space="preserve">Surplus</t>
  </si>
  <si>
    <t xml:space="preserve">External, site B</t>
  </si>
  <si>
    <t xml:space="preserve">Extra coverage, percentage points</t>
  </si>
  <si>
    <t xml:space="preserve">Extra building, "roughly 6,000"</t>
  </si>
  <si>
    <t xml:space="preserve">Ch. 4</t>
  </si>
  <si>
    <t xml:space="preserve">Barrier weight 30 to 15, best case for Kelbrook: Ashford still leads by</t>
  </si>
  <si>
    <t xml:space="preserve">the chapter says the answer changes at 15</t>
  </si>
  <si>
    <t xml:space="preserve">Barrier weight at which the answer would change, best case</t>
  </si>
  <si>
    <t xml:space="preserve">Ch. 5</t>
  </si>
  <si>
    <t xml:space="preserve">Property cost</t>
  </si>
  <si>
    <t xml:space="preserve">  share</t>
  </si>
  <si>
    <t xml:space="preserve">Rent up 10%</t>
  </si>
  <si>
    <t xml:space="preserve">  of total</t>
  </si>
  <si>
    <t xml:space="preserve">Transport down 4%</t>
  </si>
  <si>
    <t xml:space="preserve">  rent equivalent</t>
  </si>
  <si>
    <t xml:space="preserve">  premium</t>
  </si>
  <si>
    <t xml:space="preserve">Labor down 5%</t>
  </si>
  <si>
    <t xml:space="preserve">Energy down 20%</t>
  </si>
  <si>
    <t xml:space="preserve">Opening: 5% of the rent, "somewhere around half of one per cent" of total cost</t>
  </si>
  <si>
    <t xml:space="preserve">on the chapter's own numbers it is about a third of one per cent</t>
  </si>
  <si>
    <t xml:space="preserve">3PL: rent covered</t>
  </si>
  <si>
    <t xml:space="preserve">3PL: rent committed</t>
  </si>
  <si>
    <t xml:space="preserve">3PL: uncovered years</t>
  </si>
  <si>
    <t xml:space="preserve">Ch. 6</t>
  </si>
  <si>
    <t xml:space="preserve">Annuity factor, 10 years at 8%</t>
  </si>
  <si>
    <t xml:space="preserve">Occupier B, annual cost of moving</t>
  </si>
  <si>
    <t xml:space="preserve">the book truncates 2,682,531 and 33,991,517</t>
  </si>
  <si>
    <t xml:space="preserve">Market rent at 5.5%</t>
  </si>
  <si>
    <t xml:space="preserve">Naive value</t>
  </si>
  <si>
    <t xml:space="preserve">Annuity factor, 10 years at 7%</t>
  </si>
  <si>
    <t xml:space="preserve">Overage value</t>
  </si>
  <si>
    <t xml:space="preserve">Naive gain</t>
  </si>
  <si>
    <t xml:space="preserve">Removal cost, present value</t>
  </si>
  <si>
    <t xml:space="preserve">Ch. 7</t>
  </si>
  <si>
    <t xml:space="preserve">Urban volume</t>
  </si>
  <si>
    <t xml:space="preserve">Big box volume</t>
  </si>
  <si>
    <t xml:space="preserve">Area multiple</t>
  </si>
  <si>
    <t xml:space="preserve">Volume multiple</t>
  </si>
  <si>
    <t xml:space="preserve">Urban racked</t>
  </si>
  <si>
    <t xml:space="preserve">  per position</t>
  </si>
  <si>
    <t xml:space="preserve">Big box racked</t>
  </si>
  <si>
    <t xml:space="preserve">Storage multiple</t>
  </si>
  <si>
    <t xml:space="preserve">Time cost</t>
  </si>
  <si>
    <t xml:space="preserve">Distance cost</t>
  </si>
  <si>
    <t xml:space="preserve">Out of town rent</t>
  </si>
  <si>
    <t xml:space="preserve">Rent premium</t>
  </si>
  <si>
    <t xml:space="preserve">Ahead by</t>
  </si>
  <si>
    <t xml:space="preserve">Collectible</t>
  </si>
  <si>
    <t xml:space="preserve">After service charge</t>
  </si>
  <si>
    <t xml:space="preserve">After management</t>
  </si>
  <si>
    <t xml:space="preserve">After bad debt</t>
  </si>
  <si>
    <t xml:space="preserve">Big box fee</t>
  </si>
  <si>
    <t xml:space="preserve">Income yield</t>
  </si>
  <si>
    <t xml:space="preserve">Churn cost</t>
  </si>
  <si>
    <t xml:space="preserve">Ch. 8</t>
  </si>
  <si>
    <t xml:space="preserve">Ambient cost</t>
  </si>
  <si>
    <t xml:space="preserve">Frozen cost</t>
  </si>
  <si>
    <t xml:space="preserve">Rent needed</t>
  </si>
  <si>
    <t xml:space="preserve">  above assumed</t>
  </si>
  <si>
    <t xml:space="preserve">Conversion</t>
  </si>
  <si>
    <t xml:space="preserve">Worth less by</t>
  </si>
  <si>
    <t xml:space="preserve">Stock</t>
  </si>
  <si>
    <t xml:space="preserve">Ch. 9</t>
  </si>
  <si>
    <t xml:space="preserve">Fixed, year ten</t>
  </si>
  <si>
    <t xml:space="preserve">Fixed, total</t>
  </si>
  <si>
    <t xml:space="preserve">Low, year ten</t>
  </si>
  <si>
    <t xml:space="preserve">Low, total</t>
  </si>
  <si>
    <t xml:space="preserve">Central, year ten</t>
  </si>
  <si>
    <t xml:space="preserve">Central, total</t>
  </si>
  <si>
    <t xml:space="preserve">High, year ten</t>
  </si>
  <si>
    <t xml:space="preserve">High, total</t>
  </si>
  <si>
    <t xml:space="preserve">Uncapped, year ten</t>
  </si>
  <si>
    <t xml:space="preserve">Uncapped, total</t>
  </si>
  <si>
    <t xml:space="preserve">The cap costs</t>
  </si>
  <si>
    <t xml:space="preserve">Year-ten gap</t>
  </si>
  <si>
    <t xml:space="preserve">At 5.5 per cent</t>
  </si>
  <si>
    <t xml:space="preserve">"It cost you nearly 6 million"</t>
  </si>
  <si>
    <t xml:space="preserve">6,014,090: just over, not nearly</t>
  </si>
  <si>
    <t xml:space="preserve">Open market, years six to ten</t>
  </si>
  <si>
    <t xml:space="preserve">Open market, total</t>
  </si>
  <si>
    <t xml:space="preserve">Year-ten review</t>
  </si>
  <si>
    <t xml:space="preserve">Ch. 10</t>
  </si>
  <si>
    <t xml:space="preserve">Headline</t>
  </si>
  <si>
    <t xml:space="preserve">Incentives</t>
  </si>
  <si>
    <t xml:space="preserve">Five years of rent</t>
  </si>
  <si>
    <t xml:space="preserve">Straight-line to break</t>
  </si>
  <si>
    <t xml:space="preserve">  per sq m</t>
  </si>
  <si>
    <t xml:space="preserve">  of headline</t>
  </si>
  <si>
    <t xml:space="preserve">Ten years of rent</t>
  </si>
  <si>
    <t xml:space="preserve">Factor, year 2</t>
  </si>
  <si>
    <t xml:space="preserve">Factor, year 3</t>
  </si>
  <si>
    <t xml:space="preserve">Factor, year 4</t>
  </si>
  <si>
    <t xml:space="preserve">Factor, year 5</t>
  </si>
  <si>
    <t xml:space="preserve">Sum</t>
  </si>
  <si>
    <t xml:space="preserve">Cash incentives</t>
  </si>
  <si>
    <t xml:space="preserve">Discounted net effective</t>
  </si>
  <si>
    <t xml:space="preserve">Difference, "about 6 per cent"</t>
  </si>
  <si>
    <t xml:space="preserve">Stepped: received</t>
  </si>
  <si>
    <t xml:space="preserve">Stepped: forgone</t>
  </si>
  <si>
    <t xml:space="preserve">Stepped: per sq m</t>
  </si>
  <si>
    <t xml:space="preserve">Rent cover A, "43 per cent"</t>
  </si>
  <si>
    <t xml:space="preserve">Rent cover B, "under 10 per cent"</t>
  </si>
  <si>
    <t xml:space="preserve">New rent-free</t>
  </si>
  <si>
    <t xml:space="preserve">"roughly 2.6 times"</t>
  </si>
  <si>
    <t xml:space="preserve">Annuity, 5 years at 7%</t>
  </si>
  <si>
    <t xml:space="preserve">Overage</t>
  </si>
  <si>
    <t xml:space="preserve">Incentives to fund</t>
  </si>
  <si>
    <t xml:space="preserve">Ch. 11</t>
  </si>
  <si>
    <t xml:space="preserve">Building</t>
  </si>
  <si>
    <t xml:space="preserve">Net value</t>
  </si>
  <si>
    <t xml:space="preserve">Finance</t>
  </si>
  <si>
    <t xml:space="preserve">Cost excluding land</t>
  </si>
  <si>
    <t xml:space="preserve">Combined factor</t>
  </si>
  <si>
    <t xml:space="preserve">Per hectare</t>
  </si>
  <si>
    <t xml:space="preserve">Share of value, "about 7 per cent"</t>
  </si>
  <si>
    <t xml:space="preserve">  change</t>
  </si>
  <si>
    <t xml:space="preserve">Construction cost +5%</t>
  </si>
  <si>
    <t xml:space="preserve">Ch. 12</t>
  </si>
  <si>
    <t xml:space="preserve">Per sq m</t>
  </si>
  <si>
    <t xml:space="preserve">External and utilities</t>
  </si>
  <si>
    <t xml:space="preserve">Budget</t>
  </si>
  <si>
    <t xml:space="preserve">Construction finance</t>
  </si>
  <si>
    <t xml:space="preserve">Land finance, 28 months</t>
  </si>
  <si>
    <t xml:space="preserve">Construction finance, 18 months</t>
  </si>
  <si>
    <t xml:space="preserve">Cost rise</t>
  </si>
  <si>
    <t xml:space="preserve">Profit fall</t>
  </si>
  <si>
    <t xml:space="preserve">"absorbed most of the ground and provisional sum problem"</t>
  </si>
  <si>
    <t xml:space="preserve">1,701,300 against 1,600,000: all of it, and 101,300 of the preliminaries</t>
  </si>
  <si>
    <t xml:space="preserve">Ch. 13</t>
  </si>
  <si>
    <t xml:space="preserve">Pre-let rent</t>
  </si>
  <si>
    <t xml:space="preserve">  gross</t>
  </si>
  <si>
    <t xml:space="preserve">  top-up</t>
  </si>
  <si>
    <t xml:space="preserve">  net proceeds</t>
  </si>
  <si>
    <t xml:space="preserve">  sale fee</t>
  </si>
  <si>
    <t xml:space="preserve">  profit</t>
  </si>
  <si>
    <t xml:space="preserve">Speculative rent</t>
  </si>
  <si>
    <t xml:space="preserve">  costs</t>
  </si>
  <si>
    <t xml:space="preserve">Break-even months</t>
  </si>
  <si>
    <t xml:space="preserve">Parity months</t>
  </si>
  <si>
    <t xml:space="preserve">6 months: cost</t>
  </si>
  <si>
    <t xml:space="preserve">  return</t>
  </si>
  <si>
    <t xml:space="preserve">12 months: cost</t>
  </si>
  <si>
    <t xml:space="preserve">18 months: cost</t>
  </si>
  <si>
    <t xml:space="preserve">24 months: cost</t>
  </si>
  <si>
    <t xml:space="preserve">Expected, more confident</t>
  </si>
  <si>
    <t xml:space="preserve">  ahead of the pre-let</t>
  </si>
  <si>
    <t xml:space="preserve">  "13 per cent more"</t>
  </si>
  <si>
    <t xml:space="preserve">Ch. 14</t>
  </si>
  <si>
    <t xml:space="preserve">Reversion capitalized</t>
  </si>
  <si>
    <t xml:space="preserve">A: total</t>
  </si>
  <si>
    <t xml:space="preserve">A: rent share</t>
  </si>
  <si>
    <t xml:space="preserve">Factor 1.04^10</t>
  </si>
  <si>
    <t xml:space="preserve">Factor 1.02^10</t>
  </si>
  <si>
    <t xml:space="preserve">Other costs</t>
  </si>
  <si>
    <t xml:space="preserve">Rent saving</t>
  </si>
  <si>
    <t xml:space="preserve">Transport, year ten</t>
  </si>
  <si>
    <t xml:space="preserve">Penalty</t>
  </si>
  <si>
    <t xml:space="preserve">  today</t>
  </si>
  <si>
    <t xml:space="preserve">B: total</t>
  </si>
  <si>
    <t xml:space="preserve">B: rent share</t>
  </si>
  <si>
    <t xml:space="preserve">B: increase</t>
  </si>
  <si>
    <t xml:space="preserve">  "roughly 9 per cent"</t>
  </si>
  <si>
    <t xml:space="preserve">YP 6 years at 6%</t>
  </si>
  <si>
    <t xml:space="preserve">Deferment 6 years</t>
  </si>
  <si>
    <t xml:space="preserve">1%, 4.75%</t>
  </si>
  <si>
    <t xml:space="preserve">1%, 5.25%</t>
  </si>
  <si>
    <t xml:space="preserve">1%, 5.75%</t>
  </si>
  <si>
    <t xml:space="preserve">2%, 4.75%</t>
  </si>
  <si>
    <t xml:space="preserve">2%, 5.25%</t>
  </si>
  <si>
    <t xml:space="preserve">2%, 5.75%</t>
  </si>
  <si>
    <t xml:space="preserve">3%, 4.75%</t>
  </si>
  <si>
    <t xml:space="preserve">3%, 5.25%</t>
  </si>
  <si>
    <t xml:space="preserve">3%, 5.75%</t>
  </si>
  <si>
    <t xml:space="preserve">Exit 50 bp out</t>
  </si>
  <si>
    <t xml:space="preserve">  %</t>
  </si>
  <si>
    <t xml:space="preserve">Year five at 2%</t>
  </si>
  <si>
    <t xml:space="preserve">Year five at 1%</t>
  </si>
  <si>
    <t xml:space="preserve">Value at 2%</t>
  </si>
  <si>
    <t xml:space="preserve">Value at 1%</t>
  </si>
  <si>
    <t xml:space="preserve">At 5.75%</t>
  </si>
  <si>
    <t xml:space="preserve">Ch. 15</t>
  </si>
  <si>
    <t xml:space="preserve">Called</t>
  </si>
  <si>
    <t xml:space="preserve">Capex</t>
  </si>
  <si>
    <t xml:space="preserve">Fee</t>
  </si>
  <si>
    <t xml:space="preserve">Exit gross</t>
  </si>
  <si>
    <t xml:space="preserve">Exit net</t>
  </si>
  <si>
    <t xml:space="preserve">Factors 1-4</t>
  </si>
  <si>
    <t xml:space="preserve">Years 1-4</t>
  </si>
  <si>
    <t xml:space="preserve">Year 5</t>
  </si>
  <si>
    <t xml:space="preserve">Year 6</t>
  </si>
  <si>
    <t xml:space="preserve">Factors 7-10</t>
  </si>
  <si>
    <t xml:space="preserve">Years 7-10</t>
  </si>
  <si>
    <t xml:space="preserve">Cleared land</t>
  </si>
  <si>
    <t xml:space="preserve">Depreciation</t>
  </si>
  <si>
    <t xml:space="preserve">  of rent</t>
  </si>
  <si>
    <t xml:space="preserve">Ch. 16</t>
  </si>
  <si>
    <t xml:space="preserve">Liability</t>
  </si>
  <si>
    <t xml:space="preserve">YP 25 years at 7%</t>
  </si>
  <si>
    <t xml:space="preserve">Income</t>
  </si>
  <si>
    <t xml:space="preserve">Factor year 12</t>
  </si>
  <si>
    <t xml:space="preserve">Liability PV</t>
  </si>
  <si>
    <t xml:space="preserve">The chapter's net contribution, on its method</t>
  </si>
  <si>
    <t xml:space="preserve">Factor year 8</t>
  </si>
  <si>
    <t xml:space="preserve">Eight-year liability</t>
  </si>
  <si>
    <t xml:space="preserve">"over a million"</t>
  </si>
  <si>
    <t xml:space="preserve">the recovering is due with or without the array</t>
  </si>
  <si>
    <t xml:space="preserve">The mismatch, share of the income: "roughly half"</t>
  </si>
  <si>
    <t xml:space="preserve">12 per cent</t>
  </si>
  <si>
    <t xml:space="preserve">Eight-year roof: net contribution</t>
  </si>
  <si>
    <t xml:space="preserve">Ch. 17</t>
  </si>
  <si>
    <t xml:space="preserve">Normal year</t>
  </si>
  <si>
    <t xml:space="preserve">  </t>
  </si>
  <si>
    <t xml:space="preserve">Event</t>
  </si>
  <si>
    <t xml:space="preserve">Long-run net</t>
  </si>
  <si>
    <t xml:space="preserve">Service charge</t>
  </si>
  <si>
    <t xml:space="preserve">Collected</t>
  </si>
  <si>
    <t xml:space="preserve">Deductions</t>
  </si>
  <si>
    <t xml:space="preserve">Drag</t>
  </si>
  <si>
    <t xml:space="preserve">Irrecoverable</t>
  </si>
  <si>
    <t xml:space="preserve">Management etc.</t>
  </si>
  <si>
    <t xml:space="preserve">Estate yield</t>
  </si>
  <si>
    <t xml:space="preserve">Development loss</t>
  </si>
  <si>
    <t xml:space="preserve">  of portfolio</t>
  </si>
  <si>
    <t xml:space="preserve">  at 20%</t>
  </si>
  <si>
    <t xml:space="preserve">  at 30%</t>
  </si>
  <si>
    <t xml:space="preserve">Ch. 18</t>
  </si>
  <si>
    <t xml:space="preserve">Year three</t>
  </si>
  <si>
    <t xml:space="preserve">Sell now and reinvest</t>
  </si>
  <si>
    <t xml:space="preserve">32,261,241 x 1.1449 is 36,935,895, not 36,933,913</t>
  </si>
  <si>
    <t xml:space="preserve">Year-one rent compounded</t>
  </si>
  <si>
    <t xml:space="preserve">Renewal costs</t>
  </si>
  <si>
    <t xml:space="preserve">Year two after rent-free</t>
  </si>
  <si>
    <t xml:space="preserve">Wait, as the chapter adds it</t>
  </si>
  <si>
    <t xml:space="preserve">Break branch, gross</t>
  </si>
  <si>
    <t xml:space="preserve">  first year less holding</t>
  </si>
  <si>
    <t xml:space="preserve">the six months of rent-free were deducted twice</t>
  </si>
  <si>
    <t xml:space="preserve">Waiting worth more, renewal</t>
  </si>
  <si>
    <t xml:space="preserve">  per cent</t>
  </si>
  <si>
    <t xml:space="preserve">4.3 per cent, not 2.2</t>
  </si>
  <si>
    <t xml:space="preserve">Range</t>
  </si>
  <si>
    <t xml:space="preserve">Lines reproduced within the book's own printed precision</t>
  </si>
  <si>
    <t xml:space="preserve">Lines differing only by the book's rounding of an intermediate</t>
  </si>
  <si>
    <t xml:space="preserve">Lines where the book is wrong, with the figure it should print</t>
  </si>
  <si>
    <t xml:space="preserve">Lines to check</t>
  </si>
  <si>
    <t xml:space="preserve">All checks</t>
  </si>
</sst>
</file>

<file path=xl/styles.xml><?xml version="1.0" encoding="utf-8"?>
<styleSheet xmlns="http://schemas.openxmlformats.org/spreadsheetml/2006/main">
  <numFmts count="11">
    <numFmt numFmtId="164" formatCode="General"/>
    <numFmt numFmtId="165" formatCode="#,##0"/>
    <numFmt numFmtId="166" formatCode="0"/>
    <numFmt numFmtId="167" formatCode="0.0%"/>
    <numFmt numFmtId="168" formatCode="0.0"/>
    <numFmt numFmtId="169" formatCode="0.00"/>
    <numFmt numFmtId="170" formatCode="#,##0.00"/>
    <numFmt numFmtId="171" formatCode="0.00%"/>
    <numFmt numFmtId="172" formatCode="0.0000"/>
    <numFmt numFmtId="173" formatCode="0.000000"/>
    <numFmt numFmtId="174" formatCode="0%"/>
  </numFmts>
  <fonts count="13">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sz val="10"/>
      <color rgb="FF595959"/>
      <name val="Arial"/>
      <family val="0"/>
      <charset val="1"/>
    </font>
    <font>
      <b val="true"/>
      <sz val="10"/>
      <color rgb="FF8C5A00"/>
      <name val="Arial"/>
      <family val="0"/>
      <charset val="1"/>
    </font>
    <font>
      <sz val="10"/>
      <name val="Arial"/>
      <family val="0"/>
      <charset val="1"/>
    </font>
    <font>
      <sz val="10"/>
      <color rgb="FF0000FF"/>
      <name val="Arial"/>
      <family val="0"/>
      <charset val="1"/>
    </font>
    <font>
      <b val="true"/>
      <sz val="10"/>
      <name val="Arial"/>
      <family val="0"/>
      <charset val="1"/>
    </font>
    <font>
      <b val="true"/>
      <sz val="10"/>
      <color rgb="FFFFFFFF"/>
      <name val="Arial"/>
      <family val="0"/>
      <charset val="1"/>
    </font>
    <font>
      <sz val="9"/>
      <color rgb="FF595959"/>
      <name val="Arial"/>
      <family val="0"/>
      <charset val="1"/>
    </font>
    <font>
      <sz val="10"/>
      <color rgb="FF008000"/>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70" fontId="8" fillId="2"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1" fontId="8" fillId="2" borderId="0" xfId="0" applyFont="true" applyBorder="fals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2"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74" fontId="8" fillId="2" borderId="0" xfId="0" applyFont="true" applyBorder="false" applyAlignment="false" applyProtection="false">
      <alignment horizontal="general" vertical="bottom" textRotation="0" wrapText="false" indent="0" shrinkToFit="false"/>
      <protection locked="true" hidden="false"/>
    </xf>
    <xf numFmtId="174" fontId="8"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5" fontId="8" fillId="4" borderId="0" xfId="0" applyFont="true" applyBorder="false" applyAlignment="false" applyProtection="false">
      <alignment horizontal="general" vertical="bottom" textRotation="0" wrapText="false" indent="0" shrinkToFit="false"/>
      <protection locked="true" hidden="false"/>
    </xf>
    <xf numFmtId="165" fontId="12"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4" fontId="11" fillId="4" borderId="0" xfId="0" applyFont="true" applyBorder="false" applyAlignment="true" applyProtection="false">
      <alignment horizontal="general" vertical="top" textRotation="0" wrapText="tru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8" fontId="8" fillId="4" borderId="0" xfId="0" applyFont="true" applyBorder="false" applyAlignment="false" applyProtection="false">
      <alignment horizontal="general" vertical="bottom" textRotation="0" wrapText="false" indent="0" shrinkToFit="false"/>
      <protection locked="true" hidden="false"/>
    </xf>
    <xf numFmtId="168" fontId="12"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8" fontId="12" fillId="0" borderId="0" xfId="0" applyFont="true" applyBorder="false" applyAlignment="false" applyProtection="false">
      <alignment horizontal="general" vertical="bottom" textRotation="0" wrapText="false" indent="0" shrinkToFit="false"/>
      <protection locked="true" hidden="false"/>
    </xf>
    <xf numFmtId="169" fontId="8" fillId="4" borderId="0" xfId="0" applyFont="true" applyBorder="false" applyAlignment="false" applyProtection="false">
      <alignment horizontal="general" vertical="bottom" textRotation="0" wrapText="false" indent="0" shrinkToFit="false"/>
      <protection locked="true" hidden="false"/>
    </xf>
    <xf numFmtId="169" fontId="12"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9" fontId="12" fillId="0" borderId="0" xfId="0" applyFont="true" applyBorder="false" applyAlignment="false" applyProtection="false">
      <alignment horizontal="general" vertical="bottom" textRotation="0" wrapText="false" indent="0" shrinkToFit="false"/>
      <protection locked="true" hidden="false"/>
    </xf>
    <xf numFmtId="167" fontId="8" fillId="4" borderId="0" xfId="0" applyFont="true" applyBorder="false" applyAlignment="false" applyProtection="false">
      <alignment horizontal="general" vertical="bottom" textRotation="0" wrapText="false" indent="0" shrinkToFit="false"/>
      <protection locked="true" hidden="false"/>
    </xf>
    <xf numFmtId="167" fontId="12"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0" fontId="8" fillId="4" borderId="0" xfId="0" applyFont="true" applyBorder="false" applyAlignment="false" applyProtection="false">
      <alignment horizontal="general" vertical="bottom" textRotation="0" wrapText="false" indent="0" shrinkToFit="false"/>
      <protection locked="true" hidden="false"/>
    </xf>
    <xf numFmtId="170" fontId="12"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6" fontId="8" fillId="4" borderId="0" xfId="0" applyFont="true" applyBorder="false" applyAlignment="false" applyProtection="false">
      <alignment horizontal="general" vertical="bottom" textRotation="0" wrapText="false" indent="0" shrinkToFit="false"/>
      <protection locked="true" hidden="false"/>
    </xf>
    <xf numFmtId="166" fontId="12"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71" fontId="12" fillId="0" borderId="0" xfId="0" applyFont="true" applyBorder="false" applyAlignment="false" applyProtection="false">
      <alignment horizontal="general" vertical="bottom" textRotation="0" wrapText="false" indent="0" shrinkToFit="false"/>
      <protection locked="true" hidden="false"/>
    </xf>
    <xf numFmtId="171" fontId="8" fillId="4" borderId="0" xfId="0" applyFont="true" applyBorder="false" applyAlignment="false" applyProtection="false">
      <alignment horizontal="general" vertical="bottom" textRotation="0" wrapText="false" indent="0" shrinkToFit="false"/>
      <protection locked="true" hidden="false"/>
    </xf>
    <xf numFmtId="171" fontId="12"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72" fontId="8" fillId="4" borderId="0" xfId="0" applyFont="true" applyBorder="false" applyAlignment="false" applyProtection="false">
      <alignment horizontal="general" vertical="bottom" textRotation="0" wrapText="false" indent="0" shrinkToFit="false"/>
      <protection locked="true" hidden="false"/>
    </xf>
    <xf numFmtId="172" fontId="12"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0" fontId="12" fillId="0" borderId="0" xfId="0" applyFont="true" applyBorder="false" applyAlignment="false" applyProtection="false">
      <alignment horizontal="general" vertical="bottom" textRotation="0" wrapText="false" indent="0" shrinkToFit="false"/>
      <protection locked="true" hidden="false"/>
    </xf>
    <xf numFmtId="173" fontId="8" fillId="0" borderId="0" xfId="0" applyFont="true" applyBorder="false" applyAlignment="false" applyProtection="false">
      <alignment horizontal="general" vertical="bottom" textRotation="0" wrapText="false" indent="0" shrinkToFit="false"/>
      <protection locked="true" hidden="false"/>
    </xf>
    <xf numFmtId="173" fontId="12" fillId="0" borderId="0" xfId="0" applyFont="true" applyBorder="false" applyAlignment="false" applyProtection="false">
      <alignment horizontal="general" vertical="bottom" textRotation="0" wrapText="false" indent="0" shrinkToFit="false"/>
      <protection locked="true" hidden="false"/>
    </xf>
    <xf numFmtId="173" fontId="8" fillId="4" borderId="0" xfId="0" applyFont="true" applyBorder="false" applyAlignment="false" applyProtection="false">
      <alignment horizontal="general" vertical="bottom" textRotation="0" wrapText="false" indent="0" shrinkToFit="false"/>
      <protection locked="true" hidden="false"/>
    </xf>
    <xf numFmtId="173" fontId="12"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2"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2" t="s">
        <v>2</v>
      </c>
    </row>
    <row r="6" customFormat="false" ht="15" hidden="false" customHeight="false" outlineLevel="0" collapsed="false">
      <c r="B6" s="3" t="s">
        <v>3</v>
      </c>
    </row>
    <row r="7" customFormat="false" ht="39" hidden="false" customHeight="true" outlineLevel="0" collapsed="false">
      <c r="B7" s="4" t="s">
        <v>4</v>
      </c>
    </row>
    <row r="9" customFormat="false" ht="15" hidden="false" customHeight="false" outlineLevel="0" collapsed="false">
      <c r="B9" s="3" t="s">
        <v>5</v>
      </c>
    </row>
    <row r="10" customFormat="false" ht="51.75" hidden="false" customHeight="true" outlineLevel="0" collapsed="false">
      <c r="B10" s="4" t="s">
        <v>6</v>
      </c>
    </row>
    <row r="12" customFormat="false" ht="15" hidden="false" customHeight="false" outlineLevel="0" collapsed="false">
      <c r="B12" s="3" t="s">
        <v>7</v>
      </c>
    </row>
    <row r="13" customFormat="false" ht="78" hidden="false" customHeight="true" outlineLevel="0" collapsed="false">
      <c r="B13" s="4" t="s">
        <v>8</v>
      </c>
    </row>
    <row r="15" customFormat="false" ht="15" hidden="false" customHeight="false" outlineLevel="0" collapsed="false">
      <c r="B15" s="3" t="s">
        <v>9</v>
      </c>
    </row>
    <row r="16" customFormat="false" ht="39" hidden="false" customHeight="true" outlineLevel="0" collapsed="false">
      <c r="B16" s="4" t="s">
        <v>10</v>
      </c>
    </row>
    <row r="18" customFormat="false" ht="15" hidden="false" customHeight="false" outlineLevel="0" collapsed="false">
      <c r="B18" s="2"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12</v>
      </c>
    </row>
    <row r="2" customFormat="false" ht="15" hidden="false" customHeight="false" outlineLevel="0" collapsed="false">
      <c r="A2" s="2" t="s">
        <v>13</v>
      </c>
    </row>
    <row r="5" customFormat="false" ht="15" hidden="false" customHeight="false" outlineLevel="0" collapsed="false">
      <c r="A5" s="3" t="s">
        <v>14</v>
      </c>
    </row>
    <row r="6" customFormat="false" ht="15" hidden="false" customHeight="false" outlineLevel="0" collapsed="false">
      <c r="A6" s="5" t="s">
        <v>15</v>
      </c>
      <c r="B6" s="6" t="n">
        <v>1000000</v>
      </c>
    </row>
    <row r="7" customFormat="false" ht="15" hidden="false" customHeight="false" outlineLevel="0" collapsed="false">
      <c r="A7" s="5" t="s">
        <v>16</v>
      </c>
      <c r="B7" s="7" t="n">
        <v>10</v>
      </c>
    </row>
    <row r="8" customFormat="false" ht="15" hidden="false" customHeight="false" outlineLevel="0" collapsed="false">
      <c r="A8" s="5" t="s">
        <v>17</v>
      </c>
      <c r="B8" s="8" t="n">
        <v>0.06</v>
      </c>
    </row>
    <row r="9" customFormat="false" ht="15" hidden="false" customHeight="false" outlineLevel="0" collapsed="false">
      <c r="A9" s="5" t="s">
        <v>18</v>
      </c>
      <c r="B9" s="6" t="n">
        <v>1400000</v>
      </c>
    </row>
    <row r="10" customFormat="false" ht="15" hidden="false" customHeight="false" outlineLevel="0" collapsed="false">
      <c r="A10" s="5" t="s">
        <v>19</v>
      </c>
      <c r="B10" s="6" t="n">
        <v>900000</v>
      </c>
    </row>
    <row r="11" customFormat="false" ht="15" hidden="false" customHeight="false" outlineLevel="0" collapsed="false">
      <c r="A11" s="5" t="s">
        <v>20</v>
      </c>
      <c r="B11" s="6" t="n">
        <v>600000</v>
      </c>
    </row>
    <row r="12" customFormat="false" ht="15" hidden="false" customHeight="false" outlineLevel="0" collapsed="false">
      <c r="A12" s="5" t="s">
        <v>21</v>
      </c>
      <c r="B12" s="6" t="n">
        <v>600000</v>
      </c>
    </row>
    <row r="13" customFormat="false" ht="15" hidden="false" customHeight="false" outlineLevel="0" collapsed="false">
      <c r="A13" s="5" t="s">
        <v>22</v>
      </c>
      <c r="B13" s="6" t="n">
        <v>300000</v>
      </c>
    </row>
    <row r="14" customFormat="false" ht="15" hidden="false" customHeight="false" outlineLevel="0" collapsed="false">
      <c r="A14" s="5" t="s">
        <v>23</v>
      </c>
      <c r="B14" s="6" t="n">
        <v>100000</v>
      </c>
    </row>
    <row r="16" customFormat="false" ht="15" hidden="false" customHeight="false" outlineLevel="0" collapsed="false">
      <c r="A16" s="3" t="s">
        <v>24</v>
      </c>
    </row>
    <row r="17" customFormat="false" ht="15" hidden="false" customHeight="false" outlineLevel="0" collapsed="false">
      <c r="A17" s="5" t="s">
        <v>25</v>
      </c>
      <c r="B17" s="9" t="n">
        <f aca="false">B9+B10+B11+B12</f>
        <v>3500000</v>
      </c>
    </row>
    <row r="18" customFormat="false" ht="15" hidden="false" customHeight="false" outlineLevel="0" collapsed="false">
      <c r="A18" s="5" t="s">
        <v>26</v>
      </c>
      <c r="B18" s="9" t="n">
        <f aca="false">B17/B7</f>
        <v>350000</v>
      </c>
    </row>
    <row r="19" customFormat="false" ht="15" hidden="false" customHeight="false" outlineLevel="0" collapsed="false">
      <c r="A19" s="10" t="s">
        <v>27</v>
      </c>
      <c r="B19" s="11" t="n">
        <f aca="false">B6-B18</f>
        <v>650000</v>
      </c>
    </row>
    <row r="20" customFormat="false" ht="15" hidden="false" customHeight="false" outlineLevel="0" collapsed="false">
      <c r="A20" s="5" t="s">
        <v>28</v>
      </c>
      <c r="B20" s="9" t="n">
        <f aca="false">B13+B14</f>
        <v>400000</v>
      </c>
    </row>
    <row r="21" customFormat="false" ht="15" hidden="false" customHeight="false" outlineLevel="0" collapsed="false">
      <c r="A21" s="5" t="s">
        <v>26</v>
      </c>
      <c r="B21" s="9" t="n">
        <f aca="false">B20/B7</f>
        <v>40000</v>
      </c>
    </row>
    <row r="22" customFormat="false" ht="15" hidden="false" customHeight="false" outlineLevel="0" collapsed="false">
      <c r="A22" s="10" t="s">
        <v>29</v>
      </c>
      <c r="B22" s="11" t="n">
        <f aca="false">B6-B21</f>
        <v>960000</v>
      </c>
    </row>
    <row r="23" customFormat="false" ht="15" hidden="false" customHeight="false" outlineLevel="0" collapsed="false">
      <c r="A23" s="5" t="s">
        <v>30</v>
      </c>
      <c r="B23" s="9" t="n">
        <f aca="false">B19/B8</f>
        <v>10833333.3333333</v>
      </c>
    </row>
    <row r="24" customFormat="false" ht="15" hidden="false" customHeight="false" outlineLevel="0" collapsed="false">
      <c r="A24" s="5" t="s">
        <v>31</v>
      </c>
      <c r="B24" s="9" t="n">
        <f aca="false">B22/B8</f>
        <v>16000000</v>
      </c>
    </row>
    <row r="25" customFormat="false" ht="15" hidden="false" customHeight="false" outlineLevel="0" collapsed="false">
      <c r="A25" s="10" t="s">
        <v>32</v>
      </c>
      <c r="B25" s="12" t="n">
        <f aca="false">B24/B23-1</f>
        <v>0.476923076923077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33</v>
      </c>
    </row>
    <row r="2" customFormat="false" ht="15" hidden="false" customHeight="false" outlineLevel="0" collapsed="false">
      <c r="A2" s="2" t="s">
        <v>34</v>
      </c>
    </row>
    <row r="5" customFormat="false" ht="15" hidden="false" customHeight="false" outlineLevel="0" collapsed="false">
      <c r="A5" s="3" t="s">
        <v>35</v>
      </c>
    </row>
    <row r="6" customFormat="false" ht="15" hidden="false" customHeight="false" outlineLevel="0" collapsed="false">
      <c r="A6" s="5" t="s">
        <v>36</v>
      </c>
      <c r="B6" s="6" t="n">
        <v>20000</v>
      </c>
    </row>
    <row r="7" customFormat="false" ht="15" hidden="false" customHeight="false" outlineLevel="0" collapsed="false">
      <c r="A7" s="5" t="s">
        <v>37</v>
      </c>
      <c r="B7" s="13" t="n">
        <v>10</v>
      </c>
    </row>
    <row r="8" customFormat="false" ht="15" hidden="false" customHeight="false" outlineLevel="0" collapsed="false">
      <c r="A8" s="5" t="s">
        <v>38</v>
      </c>
      <c r="B8" s="13" t="n">
        <v>15</v>
      </c>
    </row>
    <row r="9" customFormat="false" ht="15" hidden="false" customHeight="false" outlineLevel="0" collapsed="false">
      <c r="A9" s="5" t="s">
        <v>39</v>
      </c>
      <c r="B9" s="13" t="n">
        <v>1.5</v>
      </c>
    </row>
    <row r="10" customFormat="false" ht="15" hidden="false" customHeight="false" outlineLevel="0" collapsed="false">
      <c r="A10" s="5" t="s">
        <v>40</v>
      </c>
      <c r="B10" s="14" t="n">
        <v>1.65</v>
      </c>
    </row>
    <row r="11" customFormat="false" ht="15" hidden="false" customHeight="false" outlineLevel="0" collapsed="false">
      <c r="A11" s="5" t="s">
        <v>41</v>
      </c>
      <c r="B11" s="8" t="n">
        <v>0.7</v>
      </c>
    </row>
    <row r="12" customFormat="false" ht="15" hidden="false" customHeight="false" outlineLevel="0" collapsed="false">
      <c r="A12" s="5" t="s">
        <v>42</v>
      </c>
      <c r="B12" s="14" t="n">
        <v>0.42</v>
      </c>
    </row>
    <row r="13" customFormat="false" ht="15" hidden="false" customHeight="false" outlineLevel="0" collapsed="false">
      <c r="A13" s="5" t="s">
        <v>43</v>
      </c>
      <c r="B13" s="6" t="n">
        <v>5800</v>
      </c>
    </row>
    <row r="14" customFormat="false" ht="15" hidden="false" customHeight="false" outlineLevel="0" collapsed="false">
      <c r="A14" s="5" t="s">
        <v>44</v>
      </c>
      <c r="B14" s="15" t="n">
        <v>90</v>
      </c>
    </row>
    <row r="15" customFormat="false" ht="15" hidden="false" customHeight="false" outlineLevel="0" collapsed="false">
      <c r="A15" s="5" t="s">
        <v>45</v>
      </c>
      <c r="B15" s="15" t="n">
        <v>105</v>
      </c>
    </row>
    <row r="17" customFormat="false" ht="15" hidden="false" customHeight="false" outlineLevel="0" collapsed="false">
      <c r="A17" s="3" t="s">
        <v>46</v>
      </c>
    </row>
    <row r="18" customFormat="false" ht="15" hidden="false" customHeight="false" outlineLevel="0" collapsed="false">
      <c r="A18" s="5" t="s">
        <v>47</v>
      </c>
      <c r="B18" s="16" t="n">
        <f aca="false">B7-B9</f>
        <v>8.5</v>
      </c>
    </row>
    <row r="19" customFormat="false" ht="15" hidden="false" customHeight="false" outlineLevel="0" collapsed="false">
      <c r="A19" s="5" t="s">
        <v>48</v>
      </c>
      <c r="B19" s="16" t="n">
        <f aca="false">B8-B9</f>
        <v>13.5</v>
      </c>
    </row>
    <row r="20" customFormat="false" ht="15" hidden="false" customHeight="false" outlineLevel="0" collapsed="false">
      <c r="A20" s="5" t="s">
        <v>49</v>
      </c>
      <c r="B20" s="16" t="n">
        <f aca="false">B18/B10</f>
        <v>5.15151515151515</v>
      </c>
    </row>
    <row r="21" customFormat="false" ht="15" hidden="false" customHeight="false" outlineLevel="0" collapsed="false">
      <c r="A21" s="5" t="s">
        <v>50</v>
      </c>
      <c r="B21" s="16" t="n">
        <f aca="false">B19/B10</f>
        <v>8.18181818181818</v>
      </c>
    </row>
    <row r="22" customFormat="false" ht="15" hidden="false" customHeight="false" outlineLevel="0" collapsed="false">
      <c r="A22" s="5" t="s">
        <v>51</v>
      </c>
      <c r="B22" s="17" t="n">
        <f aca="false">INT(B20)</f>
        <v>5</v>
      </c>
    </row>
    <row r="23" customFormat="false" ht="15" hidden="false" customHeight="false" outlineLevel="0" collapsed="false">
      <c r="A23" s="5" t="s">
        <v>52</v>
      </c>
      <c r="B23" s="17" t="n">
        <f aca="false">INT(B21)</f>
        <v>8</v>
      </c>
    </row>
    <row r="24" customFormat="false" ht="15" hidden="false" customHeight="false" outlineLevel="0" collapsed="false">
      <c r="A24" s="5" t="s">
        <v>53</v>
      </c>
      <c r="B24" s="9" t="n">
        <f aca="false">B6*B11</f>
        <v>14000</v>
      </c>
    </row>
    <row r="25" customFormat="false" ht="15" hidden="false" customHeight="false" outlineLevel="0" collapsed="false">
      <c r="A25" s="5" t="s">
        <v>54</v>
      </c>
      <c r="B25" s="9" t="n">
        <f aca="false">B24*B12</f>
        <v>5880</v>
      </c>
    </row>
    <row r="26" customFormat="false" ht="15" hidden="false" customHeight="false" outlineLevel="0" collapsed="false">
      <c r="A26" s="5" t="s">
        <v>55</v>
      </c>
      <c r="B26" s="9" t="n">
        <f aca="false">B22*B13</f>
        <v>29000</v>
      </c>
    </row>
    <row r="27" customFormat="false" ht="15" hidden="false" customHeight="false" outlineLevel="0" collapsed="false">
      <c r="A27" s="5" t="s">
        <v>56</v>
      </c>
      <c r="B27" s="9" t="n">
        <f aca="false">B23*B13</f>
        <v>46400</v>
      </c>
    </row>
    <row r="28" customFormat="false" ht="15" hidden="false" customHeight="false" outlineLevel="0" collapsed="false">
      <c r="A28" s="5" t="s">
        <v>57</v>
      </c>
      <c r="B28" s="18" t="n">
        <f aca="false">B27/B26-1</f>
        <v>0.6</v>
      </c>
    </row>
    <row r="30" customFormat="false" ht="15" hidden="false" customHeight="false" outlineLevel="0" collapsed="false">
      <c r="A30" s="3" t="s">
        <v>58</v>
      </c>
    </row>
    <row r="31" customFormat="false" ht="15" hidden="false" customHeight="false" outlineLevel="0" collapsed="false">
      <c r="A31" s="5" t="s">
        <v>59</v>
      </c>
      <c r="B31" s="9" t="n">
        <f aca="false">B14*B6</f>
        <v>1800000</v>
      </c>
    </row>
    <row r="32" customFormat="false" ht="15" hidden="false" customHeight="false" outlineLevel="0" collapsed="false">
      <c r="A32" s="5" t="s">
        <v>60</v>
      </c>
      <c r="B32" s="19" t="n">
        <f aca="false">B31/B26</f>
        <v>62.0689655172414</v>
      </c>
    </row>
    <row r="33" customFormat="false" ht="15" hidden="false" customHeight="false" outlineLevel="0" collapsed="false">
      <c r="A33" s="5" t="s">
        <v>61</v>
      </c>
      <c r="B33" s="9" t="n">
        <f aca="false">B27*B32</f>
        <v>2880000</v>
      </c>
    </row>
    <row r="34" customFormat="false" ht="15" hidden="false" customHeight="false" outlineLevel="0" collapsed="false">
      <c r="A34" s="5" t="s">
        <v>62</v>
      </c>
      <c r="B34" s="19" t="n">
        <f aca="false">B33/B6</f>
        <v>144</v>
      </c>
    </row>
    <row r="35" customFormat="false" ht="15" hidden="false" customHeight="false" outlineLevel="0" collapsed="false">
      <c r="A35" s="5" t="s">
        <v>63</v>
      </c>
      <c r="B35" s="9" t="n">
        <f aca="false">B15*B6</f>
        <v>2100000</v>
      </c>
    </row>
    <row r="36" customFormat="false" ht="15" hidden="false" customHeight="false" outlineLevel="0" collapsed="false">
      <c r="A36" s="5" t="s">
        <v>64</v>
      </c>
      <c r="B36" s="19" t="n">
        <f aca="false">B35/B27</f>
        <v>45.2586206896552</v>
      </c>
    </row>
    <row r="37" customFormat="false" ht="15" hidden="false" customHeight="false" outlineLevel="0" collapsed="false">
      <c r="A37" s="10" t="s">
        <v>65</v>
      </c>
      <c r="B37" s="12" t="n">
        <f aca="false">1-B36/B32</f>
        <v>0.270833333333333</v>
      </c>
    </row>
    <row r="38" customFormat="false" ht="15" hidden="false" customHeight="false" outlineLevel="0" collapsed="false">
      <c r="A38" s="5" t="s">
        <v>66</v>
      </c>
      <c r="B38" s="18" t="n">
        <f aca="false">B15/B14-1</f>
        <v>0.166666666666667</v>
      </c>
    </row>
    <row r="39" customFormat="false" ht="15" hidden="false" customHeight="false" outlineLevel="0" collapsed="false">
      <c r="A39" s="5" t="s">
        <v>67</v>
      </c>
      <c r="B39" s="9" t="n">
        <f aca="false">B35-B31</f>
        <v>300000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68</v>
      </c>
    </row>
    <row r="2" customFormat="false" ht="15" hidden="false" customHeight="false" outlineLevel="0" collapsed="false">
      <c r="A2" s="2"/>
    </row>
    <row r="5" customFormat="false" ht="15" hidden="false" customHeight="false" outlineLevel="0" collapsed="false">
      <c r="A5" s="3" t="s">
        <v>69</v>
      </c>
    </row>
    <row r="6" customFormat="false" ht="15" hidden="false" customHeight="false" outlineLevel="0" collapsed="false">
      <c r="A6" s="5" t="s">
        <v>70</v>
      </c>
      <c r="B6" s="6" t="n">
        <v>16000</v>
      </c>
    </row>
    <row r="7" customFormat="false" ht="15" hidden="false" customHeight="false" outlineLevel="0" collapsed="false">
      <c r="A7" s="5" t="s">
        <v>71</v>
      </c>
      <c r="B7" s="6" t="n">
        <v>160</v>
      </c>
    </row>
    <row r="8" customFormat="false" ht="15" hidden="false" customHeight="false" outlineLevel="0" collapsed="false">
      <c r="A8" s="5" t="s">
        <v>72</v>
      </c>
      <c r="B8" s="6" t="n">
        <v>520</v>
      </c>
    </row>
    <row r="9" customFormat="false" ht="15" hidden="false" customHeight="false" outlineLevel="0" collapsed="false">
      <c r="A9" s="5" t="s">
        <v>73</v>
      </c>
      <c r="B9" s="6" t="n">
        <v>40000</v>
      </c>
    </row>
    <row r="10" customFormat="false" ht="15" hidden="false" customHeight="false" outlineLevel="0" collapsed="false">
      <c r="A10" s="5" t="s">
        <v>74</v>
      </c>
      <c r="B10" s="6" t="n">
        <v>29000</v>
      </c>
    </row>
    <row r="12" customFormat="false" ht="15" hidden="false" customHeight="false" outlineLevel="0" collapsed="false">
      <c r="A12" s="3" t="s">
        <v>75</v>
      </c>
    </row>
    <row r="13" customFormat="false" ht="15" hidden="false" customHeight="false" outlineLevel="0" collapsed="false">
      <c r="A13" s="5" t="s">
        <v>76</v>
      </c>
      <c r="B13" s="7" t="n">
        <v>35</v>
      </c>
    </row>
    <row r="14" customFormat="false" ht="15" hidden="false" customHeight="false" outlineLevel="0" collapsed="false">
      <c r="A14" s="5" t="s">
        <v>77</v>
      </c>
      <c r="B14" s="7" t="n">
        <v>40</v>
      </c>
    </row>
    <row r="15" customFormat="false" ht="15" hidden="false" customHeight="false" outlineLevel="0" collapsed="false">
      <c r="A15" s="5" t="s">
        <v>78</v>
      </c>
      <c r="B15" s="7" t="n">
        <v>55</v>
      </c>
    </row>
    <row r="16" customFormat="false" ht="15" hidden="false" customHeight="false" outlineLevel="0" collapsed="false">
      <c r="A16" s="5" t="s">
        <v>79</v>
      </c>
      <c r="B16" s="7" t="n">
        <v>250</v>
      </c>
    </row>
    <row r="17" customFormat="false" ht="15" hidden="false" customHeight="false" outlineLevel="0" collapsed="false">
      <c r="A17" s="5" t="s">
        <v>80</v>
      </c>
      <c r="B17" s="7" t="n">
        <v>25</v>
      </c>
    </row>
    <row r="18" customFormat="false" ht="15" hidden="false" customHeight="false" outlineLevel="0" collapsed="false">
      <c r="A18" s="5" t="s">
        <v>81</v>
      </c>
      <c r="B18" s="7" t="n">
        <v>7</v>
      </c>
    </row>
    <row r="19" customFormat="false" ht="15" hidden="false" customHeight="false" outlineLevel="0" collapsed="false">
      <c r="A19" s="5" t="s">
        <v>82</v>
      </c>
      <c r="B19" s="6" t="n">
        <v>3000</v>
      </c>
    </row>
    <row r="20" customFormat="false" ht="15" hidden="false" customHeight="false" outlineLevel="0" collapsed="false">
      <c r="A20" s="5" t="s">
        <v>83</v>
      </c>
      <c r="B20" s="18" t="n">
        <f aca="false">B6/B9</f>
        <v>0.4</v>
      </c>
    </row>
    <row r="21" customFormat="false" ht="15" hidden="false" customHeight="false" outlineLevel="0" collapsed="false">
      <c r="A21" s="5" t="s">
        <v>84</v>
      </c>
      <c r="B21" s="9" t="n">
        <f aca="false">B9-B6</f>
        <v>24000</v>
      </c>
    </row>
    <row r="22" customFormat="false" ht="15" hidden="false" customHeight="false" outlineLevel="0" collapsed="false">
      <c r="A22" s="5" t="s">
        <v>85</v>
      </c>
      <c r="B22" s="9" t="n">
        <f aca="false">B7*B13</f>
        <v>5600</v>
      </c>
    </row>
    <row r="23" customFormat="false" ht="15" hidden="false" customHeight="false" outlineLevel="0" collapsed="false">
      <c r="A23" s="5" t="s">
        <v>86</v>
      </c>
      <c r="B23" s="9" t="n">
        <f aca="false">B14*B15</f>
        <v>2200</v>
      </c>
    </row>
    <row r="24" customFormat="false" ht="15" hidden="false" customHeight="false" outlineLevel="0" collapsed="false">
      <c r="A24" s="5" t="s">
        <v>87</v>
      </c>
      <c r="B24" s="9" t="n">
        <f aca="false">B16*B17</f>
        <v>6250</v>
      </c>
    </row>
    <row r="25" customFormat="false" ht="15" hidden="false" customHeight="false" outlineLevel="0" collapsed="false">
      <c r="A25" s="5" t="s">
        <v>88</v>
      </c>
      <c r="B25" s="9" t="n">
        <f aca="false">(B8-B7)*B18</f>
        <v>2520</v>
      </c>
    </row>
    <row r="26" customFormat="false" ht="15" hidden="false" customHeight="false" outlineLevel="0" collapsed="false">
      <c r="A26" s="10" t="s">
        <v>89</v>
      </c>
      <c r="B26" s="11" t="n">
        <f aca="false">B22+B23+B24+B25+B19</f>
        <v>19570</v>
      </c>
    </row>
    <row r="27" customFormat="false" ht="15" hidden="false" customHeight="false" outlineLevel="0" collapsed="false">
      <c r="A27" s="5" t="s">
        <v>90</v>
      </c>
      <c r="B27" s="9" t="n">
        <f aca="false">B21-B26</f>
        <v>4430</v>
      </c>
    </row>
    <row r="29" customFormat="false" ht="15" hidden="false" customHeight="false" outlineLevel="0" collapsed="false">
      <c r="A29" s="3" t="s">
        <v>91</v>
      </c>
    </row>
    <row r="30" customFormat="false" ht="15" hidden="false" customHeight="false" outlineLevel="0" collapsed="false">
      <c r="A30" s="5" t="s">
        <v>92</v>
      </c>
      <c r="B30" s="7" t="n">
        <v>28</v>
      </c>
    </row>
    <row r="31" customFormat="false" ht="15" hidden="false" customHeight="false" outlineLevel="0" collapsed="false">
      <c r="A31" s="5" t="s">
        <v>93</v>
      </c>
      <c r="B31" s="7" t="n">
        <v>120</v>
      </c>
    </row>
    <row r="32" customFormat="false" ht="15" hidden="false" customHeight="false" outlineLevel="0" collapsed="false">
      <c r="A32" s="5" t="s">
        <v>94</v>
      </c>
      <c r="B32" s="18" t="n">
        <f aca="false">B6/B10</f>
        <v>0.551724137931035</v>
      </c>
    </row>
    <row r="33" customFormat="false" ht="15" hidden="false" customHeight="false" outlineLevel="0" collapsed="false">
      <c r="A33" s="5" t="s">
        <v>95</v>
      </c>
      <c r="B33" s="9" t="n">
        <f aca="false">B10-B6</f>
        <v>13000</v>
      </c>
    </row>
    <row r="34" customFormat="false" ht="15" hidden="false" customHeight="false" outlineLevel="0" collapsed="false">
      <c r="A34" s="5" t="s">
        <v>96</v>
      </c>
      <c r="B34" s="9" t="n">
        <f aca="false">B7*(B13-B30)</f>
        <v>1120</v>
      </c>
    </row>
    <row r="35" customFormat="false" ht="15" hidden="false" customHeight="false" outlineLevel="0" collapsed="false">
      <c r="A35" s="5" t="s">
        <v>97</v>
      </c>
      <c r="B35" s="9" t="n">
        <f aca="false">(B16-B31)*B17</f>
        <v>3250</v>
      </c>
    </row>
    <row r="36" customFormat="false" ht="15" hidden="false" customHeight="false" outlineLevel="0" collapsed="false">
      <c r="A36" s="5" t="s">
        <v>98</v>
      </c>
      <c r="B36" s="9" t="n">
        <f aca="false">B23</f>
        <v>2200</v>
      </c>
    </row>
    <row r="37" customFormat="false" ht="15" hidden="false" customHeight="false" outlineLevel="0" collapsed="false">
      <c r="A37" s="5" t="s">
        <v>99</v>
      </c>
      <c r="B37" s="9" t="n">
        <f aca="false">B34+B35+B36</f>
        <v>6570</v>
      </c>
    </row>
    <row r="38" customFormat="false" ht="15" hidden="false" customHeight="false" outlineLevel="0" collapsed="false">
      <c r="A38" s="10" t="s">
        <v>100</v>
      </c>
      <c r="B38" s="11" t="n">
        <f aca="false">B26-B37</f>
        <v>13000</v>
      </c>
    </row>
    <row r="39" customFormat="false" ht="15" hidden="false" customHeight="false" outlineLevel="0" collapsed="false">
      <c r="A39" s="5" t="s">
        <v>101</v>
      </c>
      <c r="B39" s="9" t="n">
        <f aca="false">B38-B33</f>
        <v>0</v>
      </c>
    </row>
    <row r="40" customFormat="false" ht="15" hidden="false" customHeight="false" outlineLevel="0" collapsed="false">
      <c r="A40" s="5" t="s">
        <v>102</v>
      </c>
      <c r="B40" s="18" t="n">
        <f aca="false">B32-B20</f>
        <v>0.151724137931034</v>
      </c>
    </row>
    <row r="41" customFormat="false" ht="15" hidden="false" customHeight="false" outlineLevel="0" collapsed="false">
      <c r="A41" s="5" t="s">
        <v>103</v>
      </c>
      <c r="B41" s="9" t="n">
        <f aca="false">B9*B32-B6</f>
        <v>6068.96551724138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104</v>
      </c>
    </row>
    <row r="2" customFormat="false" ht="15" hidden="false" customHeight="false" outlineLevel="0" collapsed="false">
      <c r="A2" s="2" t="s">
        <v>105</v>
      </c>
    </row>
    <row r="5" customFormat="false" ht="15" hidden="false" customHeight="false" outlineLevel="0" collapsed="false">
      <c r="A5" s="20" t="s">
        <v>106</v>
      </c>
      <c r="B5" s="20" t="s">
        <v>107</v>
      </c>
      <c r="C5" s="20" t="s">
        <v>108</v>
      </c>
      <c r="D5" s="20" t="s">
        <v>109</v>
      </c>
      <c r="E5" s="20" t="s">
        <v>110</v>
      </c>
      <c r="F5" s="20" t="s">
        <v>108</v>
      </c>
      <c r="G5" s="20" t="s">
        <v>109</v>
      </c>
    </row>
    <row r="6" customFormat="false" ht="15" hidden="false" customHeight="false" outlineLevel="0" collapsed="false">
      <c r="A6" s="5" t="s">
        <v>111</v>
      </c>
      <c r="B6" s="7" t="n">
        <v>25</v>
      </c>
      <c r="C6" s="7" t="n">
        <v>5</v>
      </c>
      <c r="D6" s="7" t="n">
        <v>3</v>
      </c>
      <c r="E6" s="7" t="n">
        <v>20</v>
      </c>
      <c r="F6" s="7" t="n">
        <v>5</v>
      </c>
      <c r="G6" s="7" t="n">
        <v>3</v>
      </c>
    </row>
    <row r="7" customFormat="false" ht="15" hidden="false" customHeight="false" outlineLevel="0" collapsed="false">
      <c r="A7" s="5" t="s">
        <v>112</v>
      </c>
      <c r="B7" s="7" t="n">
        <v>20</v>
      </c>
      <c r="C7" s="7" t="n">
        <v>2</v>
      </c>
      <c r="D7" s="7" t="n">
        <v>5</v>
      </c>
      <c r="E7" s="7" t="n">
        <v>15</v>
      </c>
      <c r="F7" s="7" t="n">
        <v>2</v>
      </c>
      <c r="G7" s="7" t="n">
        <v>5</v>
      </c>
    </row>
    <row r="8" customFormat="false" ht="15" hidden="false" customHeight="false" outlineLevel="0" collapsed="false">
      <c r="A8" s="5" t="s">
        <v>113</v>
      </c>
      <c r="B8" s="7" t="n">
        <v>15</v>
      </c>
      <c r="C8" s="7" t="n">
        <v>4</v>
      </c>
      <c r="D8" s="7" t="n">
        <v>4</v>
      </c>
      <c r="E8" s="7" t="n">
        <v>10</v>
      </c>
      <c r="F8" s="7" t="n">
        <v>4</v>
      </c>
      <c r="G8" s="7" t="n">
        <v>4</v>
      </c>
    </row>
    <row r="9" customFormat="false" ht="15" hidden="false" customHeight="false" outlineLevel="0" collapsed="false">
      <c r="A9" s="5" t="s">
        <v>114</v>
      </c>
      <c r="B9" s="7" t="n">
        <v>10</v>
      </c>
      <c r="C9" s="7" t="n">
        <v>3</v>
      </c>
      <c r="D9" s="7" t="n">
        <v>5</v>
      </c>
      <c r="E9" s="7" t="n">
        <v>5</v>
      </c>
      <c r="F9" s="7" t="n">
        <v>3</v>
      </c>
      <c r="G9" s="7" t="n">
        <v>5</v>
      </c>
    </row>
    <row r="10" customFormat="false" ht="15" hidden="false" customHeight="false" outlineLevel="0" collapsed="false">
      <c r="A10" s="5" t="s">
        <v>115</v>
      </c>
      <c r="B10" s="7" t="n">
        <v>15</v>
      </c>
      <c r="C10" s="7" t="n">
        <v>2</v>
      </c>
      <c r="D10" s="7" t="n">
        <v>5</v>
      </c>
      <c r="E10" s="7" t="n">
        <v>15</v>
      </c>
      <c r="F10" s="7" t="n">
        <v>5</v>
      </c>
      <c r="G10" s="7" t="n">
        <v>2</v>
      </c>
    </row>
    <row r="11" customFormat="false" ht="15" hidden="false" customHeight="false" outlineLevel="0" collapsed="false">
      <c r="A11" s="5" t="s">
        <v>116</v>
      </c>
      <c r="B11" s="7" t="n">
        <v>5</v>
      </c>
      <c r="C11" s="7" t="n">
        <v>1</v>
      </c>
      <c r="D11" s="7" t="n">
        <v>4</v>
      </c>
      <c r="E11" s="7" t="n">
        <v>5</v>
      </c>
      <c r="F11" s="7" t="n">
        <v>5</v>
      </c>
      <c r="G11" s="7" t="n">
        <v>2</v>
      </c>
    </row>
    <row r="12" customFormat="false" ht="15" hidden="false" customHeight="false" outlineLevel="0" collapsed="false">
      <c r="A12" s="5" t="s">
        <v>117</v>
      </c>
      <c r="B12" s="7" t="n">
        <v>10</v>
      </c>
      <c r="C12" s="7" t="n">
        <v>5</v>
      </c>
      <c r="D12" s="7" t="n">
        <v>1</v>
      </c>
      <c r="E12" s="7" t="n">
        <v>30</v>
      </c>
      <c r="F12" s="7" t="n">
        <v>5</v>
      </c>
      <c r="G12" s="7" t="n">
        <v>1</v>
      </c>
    </row>
    <row r="13" customFormat="false" ht="15" hidden="false" customHeight="false" outlineLevel="0" collapsed="false">
      <c r="A13" s="5" t="s">
        <v>118</v>
      </c>
      <c r="B13" s="17" t="n">
        <f aca="false">SUM(B6:B12)</f>
        <v>100</v>
      </c>
    </row>
    <row r="14" customFormat="false" ht="15" hidden="false" customHeight="false" outlineLevel="0" collapsed="false">
      <c r="A14" s="10" t="s">
        <v>119</v>
      </c>
      <c r="B14" s="21" t="n">
        <f aca="false">SUMPRODUCT(B6:B12,C6:C12)</f>
        <v>340</v>
      </c>
    </row>
    <row r="15" customFormat="false" ht="15" hidden="false" customHeight="false" outlineLevel="0" collapsed="false">
      <c r="A15" s="10" t="s">
        <v>120</v>
      </c>
      <c r="B15" s="21" t="n">
        <f aca="false">SUMPRODUCT(B6:B12,D6:D12)</f>
        <v>390</v>
      </c>
    </row>
    <row r="16" customFormat="false" ht="15" hidden="false" customHeight="false" outlineLevel="0" collapsed="false">
      <c r="A16" s="5" t="s">
        <v>121</v>
      </c>
      <c r="B16" s="17" t="n">
        <f aca="false">B13*5</f>
        <v>500</v>
      </c>
    </row>
    <row r="17" customFormat="false" ht="15" hidden="false" customHeight="false" outlineLevel="0" collapsed="false">
      <c r="A17" s="10" t="s">
        <v>122</v>
      </c>
      <c r="B17" s="21" t="n">
        <f aca="false">SUMPRODUCT(E6:E12,F6:F12)</f>
        <v>435</v>
      </c>
    </row>
    <row r="18" customFormat="false" ht="15" hidden="false" customHeight="false" outlineLevel="0" collapsed="false">
      <c r="A18" s="10" t="s">
        <v>123</v>
      </c>
      <c r="B18" s="21" t="n">
        <f aca="false">SUMPRODUCT(E6:E12,G6:G12)</f>
        <v>270</v>
      </c>
    </row>
    <row r="19" customFormat="false" ht="15" hidden="false" customHeight="false" outlineLevel="0" collapsed="false">
      <c r="A19" s="5" t="s">
        <v>124</v>
      </c>
      <c r="B19" s="17" t="n">
        <f aca="false">B17-B18</f>
        <v>165</v>
      </c>
    </row>
    <row r="21" customFormat="false" ht="15" hidden="false" customHeight="false" outlineLevel="0" collapsed="false">
      <c r="A21" s="3" t="s">
        <v>125</v>
      </c>
    </row>
    <row r="22" customFormat="false" ht="15" hidden="false" customHeight="false" outlineLevel="0" collapsed="false">
      <c r="A22" s="5" t="s">
        <v>126</v>
      </c>
      <c r="B22" s="7" t="n">
        <v>15</v>
      </c>
    </row>
    <row r="23" customFormat="false" ht="15" hidden="false" customHeight="false" outlineLevel="0" collapsed="false">
      <c r="A23" s="5" t="s">
        <v>127</v>
      </c>
      <c r="B23" s="17" t="n">
        <f aca="false">E12-B22</f>
        <v>15</v>
      </c>
    </row>
    <row r="24" customFormat="false" ht="15" hidden="false" customHeight="false" outlineLevel="0" collapsed="false">
      <c r="A24" s="5" t="s">
        <v>128</v>
      </c>
      <c r="B24" s="17" t="n">
        <f aca="false">F12-G12</f>
        <v>4</v>
      </c>
    </row>
    <row r="25" customFormat="false" ht="15" hidden="false" customHeight="false" outlineLevel="0" collapsed="false">
      <c r="A25" s="5" t="s">
        <v>129</v>
      </c>
      <c r="B25" s="17" t="n">
        <f aca="false">G7-F7</f>
        <v>3</v>
      </c>
    </row>
    <row r="26" customFormat="false" ht="15" hidden="false" customHeight="false" outlineLevel="0" collapsed="false">
      <c r="A26" s="10" t="s">
        <v>130</v>
      </c>
      <c r="B26" s="21" t="n">
        <f aca="false">B19-B23*(B24+B25)</f>
        <v>60</v>
      </c>
    </row>
    <row r="27" customFormat="false" ht="15" hidden="false" customHeight="false" outlineLevel="0" collapsed="false">
      <c r="A27" s="10" t="s">
        <v>131</v>
      </c>
      <c r="B27" s="22" t="n">
        <f aca="false">(SUMPRODUCT(E6:E11,F6:F11)-SUMPRODUCT(E6:E11,G6:G11))*(1+B23/SUM(E6:E11))+B22*B24</f>
        <v>114.642857142857</v>
      </c>
    </row>
    <row r="28" customFormat="false" ht="15" hidden="false" customHeight="false" outlineLevel="0" collapsed="false">
      <c r="A28" s="10" t="s">
        <v>132</v>
      </c>
      <c r="B28" s="22" t="n">
        <f aca="false">E12-B19/(B24+B25)</f>
        <v>6.42857142857143</v>
      </c>
    </row>
    <row r="29" customFormat="false" ht="15" hidden="false" customHeight="false" outlineLevel="0" collapsed="false">
      <c r="A29" s="5" t="s">
        <v>133</v>
      </c>
      <c r="B29" s="23" t="n">
        <f aca="false">(SUMPRODUCT(E6:E11,F6:F11)-SUMPRODUCT(E6:E11,G6:G11))*SUM(E6:E12)/SUM(E6:E11)</f>
        <v>64.2857142857143</v>
      </c>
    </row>
    <row r="30" customFormat="false" ht="39.75" hidden="false" customHeight="true" outlineLevel="0" collapsed="false">
      <c r="A30" s="24" t="s">
        <v>134</v>
      </c>
      <c r="B30" s="24"/>
      <c r="C30" s="24"/>
      <c r="D30" s="24"/>
      <c r="E30" s="24"/>
      <c r="F30" s="24"/>
    </row>
  </sheetData>
  <mergeCells count="1">
    <mergeCell ref="A30:F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135</v>
      </c>
    </row>
    <row r="2" customFormat="false" ht="15" hidden="false" customHeight="false" outlineLevel="0" collapsed="false">
      <c r="A2" s="2"/>
    </row>
    <row r="5" customFormat="false" ht="15" hidden="false" customHeight="false" outlineLevel="0" collapsed="false">
      <c r="A5" s="3" t="s">
        <v>136</v>
      </c>
    </row>
    <row r="6" customFormat="false" ht="15" hidden="false" customHeight="false" outlineLevel="0" collapsed="false">
      <c r="A6" s="5" t="s">
        <v>137</v>
      </c>
      <c r="B6" s="6" t="n">
        <v>20000</v>
      </c>
    </row>
    <row r="7" customFormat="false" ht="15" hidden="false" customHeight="false" outlineLevel="0" collapsed="false">
      <c r="A7" s="5" t="s">
        <v>138</v>
      </c>
      <c r="B7" s="15" t="n">
        <v>90</v>
      </c>
    </row>
    <row r="8" customFormat="false" ht="15" hidden="false" customHeight="false" outlineLevel="0" collapsed="false">
      <c r="A8" s="5" t="s">
        <v>139</v>
      </c>
      <c r="B8" s="6" t="n">
        <v>500000</v>
      </c>
    </row>
    <row r="9" customFormat="false" ht="15" hidden="false" customHeight="false" outlineLevel="0" collapsed="false">
      <c r="A9" s="5" t="s">
        <v>140</v>
      </c>
      <c r="B9" s="6" t="n">
        <v>300000</v>
      </c>
    </row>
    <row r="10" customFormat="false" ht="15" hidden="false" customHeight="false" outlineLevel="0" collapsed="false">
      <c r="A10" s="5" t="s">
        <v>141</v>
      </c>
      <c r="B10" s="7" t="n">
        <v>400</v>
      </c>
    </row>
    <row r="11" customFormat="false" ht="15" hidden="false" customHeight="false" outlineLevel="0" collapsed="false">
      <c r="A11" s="5" t="s">
        <v>142</v>
      </c>
      <c r="B11" s="6" t="n">
        <v>32000</v>
      </c>
    </row>
    <row r="12" customFormat="false" ht="15" hidden="false" customHeight="false" outlineLevel="0" collapsed="false">
      <c r="A12" s="5" t="s">
        <v>143</v>
      </c>
      <c r="B12" s="6" t="n">
        <v>9000000</v>
      </c>
    </row>
    <row r="13" customFormat="false" ht="15" hidden="false" customHeight="false" outlineLevel="0" collapsed="false">
      <c r="A13" s="5" t="s">
        <v>144</v>
      </c>
      <c r="B13" s="6" t="n">
        <v>1200000</v>
      </c>
    </row>
    <row r="14" customFormat="false" ht="15" hidden="false" customHeight="false" outlineLevel="0" collapsed="false">
      <c r="A14" s="5" t="s">
        <v>145</v>
      </c>
      <c r="B14" s="9" t="n">
        <f aca="false">B7*B6</f>
        <v>1800000</v>
      </c>
    </row>
    <row r="15" customFormat="false" ht="15" hidden="false" customHeight="false" outlineLevel="0" collapsed="false">
      <c r="A15" s="5" t="s">
        <v>146</v>
      </c>
      <c r="B15" s="9" t="n">
        <f aca="false">B10*B11</f>
        <v>12800000</v>
      </c>
    </row>
    <row r="16" customFormat="false" ht="15" hidden="false" customHeight="false" outlineLevel="0" collapsed="false">
      <c r="A16" s="10" t="s">
        <v>147</v>
      </c>
      <c r="B16" s="11" t="n">
        <f aca="false">B14+B8+B9+B15+B12+B13</f>
        <v>25600000</v>
      </c>
    </row>
    <row r="17" customFormat="false" ht="15" hidden="false" customHeight="false" outlineLevel="0" collapsed="false">
      <c r="A17" s="5" t="s">
        <v>148</v>
      </c>
      <c r="B17" s="9" t="n">
        <f aca="false">B14+B8+B9</f>
        <v>2600000</v>
      </c>
    </row>
    <row r="18" customFormat="false" ht="15" hidden="false" customHeight="false" outlineLevel="0" collapsed="false">
      <c r="A18" s="10" t="s">
        <v>149</v>
      </c>
      <c r="B18" s="12" t="n">
        <f aca="false">B17/B16</f>
        <v>0.1015625</v>
      </c>
    </row>
    <row r="20" customFormat="false" ht="15" hidden="false" customHeight="false" outlineLevel="0" collapsed="false">
      <c r="A20" s="3" t="s">
        <v>150</v>
      </c>
    </row>
    <row r="21" customFormat="false" ht="15" hidden="false" customHeight="false" outlineLevel="0" collapsed="false">
      <c r="A21" s="5" t="s">
        <v>151</v>
      </c>
      <c r="B21" s="8" t="n">
        <v>0.1</v>
      </c>
    </row>
    <row r="22" customFormat="false" ht="15" hidden="false" customHeight="false" outlineLevel="0" collapsed="false">
      <c r="A22" s="5" t="s">
        <v>152</v>
      </c>
      <c r="B22" s="8" t="n">
        <v>0.04</v>
      </c>
    </row>
    <row r="23" customFormat="false" ht="15" hidden="false" customHeight="false" outlineLevel="0" collapsed="false">
      <c r="A23" s="5" t="s">
        <v>153</v>
      </c>
      <c r="B23" s="8" t="n">
        <v>0.05</v>
      </c>
    </row>
    <row r="24" customFormat="false" ht="15" hidden="false" customHeight="false" outlineLevel="0" collapsed="false">
      <c r="A24" s="5" t="s">
        <v>154</v>
      </c>
      <c r="B24" s="8" t="n">
        <v>0.2</v>
      </c>
    </row>
    <row r="25" customFormat="false" ht="15" hidden="false" customHeight="false" outlineLevel="0" collapsed="false">
      <c r="A25" s="5" t="s">
        <v>155</v>
      </c>
      <c r="B25" s="9" t="n">
        <f aca="false">B21*B14</f>
        <v>180000</v>
      </c>
    </row>
    <row r="26" customFormat="false" ht="15" hidden="false" customHeight="false" outlineLevel="0" collapsed="false">
      <c r="A26" s="5" t="s">
        <v>156</v>
      </c>
      <c r="B26" s="25" t="n">
        <f aca="false">B25/B16</f>
        <v>0.00703125</v>
      </c>
    </row>
    <row r="27" customFormat="false" ht="15" hidden="false" customHeight="false" outlineLevel="0" collapsed="false">
      <c r="A27" s="5" t="s">
        <v>157</v>
      </c>
      <c r="B27" s="19" t="n">
        <f aca="false">B25/B6</f>
        <v>9</v>
      </c>
    </row>
    <row r="28" customFormat="false" ht="15" hidden="false" customHeight="false" outlineLevel="0" collapsed="false">
      <c r="A28" s="5" t="s">
        <v>158</v>
      </c>
      <c r="B28" s="18" t="n">
        <f aca="false">B27/B7</f>
        <v>0.1</v>
      </c>
    </row>
    <row r="29" customFormat="false" ht="15" hidden="false" customHeight="false" outlineLevel="0" collapsed="false">
      <c r="A29" s="5" t="s">
        <v>159</v>
      </c>
      <c r="B29" s="9" t="n">
        <f aca="false">B22*B12</f>
        <v>360000</v>
      </c>
    </row>
    <row r="30" customFormat="false" ht="15" hidden="false" customHeight="false" outlineLevel="0" collapsed="false">
      <c r="A30" s="5" t="s">
        <v>156</v>
      </c>
      <c r="B30" s="25" t="n">
        <f aca="false">B29/B16</f>
        <v>0.0140625</v>
      </c>
    </row>
    <row r="31" customFormat="false" ht="15" hidden="false" customHeight="false" outlineLevel="0" collapsed="false">
      <c r="A31" s="5" t="s">
        <v>157</v>
      </c>
      <c r="B31" s="19" t="n">
        <f aca="false">B29/B6</f>
        <v>18</v>
      </c>
    </row>
    <row r="32" customFormat="false" ht="15" hidden="false" customHeight="false" outlineLevel="0" collapsed="false">
      <c r="A32" s="5" t="s">
        <v>158</v>
      </c>
      <c r="B32" s="18" t="n">
        <f aca="false">B31/B7</f>
        <v>0.2</v>
      </c>
    </row>
    <row r="33" customFormat="false" ht="15" hidden="false" customHeight="false" outlineLevel="0" collapsed="false">
      <c r="A33" s="5" t="s">
        <v>160</v>
      </c>
      <c r="B33" s="9" t="n">
        <f aca="false">B23*B15</f>
        <v>640000</v>
      </c>
    </row>
    <row r="34" customFormat="false" ht="15" hidden="false" customHeight="false" outlineLevel="0" collapsed="false">
      <c r="A34" s="5" t="s">
        <v>156</v>
      </c>
      <c r="B34" s="25" t="n">
        <f aca="false">B33/B16</f>
        <v>0.025</v>
      </c>
    </row>
    <row r="35" customFormat="false" ht="15" hidden="false" customHeight="false" outlineLevel="0" collapsed="false">
      <c r="A35" s="5" t="s">
        <v>157</v>
      </c>
      <c r="B35" s="19" t="n">
        <f aca="false">B33/B6</f>
        <v>32</v>
      </c>
    </row>
    <row r="36" customFormat="false" ht="15" hidden="false" customHeight="false" outlineLevel="0" collapsed="false">
      <c r="A36" s="5" t="s">
        <v>158</v>
      </c>
      <c r="B36" s="18" t="n">
        <f aca="false">B35/B7</f>
        <v>0.355555555555556</v>
      </c>
    </row>
    <row r="37" customFormat="false" ht="15" hidden="false" customHeight="false" outlineLevel="0" collapsed="false">
      <c r="A37" s="5" t="s">
        <v>161</v>
      </c>
      <c r="B37" s="9" t="n">
        <f aca="false">B24*B9</f>
        <v>60000</v>
      </c>
    </row>
    <row r="38" customFormat="false" ht="15" hidden="false" customHeight="false" outlineLevel="0" collapsed="false">
      <c r="A38" s="5" t="s">
        <v>156</v>
      </c>
      <c r="B38" s="25" t="n">
        <f aca="false">B37/B16</f>
        <v>0.00234375</v>
      </c>
    </row>
    <row r="39" customFormat="false" ht="15" hidden="false" customHeight="false" outlineLevel="0" collapsed="false">
      <c r="A39" s="5" t="s">
        <v>157</v>
      </c>
      <c r="B39" s="19" t="n">
        <f aca="false">B37/B6</f>
        <v>3</v>
      </c>
    </row>
    <row r="40" customFormat="false" ht="15" hidden="false" customHeight="false" outlineLevel="0" collapsed="false">
      <c r="A40" s="5" t="s">
        <v>158</v>
      </c>
      <c r="B40" s="18" t="n">
        <f aca="false">B39/B7</f>
        <v>0.0333333333333333</v>
      </c>
    </row>
    <row r="41" customFormat="false" ht="15" hidden="false" customHeight="false" outlineLevel="0" collapsed="false">
      <c r="A41" s="10" t="s">
        <v>162</v>
      </c>
      <c r="B41" s="26" t="n">
        <f aca="false">0.05*B14/B16</f>
        <v>0.003515625</v>
      </c>
    </row>
    <row r="43" customFormat="false" ht="15" hidden="false" customHeight="false" outlineLevel="0" collapsed="false">
      <c r="A43" s="3" t="s">
        <v>163</v>
      </c>
    </row>
    <row r="44" customFormat="false" ht="15" hidden="false" customHeight="false" outlineLevel="0" collapsed="false">
      <c r="A44" s="5" t="s">
        <v>164</v>
      </c>
      <c r="B44" s="7" t="n">
        <v>10</v>
      </c>
    </row>
    <row r="45" customFormat="false" ht="15" hidden="false" customHeight="false" outlineLevel="0" collapsed="false">
      <c r="A45" s="5" t="s">
        <v>165</v>
      </c>
      <c r="B45" s="7" t="n">
        <v>3</v>
      </c>
    </row>
    <row r="46" customFormat="false" ht="15" hidden="false" customHeight="false" outlineLevel="0" collapsed="false">
      <c r="A46" s="5" t="s">
        <v>166</v>
      </c>
      <c r="B46" s="9" t="n">
        <f aca="false">B14*B45</f>
        <v>5400000</v>
      </c>
    </row>
    <row r="47" customFormat="false" ht="15" hidden="false" customHeight="false" outlineLevel="0" collapsed="false">
      <c r="A47" s="5" t="s">
        <v>167</v>
      </c>
      <c r="B47" s="9" t="n">
        <f aca="false">B14*B44</f>
        <v>18000000</v>
      </c>
    </row>
    <row r="48" customFormat="false" ht="15" hidden="false" customHeight="false" outlineLevel="0" collapsed="false">
      <c r="A48" s="5" t="s">
        <v>168</v>
      </c>
      <c r="B48" s="17" t="n">
        <f aca="false">B44-B45</f>
        <v>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169</v>
      </c>
    </row>
    <row r="2" customFormat="false" ht="15" hidden="false" customHeight="false" outlineLevel="0" collapsed="false">
      <c r="A2" s="2"/>
    </row>
    <row r="4" customFormat="false" ht="15" hidden="false" customHeight="false" outlineLevel="0" collapsed="false">
      <c r="A4" s="5" t="s">
        <v>170</v>
      </c>
      <c r="B4" s="6" t="n">
        <v>30000</v>
      </c>
    </row>
    <row r="5" customFormat="false" ht="15" hidden="false" customHeight="false" outlineLevel="0" collapsed="false">
      <c r="A5" s="5" t="s">
        <v>171</v>
      </c>
      <c r="B5" s="15" t="n">
        <v>55</v>
      </c>
    </row>
    <row r="6" customFormat="false" ht="15" hidden="false" customHeight="false" outlineLevel="0" collapsed="false">
      <c r="A6" s="5" t="s">
        <v>172</v>
      </c>
      <c r="B6" s="15" t="n">
        <v>60</v>
      </c>
    </row>
    <row r="7" customFormat="false" ht="15" hidden="false" customHeight="false" outlineLevel="0" collapsed="false">
      <c r="A7" s="5" t="s">
        <v>173</v>
      </c>
      <c r="B7" s="6" t="n">
        <v>1400000</v>
      </c>
    </row>
    <row r="8" customFormat="false" ht="15" hidden="false" customHeight="false" outlineLevel="0" collapsed="false">
      <c r="A8" s="5" t="s">
        <v>174</v>
      </c>
      <c r="B8" s="6" t="n">
        <v>18000000</v>
      </c>
    </row>
    <row r="9" customFormat="false" ht="15" hidden="false" customHeight="false" outlineLevel="0" collapsed="false">
      <c r="A9" s="5" t="s">
        <v>175</v>
      </c>
      <c r="B9" s="7" t="n">
        <v>10</v>
      </c>
    </row>
    <row r="10" customFormat="false" ht="15" hidden="false" customHeight="false" outlineLevel="0" collapsed="false">
      <c r="A10" s="5" t="s">
        <v>176</v>
      </c>
      <c r="B10" s="8" t="n">
        <v>0.08</v>
      </c>
    </row>
    <row r="11" customFormat="false" ht="15" hidden="false" customHeight="false" outlineLevel="0" collapsed="false">
      <c r="A11" s="5" t="s">
        <v>177</v>
      </c>
      <c r="B11" s="9" t="n">
        <f aca="false">B5*B4</f>
        <v>1650000</v>
      </c>
    </row>
    <row r="12" customFormat="false" ht="15" hidden="false" customHeight="false" outlineLevel="0" collapsed="false">
      <c r="A12" s="5" t="s">
        <v>178</v>
      </c>
      <c r="B12" s="9" t="n">
        <f aca="false">B6*B4</f>
        <v>1800000</v>
      </c>
    </row>
    <row r="13" customFormat="false" ht="15" hidden="false" customHeight="false" outlineLevel="0" collapsed="false">
      <c r="A13" s="5" t="s">
        <v>179</v>
      </c>
      <c r="B13" s="27" t="n">
        <f aca="false">(1-(1+B10)^-B9)/B10</f>
        <v>6.71008139894145</v>
      </c>
    </row>
    <row r="14" customFormat="false" ht="15" hidden="false" customHeight="false" outlineLevel="0" collapsed="false">
      <c r="A14" s="5" t="s">
        <v>180</v>
      </c>
      <c r="B14" s="9" t="n">
        <f aca="false">B7/B13</f>
        <v>208641.284175906</v>
      </c>
    </row>
    <row r="15" customFormat="false" ht="15" hidden="false" customHeight="false" outlineLevel="0" collapsed="false">
      <c r="A15" s="10" t="s">
        <v>181</v>
      </c>
      <c r="B15" s="11" t="n">
        <f aca="false">B8/B13</f>
        <v>2682530.79654736</v>
      </c>
    </row>
    <row r="17" customFormat="false" ht="15" hidden="false" customHeight="false" outlineLevel="0" collapsed="false">
      <c r="A17" s="3" t="s">
        <v>182</v>
      </c>
    </row>
    <row r="18" customFormat="false" ht="15" hidden="false" customHeight="false" outlineLevel="0" collapsed="false">
      <c r="A18" s="5" t="s">
        <v>183</v>
      </c>
      <c r="B18" s="15" t="n">
        <v>66</v>
      </c>
    </row>
    <row r="19" customFormat="false" ht="15" hidden="false" customHeight="false" outlineLevel="0" collapsed="false">
      <c r="A19" s="5" t="s">
        <v>184</v>
      </c>
      <c r="B19" s="28" t="n">
        <v>0.055</v>
      </c>
    </row>
    <row r="20" customFormat="false" ht="15" hidden="false" customHeight="false" outlineLevel="0" collapsed="false">
      <c r="A20" s="5" t="s">
        <v>185</v>
      </c>
      <c r="B20" s="8" t="n">
        <v>0.07</v>
      </c>
    </row>
    <row r="21" customFormat="false" ht="15" hidden="false" customHeight="false" outlineLevel="0" collapsed="false">
      <c r="A21" s="5" t="s">
        <v>186</v>
      </c>
      <c r="B21" s="7" t="n">
        <v>10</v>
      </c>
    </row>
    <row r="22" customFormat="false" ht="15" hidden="false" customHeight="false" outlineLevel="0" collapsed="false">
      <c r="A22" s="5" t="s">
        <v>187</v>
      </c>
      <c r="B22" s="6" t="n">
        <v>2000000</v>
      </c>
    </row>
    <row r="23" customFormat="false" ht="15" hidden="false" customHeight="false" outlineLevel="0" collapsed="false">
      <c r="A23" s="5" t="s">
        <v>188</v>
      </c>
      <c r="B23" s="9" t="n">
        <f aca="false">B18*B4</f>
        <v>1980000</v>
      </c>
    </row>
    <row r="24" customFormat="false" ht="15" hidden="false" customHeight="false" outlineLevel="0" collapsed="false">
      <c r="A24" s="5" t="s">
        <v>189</v>
      </c>
      <c r="B24" s="18" t="n">
        <f aca="false">B23/B12-1</f>
        <v>0.1</v>
      </c>
    </row>
    <row r="25" customFormat="false" ht="15" hidden="false" customHeight="false" outlineLevel="0" collapsed="false">
      <c r="A25" s="5" t="s">
        <v>190</v>
      </c>
      <c r="B25" s="9" t="n">
        <f aca="false">B12/B19</f>
        <v>32727272.7272727</v>
      </c>
    </row>
    <row r="26" customFormat="false" ht="15" hidden="false" customHeight="false" outlineLevel="0" collapsed="false">
      <c r="A26" s="5" t="s">
        <v>191</v>
      </c>
      <c r="B26" s="9" t="n">
        <f aca="false">B23/B19</f>
        <v>36000000</v>
      </c>
    </row>
    <row r="27" customFormat="false" ht="15" hidden="false" customHeight="false" outlineLevel="0" collapsed="false">
      <c r="A27" s="5" t="s">
        <v>192</v>
      </c>
      <c r="B27" s="27" t="n">
        <f aca="false">(1-(1+B20)^-B21)/B20</f>
        <v>7.02358154093261</v>
      </c>
    </row>
    <row r="28" customFormat="false" ht="15" hidden="false" customHeight="false" outlineLevel="0" collapsed="false">
      <c r="A28" s="5" t="s">
        <v>193</v>
      </c>
      <c r="B28" s="9" t="n">
        <f aca="false">(B23-B12)*B27</f>
        <v>1264244.67736787</v>
      </c>
    </row>
    <row r="29" customFormat="false" ht="15" hidden="false" customHeight="false" outlineLevel="0" collapsed="false">
      <c r="A29" s="10" t="s">
        <v>194</v>
      </c>
      <c r="B29" s="11" t="n">
        <f aca="false">B25+B28</f>
        <v>33991517.4046406</v>
      </c>
    </row>
    <row r="30" customFormat="false" ht="15" hidden="false" customHeight="false" outlineLevel="0" collapsed="false">
      <c r="A30" s="5" t="s">
        <v>195</v>
      </c>
      <c r="B30" s="9" t="n">
        <f aca="false">B26-B25</f>
        <v>3272727.27272727</v>
      </c>
    </row>
    <row r="31" customFormat="false" ht="15" hidden="false" customHeight="false" outlineLevel="0" collapsed="false">
      <c r="A31" s="5" t="s">
        <v>196</v>
      </c>
      <c r="B31" s="9" t="n">
        <f aca="false">B22/(1+B20)^B21</f>
        <v>1016698.58426944</v>
      </c>
    </row>
    <row r="32" customFormat="false" ht="15" hidden="false" customHeight="false" outlineLevel="0" collapsed="false">
      <c r="A32" s="5" t="s">
        <v>197</v>
      </c>
      <c r="B32" s="9" t="n">
        <f aca="false">B28-B31</f>
        <v>247546.093098434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198</v>
      </c>
    </row>
    <row r="2" customFormat="false" ht="15" hidden="false" customHeight="false" outlineLevel="0" collapsed="false">
      <c r="A2" s="2"/>
    </row>
    <row r="5" customFormat="false" ht="15" hidden="false" customHeight="false" outlineLevel="0" collapsed="false">
      <c r="A5" s="3" t="s">
        <v>199</v>
      </c>
    </row>
    <row r="6" customFormat="false" ht="15" hidden="false" customHeight="false" outlineLevel="0" collapsed="false">
      <c r="A6" s="5" t="s">
        <v>200</v>
      </c>
      <c r="B6" s="6" t="n">
        <v>2400</v>
      </c>
    </row>
    <row r="7" customFormat="false" ht="15" hidden="false" customHeight="false" outlineLevel="0" collapsed="false">
      <c r="A7" s="5" t="s">
        <v>201</v>
      </c>
      <c r="B7" s="13" t="n">
        <v>6</v>
      </c>
    </row>
    <row r="8" customFormat="false" ht="15" hidden="false" customHeight="false" outlineLevel="0" collapsed="false">
      <c r="A8" s="5" t="s">
        <v>202</v>
      </c>
      <c r="B8" s="15" t="n">
        <v>170</v>
      </c>
    </row>
    <row r="9" customFormat="false" ht="15" hidden="false" customHeight="false" outlineLevel="0" collapsed="false">
      <c r="A9" s="5" t="s">
        <v>203</v>
      </c>
      <c r="B9" s="7" t="n">
        <v>3</v>
      </c>
    </row>
    <row r="10" customFormat="false" ht="15" hidden="false" customHeight="false" outlineLevel="0" collapsed="false">
      <c r="A10" s="5" t="s">
        <v>204</v>
      </c>
      <c r="B10" s="6" t="n">
        <v>40000</v>
      </c>
    </row>
    <row r="11" customFormat="false" ht="15" hidden="false" customHeight="false" outlineLevel="0" collapsed="false">
      <c r="A11" s="5" t="s">
        <v>201</v>
      </c>
      <c r="B11" s="13" t="n">
        <v>15</v>
      </c>
    </row>
    <row r="12" customFormat="false" ht="15" hidden="false" customHeight="false" outlineLevel="0" collapsed="false">
      <c r="A12" s="5" t="s">
        <v>202</v>
      </c>
      <c r="B12" s="15" t="n">
        <v>62</v>
      </c>
    </row>
    <row r="13" customFormat="false" ht="15" hidden="false" customHeight="false" outlineLevel="0" collapsed="false">
      <c r="A13" s="5" t="s">
        <v>205</v>
      </c>
      <c r="B13" s="7" t="n">
        <v>8</v>
      </c>
    </row>
    <row r="14" customFormat="false" ht="15" hidden="false" customHeight="false" outlineLevel="0" collapsed="false">
      <c r="A14" s="5" t="s">
        <v>206</v>
      </c>
      <c r="B14" s="8" t="n">
        <v>0.65</v>
      </c>
    </row>
    <row r="15" customFormat="false" ht="15" hidden="false" customHeight="false" outlineLevel="0" collapsed="false">
      <c r="A15" s="5" t="s">
        <v>207</v>
      </c>
      <c r="B15" s="13" t="n">
        <v>1.4</v>
      </c>
    </row>
    <row r="16" customFormat="false" ht="15" hidden="false" customHeight="false" outlineLevel="0" collapsed="false">
      <c r="A16" s="5" t="s">
        <v>208</v>
      </c>
      <c r="B16" s="9" t="n">
        <f aca="false">B6*B8</f>
        <v>408000</v>
      </c>
    </row>
    <row r="17" customFormat="false" ht="15" hidden="false" customHeight="false" outlineLevel="0" collapsed="false">
      <c r="A17" s="5" t="s">
        <v>209</v>
      </c>
      <c r="B17" s="9" t="n">
        <f aca="false">B6*B7</f>
        <v>14400</v>
      </c>
    </row>
    <row r="18" customFormat="false" ht="15" hidden="false" customHeight="false" outlineLevel="0" collapsed="false">
      <c r="A18" s="5" t="s">
        <v>210</v>
      </c>
      <c r="B18" s="19" t="n">
        <f aca="false">B16/B17</f>
        <v>28.3333333333333</v>
      </c>
    </row>
    <row r="19" customFormat="false" ht="15" hidden="false" customHeight="false" outlineLevel="0" collapsed="false">
      <c r="A19" s="5" t="s">
        <v>211</v>
      </c>
      <c r="B19" s="9" t="n">
        <f aca="false">B10*B12</f>
        <v>2480000</v>
      </c>
    </row>
    <row r="20" customFormat="false" ht="15" hidden="false" customHeight="false" outlineLevel="0" collapsed="false">
      <c r="A20" s="5" t="s">
        <v>209</v>
      </c>
      <c r="B20" s="9" t="n">
        <f aca="false">B10*B11</f>
        <v>600000</v>
      </c>
    </row>
    <row r="21" customFormat="false" ht="15" hidden="false" customHeight="false" outlineLevel="0" collapsed="false">
      <c r="A21" s="5" t="s">
        <v>210</v>
      </c>
      <c r="B21" s="19" t="n">
        <f aca="false">B19/B20</f>
        <v>4.13333333333333</v>
      </c>
    </row>
    <row r="22" customFormat="false" ht="15" hidden="false" customHeight="false" outlineLevel="0" collapsed="false">
      <c r="A22" s="5" t="s">
        <v>212</v>
      </c>
      <c r="B22" s="23" t="n">
        <f aca="false">B8/B12</f>
        <v>2.74193548387097</v>
      </c>
    </row>
    <row r="23" customFormat="false" ht="15" hidden="false" customHeight="false" outlineLevel="0" collapsed="false">
      <c r="A23" s="5" t="s">
        <v>213</v>
      </c>
      <c r="B23" s="23" t="n">
        <f aca="false">B18/B21</f>
        <v>6.85483870967742</v>
      </c>
    </row>
    <row r="24" customFormat="false" ht="15" hidden="false" customHeight="false" outlineLevel="0" collapsed="false">
      <c r="A24" s="5" t="s">
        <v>214</v>
      </c>
      <c r="B24" s="9" t="n">
        <f aca="false">B6*B14</f>
        <v>1560</v>
      </c>
    </row>
    <row r="25" customFormat="false" ht="15" hidden="false" customHeight="false" outlineLevel="0" collapsed="false">
      <c r="A25" s="5" t="s">
        <v>215</v>
      </c>
      <c r="B25" s="9" t="n">
        <f aca="false">B24/B15</f>
        <v>1114.28571428571</v>
      </c>
    </row>
    <row r="26" customFormat="false" ht="15" hidden="false" customHeight="false" outlineLevel="0" collapsed="false">
      <c r="A26" s="5" t="s">
        <v>216</v>
      </c>
      <c r="B26" s="9" t="n">
        <f aca="false">B25*B9</f>
        <v>3342.85714285714</v>
      </c>
    </row>
    <row r="27" customFormat="false" ht="15" hidden="false" customHeight="false" outlineLevel="0" collapsed="false">
      <c r="A27" s="5" t="s">
        <v>217</v>
      </c>
      <c r="B27" s="19" t="n">
        <f aca="false">B16/B26</f>
        <v>122.051282051282</v>
      </c>
    </row>
    <row r="28" customFormat="false" ht="15" hidden="false" customHeight="false" outlineLevel="0" collapsed="false">
      <c r="A28" s="5" t="s">
        <v>218</v>
      </c>
      <c r="B28" s="9" t="n">
        <f aca="false">B10*B14</f>
        <v>26000</v>
      </c>
    </row>
    <row r="29" customFormat="false" ht="15" hidden="false" customHeight="false" outlineLevel="0" collapsed="false">
      <c r="A29" s="5" t="s">
        <v>215</v>
      </c>
      <c r="B29" s="9" t="n">
        <f aca="false">B28/B15</f>
        <v>18571.4285714286</v>
      </c>
    </row>
    <row r="30" customFormat="false" ht="15" hidden="false" customHeight="false" outlineLevel="0" collapsed="false">
      <c r="A30" s="5" t="s">
        <v>216</v>
      </c>
      <c r="B30" s="9" t="n">
        <f aca="false">B29*B13</f>
        <v>148571.428571429</v>
      </c>
    </row>
    <row r="31" customFormat="false" ht="15" hidden="false" customHeight="false" outlineLevel="0" collapsed="false">
      <c r="A31" s="5" t="s">
        <v>217</v>
      </c>
      <c r="B31" s="19" t="n">
        <f aca="false">B19/B30</f>
        <v>16.6923076923077</v>
      </c>
    </row>
    <row r="32" customFormat="false" ht="15" hidden="false" customHeight="false" outlineLevel="0" collapsed="false">
      <c r="A32" s="10" t="s">
        <v>219</v>
      </c>
      <c r="B32" s="22" t="n">
        <f aca="false">B27/B31</f>
        <v>7.31182795698925</v>
      </c>
    </row>
    <row r="34" customFormat="false" ht="15" hidden="false" customHeight="false" outlineLevel="0" collapsed="false">
      <c r="A34" s="3" t="s">
        <v>220</v>
      </c>
    </row>
    <row r="35" customFormat="false" ht="15" hidden="false" customHeight="false" outlineLevel="0" collapsed="false">
      <c r="A35" s="5" t="s">
        <v>221</v>
      </c>
      <c r="B35" s="13" t="n">
        <v>1.5</v>
      </c>
    </row>
    <row r="36" customFormat="false" ht="15" hidden="false" customHeight="false" outlineLevel="0" collapsed="false">
      <c r="A36" s="5" t="s">
        <v>222</v>
      </c>
      <c r="B36" s="14" t="n">
        <v>1.65</v>
      </c>
    </row>
    <row r="37" customFormat="false" ht="15" hidden="false" customHeight="false" outlineLevel="0" collapsed="false">
      <c r="A37" s="5" t="s">
        <v>223</v>
      </c>
      <c r="B37" s="17" t="n">
        <f aca="false">INT((B7-B35)/B36)</f>
        <v>2</v>
      </c>
    </row>
    <row r="38" customFormat="false" ht="15" hidden="false" customHeight="false" outlineLevel="0" collapsed="false">
      <c r="A38" s="5" t="s">
        <v>224</v>
      </c>
      <c r="B38" s="19" t="n">
        <f aca="false">B16/(B25*B37)</f>
        <v>183.076923076923</v>
      </c>
    </row>
    <row r="39" customFormat="false" ht="15" hidden="false" customHeight="false" outlineLevel="0" collapsed="false">
      <c r="A39" s="5" t="s">
        <v>225</v>
      </c>
      <c r="B39" s="23" t="n">
        <f aca="false">B38/B31</f>
        <v>10.9677419354839</v>
      </c>
    </row>
    <row r="40" customFormat="false" ht="39" hidden="false" customHeight="true" outlineLevel="0" collapsed="false">
      <c r="A40" s="24" t="s">
        <v>226</v>
      </c>
      <c r="B40" s="24"/>
      <c r="C40" s="24"/>
      <c r="D40" s="24"/>
      <c r="E40" s="24"/>
      <c r="F40" s="24"/>
    </row>
    <row r="42" customFormat="false" ht="15" hidden="false" customHeight="false" outlineLevel="0" collapsed="false">
      <c r="A42" s="3" t="s">
        <v>227</v>
      </c>
    </row>
    <row r="43" customFormat="false" ht="15" hidden="false" customHeight="false" outlineLevel="0" collapsed="false">
      <c r="A43" s="5" t="s">
        <v>228</v>
      </c>
      <c r="B43" s="7" t="n">
        <v>60</v>
      </c>
    </row>
    <row r="44" customFormat="false" ht="15" hidden="false" customHeight="false" outlineLevel="0" collapsed="false">
      <c r="A44" s="5" t="s">
        <v>229</v>
      </c>
      <c r="B44" s="7" t="n">
        <v>305</v>
      </c>
    </row>
    <row r="45" customFormat="false" ht="15" hidden="false" customHeight="false" outlineLevel="0" collapsed="false">
      <c r="A45" s="5" t="s">
        <v>230</v>
      </c>
      <c r="B45" s="7" t="n">
        <v>25</v>
      </c>
    </row>
    <row r="46" customFormat="false" ht="15" hidden="false" customHeight="false" outlineLevel="0" collapsed="false">
      <c r="A46" s="5" t="s">
        <v>231</v>
      </c>
      <c r="B46" s="7" t="n">
        <v>14</v>
      </c>
    </row>
    <row r="47" customFormat="false" ht="15" hidden="false" customHeight="false" outlineLevel="0" collapsed="false">
      <c r="A47" s="5" t="s">
        <v>232</v>
      </c>
      <c r="B47" s="15" t="n">
        <v>34</v>
      </c>
    </row>
    <row r="48" customFormat="false" ht="15" hidden="false" customHeight="false" outlineLevel="0" collapsed="false">
      <c r="A48" s="5" t="s">
        <v>233</v>
      </c>
      <c r="B48" s="15" t="n">
        <v>0.42</v>
      </c>
    </row>
    <row r="49" customFormat="false" ht="15" hidden="false" customHeight="false" outlineLevel="0" collapsed="false">
      <c r="A49" s="5" t="s">
        <v>234</v>
      </c>
      <c r="B49" s="27" t="n">
        <f aca="false">B45/60</f>
        <v>0.416666666666667</v>
      </c>
    </row>
    <row r="50" customFormat="false" ht="15" hidden="false" customHeight="false" outlineLevel="0" collapsed="false">
      <c r="A50" s="5" t="s">
        <v>235</v>
      </c>
      <c r="B50" s="19" t="n">
        <f aca="false">B49*B47</f>
        <v>14.1666666666667</v>
      </c>
    </row>
    <row r="51" customFormat="false" ht="15" hidden="false" customHeight="false" outlineLevel="0" collapsed="false">
      <c r="A51" s="5" t="s">
        <v>236</v>
      </c>
      <c r="B51" s="19" t="n">
        <f aca="false">B46*B48</f>
        <v>5.88</v>
      </c>
    </row>
    <row r="52" customFormat="false" ht="15" hidden="false" customHeight="false" outlineLevel="0" collapsed="false">
      <c r="A52" s="5" t="s">
        <v>237</v>
      </c>
      <c r="B52" s="19" t="n">
        <f aca="false">B50+B51</f>
        <v>20.0466666666667</v>
      </c>
    </row>
    <row r="53" customFormat="false" ht="15" hidden="false" customHeight="false" outlineLevel="0" collapsed="false">
      <c r="A53" s="5" t="s">
        <v>238</v>
      </c>
      <c r="B53" s="9" t="n">
        <f aca="false">B52*B43*B44</f>
        <v>366854</v>
      </c>
    </row>
    <row r="54" customFormat="false" ht="15" hidden="false" customHeight="false" outlineLevel="0" collapsed="false">
      <c r="A54" s="5" t="s">
        <v>239</v>
      </c>
      <c r="B54" s="9" t="n">
        <f aca="false">B6*B12</f>
        <v>148800</v>
      </c>
    </row>
    <row r="55" customFormat="false" ht="15" hidden="false" customHeight="false" outlineLevel="0" collapsed="false">
      <c r="A55" s="5" t="s">
        <v>240</v>
      </c>
      <c r="B55" s="9" t="n">
        <f aca="false">B16-B54</f>
        <v>259200</v>
      </c>
    </row>
    <row r="56" customFormat="false" ht="15" hidden="false" customHeight="false" outlineLevel="0" collapsed="false">
      <c r="A56" s="10" t="s">
        <v>241</v>
      </c>
      <c r="B56" s="11" t="n">
        <f aca="false">B53-B55</f>
        <v>107654</v>
      </c>
    </row>
    <row r="58" customFormat="false" ht="15" hidden="false" customHeight="false" outlineLevel="0" collapsed="false">
      <c r="A58" s="3" t="s">
        <v>242</v>
      </c>
    </row>
    <row r="59" customFormat="false" ht="15" hidden="false" customHeight="false" outlineLevel="0" collapsed="false">
      <c r="A59" s="5" t="s">
        <v>243</v>
      </c>
      <c r="B59" s="6" t="n">
        <v>1320000</v>
      </c>
    </row>
    <row r="60" customFormat="false" ht="15" hidden="false" customHeight="false" outlineLevel="0" collapsed="false">
      <c r="A60" s="5" t="s">
        <v>244</v>
      </c>
      <c r="B60" s="6" t="n">
        <v>12000</v>
      </c>
    </row>
    <row r="61" customFormat="false" ht="15" hidden="false" customHeight="false" outlineLevel="0" collapsed="false">
      <c r="A61" s="5" t="s">
        <v>245</v>
      </c>
      <c r="B61" s="8" t="n">
        <v>0.07</v>
      </c>
    </row>
    <row r="62" customFormat="false" ht="15" hidden="false" customHeight="false" outlineLevel="0" collapsed="false">
      <c r="A62" s="5" t="s">
        <v>246</v>
      </c>
      <c r="B62" s="6" t="n">
        <v>40000</v>
      </c>
    </row>
    <row r="63" customFormat="false" ht="15" hidden="false" customHeight="false" outlineLevel="0" collapsed="false">
      <c r="A63" s="5" t="s">
        <v>247</v>
      </c>
      <c r="B63" s="8" t="n">
        <v>0.04</v>
      </c>
    </row>
    <row r="64" customFormat="false" ht="15" hidden="false" customHeight="false" outlineLevel="0" collapsed="false">
      <c r="A64" s="5" t="s">
        <v>248</v>
      </c>
      <c r="B64" s="8" t="n">
        <v>0.01</v>
      </c>
    </row>
    <row r="65" customFormat="false" ht="15" hidden="false" customHeight="false" outlineLevel="0" collapsed="false">
      <c r="A65" s="5" t="s">
        <v>249</v>
      </c>
      <c r="B65" s="6" t="n">
        <v>55000</v>
      </c>
    </row>
    <row r="66" customFormat="false" ht="15" hidden="false" customHeight="false" outlineLevel="0" collapsed="false">
      <c r="A66" s="5" t="s">
        <v>250</v>
      </c>
      <c r="B66" s="28" t="n">
        <v>0.0575</v>
      </c>
    </row>
    <row r="67" customFormat="false" ht="15" hidden="false" customHeight="false" outlineLevel="0" collapsed="false">
      <c r="A67" s="5" t="s">
        <v>251</v>
      </c>
      <c r="B67" s="9" t="n">
        <f aca="false">B59*B61</f>
        <v>92400</v>
      </c>
    </row>
    <row r="68" customFormat="false" ht="15" hidden="false" customHeight="false" outlineLevel="0" collapsed="false">
      <c r="A68" s="5" t="s">
        <v>252</v>
      </c>
      <c r="B68" s="9" t="n">
        <f aca="false">B59-B67</f>
        <v>1227600</v>
      </c>
    </row>
    <row r="69" customFormat="false" ht="15" hidden="false" customHeight="false" outlineLevel="0" collapsed="false">
      <c r="A69" s="5" t="s">
        <v>253</v>
      </c>
      <c r="B69" s="9" t="n">
        <f aca="false">B68-B62</f>
        <v>1187600</v>
      </c>
    </row>
    <row r="70" customFormat="false" ht="15" hidden="false" customHeight="false" outlineLevel="0" collapsed="false">
      <c r="A70" s="5" t="s">
        <v>254</v>
      </c>
      <c r="B70" s="9" t="n">
        <f aca="false">B63*B68</f>
        <v>49104</v>
      </c>
    </row>
    <row r="71" customFormat="false" ht="15" hidden="false" customHeight="false" outlineLevel="0" collapsed="false">
      <c r="A71" s="5" t="s">
        <v>255</v>
      </c>
      <c r="B71" s="9" t="n">
        <f aca="false">B69-B70</f>
        <v>1138496</v>
      </c>
    </row>
    <row r="72" customFormat="false" ht="15" hidden="false" customHeight="false" outlineLevel="0" collapsed="false">
      <c r="A72" s="5" t="s">
        <v>256</v>
      </c>
      <c r="B72" s="9" t="n">
        <f aca="false">B64*B68</f>
        <v>12276</v>
      </c>
    </row>
    <row r="73" customFormat="false" ht="15" hidden="false" customHeight="false" outlineLevel="0" collapsed="false">
      <c r="A73" s="5" t="s">
        <v>257</v>
      </c>
      <c r="B73" s="9" t="n">
        <f aca="false">B71-B72</f>
        <v>1126220</v>
      </c>
    </row>
    <row r="74" customFormat="false" ht="15" hidden="false" customHeight="false" outlineLevel="0" collapsed="false">
      <c r="A74" s="10" t="s">
        <v>258</v>
      </c>
      <c r="B74" s="11" t="n">
        <f aca="false">B73-B65</f>
        <v>1071220</v>
      </c>
    </row>
    <row r="75" customFormat="false" ht="15" hidden="false" customHeight="false" outlineLevel="0" collapsed="false">
      <c r="A75" s="5" t="s">
        <v>259</v>
      </c>
      <c r="B75" s="18" t="n">
        <f aca="false">B74/B59</f>
        <v>0.811530303030303</v>
      </c>
    </row>
    <row r="76" customFormat="false" ht="15" hidden="false" customHeight="false" outlineLevel="0" collapsed="false">
      <c r="A76" s="5" t="s">
        <v>260</v>
      </c>
      <c r="B76" s="25" t="n">
        <f aca="false">B74/B59*B66</f>
        <v>0.0466629924242424</v>
      </c>
    </row>
    <row r="77" customFormat="false" ht="15" hidden="false" customHeight="false" outlineLevel="0" collapsed="false">
      <c r="A77" s="5" t="s">
        <v>261</v>
      </c>
      <c r="B77" s="9" t="n">
        <f aca="false">0.005*B19</f>
        <v>12400</v>
      </c>
    </row>
    <row r="78" customFormat="false" ht="15" hidden="false" customHeight="false" outlineLevel="0" collapsed="false">
      <c r="A78" s="5" t="s">
        <v>262</v>
      </c>
      <c r="B78" s="18" t="n">
        <f aca="false">1-0.005</f>
        <v>0.995</v>
      </c>
    </row>
    <row r="79" customFormat="false" ht="15" hidden="false" customHeight="false" outlineLevel="0" collapsed="false">
      <c r="A79" s="5" t="s">
        <v>263</v>
      </c>
      <c r="B79" s="6" t="n">
        <v>25000</v>
      </c>
    </row>
    <row r="80" customFormat="false" ht="15" hidden="false" customHeight="false" outlineLevel="0" collapsed="false">
      <c r="A80" s="5" t="s">
        <v>264</v>
      </c>
      <c r="B80" s="7" t="n">
        <v>18</v>
      </c>
    </row>
    <row r="81" customFormat="false" ht="15" hidden="false" customHeight="false" outlineLevel="0" collapsed="false">
      <c r="A81" s="5" t="s">
        <v>265</v>
      </c>
      <c r="B81" s="7" t="n">
        <v>3</v>
      </c>
    </row>
    <row r="82" customFormat="false" ht="15" hidden="false" customHeight="false" outlineLevel="0" collapsed="false">
      <c r="A82" s="5" t="s">
        <v>266</v>
      </c>
      <c r="B82" s="17" t="n">
        <f aca="false">B80/B81</f>
        <v>6</v>
      </c>
    </row>
    <row r="83" customFormat="false" ht="15" hidden="false" customHeight="false" outlineLevel="0" collapsed="false">
      <c r="A83" s="5" t="s">
        <v>267</v>
      </c>
      <c r="B83" s="9" t="n">
        <f aca="false">B82*B79</f>
        <v>150000</v>
      </c>
    </row>
    <row r="84" customFormat="false" ht="15" hidden="false" customHeight="false" outlineLevel="0" collapsed="false">
      <c r="A84" s="5" t="s">
        <v>268</v>
      </c>
      <c r="B84" s="9" t="n">
        <f aca="false">B74+B65-B83</f>
        <v>976220</v>
      </c>
    </row>
    <row r="85" customFormat="false" ht="15" hidden="false" customHeight="false" outlineLevel="0" collapsed="false">
      <c r="A85" s="5" t="s">
        <v>269</v>
      </c>
      <c r="B85" s="18" t="n">
        <f aca="false">B84/B59</f>
        <v>0.739560606060606</v>
      </c>
    </row>
    <row r="86" customFormat="false" ht="15" hidden="false" customHeight="false" outlineLevel="0" collapsed="false">
      <c r="A86" s="5" t="s">
        <v>270</v>
      </c>
      <c r="B86" s="25" t="n">
        <f aca="false">B84/B59*B66</f>
        <v>0.0425247348484848</v>
      </c>
    </row>
    <row r="87" customFormat="false" ht="51.75" hidden="false" customHeight="true" outlineLevel="0" collapsed="false">
      <c r="A87" s="24" t="s">
        <v>271</v>
      </c>
      <c r="B87" s="24"/>
      <c r="C87" s="24"/>
      <c r="D87" s="24"/>
      <c r="E87" s="24"/>
      <c r="F87" s="24"/>
    </row>
  </sheetData>
  <mergeCells count="2">
    <mergeCell ref="A40:F40"/>
    <mergeCell ref="A87:F8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272</v>
      </c>
    </row>
    <row r="2" customFormat="false" ht="15" hidden="false" customHeight="false" outlineLevel="0" collapsed="false">
      <c r="A2" s="2"/>
    </row>
    <row r="4" customFormat="false" ht="15" hidden="false" customHeight="false" outlineLevel="0" collapsed="false">
      <c r="A4" s="5" t="s">
        <v>170</v>
      </c>
      <c r="B4" s="6" t="n">
        <v>20000</v>
      </c>
    </row>
    <row r="5" customFormat="false" ht="15" hidden="false" customHeight="false" outlineLevel="0" collapsed="false">
      <c r="A5" s="5" t="s">
        <v>273</v>
      </c>
      <c r="B5" s="6" t="n">
        <v>6000000</v>
      </c>
    </row>
    <row r="6" customFormat="false" ht="15" hidden="false" customHeight="false" outlineLevel="0" collapsed="false">
      <c r="A6" s="5" t="s">
        <v>274</v>
      </c>
      <c r="B6" s="6" t="n">
        <v>750</v>
      </c>
    </row>
    <row r="7" customFormat="false" ht="15" hidden="false" customHeight="false" outlineLevel="0" collapsed="false">
      <c r="A7" s="5" t="s">
        <v>275</v>
      </c>
      <c r="B7" s="6" t="n">
        <v>2000000</v>
      </c>
    </row>
    <row r="8" customFormat="false" ht="15" hidden="false" customHeight="false" outlineLevel="0" collapsed="false">
      <c r="A8" s="5" t="s">
        <v>276</v>
      </c>
      <c r="B8" s="15" t="n">
        <v>68</v>
      </c>
    </row>
    <row r="9" customFormat="false" ht="15" hidden="false" customHeight="false" outlineLevel="0" collapsed="false">
      <c r="A9" s="5" t="s">
        <v>277</v>
      </c>
      <c r="B9" s="28" t="n">
        <v>0.0525</v>
      </c>
    </row>
    <row r="10" customFormat="false" ht="15" hidden="false" customHeight="false" outlineLevel="0" collapsed="false">
      <c r="A10" s="5" t="s">
        <v>278</v>
      </c>
      <c r="B10" s="6" t="n">
        <v>2100</v>
      </c>
    </row>
    <row r="11" customFormat="false" ht="15" hidden="false" customHeight="false" outlineLevel="0" collapsed="false">
      <c r="A11" s="5" t="s">
        <v>279</v>
      </c>
      <c r="B11" s="6" t="n">
        <v>5000000</v>
      </c>
    </row>
    <row r="12" customFormat="false" ht="15" hidden="false" customHeight="false" outlineLevel="0" collapsed="false">
      <c r="A12" s="5" t="s">
        <v>280</v>
      </c>
      <c r="B12" s="15" t="n">
        <v>145</v>
      </c>
    </row>
    <row r="13" customFormat="false" ht="15" hidden="false" customHeight="false" outlineLevel="0" collapsed="false">
      <c r="A13" s="5" t="s">
        <v>281</v>
      </c>
      <c r="B13" s="28" t="n">
        <v>0.07</v>
      </c>
    </row>
    <row r="14" customFormat="false" ht="15" hidden="false" customHeight="false" outlineLevel="0" collapsed="false">
      <c r="A14" s="5" t="s">
        <v>282</v>
      </c>
      <c r="B14" s="9" t="n">
        <f aca="false">B6*B4</f>
        <v>15000000</v>
      </c>
    </row>
    <row r="15" customFormat="false" ht="15" hidden="false" customHeight="false" outlineLevel="0" collapsed="false">
      <c r="A15" s="5" t="s">
        <v>283</v>
      </c>
      <c r="B15" s="9" t="n">
        <f aca="false">B5+B14+B7</f>
        <v>23000000</v>
      </c>
    </row>
    <row r="16" customFormat="false" ht="15" hidden="false" customHeight="false" outlineLevel="0" collapsed="false">
      <c r="A16" s="5" t="s">
        <v>284</v>
      </c>
      <c r="B16" s="9" t="n">
        <f aca="false">B8*B4</f>
        <v>1360000</v>
      </c>
    </row>
    <row r="17" customFormat="false" ht="15" hidden="false" customHeight="false" outlineLevel="0" collapsed="false">
      <c r="A17" s="5" t="s">
        <v>285</v>
      </c>
      <c r="B17" s="9" t="n">
        <f aca="false">B16/B9</f>
        <v>25904761.9047619</v>
      </c>
    </row>
    <row r="18" customFormat="false" ht="15" hidden="false" customHeight="false" outlineLevel="0" collapsed="false">
      <c r="A18" s="5" t="s">
        <v>286</v>
      </c>
      <c r="B18" s="9" t="n">
        <f aca="false">B17-B15</f>
        <v>2904761.90476191</v>
      </c>
    </row>
    <row r="19" customFormat="false" ht="15" hidden="false" customHeight="false" outlineLevel="0" collapsed="false">
      <c r="A19" s="5" t="s">
        <v>287</v>
      </c>
      <c r="B19" s="18" t="n">
        <f aca="false">B18/B15</f>
        <v>0.126293995859213</v>
      </c>
    </row>
    <row r="20" customFormat="false" ht="15" hidden="false" customHeight="false" outlineLevel="0" collapsed="false">
      <c r="A20" s="5" t="s">
        <v>288</v>
      </c>
      <c r="B20" s="9" t="n">
        <f aca="false">B10*B4</f>
        <v>42000000</v>
      </c>
    </row>
    <row r="21" customFormat="false" ht="15" hidden="false" customHeight="false" outlineLevel="0" collapsed="false">
      <c r="A21" s="5" t="s">
        <v>289</v>
      </c>
      <c r="B21" s="9" t="n">
        <f aca="false">B5+B20+B11</f>
        <v>53000000</v>
      </c>
    </row>
    <row r="22" customFormat="false" ht="15" hidden="false" customHeight="false" outlineLevel="0" collapsed="false">
      <c r="A22" s="5" t="s">
        <v>290</v>
      </c>
      <c r="B22" s="9" t="n">
        <f aca="false">B12*B4</f>
        <v>2900000</v>
      </c>
    </row>
    <row r="23" customFormat="false" ht="15" hidden="false" customHeight="false" outlineLevel="0" collapsed="false">
      <c r="A23" s="5" t="s">
        <v>291</v>
      </c>
      <c r="B23" s="9" t="n">
        <f aca="false">B22/B13</f>
        <v>41428571.4285714</v>
      </c>
    </row>
    <row r="24" customFormat="false" ht="15" hidden="false" customHeight="false" outlineLevel="0" collapsed="false">
      <c r="A24" s="10" t="s">
        <v>292</v>
      </c>
      <c r="B24" s="11" t="n">
        <f aca="false">B21-B23</f>
        <v>11571428.5714286</v>
      </c>
    </row>
    <row r="25" customFormat="false" ht="15" hidden="false" customHeight="false" outlineLevel="0" collapsed="false">
      <c r="A25" s="5" t="s">
        <v>293</v>
      </c>
      <c r="B25" s="23" t="n">
        <f aca="false">B21/B15</f>
        <v>2.30434782608696</v>
      </c>
    </row>
    <row r="26" customFormat="false" ht="15" hidden="false" customHeight="false" outlineLevel="0" collapsed="false">
      <c r="A26" s="5" t="s">
        <v>294</v>
      </c>
      <c r="B26" s="23" t="n">
        <f aca="false">B12/B8</f>
        <v>2.13235294117647</v>
      </c>
    </row>
    <row r="27" customFormat="false" ht="15" hidden="false" customHeight="false" outlineLevel="0" collapsed="false">
      <c r="A27" s="5" t="s">
        <v>295</v>
      </c>
      <c r="B27" s="9" t="n">
        <f aca="false">B21*B13</f>
        <v>3710000</v>
      </c>
    </row>
    <row r="28" customFormat="false" ht="15" hidden="false" customHeight="false" outlineLevel="0" collapsed="false">
      <c r="A28" s="5" t="s">
        <v>62</v>
      </c>
      <c r="B28" s="19" t="n">
        <f aca="false">B27/B4</f>
        <v>185.5</v>
      </c>
    </row>
    <row r="29" customFormat="false" ht="15" hidden="false" customHeight="false" outlineLevel="0" collapsed="false">
      <c r="A29" s="5" t="s">
        <v>296</v>
      </c>
      <c r="B29" s="18" t="n">
        <f aca="false">B28/B12-1</f>
        <v>0.279310344827586</v>
      </c>
    </row>
    <row r="31" customFormat="false" ht="15" hidden="false" customHeight="false" outlineLevel="0" collapsed="false">
      <c r="A31" s="3" t="s">
        <v>297</v>
      </c>
    </row>
    <row r="32" customFormat="false" ht="15" hidden="false" customHeight="false" outlineLevel="0" collapsed="false">
      <c r="A32" s="5" t="s">
        <v>298</v>
      </c>
      <c r="B32" s="6" t="n">
        <v>180</v>
      </c>
    </row>
    <row r="33" customFormat="false" ht="15" hidden="false" customHeight="false" outlineLevel="0" collapsed="false">
      <c r="A33" s="5" t="s">
        <v>299</v>
      </c>
      <c r="B33" s="15" t="n">
        <v>60</v>
      </c>
    </row>
    <row r="34" customFormat="false" ht="15" hidden="false" customHeight="false" outlineLevel="0" collapsed="false">
      <c r="A34" s="5" t="s">
        <v>300</v>
      </c>
      <c r="B34" s="28" t="n">
        <v>0.055</v>
      </c>
    </row>
    <row r="35" customFormat="false" ht="15" hidden="false" customHeight="false" outlineLevel="0" collapsed="false">
      <c r="A35" s="5" t="s">
        <v>301</v>
      </c>
      <c r="B35" s="6" t="n">
        <v>40000</v>
      </c>
    </row>
    <row r="36" customFormat="false" ht="15" hidden="false" customHeight="false" outlineLevel="0" collapsed="false">
      <c r="A36" s="5" t="s">
        <v>302</v>
      </c>
      <c r="B36" s="6" t="n">
        <v>900</v>
      </c>
    </row>
    <row r="37" customFormat="false" ht="15" hidden="false" customHeight="false" outlineLevel="0" collapsed="false">
      <c r="A37" s="5" t="s">
        <v>303</v>
      </c>
      <c r="B37" s="9" t="n">
        <f aca="false">B32*B4</f>
        <v>3600000</v>
      </c>
    </row>
    <row r="38" customFormat="false" ht="15" hidden="false" customHeight="false" outlineLevel="0" collapsed="false">
      <c r="A38" s="5" t="s">
        <v>304</v>
      </c>
      <c r="B38" s="9" t="n">
        <f aca="false">B33*B4</f>
        <v>1200000</v>
      </c>
    </row>
    <row r="39" customFormat="false" ht="15" hidden="false" customHeight="false" outlineLevel="0" collapsed="false">
      <c r="A39" s="5" t="s">
        <v>305</v>
      </c>
      <c r="B39" s="9" t="n">
        <f aca="false">B38/B34</f>
        <v>21818181.8181818</v>
      </c>
    </row>
    <row r="40" customFormat="false" ht="15" hidden="false" customHeight="false" outlineLevel="0" collapsed="false">
      <c r="A40" s="10" t="s">
        <v>306</v>
      </c>
      <c r="B40" s="11" t="n">
        <f aca="false">B39-B37</f>
        <v>18218181.8181818</v>
      </c>
    </row>
    <row r="41" customFormat="false" ht="15" hidden="false" customHeight="false" outlineLevel="0" collapsed="false">
      <c r="A41" s="5" t="s">
        <v>307</v>
      </c>
      <c r="B41" s="18" t="n">
        <f aca="false">1-B40/B17</f>
        <v>0.296724598930481</v>
      </c>
    </row>
    <row r="42" customFormat="false" ht="15" hidden="false" customHeight="false" outlineLevel="0" collapsed="false">
      <c r="A42" s="5" t="s">
        <v>308</v>
      </c>
      <c r="B42" s="9" t="n">
        <f aca="false">B35*B36</f>
        <v>36000000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309</v>
      </c>
    </row>
    <row r="2" customFormat="false" ht="15" hidden="false" customHeight="false" outlineLevel="0" collapsed="false">
      <c r="A2" s="2" t="s">
        <v>310</v>
      </c>
    </row>
    <row r="4" customFormat="false" ht="15" hidden="false" customHeight="false" outlineLevel="0" collapsed="false">
      <c r="A4" s="5" t="s">
        <v>311</v>
      </c>
      <c r="B4" s="6" t="n">
        <v>1000000</v>
      </c>
    </row>
    <row r="5" customFormat="false" ht="15" hidden="false" customHeight="false" outlineLevel="0" collapsed="false">
      <c r="A5" s="5" t="s">
        <v>312</v>
      </c>
      <c r="B5" s="28" t="n">
        <v>0.025</v>
      </c>
    </row>
    <row r="6" customFormat="false" ht="15" hidden="false" customHeight="false" outlineLevel="0" collapsed="false">
      <c r="A6" s="5" t="s">
        <v>313</v>
      </c>
      <c r="B6" s="28" t="n">
        <v>0.01</v>
      </c>
    </row>
    <row r="7" customFormat="false" ht="15" hidden="false" customHeight="false" outlineLevel="0" collapsed="false">
      <c r="A7" s="5" t="s">
        <v>314</v>
      </c>
      <c r="B7" s="28" t="n">
        <v>0.04</v>
      </c>
    </row>
    <row r="8" customFormat="false" ht="15" hidden="false" customHeight="false" outlineLevel="0" collapsed="false">
      <c r="A8" s="5" t="s">
        <v>315</v>
      </c>
      <c r="B8" s="28" t="n">
        <v>0.005</v>
      </c>
    </row>
    <row r="9" customFormat="false" ht="15" hidden="false" customHeight="false" outlineLevel="0" collapsed="false">
      <c r="A9" s="5" t="s">
        <v>316</v>
      </c>
      <c r="B9" s="28" t="n">
        <v>0.025</v>
      </c>
    </row>
    <row r="10" customFormat="false" ht="15" hidden="false" customHeight="false" outlineLevel="0" collapsed="false">
      <c r="A10" s="5" t="s">
        <v>317</v>
      </c>
      <c r="B10" s="28" t="n">
        <v>0.06</v>
      </c>
    </row>
    <row r="11" customFormat="false" ht="15" hidden="false" customHeight="false" outlineLevel="0" collapsed="false">
      <c r="A11" s="5" t="s">
        <v>318</v>
      </c>
      <c r="B11" s="28" t="n">
        <v>0.045</v>
      </c>
    </row>
    <row r="12" customFormat="false" ht="15" hidden="false" customHeight="false" outlineLevel="0" collapsed="false">
      <c r="A12" s="5" t="s">
        <v>319</v>
      </c>
      <c r="B12" s="28" t="n">
        <v>0.055</v>
      </c>
    </row>
    <row r="14" customFormat="false" ht="15" hidden="false" customHeight="false" outlineLevel="0" collapsed="false">
      <c r="A14" s="20" t="s">
        <v>320</v>
      </c>
      <c r="B14" s="20" t="s">
        <v>321</v>
      </c>
      <c r="C14" s="20" t="s">
        <v>322</v>
      </c>
      <c r="D14" s="20" t="s">
        <v>323</v>
      </c>
      <c r="E14" s="20" t="s">
        <v>324</v>
      </c>
      <c r="F14" s="20" t="s">
        <v>325</v>
      </c>
      <c r="G14" s="20" t="s">
        <v>326</v>
      </c>
      <c r="H14" s="20" t="s">
        <v>327</v>
      </c>
      <c r="I14" s="20" t="s">
        <v>328</v>
      </c>
      <c r="J14" s="20" t="s">
        <v>329</v>
      </c>
      <c r="K14" s="20" t="s">
        <v>330</v>
      </c>
      <c r="L14" s="20" t="s">
        <v>331</v>
      </c>
    </row>
    <row r="15" customFormat="false" ht="15" hidden="false" customHeight="false" outlineLevel="0" collapsed="false">
      <c r="A15" s="5" t="s">
        <v>332</v>
      </c>
      <c r="B15" s="9" t="n">
        <f aca="false">B4</f>
        <v>1000000</v>
      </c>
      <c r="C15" s="9" t="n">
        <f aca="false">B15*(1+B5)</f>
        <v>1025000</v>
      </c>
      <c r="D15" s="9" t="n">
        <f aca="false">C15*(1+B5)</f>
        <v>1050625</v>
      </c>
      <c r="E15" s="9" t="n">
        <f aca="false">D15*(1+B5)</f>
        <v>1076890.625</v>
      </c>
      <c r="F15" s="9" t="n">
        <f aca="false">E15*(1+B5)</f>
        <v>1103812.890625</v>
      </c>
      <c r="G15" s="9" t="n">
        <f aca="false">F15*(1+B5)</f>
        <v>1131408.21289062</v>
      </c>
      <c r="H15" s="9" t="n">
        <f aca="false">G15*(1+B5)</f>
        <v>1159693.41821289</v>
      </c>
      <c r="I15" s="9" t="n">
        <f aca="false">H15*(1+B5)</f>
        <v>1188685.75366821</v>
      </c>
      <c r="J15" s="9" t="n">
        <f aca="false">I15*(1+B5)</f>
        <v>1218402.89750992</v>
      </c>
      <c r="K15" s="9" t="n">
        <f aca="false">J15*(1+B5)</f>
        <v>1248862.96994767</v>
      </c>
      <c r="L15" s="11" t="n">
        <f aca="false">SUM(B15:K15)</f>
        <v>11203381.7678543</v>
      </c>
    </row>
    <row r="16" customFormat="false" ht="15" hidden="false" customHeight="false" outlineLevel="0" collapsed="false">
      <c r="A16" s="5" t="s">
        <v>333</v>
      </c>
      <c r="B16" s="9" t="n">
        <f aca="false">B4</f>
        <v>1000000</v>
      </c>
      <c r="C16" s="9" t="n">
        <f aca="false">B16*(1+MIN(B7,MAX(B6,B8)))</f>
        <v>1010000</v>
      </c>
      <c r="D16" s="9" t="n">
        <f aca="false">C16*(1+MIN(B7,MAX(B6,B8)))</f>
        <v>1020100</v>
      </c>
      <c r="E16" s="9" t="n">
        <f aca="false">D16*(1+MIN(B7,MAX(B6,B8)))</f>
        <v>1030301</v>
      </c>
      <c r="F16" s="9" t="n">
        <f aca="false">E16*(1+MIN(B7,MAX(B6,B8)))</f>
        <v>1040604.01</v>
      </c>
      <c r="G16" s="9" t="n">
        <f aca="false">F16*(1+MIN(B7,MAX(B6,B8)))</f>
        <v>1051010.0501</v>
      </c>
      <c r="H16" s="9" t="n">
        <f aca="false">G16*(1+MIN(B7,MAX(B6,B8)))</f>
        <v>1061520.150601</v>
      </c>
      <c r="I16" s="9" t="n">
        <f aca="false">H16*(1+MIN(B7,MAX(B6,B8)))</f>
        <v>1072135.35210701</v>
      </c>
      <c r="J16" s="9" t="n">
        <f aca="false">I16*(1+MIN(B7,MAX(B6,B8)))</f>
        <v>1082856.70562808</v>
      </c>
      <c r="K16" s="9" t="n">
        <f aca="false">J16*(1+MIN(B7,MAX(B6,B8)))</f>
        <v>1093685.27268436</v>
      </c>
      <c r="L16" s="11" t="n">
        <f aca="false">SUM(B16:K16)</f>
        <v>10462212.5411205</v>
      </c>
    </row>
    <row r="17" customFormat="false" ht="15" hidden="false" customHeight="false" outlineLevel="0" collapsed="false">
      <c r="A17" s="5" t="s">
        <v>334</v>
      </c>
      <c r="B17" s="9" t="n">
        <f aca="false">B4</f>
        <v>1000000</v>
      </c>
      <c r="C17" s="9" t="n">
        <f aca="false">B17*(1+MIN(B7,MAX(B6,B9)))</f>
        <v>1025000</v>
      </c>
      <c r="D17" s="9" t="n">
        <f aca="false">C17*(1+MIN(B7,MAX(B6,B9)))</f>
        <v>1050625</v>
      </c>
      <c r="E17" s="9" t="n">
        <f aca="false">D17*(1+MIN(B7,MAX(B6,B9)))</f>
        <v>1076890.625</v>
      </c>
      <c r="F17" s="9" t="n">
        <f aca="false">E17*(1+MIN(B7,MAX(B6,B9)))</f>
        <v>1103812.890625</v>
      </c>
      <c r="G17" s="9" t="n">
        <f aca="false">F17*(1+MIN(B7,MAX(B6,B9)))</f>
        <v>1131408.21289062</v>
      </c>
      <c r="H17" s="9" t="n">
        <f aca="false">G17*(1+MIN(B7,MAX(B6,B9)))</f>
        <v>1159693.41821289</v>
      </c>
      <c r="I17" s="9" t="n">
        <f aca="false">H17*(1+MIN(B7,MAX(B6,B9)))</f>
        <v>1188685.75366821</v>
      </c>
      <c r="J17" s="9" t="n">
        <f aca="false">I17*(1+MIN(B7,MAX(B6,B9)))</f>
        <v>1218402.89750992</v>
      </c>
      <c r="K17" s="9" t="n">
        <f aca="false">J17*(1+MIN(B7,MAX(B6,B9)))</f>
        <v>1248862.96994767</v>
      </c>
      <c r="L17" s="11" t="n">
        <f aca="false">SUM(B17:K17)</f>
        <v>11203381.7678543</v>
      </c>
    </row>
    <row r="18" customFormat="false" ht="15" hidden="false" customHeight="false" outlineLevel="0" collapsed="false">
      <c r="A18" s="5" t="s">
        <v>335</v>
      </c>
      <c r="B18" s="9" t="n">
        <f aca="false">B4</f>
        <v>1000000</v>
      </c>
      <c r="C18" s="9" t="n">
        <f aca="false">B18*(1+MIN(B7,MAX(B6,B10)))</f>
        <v>1040000</v>
      </c>
      <c r="D18" s="9" t="n">
        <f aca="false">C18*(1+MIN(B7,MAX(B6,B10)))</f>
        <v>1081600</v>
      </c>
      <c r="E18" s="9" t="n">
        <f aca="false">D18*(1+MIN(B7,MAX(B6,B10)))</f>
        <v>1124864</v>
      </c>
      <c r="F18" s="9" t="n">
        <f aca="false">E18*(1+MIN(B7,MAX(B6,B10)))</f>
        <v>1169858.56</v>
      </c>
      <c r="G18" s="9" t="n">
        <f aca="false">F18*(1+MIN(B7,MAX(B6,B10)))</f>
        <v>1216652.9024</v>
      </c>
      <c r="H18" s="9" t="n">
        <f aca="false">G18*(1+MIN(B7,MAX(B6,B10)))</f>
        <v>1265319.018496</v>
      </c>
      <c r="I18" s="9" t="n">
        <f aca="false">H18*(1+MIN(B7,MAX(B6,B10)))</f>
        <v>1315931.77923584</v>
      </c>
      <c r="J18" s="9" t="n">
        <f aca="false">I18*(1+MIN(B7,MAX(B6,B10)))</f>
        <v>1368569.05040527</v>
      </c>
      <c r="K18" s="9" t="n">
        <f aca="false">J18*(1+MIN(B7,MAX(B6,B10)))</f>
        <v>1423311.81242148</v>
      </c>
      <c r="L18" s="11" t="n">
        <f aca="false">SUM(B18:K18)</f>
        <v>12006107.1229586</v>
      </c>
    </row>
    <row r="19" customFormat="false" ht="15" hidden="false" customHeight="false" outlineLevel="0" collapsed="false">
      <c r="A19" s="5" t="s">
        <v>336</v>
      </c>
      <c r="B19" s="9" t="n">
        <f aca="false">B4</f>
        <v>1000000</v>
      </c>
      <c r="C19" s="9" t="n">
        <f aca="false">B19*(1+B10)</f>
        <v>1060000</v>
      </c>
      <c r="D19" s="9" t="n">
        <f aca="false">C19*(1+B10)</f>
        <v>1123600</v>
      </c>
      <c r="E19" s="9" t="n">
        <f aca="false">D19*(1+B10)</f>
        <v>1191016</v>
      </c>
      <c r="F19" s="9" t="n">
        <f aca="false">E19*(1+B10)</f>
        <v>1262476.96</v>
      </c>
      <c r="G19" s="9" t="n">
        <f aca="false">F19*(1+B10)</f>
        <v>1338225.5776</v>
      </c>
      <c r="H19" s="9" t="n">
        <f aca="false">G19*(1+B10)</f>
        <v>1418519.112256</v>
      </c>
      <c r="I19" s="9" t="n">
        <f aca="false">H19*(1+B10)</f>
        <v>1503630.25899136</v>
      </c>
      <c r="J19" s="9" t="n">
        <f aca="false">I19*(1+B10)</f>
        <v>1593848.07453084</v>
      </c>
      <c r="K19" s="9" t="n">
        <f aca="false">J19*(1+B10)</f>
        <v>1689478.95900269</v>
      </c>
      <c r="L19" s="11" t="n">
        <f aca="false">SUM(B19:K19)</f>
        <v>13180794.9423809</v>
      </c>
    </row>
    <row r="20" customFormat="false" ht="15" hidden="false" customHeight="false" outlineLevel="0" collapsed="false">
      <c r="A20" s="5" t="s">
        <v>337</v>
      </c>
      <c r="B20" s="9" t="n">
        <f aca="false">B4</f>
        <v>1000000</v>
      </c>
      <c r="C20" s="9" t="n">
        <f aca="false">B4</f>
        <v>1000000</v>
      </c>
      <c r="D20" s="9" t="n">
        <f aca="false">B4</f>
        <v>1000000</v>
      </c>
      <c r="E20" s="9" t="n">
        <f aca="false">B4</f>
        <v>1000000</v>
      </c>
      <c r="F20" s="9" t="n">
        <f aca="false">B4</f>
        <v>1000000</v>
      </c>
      <c r="G20" s="9" t="n">
        <f aca="false">B4*(1+B11)^5</f>
        <v>1246181.93765312</v>
      </c>
      <c r="H20" s="9" t="n">
        <f aca="false">B4*(1+B11)^5</f>
        <v>1246181.93765312</v>
      </c>
      <c r="I20" s="9" t="n">
        <f aca="false">B4*(1+B11)^5</f>
        <v>1246181.93765312</v>
      </c>
      <c r="J20" s="9" t="n">
        <f aca="false">B4*(1+B11)^5</f>
        <v>1246181.93765312</v>
      </c>
      <c r="K20" s="9" t="n">
        <f aca="false">B4*(1+B11)^5</f>
        <v>1246181.93765312</v>
      </c>
      <c r="L20" s="11" t="n">
        <f aca="false">SUM(B20:K20)</f>
        <v>11230909.6882656</v>
      </c>
    </row>
    <row r="22" customFormat="false" ht="15" hidden="false" customHeight="false" outlineLevel="0" collapsed="false">
      <c r="A22" s="5" t="s">
        <v>338</v>
      </c>
      <c r="B22" s="9" t="n">
        <f aca="false">L19-L18</f>
        <v>1174687.8194223</v>
      </c>
    </row>
    <row r="23" customFormat="false" ht="15" hidden="false" customHeight="false" outlineLevel="0" collapsed="false">
      <c r="A23" s="5" t="s">
        <v>339</v>
      </c>
      <c r="B23" s="9" t="n">
        <f aca="false">K19-K18</f>
        <v>266167.146581208</v>
      </c>
    </row>
    <row r="24" customFormat="false" ht="15" hidden="false" customHeight="false" outlineLevel="0" collapsed="false">
      <c r="A24" s="5" t="s">
        <v>340</v>
      </c>
      <c r="B24" s="9" t="n">
        <f aca="false">B23/B12</f>
        <v>4839402.66511287</v>
      </c>
    </row>
    <row r="25" customFormat="false" ht="15" hidden="false" customHeight="false" outlineLevel="0" collapsed="false">
      <c r="A25" s="10" t="s">
        <v>341</v>
      </c>
      <c r="B25" s="11" t="n">
        <f aca="false">B22+B24</f>
        <v>6014090.48453517</v>
      </c>
    </row>
    <row r="26" customFormat="false" ht="15" hidden="false" customHeight="false" outlineLevel="0" collapsed="false">
      <c r="A26" s="5" t="s">
        <v>342</v>
      </c>
      <c r="B26" s="9" t="n">
        <f aca="false">B4*(1+B11)^10</f>
        <v>1552969.4217329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343</v>
      </c>
    </row>
    <row r="2" customFormat="false" ht="15" hidden="false" customHeight="false" outlineLevel="0" collapsed="false">
      <c r="A2" s="2"/>
    </row>
    <row r="4" customFormat="false" ht="15" hidden="false" customHeight="false" outlineLevel="0" collapsed="false">
      <c r="A4" s="5" t="s">
        <v>244</v>
      </c>
      <c r="B4" s="6" t="n">
        <v>25000</v>
      </c>
    </row>
    <row r="5" customFormat="false" ht="15" hidden="false" customHeight="false" outlineLevel="0" collapsed="false">
      <c r="A5" s="5" t="s">
        <v>344</v>
      </c>
      <c r="B5" s="15" t="n">
        <v>72</v>
      </c>
    </row>
    <row r="6" customFormat="false" ht="15" hidden="false" customHeight="false" outlineLevel="0" collapsed="false">
      <c r="A6" s="5" t="s">
        <v>345</v>
      </c>
      <c r="B6" s="7" t="n">
        <v>9</v>
      </c>
    </row>
    <row r="7" customFormat="false" ht="15" hidden="false" customHeight="false" outlineLevel="0" collapsed="false">
      <c r="A7" s="5" t="s">
        <v>346</v>
      </c>
      <c r="B7" s="6" t="n">
        <v>750000</v>
      </c>
    </row>
    <row r="8" customFormat="false" ht="15" hidden="false" customHeight="false" outlineLevel="0" collapsed="false">
      <c r="A8" s="5" t="s">
        <v>347</v>
      </c>
      <c r="B8" s="6" t="n">
        <v>500000</v>
      </c>
    </row>
    <row r="9" customFormat="false" ht="15" hidden="false" customHeight="false" outlineLevel="0" collapsed="false">
      <c r="A9" s="5" t="s">
        <v>348</v>
      </c>
      <c r="B9" s="7" t="n">
        <v>5</v>
      </c>
    </row>
    <row r="10" customFormat="false" ht="15" hidden="false" customHeight="false" outlineLevel="0" collapsed="false">
      <c r="A10" s="5" t="s">
        <v>349</v>
      </c>
      <c r="B10" s="7" t="n">
        <v>10</v>
      </c>
    </row>
    <row r="11" customFormat="false" ht="15" hidden="false" customHeight="false" outlineLevel="0" collapsed="false">
      <c r="A11" s="5" t="s">
        <v>350</v>
      </c>
      <c r="B11" s="28" t="n">
        <v>0.06</v>
      </c>
    </row>
    <row r="12" customFormat="false" ht="15" hidden="false" customHeight="false" outlineLevel="0" collapsed="false">
      <c r="A12" s="5" t="s">
        <v>351</v>
      </c>
      <c r="B12" s="9" t="n">
        <f aca="false">B5*B4</f>
        <v>1800000</v>
      </c>
    </row>
    <row r="13" customFormat="false" ht="15" hidden="false" customHeight="false" outlineLevel="0" collapsed="false">
      <c r="A13" s="5" t="s">
        <v>352</v>
      </c>
      <c r="B13" s="9" t="n">
        <f aca="false">B12*B6/12</f>
        <v>1350000</v>
      </c>
    </row>
    <row r="14" customFormat="false" ht="15" hidden="false" customHeight="false" outlineLevel="0" collapsed="false">
      <c r="A14" s="5" t="s">
        <v>353</v>
      </c>
      <c r="B14" s="9" t="n">
        <f aca="false">B13+B7+B8</f>
        <v>2600000</v>
      </c>
    </row>
    <row r="15" customFormat="false" ht="15" hidden="false" customHeight="false" outlineLevel="0" collapsed="false">
      <c r="A15" s="5" t="s">
        <v>354</v>
      </c>
      <c r="B15" s="9" t="n">
        <f aca="false">B12*B9</f>
        <v>9000000</v>
      </c>
    </row>
    <row r="16" customFormat="false" ht="15" hidden="false" customHeight="false" outlineLevel="0" collapsed="false">
      <c r="A16" s="5" t="s">
        <v>355</v>
      </c>
      <c r="B16" s="9" t="n">
        <f aca="false">(B15-B14)/B9</f>
        <v>1280000</v>
      </c>
    </row>
    <row r="17" customFormat="false" ht="15" hidden="false" customHeight="false" outlineLevel="0" collapsed="false">
      <c r="A17" s="10" t="s">
        <v>62</v>
      </c>
      <c r="B17" s="29" t="n">
        <f aca="false">B16/B4</f>
        <v>51.2</v>
      </c>
    </row>
    <row r="18" customFormat="false" ht="15" hidden="false" customHeight="false" outlineLevel="0" collapsed="false">
      <c r="A18" s="5" t="s">
        <v>356</v>
      </c>
      <c r="B18" s="18" t="n">
        <f aca="false">B16/B12</f>
        <v>0.711111111111111</v>
      </c>
    </row>
    <row r="19" customFormat="false" ht="15" hidden="false" customHeight="false" outlineLevel="0" collapsed="false">
      <c r="A19" s="5" t="s">
        <v>357</v>
      </c>
      <c r="B19" s="9" t="n">
        <f aca="false">B12*B10</f>
        <v>18000000</v>
      </c>
    </row>
    <row r="20" customFormat="false" ht="15" hidden="false" customHeight="false" outlineLevel="0" collapsed="false">
      <c r="A20" s="5" t="s">
        <v>358</v>
      </c>
      <c r="B20" s="9" t="n">
        <f aca="false">(B19-B14)/B10</f>
        <v>1540000</v>
      </c>
    </row>
    <row r="21" customFormat="false" ht="15" hidden="false" customHeight="false" outlineLevel="0" collapsed="false">
      <c r="A21" s="10" t="s">
        <v>62</v>
      </c>
      <c r="B21" s="29" t="n">
        <f aca="false">B20/B4</f>
        <v>61.6</v>
      </c>
    </row>
    <row r="22" customFormat="false" ht="15" hidden="false" customHeight="false" outlineLevel="0" collapsed="false">
      <c r="A22" s="5" t="s">
        <v>356</v>
      </c>
      <c r="B22" s="18" t="n">
        <f aca="false">B20/B12</f>
        <v>0.855555555555556</v>
      </c>
    </row>
    <row r="23" customFormat="false" ht="15" hidden="false" customHeight="false" outlineLevel="0" collapsed="false">
      <c r="A23" s="5" t="s">
        <v>359</v>
      </c>
      <c r="B23" s="9" t="n">
        <f aca="false">B12*(12-B6)/12</f>
        <v>450000</v>
      </c>
    </row>
    <row r="24" customFormat="false" ht="15" hidden="false" customHeight="false" outlineLevel="0" collapsed="false">
      <c r="A24" s="5" t="s">
        <v>360</v>
      </c>
      <c r="B24" s="9" t="n">
        <f aca="false">B23/(1+B11)</f>
        <v>424528.301886792</v>
      </c>
    </row>
    <row r="25" customFormat="false" ht="15" hidden="false" customHeight="false" outlineLevel="0" collapsed="false">
      <c r="A25" s="5" t="s">
        <v>361</v>
      </c>
      <c r="B25" s="30" t="n">
        <f aca="false">(1+B11)^-2</f>
        <v>0.88999644001424</v>
      </c>
    </row>
    <row r="26" customFormat="false" ht="15" hidden="false" customHeight="false" outlineLevel="0" collapsed="false">
      <c r="A26" s="5" t="s">
        <v>362</v>
      </c>
      <c r="B26" s="30" t="n">
        <f aca="false">(1+B11)^-3</f>
        <v>0.839619283032302</v>
      </c>
    </row>
    <row r="27" customFormat="false" ht="15" hidden="false" customHeight="false" outlineLevel="0" collapsed="false">
      <c r="A27" s="5" t="s">
        <v>363</v>
      </c>
      <c r="B27" s="30" t="n">
        <f aca="false">(1+B11)^-4</f>
        <v>0.79209366323802</v>
      </c>
    </row>
    <row r="28" customFormat="false" ht="15" hidden="false" customHeight="false" outlineLevel="0" collapsed="false">
      <c r="A28" s="5" t="s">
        <v>364</v>
      </c>
      <c r="B28" s="30" t="n">
        <f aca="false">(1+B11)^-5</f>
        <v>0.747258172866057</v>
      </c>
    </row>
    <row r="29" customFormat="false" ht="15" hidden="false" customHeight="false" outlineLevel="0" collapsed="false">
      <c r="A29" s="5" t="s">
        <v>365</v>
      </c>
      <c r="B29" s="30" t="n">
        <f aca="false">B25+B26+B27+B28</f>
        <v>3.26896755915062</v>
      </c>
    </row>
    <row r="30" customFormat="false" ht="15" hidden="false" customHeight="false" outlineLevel="0" collapsed="false">
      <c r="A30" s="5" t="s">
        <v>366</v>
      </c>
      <c r="B30" s="9" t="n">
        <f aca="false">B12*B29</f>
        <v>5884141.60647112</v>
      </c>
    </row>
    <row r="31" customFormat="false" ht="15" hidden="false" customHeight="false" outlineLevel="0" collapsed="false">
      <c r="A31" s="5" t="s">
        <v>367</v>
      </c>
      <c r="B31" s="9" t="n">
        <f aca="false">B7+B8</f>
        <v>1250000</v>
      </c>
    </row>
    <row r="32" customFormat="false" ht="15" hidden="false" customHeight="false" outlineLevel="0" collapsed="false">
      <c r="A32" s="5" t="s">
        <v>368</v>
      </c>
      <c r="B32" s="9" t="n">
        <f aca="false">B24+B30-B31</f>
        <v>5058669.90835791</v>
      </c>
    </row>
    <row r="33" customFormat="false" ht="15" hidden="false" customHeight="false" outlineLevel="0" collapsed="false">
      <c r="A33" s="5" t="s">
        <v>369</v>
      </c>
      <c r="B33" s="30" t="n">
        <f aca="false">(1-(1+B11)^-B9)/B11</f>
        <v>4.21236378556572</v>
      </c>
    </row>
    <row r="34" customFormat="false" ht="15" hidden="false" customHeight="false" outlineLevel="0" collapsed="false">
      <c r="A34" s="5" t="s">
        <v>370</v>
      </c>
      <c r="B34" s="9" t="n">
        <f aca="false">B32/B33</f>
        <v>1200910.02721374</v>
      </c>
    </row>
    <row r="35" customFormat="false" ht="15" hidden="false" customHeight="false" outlineLevel="0" collapsed="false">
      <c r="A35" s="10" t="s">
        <v>62</v>
      </c>
      <c r="B35" s="29" t="n">
        <f aca="false">B34/B4</f>
        <v>48.0364010885497</v>
      </c>
    </row>
    <row r="36" customFormat="false" ht="15" hidden="false" customHeight="false" outlineLevel="0" collapsed="false">
      <c r="A36" s="5" t="s">
        <v>371</v>
      </c>
      <c r="B36" s="18" t="n">
        <f aca="false">1-B35/B17</f>
        <v>0.0617890412392641</v>
      </c>
    </row>
    <row r="38" customFormat="false" ht="15" hidden="false" customHeight="false" outlineLevel="0" collapsed="false">
      <c r="A38" s="3" t="s">
        <v>372</v>
      </c>
    </row>
    <row r="39" customFormat="false" ht="15" hidden="false" customHeight="false" outlineLevel="0" collapsed="false">
      <c r="A39" s="5" t="s">
        <v>373</v>
      </c>
      <c r="B39" s="15" t="n">
        <v>45</v>
      </c>
    </row>
    <row r="40" customFormat="false" ht="15" hidden="false" customHeight="false" outlineLevel="0" collapsed="false">
      <c r="A40" s="5" t="s">
        <v>374</v>
      </c>
      <c r="B40" s="15" t="n">
        <v>60</v>
      </c>
    </row>
    <row r="41" customFormat="false" ht="15" hidden="false" customHeight="false" outlineLevel="0" collapsed="false">
      <c r="A41" s="5" t="s">
        <v>375</v>
      </c>
      <c r="B41" s="9" t="n">
        <f aca="false">B39*B4+B40*B4+3*B12</f>
        <v>8025000</v>
      </c>
    </row>
    <row r="42" customFormat="false" ht="15" hidden="false" customHeight="false" outlineLevel="0" collapsed="false">
      <c r="A42" s="5" t="s">
        <v>376</v>
      </c>
      <c r="B42" s="9" t="n">
        <f aca="false">B15-B41</f>
        <v>975000</v>
      </c>
    </row>
    <row r="43" customFormat="false" ht="15" hidden="false" customHeight="false" outlineLevel="0" collapsed="false">
      <c r="A43" s="5" t="s">
        <v>377</v>
      </c>
      <c r="B43" s="19" t="n">
        <f aca="false">B41/B9/B4</f>
        <v>64.2</v>
      </c>
    </row>
    <row r="45" customFormat="false" ht="15" hidden="false" customHeight="false" outlineLevel="0" collapsed="false">
      <c r="A45" s="3" t="s">
        <v>378</v>
      </c>
    </row>
    <row r="46" customFormat="false" ht="15" hidden="false" customHeight="false" outlineLevel="0" collapsed="false">
      <c r="A46" s="5" t="s">
        <v>379</v>
      </c>
      <c r="B46" s="6" t="n">
        <v>4200000</v>
      </c>
    </row>
    <row r="47" customFormat="false" ht="15" hidden="false" customHeight="false" outlineLevel="0" collapsed="false">
      <c r="A47" s="5" t="s">
        <v>380</v>
      </c>
      <c r="B47" s="6" t="n">
        <v>19000000</v>
      </c>
    </row>
    <row r="48" customFormat="false" ht="15" hidden="false" customHeight="false" outlineLevel="0" collapsed="false">
      <c r="A48" s="5" t="s">
        <v>381</v>
      </c>
      <c r="B48" s="18" t="n">
        <f aca="false">B12/B46</f>
        <v>0.428571428571429</v>
      </c>
    </row>
    <row r="49" customFormat="false" ht="15" hidden="false" customHeight="false" outlineLevel="0" collapsed="false">
      <c r="A49" s="5" t="s">
        <v>382</v>
      </c>
      <c r="B49" s="18" t="n">
        <f aca="false">B12/B47</f>
        <v>0.0947368421052632</v>
      </c>
    </row>
    <row r="51" customFormat="false" ht="15" hidden="false" customHeight="false" outlineLevel="0" collapsed="false">
      <c r="A51" s="3" t="s">
        <v>383</v>
      </c>
    </row>
    <row r="52" customFormat="false" ht="15" hidden="false" customHeight="false" outlineLevel="0" collapsed="false">
      <c r="A52" s="5" t="s">
        <v>384</v>
      </c>
      <c r="B52" s="6" t="n">
        <v>300000</v>
      </c>
    </row>
    <row r="53" customFormat="false" ht="15" hidden="false" customHeight="false" outlineLevel="0" collapsed="false">
      <c r="A53" s="5" t="s">
        <v>385</v>
      </c>
      <c r="B53" s="6" t="n">
        <v>1850000</v>
      </c>
    </row>
    <row r="54" customFormat="false" ht="15" hidden="false" customHeight="false" outlineLevel="0" collapsed="false">
      <c r="A54" s="5" t="s">
        <v>386</v>
      </c>
      <c r="B54" s="7" t="n">
        <v>9</v>
      </c>
    </row>
    <row r="55" customFormat="false" ht="15" hidden="false" customHeight="false" outlineLevel="0" collapsed="false">
      <c r="A55" s="5" t="s">
        <v>387</v>
      </c>
      <c r="B55" s="6" t="n">
        <v>185000</v>
      </c>
    </row>
    <row r="56" customFormat="false" ht="15" hidden="false" customHeight="false" outlineLevel="0" collapsed="false">
      <c r="A56" s="5" t="s">
        <v>388</v>
      </c>
      <c r="B56" s="6" t="n">
        <v>900000</v>
      </c>
    </row>
    <row r="57" customFormat="false" ht="15" hidden="false" customHeight="false" outlineLevel="0" collapsed="false">
      <c r="A57" s="5" t="s">
        <v>352</v>
      </c>
      <c r="B57" s="9" t="n">
        <f aca="false">B53*B54/12</f>
        <v>1387500</v>
      </c>
    </row>
    <row r="58" customFormat="false" ht="15" hidden="false" customHeight="false" outlineLevel="0" collapsed="false">
      <c r="A58" s="5" t="s">
        <v>389</v>
      </c>
      <c r="B58" s="9" t="n">
        <f aca="false">B52+B57+B55+B56</f>
        <v>2772500</v>
      </c>
    </row>
    <row r="59" customFormat="false" ht="15" hidden="false" customHeight="false" outlineLevel="0" collapsed="false">
      <c r="A59" s="5" t="s">
        <v>390</v>
      </c>
      <c r="B59" s="9" t="n">
        <f aca="false">B58+B53</f>
        <v>4622500</v>
      </c>
    </row>
    <row r="60" customFormat="false" ht="15" hidden="false" customHeight="false" outlineLevel="0" collapsed="false">
      <c r="A60" s="5" t="s">
        <v>391</v>
      </c>
      <c r="B60" s="23" t="n">
        <f aca="false">B59/B12</f>
        <v>2.56805555555556</v>
      </c>
    </row>
    <row r="62" customFormat="false" ht="15" hidden="false" customHeight="false" outlineLevel="0" collapsed="false">
      <c r="A62" s="3" t="s">
        <v>392</v>
      </c>
    </row>
    <row r="63" customFormat="false" ht="15" hidden="false" customHeight="false" outlineLevel="0" collapsed="false">
      <c r="A63" s="5" t="s">
        <v>172</v>
      </c>
      <c r="B63" s="15" t="n">
        <v>62</v>
      </c>
    </row>
    <row r="64" customFormat="false" ht="15" hidden="false" customHeight="false" outlineLevel="0" collapsed="false">
      <c r="A64" s="5" t="s">
        <v>184</v>
      </c>
      <c r="B64" s="28" t="n">
        <v>0.055</v>
      </c>
    </row>
    <row r="65" customFormat="false" ht="15" hidden="false" customHeight="false" outlineLevel="0" collapsed="false">
      <c r="A65" s="5" t="s">
        <v>185</v>
      </c>
      <c r="B65" s="28" t="n">
        <v>0.07</v>
      </c>
    </row>
    <row r="66" customFormat="false" ht="15" hidden="false" customHeight="false" outlineLevel="0" collapsed="false">
      <c r="A66" s="5" t="s">
        <v>393</v>
      </c>
      <c r="B66" s="9" t="n">
        <f aca="false">B12/B64</f>
        <v>32727272.7272727</v>
      </c>
    </row>
    <row r="67" customFormat="false" ht="15" hidden="false" customHeight="false" outlineLevel="0" collapsed="false">
      <c r="A67" s="5" t="s">
        <v>178</v>
      </c>
      <c r="B67" s="9" t="n">
        <f aca="false">B63*B4</f>
        <v>1550000</v>
      </c>
    </row>
    <row r="68" customFormat="false" ht="15" hidden="false" customHeight="false" outlineLevel="0" collapsed="false">
      <c r="A68" s="5" t="s">
        <v>394</v>
      </c>
      <c r="B68" s="9" t="n">
        <f aca="false">B67/B64</f>
        <v>28181818.1818182</v>
      </c>
    </row>
    <row r="69" customFormat="false" ht="15" hidden="false" customHeight="false" outlineLevel="0" collapsed="false">
      <c r="A69" s="5" t="s">
        <v>395</v>
      </c>
      <c r="B69" s="30" t="n">
        <f aca="false">(1-(1+B65)^-B9)/B65</f>
        <v>4.1001974359476</v>
      </c>
    </row>
    <row r="70" customFormat="false" ht="15" hidden="false" customHeight="false" outlineLevel="0" collapsed="false">
      <c r="A70" s="5" t="s">
        <v>396</v>
      </c>
      <c r="B70" s="9" t="n">
        <f aca="false">(B12-B67)*B69</f>
        <v>1025049.3589869</v>
      </c>
    </row>
    <row r="71" customFormat="false" ht="15" hidden="false" customHeight="false" outlineLevel="0" collapsed="false">
      <c r="A71" s="5" t="s">
        <v>397</v>
      </c>
      <c r="B71" s="9" t="n">
        <f aca="false">B13+B7</f>
        <v>2100000</v>
      </c>
    </row>
    <row r="72" customFormat="false" ht="15" hidden="false" customHeight="false" outlineLevel="0" collapsed="false">
      <c r="A72" s="10" t="s">
        <v>398</v>
      </c>
      <c r="B72" s="11" t="n">
        <f aca="false">B68+B70-B71</f>
        <v>27106867.5408051</v>
      </c>
    </row>
    <row r="73" customFormat="false" ht="15" hidden="false" customHeight="false" outlineLevel="0" collapsed="false">
      <c r="A73" s="5" t="s">
        <v>399</v>
      </c>
      <c r="B73" s="9" t="n">
        <f aca="false">B66-B72</f>
        <v>5620405.18646764</v>
      </c>
    </row>
    <row r="74" customFormat="false" ht="15" hidden="false" customHeight="false" outlineLevel="0" collapsed="false">
      <c r="A74" s="5" t="s">
        <v>400</v>
      </c>
      <c r="B74" s="18" t="n">
        <f aca="false">B73/B66</f>
        <v>0.171734602919845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401</v>
      </c>
    </row>
    <row r="2" customFormat="false" ht="15" hidden="false" customHeight="false" outlineLevel="0" collapsed="false">
      <c r="A2" s="2" t="s">
        <v>402</v>
      </c>
    </row>
    <row r="4" customFormat="false" ht="15" hidden="false" customHeight="false" outlineLevel="0" collapsed="false">
      <c r="A4" s="5" t="s">
        <v>403</v>
      </c>
      <c r="B4" s="6" t="n">
        <v>120000</v>
      </c>
    </row>
    <row r="5" customFormat="false" ht="15" hidden="false" customHeight="false" outlineLevel="0" collapsed="false">
      <c r="A5" s="5" t="s">
        <v>404</v>
      </c>
      <c r="B5" s="8" t="n">
        <v>0.45</v>
      </c>
    </row>
    <row r="6" customFormat="false" ht="15" hidden="false" customHeight="false" outlineLevel="0" collapsed="false">
      <c r="A6" s="5" t="s">
        <v>138</v>
      </c>
      <c r="B6" s="15" t="n">
        <v>66</v>
      </c>
    </row>
    <row r="7" customFormat="false" ht="15" hidden="false" customHeight="false" outlineLevel="0" collapsed="false">
      <c r="A7" s="5" t="s">
        <v>300</v>
      </c>
      <c r="B7" s="28" t="n">
        <v>0.055</v>
      </c>
    </row>
    <row r="8" customFormat="false" ht="15" hidden="false" customHeight="false" outlineLevel="0" collapsed="false">
      <c r="A8" s="5" t="s">
        <v>405</v>
      </c>
      <c r="B8" s="28" t="n">
        <v>0.065</v>
      </c>
    </row>
    <row r="9" customFormat="false" ht="15" hidden="false" customHeight="false" outlineLevel="0" collapsed="false">
      <c r="A9" s="5" t="s">
        <v>406</v>
      </c>
      <c r="B9" s="6" t="n">
        <v>610</v>
      </c>
    </row>
    <row r="10" customFormat="false" ht="15" hidden="false" customHeight="false" outlineLevel="0" collapsed="false">
      <c r="A10" s="5" t="s">
        <v>407</v>
      </c>
      <c r="B10" s="6" t="n">
        <v>4500000</v>
      </c>
    </row>
    <row r="11" customFormat="false" ht="15" hidden="false" customHeight="false" outlineLevel="0" collapsed="false">
      <c r="A11" s="5" t="s">
        <v>408</v>
      </c>
      <c r="B11" s="8" t="n">
        <v>0.08</v>
      </c>
    </row>
    <row r="12" customFormat="false" ht="15" hidden="false" customHeight="false" outlineLevel="0" collapsed="false">
      <c r="A12" s="5" t="s">
        <v>409</v>
      </c>
      <c r="B12" s="8" t="n">
        <v>0.05</v>
      </c>
    </row>
    <row r="13" customFormat="false" ht="15" hidden="false" customHeight="false" outlineLevel="0" collapsed="false">
      <c r="A13" s="5" t="s">
        <v>410</v>
      </c>
      <c r="B13" s="8" t="n">
        <v>0.1</v>
      </c>
    </row>
    <row r="14" customFormat="false" ht="15" hidden="false" customHeight="false" outlineLevel="0" collapsed="false">
      <c r="A14" s="5" t="s">
        <v>411</v>
      </c>
      <c r="B14" s="8" t="n">
        <v>0.01</v>
      </c>
    </row>
    <row r="15" customFormat="false" ht="15" hidden="false" customHeight="false" outlineLevel="0" collapsed="false">
      <c r="A15" s="5" t="s">
        <v>412</v>
      </c>
      <c r="B15" s="6" t="n">
        <v>250000</v>
      </c>
    </row>
    <row r="16" customFormat="false" ht="15" hidden="false" customHeight="false" outlineLevel="0" collapsed="false">
      <c r="A16" s="5" t="s">
        <v>413</v>
      </c>
      <c r="B16" s="28" t="n">
        <v>0.07</v>
      </c>
    </row>
    <row r="17" customFormat="false" ht="15" hidden="false" customHeight="false" outlineLevel="0" collapsed="false">
      <c r="A17" s="5" t="s">
        <v>414</v>
      </c>
      <c r="B17" s="7" t="n">
        <v>12</v>
      </c>
    </row>
    <row r="18" customFormat="false" ht="15" hidden="false" customHeight="false" outlineLevel="0" collapsed="false">
      <c r="A18" s="5" t="s">
        <v>415</v>
      </c>
      <c r="B18" s="8" t="n">
        <v>0.15</v>
      </c>
    </row>
    <row r="19" customFormat="false" ht="15" hidden="false" customHeight="false" outlineLevel="0" collapsed="false">
      <c r="A19" s="5" t="s">
        <v>416</v>
      </c>
      <c r="B19" s="7" t="n">
        <v>24</v>
      </c>
    </row>
    <row r="20" customFormat="false" ht="15" hidden="false" customHeight="false" outlineLevel="0" collapsed="false">
      <c r="A20" s="5" t="s">
        <v>417</v>
      </c>
      <c r="B20" s="8" t="n">
        <v>0.06</v>
      </c>
    </row>
    <row r="22" customFormat="false" ht="15" hidden="false" customHeight="false" outlineLevel="0" collapsed="false">
      <c r="A22" s="20"/>
      <c r="B22" s="20" t="s">
        <v>418</v>
      </c>
      <c r="C22" s="20" t="s">
        <v>419</v>
      </c>
      <c r="D22" s="20" t="s">
        <v>420</v>
      </c>
      <c r="E22" s="20" t="s">
        <v>421</v>
      </c>
      <c r="F22" s="20" t="s">
        <v>422</v>
      </c>
      <c r="G22" s="20" t="s">
        <v>423</v>
      </c>
    </row>
    <row r="23" customFormat="false" ht="15" hidden="false" customHeight="false" outlineLevel="0" collapsed="false">
      <c r="A23" s="5" t="s">
        <v>424</v>
      </c>
      <c r="B23" s="31" t="n">
        <v>1</v>
      </c>
      <c r="C23" s="31" t="n">
        <v>1.05</v>
      </c>
      <c r="D23" s="31" t="n">
        <v>0.95</v>
      </c>
      <c r="E23" s="31" t="n">
        <v>1</v>
      </c>
      <c r="F23" s="31" t="n">
        <v>1</v>
      </c>
      <c r="G23" s="31" t="n">
        <v>1</v>
      </c>
    </row>
    <row r="24" customFormat="false" ht="15" hidden="false" customHeight="false" outlineLevel="0" collapsed="false">
      <c r="A24" s="5" t="s">
        <v>425</v>
      </c>
      <c r="B24" s="31" t="n">
        <v>0</v>
      </c>
      <c r="C24" s="31" t="n">
        <v>0</v>
      </c>
      <c r="D24" s="31" t="n">
        <v>0</v>
      </c>
      <c r="E24" s="31" t="n">
        <v>-0.0025</v>
      </c>
      <c r="F24" s="31" t="n">
        <v>0.0025</v>
      </c>
      <c r="G24" s="31" t="n">
        <v>0</v>
      </c>
    </row>
    <row r="25" customFormat="false" ht="15" hidden="false" customHeight="false" outlineLevel="0" collapsed="false">
      <c r="A25" s="5" t="s">
        <v>426</v>
      </c>
      <c r="B25" s="31" t="n">
        <v>1</v>
      </c>
      <c r="C25" s="31" t="n">
        <v>1</v>
      </c>
      <c r="D25" s="31" t="n">
        <v>1</v>
      </c>
      <c r="E25" s="31" t="n">
        <v>1</v>
      </c>
      <c r="F25" s="31" t="n">
        <v>1</v>
      </c>
      <c r="G25" s="31" t="n">
        <v>1.05</v>
      </c>
    </row>
    <row r="26" customFormat="false" ht="15" hidden="false" customHeight="false" outlineLevel="0" collapsed="false">
      <c r="A26" s="5" t="s">
        <v>427</v>
      </c>
      <c r="B26" s="9" t="n">
        <f aca="false">B4*B5</f>
        <v>54000</v>
      </c>
      <c r="C26" s="9" t="n">
        <f aca="false">B4*B5</f>
        <v>54000</v>
      </c>
      <c r="D26" s="9" t="n">
        <f aca="false">B4*B5</f>
        <v>54000</v>
      </c>
      <c r="E26" s="9" t="n">
        <f aca="false">B4*B5</f>
        <v>54000</v>
      </c>
      <c r="F26" s="9" t="n">
        <f aca="false">B4*B5</f>
        <v>54000</v>
      </c>
      <c r="G26" s="9" t="n">
        <f aca="false">B4*B5</f>
        <v>54000</v>
      </c>
    </row>
    <row r="27" customFormat="false" ht="15" hidden="false" customHeight="false" outlineLevel="0" collapsed="false">
      <c r="A27" s="5" t="s">
        <v>145</v>
      </c>
      <c r="B27" s="9" t="n">
        <f aca="false">B6*B23*B26</f>
        <v>3564000</v>
      </c>
      <c r="C27" s="9" t="n">
        <f aca="false">B6*C23*C26</f>
        <v>3742200</v>
      </c>
      <c r="D27" s="9" t="n">
        <f aca="false">B6*D23*D26</f>
        <v>3385800</v>
      </c>
      <c r="E27" s="9" t="n">
        <f aca="false">B6*E23*E26</f>
        <v>3564000</v>
      </c>
      <c r="F27" s="9" t="n">
        <f aca="false">B6*F23*F26</f>
        <v>3564000</v>
      </c>
      <c r="G27" s="9" t="n">
        <f aca="false">B6*G23*G26</f>
        <v>3564000</v>
      </c>
    </row>
    <row r="28" customFormat="false" ht="15" hidden="false" customHeight="false" outlineLevel="0" collapsed="false">
      <c r="A28" s="5" t="s">
        <v>428</v>
      </c>
      <c r="B28" s="9" t="n">
        <f aca="false">B27/(B7+B24)</f>
        <v>64800000</v>
      </c>
      <c r="C28" s="9" t="n">
        <f aca="false">C27/(B7+C24)</f>
        <v>68040000</v>
      </c>
      <c r="D28" s="9" t="n">
        <f aca="false">D27/(B7+D24)</f>
        <v>61560000</v>
      </c>
      <c r="E28" s="9" t="n">
        <f aca="false">E27/(B7+E24)</f>
        <v>67885714.2857143</v>
      </c>
      <c r="F28" s="9" t="n">
        <f aca="false">F27/(B7+F24)</f>
        <v>61982608.6956522</v>
      </c>
      <c r="G28" s="9" t="n">
        <f aca="false">G27/(B7+G24)</f>
        <v>64800000</v>
      </c>
    </row>
    <row r="29" customFormat="false" ht="15" hidden="false" customHeight="false" outlineLevel="0" collapsed="false">
      <c r="A29" s="5" t="s">
        <v>429</v>
      </c>
      <c r="B29" s="9" t="n">
        <f aca="false">ROUND(B28/(1+B8),-3)</f>
        <v>60845000</v>
      </c>
      <c r="C29" s="9" t="n">
        <f aca="false">ROUND(C28/(1+B8),-3)</f>
        <v>63887000</v>
      </c>
      <c r="D29" s="9" t="n">
        <f aca="false">ROUND(D28/(1+B8),-3)</f>
        <v>57803000</v>
      </c>
      <c r="E29" s="9" t="n">
        <f aca="false">ROUND(E28/(1+B8),-3)</f>
        <v>63742000</v>
      </c>
      <c r="F29" s="9" t="n">
        <f aca="false">ROUND(F28/(1+B8),-3)</f>
        <v>58200000</v>
      </c>
      <c r="G29" s="9" t="n">
        <f aca="false">ROUND(G28/(1+B8),-3)</f>
        <v>60845000</v>
      </c>
    </row>
    <row r="30" customFormat="false" ht="15" hidden="false" customHeight="false" outlineLevel="0" collapsed="false">
      <c r="A30" s="5" t="s">
        <v>430</v>
      </c>
      <c r="B30" s="9" t="n">
        <f aca="false">B9*B26*B25</f>
        <v>32940000</v>
      </c>
      <c r="C30" s="9" t="n">
        <f aca="false">B9*C26*C25</f>
        <v>32940000</v>
      </c>
      <c r="D30" s="9" t="n">
        <f aca="false">B9*D26*D25</f>
        <v>32940000</v>
      </c>
      <c r="E30" s="9" t="n">
        <f aca="false">B9*E26*E25</f>
        <v>32940000</v>
      </c>
      <c r="F30" s="9" t="n">
        <f aca="false">B9*F26*F25</f>
        <v>32940000</v>
      </c>
      <c r="G30" s="9" t="n">
        <f aca="false">B9*G26*G25</f>
        <v>34587000</v>
      </c>
    </row>
    <row r="31" customFormat="false" ht="15" hidden="false" customHeight="false" outlineLevel="0" collapsed="false">
      <c r="A31" s="5" t="s">
        <v>431</v>
      </c>
      <c r="B31" s="9" t="n">
        <f aca="false">B10*B25</f>
        <v>4500000</v>
      </c>
      <c r="C31" s="9" t="n">
        <f aca="false">B10*C25</f>
        <v>4500000</v>
      </c>
      <c r="D31" s="9" t="n">
        <f aca="false">B10*D25</f>
        <v>4500000</v>
      </c>
      <c r="E31" s="9" t="n">
        <f aca="false">B10*E25</f>
        <v>4500000</v>
      </c>
      <c r="F31" s="9" t="n">
        <f aca="false">B10*F25</f>
        <v>4500000</v>
      </c>
      <c r="G31" s="9" t="n">
        <f aca="false">B10*G25</f>
        <v>4725000</v>
      </c>
    </row>
    <row r="32" customFormat="false" ht="15" hidden="false" customHeight="false" outlineLevel="0" collapsed="false">
      <c r="A32" s="5" t="s">
        <v>432</v>
      </c>
      <c r="B32" s="9" t="n">
        <f aca="false">B11*(B30+B31)</f>
        <v>2995200</v>
      </c>
      <c r="C32" s="9" t="n">
        <f aca="false">B11*(C30+C31)</f>
        <v>2995200</v>
      </c>
      <c r="D32" s="9" t="n">
        <f aca="false">B11*(D30+D31)</f>
        <v>2995200</v>
      </c>
      <c r="E32" s="9" t="n">
        <f aca="false">B11*(E30+E31)</f>
        <v>2995200</v>
      </c>
      <c r="F32" s="9" t="n">
        <f aca="false">B11*(F30+F31)</f>
        <v>2995200</v>
      </c>
      <c r="G32" s="9" t="n">
        <f aca="false">B11*(G30+G31)</f>
        <v>3144960</v>
      </c>
    </row>
    <row r="33" customFormat="false" ht="15" hidden="false" customHeight="false" outlineLevel="0" collapsed="false">
      <c r="A33" s="5" t="s">
        <v>409</v>
      </c>
      <c r="B33" s="9" t="n">
        <f aca="false">B12*(B30+B31+B32)</f>
        <v>2021760</v>
      </c>
      <c r="C33" s="9" t="n">
        <f aca="false">B12*(C30+C31+C32)</f>
        <v>2021760</v>
      </c>
      <c r="D33" s="9" t="n">
        <f aca="false">B12*(D30+D31+D32)</f>
        <v>2021760</v>
      </c>
      <c r="E33" s="9" t="n">
        <f aca="false">B12*(E30+E31+E32)</f>
        <v>2021760</v>
      </c>
      <c r="F33" s="9" t="n">
        <f aca="false">B12*(F30+F31+F32)</f>
        <v>2021760</v>
      </c>
      <c r="G33" s="9" t="n">
        <f aca="false">B12*(G30+G31+G32)</f>
        <v>2122848</v>
      </c>
    </row>
    <row r="34" customFormat="false" ht="15" hidden="false" customHeight="false" outlineLevel="0" collapsed="false">
      <c r="A34" s="5" t="s">
        <v>433</v>
      </c>
      <c r="B34" s="9" t="n">
        <f aca="false">B30+B31+B32+B33</f>
        <v>42456960</v>
      </c>
      <c r="C34" s="9" t="n">
        <f aca="false">C30+C31+C32+C33</f>
        <v>42456960</v>
      </c>
      <c r="D34" s="9" t="n">
        <f aca="false">D30+D31+D32+D33</f>
        <v>42456960</v>
      </c>
      <c r="E34" s="9" t="n">
        <f aca="false">E30+E31+E32+E33</f>
        <v>42456960</v>
      </c>
      <c r="F34" s="9" t="n">
        <f aca="false">F30+F31+F32+F33</f>
        <v>42456960</v>
      </c>
      <c r="G34" s="9" t="n">
        <f aca="false">G30+G31+G32+G33</f>
        <v>44579808</v>
      </c>
    </row>
    <row r="35" customFormat="false" ht="15" hidden="false" customHeight="false" outlineLevel="0" collapsed="false">
      <c r="A35" s="5" t="s">
        <v>387</v>
      </c>
      <c r="B35" s="9" t="n">
        <f aca="false">B13*B27</f>
        <v>356400</v>
      </c>
      <c r="C35" s="9" t="n">
        <f aca="false">B13*C27</f>
        <v>374220</v>
      </c>
      <c r="D35" s="9" t="n">
        <f aca="false">B13*D27</f>
        <v>338580</v>
      </c>
      <c r="E35" s="9" t="n">
        <f aca="false">B13*E27</f>
        <v>356400</v>
      </c>
      <c r="F35" s="9" t="n">
        <f aca="false">B13*F27</f>
        <v>356400</v>
      </c>
      <c r="G35" s="9" t="n">
        <f aca="false">B13*G27</f>
        <v>356400</v>
      </c>
    </row>
    <row r="36" customFormat="false" ht="15" hidden="false" customHeight="false" outlineLevel="0" collapsed="false">
      <c r="A36" s="5" t="s">
        <v>434</v>
      </c>
      <c r="B36" s="9" t="n">
        <f aca="false">B14*B29</f>
        <v>608450</v>
      </c>
      <c r="C36" s="9" t="n">
        <f aca="false">B14*C29</f>
        <v>638870</v>
      </c>
      <c r="D36" s="9" t="n">
        <f aca="false">B14*D29</f>
        <v>578030</v>
      </c>
      <c r="E36" s="9" t="n">
        <f aca="false">B14*E29</f>
        <v>637420</v>
      </c>
      <c r="F36" s="9" t="n">
        <f aca="false">B14*F29</f>
        <v>582000</v>
      </c>
      <c r="G36" s="9" t="n">
        <f aca="false">B14*G29</f>
        <v>608450</v>
      </c>
    </row>
    <row r="37" customFormat="false" ht="15" hidden="false" customHeight="false" outlineLevel="0" collapsed="false">
      <c r="A37" s="5" t="s">
        <v>412</v>
      </c>
      <c r="B37" s="9" t="n">
        <f aca="false">B15</f>
        <v>250000</v>
      </c>
      <c r="C37" s="9" t="n">
        <f aca="false">B15</f>
        <v>250000</v>
      </c>
      <c r="D37" s="9" t="n">
        <f aca="false">B15</f>
        <v>250000</v>
      </c>
      <c r="E37" s="9" t="n">
        <f aca="false">B15</f>
        <v>250000</v>
      </c>
      <c r="F37" s="9" t="n">
        <f aca="false">B15</f>
        <v>250000</v>
      </c>
      <c r="G37" s="9" t="n">
        <f aca="false">B15</f>
        <v>250000</v>
      </c>
    </row>
    <row r="38" customFormat="false" ht="15" hidden="false" customHeight="false" outlineLevel="0" collapsed="false">
      <c r="A38" s="5" t="s">
        <v>435</v>
      </c>
      <c r="B38" s="9" t="n">
        <f aca="false">ROUND(B34*B16*B17/12,-3)</f>
        <v>2972000</v>
      </c>
      <c r="C38" s="9" t="n">
        <f aca="false">ROUND(C34*B16*B17/12,-3)</f>
        <v>2972000</v>
      </c>
      <c r="D38" s="9" t="n">
        <f aca="false">ROUND(D34*B16*B17/12,-3)</f>
        <v>2972000</v>
      </c>
      <c r="E38" s="9" t="n">
        <f aca="false">ROUND(E34*B16*B17/12,-3)</f>
        <v>2972000</v>
      </c>
      <c r="F38" s="9" t="n">
        <f aca="false">ROUND(F34*B16*B17/12,-3)</f>
        <v>2972000</v>
      </c>
      <c r="G38" s="9" t="n">
        <f aca="false">ROUND(G34*B16*B17/12,-3)</f>
        <v>3121000</v>
      </c>
    </row>
    <row r="39" customFormat="false" ht="15" hidden="false" customHeight="false" outlineLevel="0" collapsed="false">
      <c r="A39" s="5" t="s">
        <v>436</v>
      </c>
      <c r="B39" s="9" t="n">
        <f aca="false">B34+B35+B36+B37+B38</f>
        <v>46643810</v>
      </c>
      <c r="C39" s="9" t="n">
        <f aca="false">C34+C35+C36+C37+C38</f>
        <v>46692050</v>
      </c>
      <c r="D39" s="9" t="n">
        <f aca="false">D34+D35+D36+D37+D38</f>
        <v>46595570</v>
      </c>
      <c r="E39" s="9" t="n">
        <f aca="false">E34+E35+E36+E37+E38</f>
        <v>46672780</v>
      </c>
      <c r="F39" s="9" t="n">
        <f aca="false">F34+F35+F36+F37+F38</f>
        <v>46617360</v>
      </c>
      <c r="G39" s="9" t="n">
        <f aca="false">G34+G35+G36+G37+G38</f>
        <v>48915658</v>
      </c>
    </row>
    <row r="40" customFormat="false" ht="15" hidden="false" customHeight="false" outlineLevel="0" collapsed="false">
      <c r="A40" s="5" t="s">
        <v>437</v>
      </c>
      <c r="B40" s="9" t="n">
        <f aca="false">B18*B29</f>
        <v>9126750</v>
      </c>
      <c r="C40" s="9" t="n">
        <f aca="false">B18*C29</f>
        <v>9583050</v>
      </c>
      <c r="D40" s="9" t="n">
        <f aca="false">B18*D29</f>
        <v>8670450</v>
      </c>
      <c r="E40" s="9" t="n">
        <f aca="false">B18*E29</f>
        <v>9561300</v>
      </c>
      <c r="F40" s="9" t="n">
        <f aca="false">B18*F29</f>
        <v>8730000</v>
      </c>
      <c r="G40" s="9" t="n">
        <f aca="false">B18*G29</f>
        <v>9126750</v>
      </c>
    </row>
    <row r="41" customFormat="false" ht="15" hidden="false" customHeight="false" outlineLevel="0" collapsed="false">
      <c r="A41" s="10" t="s">
        <v>438</v>
      </c>
      <c r="B41" s="9" t="n">
        <f aca="false">B29-B39-B40</f>
        <v>5074440</v>
      </c>
      <c r="C41" s="9" t="n">
        <f aca="false">C29-C39-C40</f>
        <v>7611900</v>
      </c>
      <c r="D41" s="9" t="n">
        <f aca="false">D29-D39-D40</f>
        <v>2536980</v>
      </c>
      <c r="E41" s="9" t="n">
        <f aca="false">E29-E39-E40</f>
        <v>7507920</v>
      </c>
      <c r="F41" s="9" t="n">
        <f aca="false">F29-F39-F40</f>
        <v>2852640</v>
      </c>
      <c r="G41" s="9" t="n">
        <f aca="false">G29-G39-G40</f>
        <v>2802592</v>
      </c>
    </row>
    <row r="42" customFormat="false" ht="15" hidden="false" customHeight="false" outlineLevel="0" collapsed="false">
      <c r="A42" s="5" t="s">
        <v>439</v>
      </c>
      <c r="B42" s="30" t="n">
        <f aca="false">(1+B16)^(B19/12)*(1+B20)</f>
        <v>1.213594</v>
      </c>
      <c r="C42" s="30" t="n">
        <f aca="false">(1+B16)^(B19/12)*(1+B20)</f>
        <v>1.213594</v>
      </c>
      <c r="D42" s="30" t="n">
        <f aca="false">(1+B16)^(B19/12)*(1+B20)</f>
        <v>1.213594</v>
      </c>
      <c r="E42" s="30" t="n">
        <f aca="false">(1+B16)^(B19/12)*(1+B20)</f>
        <v>1.213594</v>
      </c>
      <c r="F42" s="30" t="n">
        <f aca="false">(1+B16)^(B19/12)*(1+B20)</f>
        <v>1.213594</v>
      </c>
      <c r="G42" s="30" t="n">
        <f aca="false">(1+B16)^(B19/12)*(1+B20)</f>
        <v>1.213594</v>
      </c>
    </row>
    <row r="43" customFormat="false" ht="15" hidden="false" customHeight="false" outlineLevel="0" collapsed="false">
      <c r="A43" s="10" t="s">
        <v>440</v>
      </c>
      <c r="B43" s="11" t="n">
        <f aca="false">B41/B42</f>
        <v>4181332.47197992</v>
      </c>
      <c r="C43" s="11" t="n">
        <f aca="false">C41/C42</f>
        <v>6272196.46768194</v>
      </c>
      <c r="D43" s="11" t="n">
        <f aca="false">D41/D42</f>
        <v>2090468.4762779</v>
      </c>
      <c r="E43" s="11" t="n">
        <f aca="false">E41/E42</f>
        <v>6186517.07243114</v>
      </c>
      <c r="F43" s="11" t="n">
        <f aca="false">F41/F42</f>
        <v>2350571.93756726</v>
      </c>
      <c r="G43" s="11" t="n">
        <f aca="false">G41/G42</f>
        <v>2309332.44561196</v>
      </c>
    </row>
    <row r="44" customFormat="false" ht="15" hidden="false" customHeight="false" outlineLevel="0" collapsed="false">
      <c r="A44" s="5" t="s">
        <v>441</v>
      </c>
      <c r="B44" s="18" t="n">
        <f aca="false">B43/$B$43-1</f>
        <v>0</v>
      </c>
      <c r="C44" s="18" t="n">
        <f aca="false">C43/$B$43-1</f>
        <v>0.500047295859248</v>
      </c>
      <c r="D44" s="18" t="n">
        <f aca="false">D43/$B$43-1</f>
        <v>-0.500047295859248</v>
      </c>
      <c r="E44" s="18" t="n">
        <f aca="false">E43/$B$43-1</f>
        <v>0.479556364840258</v>
      </c>
      <c r="F44" s="18" t="n">
        <f aca="false">F43/$B$43-1</f>
        <v>-0.437841416983943</v>
      </c>
      <c r="G44" s="18" t="n">
        <f aca="false">G43/$B$43-1</f>
        <v>-0.447704180165693</v>
      </c>
    </row>
    <row r="46" customFormat="false" ht="15" hidden="false" customHeight="false" outlineLevel="0" collapsed="false">
      <c r="A46" s="5" t="s">
        <v>442</v>
      </c>
      <c r="B46" s="9" t="n">
        <f aca="false">B43/(B4/10000)</f>
        <v>348444.372664993</v>
      </c>
    </row>
    <row r="47" customFormat="false" ht="15" hidden="false" customHeight="false" outlineLevel="0" collapsed="false">
      <c r="A47" s="5" t="s">
        <v>443</v>
      </c>
      <c r="B47" s="18" t="n">
        <f aca="false">B43/B29</f>
        <v>0.068721053036074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444</v>
      </c>
    </row>
    <row r="2" customFormat="false" ht="15" hidden="false" customHeight="false" outlineLevel="0" collapsed="false">
      <c r="A2" s="2" t="s">
        <v>445</v>
      </c>
    </row>
    <row r="4" customFormat="false" ht="15" hidden="false" customHeight="false" outlineLevel="0" collapsed="false">
      <c r="A4" s="5" t="s">
        <v>427</v>
      </c>
      <c r="B4" s="6" t="n">
        <v>40000</v>
      </c>
    </row>
    <row r="5" customFormat="false" ht="15" hidden="false" customHeight="false" outlineLevel="0" collapsed="false">
      <c r="A5" s="5" t="s">
        <v>446</v>
      </c>
      <c r="B5" s="6" t="n">
        <v>3600000</v>
      </c>
    </row>
    <row r="6" customFormat="false" ht="15" hidden="false" customHeight="false" outlineLevel="0" collapsed="false">
      <c r="A6" s="5" t="s">
        <v>447</v>
      </c>
      <c r="B6" s="6" t="n">
        <v>8000000</v>
      </c>
    </row>
    <row r="7" customFormat="false" ht="15" hidden="false" customHeight="false" outlineLevel="0" collapsed="false">
      <c r="A7" s="5" t="s">
        <v>448</v>
      </c>
      <c r="B7" s="6" t="n">
        <v>2400000</v>
      </c>
    </row>
    <row r="8" customFormat="false" ht="15" hidden="false" customHeight="false" outlineLevel="0" collapsed="false">
      <c r="A8" s="5" t="s">
        <v>449</v>
      </c>
      <c r="B8" s="6" t="n">
        <v>2000000</v>
      </c>
    </row>
    <row r="9" customFormat="false" ht="15" hidden="false" customHeight="false" outlineLevel="0" collapsed="false">
      <c r="A9" s="5" t="s">
        <v>450</v>
      </c>
      <c r="B9" s="6" t="n">
        <v>900000</v>
      </c>
    </row>
    <row r="10" customFormat="false" ht="15" hidden="false" customHeight="false" outlineLevel="0" collapsed="false">
      <c r="A10" s="5" t="s">
        <v>451</v>
      </c>
      <c r="B10" s="6" t="n">
        <v>2800000</v>
      </c>
    </row>
    <row r="11" customFormat="false" ht="15" hidden="false" customHeight="false" outlineLevel="0" collapsed="false">
      <c r="A11" s="5" t="s">
        <v>452</v>
      </c>
      <c r="B11" s="6" t="n">
        <v>1600000</v>
      </c>
    </row>
    <row r="12" customFormat="false" ht="15" hidden="false" customHeight="false" outlineLevel="0" collapsed="false">
      <c r="A12" s="5" t="s">
        <v>453</v>
      </c>
      <c r="B12" s="6" t="n">
        <v>1800000</v>
      </c>
    </row>
    <row r="13" customFormat="false" ht="15" hidden="false" customHeight="false" outlineLevel="0" collapsed="false">
      <c r="A13" s="5" t="s">
        <v>454</v>
      </c>
      <c r="B13" s="6" t="n">
        <v>7200000</v>
      </c>
    </row>
    <row r="14" customFormat="false" ht="15" hidden="false" customHeight="false" outlineLevel="0" collapsed="false">
      <c r="A14" s="5" t="s">
        <v>455</v>
      </c>
      <c r="B14" s="6" t="n">
        <v>1500000</v>
      </c>
    </row>
    <row r="15" customFormat="false" ht="15" hidden="false" customHeight="false" outlineLevel="0" collapsed="false">
      <c r="A15" s="10" t="s">
        <v>456</v>
      </c>
      <c r="B15" s="11" t="n">
        <f aca="false">B5+B6+B7+B8+B9+B10+B11+B12+B13+B14</f>
        <v>31800000</v>
      </c>
    </row>
    <row r="16" customFormat="false" ht="15" hidden="false" customHeight="false" outlineLevel="0" collapsed="false">
      <c r="A16" s="5" t="s">
        <v>62</v>
      </c>
      <c r="B16" s="9" t="n">
        <f aca="false">B15/B4</f>
        <v>795</v>
      </c>
    </row>
    <row r="17" customFormat="false" ht="15" hidden="false" customHeight="false" outlineLevel="0" collapsed="false">
      <c r="A17" s="5" t="s">
        <v>457</v>
      </c>
      <c r="B17" s="9" t="n">
        <f aca="false">B13+B14</f>
        <v>8700000</v>
      </c>
    </row>
    <row r="18" customFormat="false" ht="15" hidden="false" customHeight="false" outlineLevel="0" collapsed="false">
      <c r="A18" s="5" t="s">
        <v>458</v>
      </c>
      <c r="B18" s="18" t="n">
        <f aca="false">B17/B15</f>
        <v>0.273584905660377</v>
      </c>
    </row>
    <row r="19" customFormat="false" ht="15" hidden="false" customHeight="false" outlineLevel="0" collapsed="false">
      <c r="A19" s="5" t="s">
        <v>408</v>
      </c>
      <c r="B19" s="8" t="n">
        <v>0.07</v>
      </c>
    </row>
    <row r="20" customFormat="false" ht="15" hidden="false" customHeight="false" outlineLevel="0" collapsed="false">
      <c r="A20" s="5" t="s">
        <v>409</v>
      </c>
      <c r="B20" s="8" t="n">
        <v>0.05</v>
      </c>
    </row>
    <row r="21" customFormat="false" ht="15" hidden="false" customHeight="false" outlineLevel="0" collapsed="false">
      <c r="A21" s="5" t="s">
        <v>432</v>
      </c>
      <c r="B21" s="9" t="n">
        <f aca="false">B19*B15</f>
        <v>2226000</v>
      </c>
    </row>
    <row r="22" customFormat="false" ht="15" hidden="false" customHeight="false" outlineLevel="0" collapsed="false">
      <c r="A22" s="5" t="s">
        <v>459</v>
      </c>
      <c r="B22" s="9" t="n">
        <f aca="false">B15+B21</f>
        <v>34026000</v>
      </c>
    </row>
    <row r="23" customFormat="false" ht="15" hidden="false" customHeight="false" outlineLevel="0" collapsed="false">
      <c r="A23" s="5" t="s">
        <v>409</v>
      </c>
      <c r="B23" s="9" t="n">
        <f aca="false">B20*B22</f>
        <v>1701300</v>
      </c>
    </row>
    <row r="24" customFormat="false" ht="15" hidden="false" customHeight="false" outlineLevel="0" collapsed="false">
      <c r="A24" s="10" t="s">
        <v>460</v>
      </c>
      <c r="B24" s="11" t="n">
        <f aca="false">B22+B23</f>
        <v>35727300</v>
      </c>
    </row>
    <row r="25" customFormat="false" ht="15" hidden="false" customHeight="false" outlineLevel="0" collapsed="false">
      <c r="A25" s="5" t="s">
        <v>62</v>
      </c>
      <c r="B25" s="9" t="n">
        <f aca="false">B24/B4</f>
        <v>893.1825</v>
      </c>
    </row>
    <row r="27" customFormat="false" ht="15" hidden="false" customHeight="false" outlineLevel="0" collapsed="false">
      <c r="A27" s="3" t="s">
        <v>461</v>
      </c>
    </row>
    <row r="28" customFormat="false" ht="15" hidden="false" customHeight="false" outlineLevel="0" collapsed="false">
      <c r="A28" s="5" t="s">
        <v>462</v>
      </c>
      <c r="B28" s="6" t="n">
        <v>4800000</v>
      </c>
    </row>
    <row r="29" customFormat="false" ht="15" hidden="false" customHeight="false" outlineLevel="0" collapsed="false">
      <c r="A29" s="5" t="s">
        <v>413</v>
      </c>
      <c r="B29" s="28" t="n">
        <v>0.07</v>
      </c>
    </row>
    <row r="30" customFormat="false" ht="15" hidden="false" customHeight="false" outlineLevel="0" collapsed="false">
      <c r="A30" s="5" t="s">
        <v>416</v>
      </c>
      <c r="B30" s="7" t="n">
        <v>24</v>
      </c>
    </row>
    <row r="31" customFormat="false" ht="15" hidden="false" customHeight="false" outlineLevel="0" collapsed="false">
      <c r="A31" s="5" t="s">
        <v>463</v>
      </c>
      <c r="B31" s="7" t="n">
        <v>14</v>
      </c>
    </row>
    <row r="32" customFormat="false" ht="15" hidden="false" customHeight="false" outlineLevel="0" collapsed="false">
      <c r="A32" s="5" t="s">
        <v>138</v>
      </c>
      <c r="B32" s="15" t="n">
        <v>72</v>
      </c>
    </row>
    <row r="33" customFormat="false" ht="15" hidden="false" customHeight="false" outlineLevel="0" collapsed="false">
      <c r="A33" s="5" t="s">
        <v>300</v>
      </c>
      <c r="B33" s="28" t="n">
        <v>0.055</v>
      </c>
    </row>
    <row r="34" customFormat="false" ht="15" hidden="false" customHeight="false" outlineLevel="0" collapsed="false">
      <c r="A34" s="5" t="s">
        <v>405</v>
      </c>
      <c r="B34" s="28" t="n">
        <v>0.065</v>
      </c>
    </row>
    <row r="35" customFormat="false" ht="15" hidden="false" customHeight="false" outlineLevel="0" collapsed="false">
      <c r="A35" s="5" t="s">
        <v>387</v>
      </c>
      <c r="B35" s="8" t="n">
        <v>0.1</v>
      </c>
    </row>
    <row r="36" customFormat="false" ht="15" hidden="false" customHeight="false" outlineLevel="0" collapsed="false">
      <c r="A36" s="5" t="s">
        <v>434</v>
      </c>
      <c r="B36" s="8" t="n">
        <v>0.01</v>
      </c>
    </row>
    <row r="37" customFormat="false" ht="15" hidden="false" customHeight="false" outlineLevel="0" collapsed="false">
      <c r="A37" s="5" t="s">
        <v>412</v>
      </c>
      <c r="B37" s="6" t="n">
        <v>150000</v>
      </c>
    </row>
    <row r="38" customFormat="false" ht="15" hidden="false" customHeight="false" outlineLevel="0" collapsed="false">
      <c r="A38" s="5" t="s">
        <v>464</v>
      </c>
      <c r="B38" s="9" t="n">
        <f aca="false">B28*B29*B30/12</f>
        <v>672000</v>
      </c>
    </row>
    <row r="39" customFormat="false" ht="15" hidden="false" customHeight="false" outlineLevel="0" collapsed="false">
      <c r="A39" s="5" t="s">
        <v>465</v>
      </c>
      <c r="B39" s="9" t="n">
        <f aca="false">ROUND(B24*0.5*B29*B31/12,-3)</f>
        <v>1459000</v>
      </c>
    </row>
    <row r="40" customFormat="false" ht="15" hidden="false" customHeight="false" outlineLevel="0" collapsed="false">
      <c r="A40" s="5" t="s">
        <v>145</v>
      </c>
      <c r="B40" s="9" t="n">
        <f aca="false">B32*B4</f>
        <v>2880000</v>
      </c>
    </row>
    <row r="41" customFormat="false" ht="15" hidden="false" customHeight="false" outlineLevel="0" collapsed="false">
      <c r="A41" s="5" t="s">
        <v>387</v>
      </c>
      <c r="B41" s="9" t="n">
        <f aca="false">B35*B40</f>
        <v>288000</v>
      </c>
    </row>
    <row r="42" customFormat="false" ht="15" hidden="false" customHeight="false" outlineLevel="0" collapsed="false">
      <c r="A42" s="5" t="s">
        <v>428</v>
      </c>
      <c r="B42" s="9" t="n">
        <f aca="false">B40/B33</f>
        <v>52363636.3636364</v>
      </c>
    </row>
    <row r="43" customFormat="false" ht="15" hidden="false" customHeight="false" outlineLevel="0" collapsed="false">
      <c r="A43" s="5" t="s">
        <v>429</v>
      </c>
      <c r="B43" s="9" t="n">
        <f aca="false">ROUND(B42/(1+B34),-3)</f>
        <v>49168000</v>
      </c>
    </row>
    <row r="44" customFormat="false" ht="15" hidden="false" customHeight="false" outlineLevel="0" collapsed="false">
      <c r="A44" s="5" t="s">
        <v>466</v>
      </c>
      <c r="B44" s="9" t="n">
        <f aca="false">ROUND(B36*B43,-3)</f>
        <v>492000</v>
      </c>
    </row>
    <row r="45" customFormat="false" ht="15" hidden="false" customHeight="false" outlineLevel="0" collapsed="false">
      <c r="A45" s="10" t="s">
        <v>467</v>
      </c>
      <c r="B45" s="11" t="n">
        <f aca="false">B24+B28+B38+B39+B41+B44+B37</f>
        <v>43588300</v>
      </c>
    </row>
    <row r="46" customFormat="false" ht="15" hidden="false" customHeight="false" outlineLevel="0" collapsed="false">
      <c r="A46" s="5" t="s">
        <v>62</v>
      </c>
      <c r="B46" s="9" t="n">
        <f aca="false">B45/B4</f>
        <v>1089.7075</v>
      </c>
    </row>
    <row r="47" customFormat="false" ht="15" hidden="false" customHeight="false" outlineLevel="0" collapsed="false">
      <c r="A47" s="10" t="s">
        <v>437</v>
      </c>
      <c r="B47" s="11" t="n">
        <f aca="false">B43-B45</f>
        <v>5579700</v>
      </c>
    </row>
    <row r="48" customFormat="false" ht="15" hidden="false" customHeight="false" outlineLevel="0" collapsed="false">
      <c r="A48" s="5" t="s">
        <v>287</v>
      </c>
      <c r="B48" s="18" t="n">
        <f aca="false">B47/B45</f>
        <v>0.128009121713854</v>
      </c>
    </row>
    <row r="50" customFormat="false" ht="15" hidden="false" customHeight="false" outlineLevel="0" collapsed="false">
      <c r="A50" s="3" t="s">
        <v>468</v>
      </c>
    </row>
    <row r="51" customFormat="false" ht="15" hidden="false" customHeight="false" outlineLevel="0" collapsed="false">
      <c r="A51" s="5" t="s">
        <v>469</v>
      </c>
      <c r="B51" s="6" t="n">
        <v>1200000</v>
      </c>
    </row>
    <row r="52" customFormat="false" ht="15" hidden="false" customHeight="false" outlineLevel="0" collapsed="false">
      <c r="A52" s="5" t="s">
        <v>470</v>
      </c>
      <c r="B52" s="6" t="n">
        <v>1100000</v>
      </c>
    </row>
    <row r="53" customFormat="false" ht="15" hidden="false" customHeight="false" outlineLevel="0" collapsed="false">
      <c r="A53" s="5" t="s">
        <v>471</v>
      </c>
      <c r="B53" s="6" t="n">
        <v>1500000</v>
      </c>
    </row>
    <row r="54" customFormat="false" ht="15" hidden="false" customHeight="false" outlineLevel="0" collapsed="false">
      <c r="A54" s="5" t="s">
        <v>472</v>
      </c>
      <c r="B54" s="6" t="n">
        <v>180000</v>
      </c>
    </row>
    <row r="55" customFormat="false" ht="15" hidden="false" customHeight="false" outlineLevel="0" collapsed="false">
      <c r="A55" s="5" t="s">
        <v>473</v>
      </c>
      <c r="B55" s="7" t="n">
        <v>4</v>
      </c>
    </row>
    <row r="56" customFormat="false" ht="15" hidden="false" customHeight="false" outlineLevel="0" collapsed="false">
      <c r="A56" s="5" t="s">
        <v>474</v>
      </c>
      <c r="B56" s="9" t="n">
        <f aca="false">B51+(B53-B52)+B54*B55</f>
        <v>2320000</v>
      </c>
    </row>
    <row r="57" customFormat="false" ht="15" hidden="false" customHeight="false" outlineLevel="0" collapsed="false">
      <c r="A57" s="5" t="s">
        <v>475</v>
      </c>
      <c r="B57" s="9" t="n">
        <f aca="false">B22+B56</f>
        <v>36346000</v>
      </c>
    </row>
    <row r="58" customFormat="false" ht="15" hidden="false" customHeight="false" outlineLevel="0" collapsed="false">
      <c r="A58" s="5" t="s">
        <v>464</v>
      </c>
      <c r="B58" s="9" t="n">
        <f aca="false">B28*B29*(B30+B55)/12</f>
        <v>784000</v>
      </c>
    </row>
    <row r="59" customFormat="false" ht="15" hidden="false" customHeight="false" outlineLevel="0" collapsed="false">
      <c r="A59" s="5" t="s">
        <v>465</v>
      </c>
      <c r="B59" s="9" t="n">
        <f aca="false">ROUND(B57*0.5*B29*(B31+B55)/12,-3)</f>
        <v>1908000</v>
      </c>
    </row>
    <row r="60" customFormat="false" ht="15" hidden="false" customHeight="false" outlineLevel="0" collapsed="false">
      <c r="A60" s="10" t="s">
        <v>467</v>
      </c>
      <c r="B60" s="11" t="n">
        <f aca="false">B57+B28+B58+B59+B41+B44+B37</f>
        <v>44768000</v>
      </c>
    </row>
    <row r="61" customFormat="false" ht="15" hidden="false" customHeight="false" outlineLevel="0" collapsed="false">
      <c r="A61" s="5" t="s">
        <v>62</v>
      </c>
      <c r="B61" s="9" t="n">
        <f aca="false">B60/B4</f>
        <v>1119.2</v>
      </c>
    </row>
    <row r="62" customFormat="false" ht="15" hidden="false" customHeight="false" outlineLevel="0" collapsed="false">
      <c r="A62" s="10" t="s">
        <v>437</v>
      </c>
      <c r="B62" s="11" t="n">
        <f aca="false">B43-B60</f>
        <v>4400000</v>
      </c>
    </row>
    <row r="63" customFormat="false" ht="15" hidden="false" customHeight="false" outlineLevel="0" collapsed="false">
      <c r="A63" s="5" t="s">
        <v>287</v>
      </c>
      <c r="B63" s="18" t="n">
        <f aca="false">B62/B60</f>
        <v>0.0982844889206576</v>
      </c>
    </row>
    <row r="64" customFormat="false" ht="15" hidden="false" customHeight="false" outlineLevel="0" collapsed="false">
      <c r="A64" s="5" t="s">
        <v>476</v>
      </c>
      <c r="B64" s="18" t="n">
        <f aca="false">B61/B46-1</f>
        <v>0.0270646021982963</v>
      </c>
    </row>
    <row r="65" customFormat="false" ht="15" hidden="false" customHeight="false" outlineLevel="0" collapsed="false">
      <c r="A65" s="5" t="s">
        <v>477</v>
      </c>
      <c r="B65" s="18" t="n">
        <f aca="false">1-B62/B47</f>
        <v>0.211427137659731</v>
      </c>
    </row>
    <row r="66" customFormat="false" ht="15" hidden="false" customHeight="false" outlineLevel="0" collapsed="false">
      <c r="A66" s="5" t="s">
        <v>478</v>
      </c>
      <c r="B66" s="9" t="n">
        <f aca="false">B51+B53-B52</f>
        <v>1600000</v>
      </c>
    </row>
    <row r="67" customFormat="false" ht="15" hidden="false" customHeight="false" outlineLevel="0" collapsed="false">
      <c r="A67" s="10" t="s">
        <v>479</v>
      </c>
      <c r="B67" s="12" t="n">
        <f aca="false">MIN(1,B23/B66)</f>
        <v>1</v>
      </c>
    </row>
    <row r="68" customFormat="false" ht="15" hidden="false" customHeight="false" outlineLevel="0" collapsed="false">
      <c r="A68" s="5" t="s">
        <v>480</v>
      </c>
      <c r="B68" s="9" t="n">
        <f aca="false">MAX(0,B23-B66)</f>
        <v>101300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481</v>
      </c>
    </row>
    <row r="2" customFormat="false" ht="15" hidden="false" customHeight="false" outlineLevel="0" collapsed="false">
      <c r="A2" s="2" t="s">
        <v>482</v>
      </c>
    </row>
    <row r="4" customFormat="false" ht="15" hidden="false" customHeight="false" outlineLevel="0" collapsed="false">
      <c r="A4" s="5" t="s">
        <v>483</v>
      </c>
      <c r="B4" s="6" t="n">
        <v>31000000</v>
      </c>
    </row>
    <row r="5" customFormat="false" ht="15" hidden="false" customHeight="false" outlineLevel="0" collapsed="false">
      <c r="A5" s="5" t="s">
        <v>413</v>
      </c>
      <c r="B5" s="28" t="n">
        <v>0.07</v>
      </c>
    </row>
    <row r="6" customFormat="false" ht="15" hidden="false" customHeight="false" outlineLevel="0" collapsed="false">
      <c r="A6" s="5" t="s">
        <v>484</v>
      </c>
      <c r="B6" s="6" t="n">
        <v>450000</v>
      </c>
    </row>
    <row r="7" customFormat="false" ht="15" hidden="false" customHeight="false" outlineLevel="0" collapsed="false">
      <c r="A7" s="5" t="s">
        <v>244</v>
      </c>
      <c r="B7" s="6" t="n">
        <v>30000</v>
      </c>
    </row>
    <row r="8" customFormat="false" ht="15" hidden="false" customHeight="false" outlineLevel="0" collapsed="false">
      <c r="A8" s="5" t="s">
        <v>485</v>
      </c>
      <c r="B8" s="9" t="n">
        <f aca="false">B4*B5</f>
        <v>2170000</v>
      </c>
    </row>
    <row r="9" customFormat="false" ht="15" hidden="false" customHeight="false" outlineLevel="0" collapsed="false">
      <c r="A9" s="5" t="s">
        <v>486</v>
      </c>
      <c r="B9" s="9" t="n">
        <f aca="false">B8/12</f>
        <v>180833.333333333</v>
      </c>
    </row>
    <row r="10" customFormat="false" ht="15" hidden="false" customHeight="false" outlineLevel="0" collapsed="false">
      <c r="A10" s="5" t="s">
        <v>487</v>
      </c>
      <c r="B10" s="9" t="n">
        <f aca="false">B6/12</f>
        <v>37500</v>
      </c>
    </row>
    <row r="11" customFormat="false" ht="15" hidden="false" customHeight="false" outlineLevel="0" collapsed="false">
      <c r="A11" s="10" t="s">
        <v>488</v>
      </c>
      <c r="B11" s="11" t="n">
        <f aca="false">B9+B10</f>
        <v>218333.333333333</v>
      </c>
    </row>
    <row r="12" customFormat="false" ht="15" hidden="false" customHeight="false" outlineLevel="0" collapsed="false">
      <c r="A12" s="5" t="s">
        <v>405</v>
      </c>
      <c r="B12" s="28" t="n">
        <v>0.065</v>
      </c>
    </row>
    <row r="13" customFormat="false" ht="15" hidden="false" customHeight="false" outlineLevel="0" collapsed="false">
      <c r="A13" s="5" t="s">
        <v>387</v>
      </c>
      <c r="B13" s="8" t="n">
        <v>0.1</v>
      </c>
    </row>
    <row r="14" customFormat="false" ht="15" hidden="false" customHeight="false" outlineLevel="0" collapsed="false">
      <c r="A14" s="5" t="s">
        <v>434</v>
      </c>
      <c r="B14" s="8" t="n">
        <v>0.01</v>
      </c>
    </row>
    <row r="16" customFormat="false" ht="15" hidden="false" customHeight="false" outlineLevel="0" collapsed="false">
      <c r="A16" s="3" t="s">
        <v>489</v>
      </c>
    </row>
    <row r="17" customFormat="false" ht="15" hidden="false" customHeight="false" outlineLevel="0" collapsed="false">
      <c r="A17" s="5" t="s">
        <v>138</v>
      </c>
      <c r="B17" s="15" t="n">
        <v>69</v>
      </c>
    </row>
    <row r="18" customFormat="false" ht="15" hidden="false" customHeight="false" outlineLevel="0" collapsed="false">
      <c r="A18" s="5" t="s">
        <v>300</v>
      </c>
      <c r="B18" s="28" t="n">
        <v>0.0525</v>
      </c>
    </row>
    <row r="19" customFormat="false" ht="15" hidden="false" customHeight="false" outlineLevel="0" collapsed="false">
      <c r="A19" s="5" t="s">
        <v>490</v>
      </c>
      <c r="B19" s="7" t="n">
        <v>9</v>
      </c>
    </row>
    <row r="20" customFormat="false" ht="15" hidden="false" customHeight="false" outlineLevel="0" collapsed="false">
      <c r="A20" s="5" t="s">
        <v>145</v>
      </c>
      <c r="B20" s="9" t="n">
        <f aca="false">B17*B7</f>
        <v>2070000</v>
      </c>
    </row>
    <row r="21" customFormat="false" ht="15" hidden="false" customHeight="false" outlineLevel="0" collapsed="false">
      <c r="A21" s="5" t="s">
        <v>491</v>
      </c>
      <c r="B21" s="9" t="n">
        <f aca="false">B20/B18</f>
        <v>39428571.4285714</v>
      </c>
    </row>
    <row r="22" customFormat="false" ht="15" hidden="false" customHeight="false" outlineLevel="0" collapsed="false">
      <c r="A22" s="5" t="s">
        <v>492</v>
      </c>
      <c r="B22" s="9" t="n">
        <f aca="false">B21/(1+B12)</f>
        <v>37022132.7967807</v>
      </c>
    </row>
    <row r="23" customFormat="false" ht="15" hidden="false" customHeight="false" outlineLevel="0" collapsed="false">
      <c r="A23" s="5" t="s">
        <v>493</v>
      </c>
      <c r="B23" s="9" t="n">
        <f aca="false">B20*B19/12</f>
        <v>1552500</v>
      </c>
    </row>
    <row r="24" customFormat="false" ht="15" hidden="false" customHeight="false" outlineLevel="0" collapsed="false">
      <c r="A24" s="5" t="s">
        <v>494</v>
      </c>
      <c r="B24" s="9" t="n">
        <f aca="false">B22-B23</f>
        <v>35469632.7967807</v>
      </c>
    </row>
    <row r="25" customFormat="false" ht="15" hidden="false" customHeight="false" outlineLevel="0" collapsed="false">
      <c r="A25" s="5" t="s">
        <v>387</v>
      </c>
      <c r="B25" s="9" t="n">
        <f aca="false">B13*B20</f>
        <v>207000</v>
      </c>
    </row>
    <row r="26" customFormat="false" ht="15" hidden="false" customHeight="false" outlineLevel="0" collapsed="false">
      <c r="A26" s="5" t="s">
        <v>434</v>
      </c>
      <c r="B26" s="9" t="n">
        <f aca="false">ROUND(B14*B22,-3)</f>
        <v>370000</v>
      </c>
    </row>
    <row r="27" customFormat="false" ht="15" hidden="false" customHeight="false" outlineLevel="0" collapsed="false">
      <c r="A27" s="10" t="s">
        <v>437</v>
      </c>
      <c r="B27" s="11" t="n">
        <f aca="false">B24-B4-B25-B26</f>
        <v>3892632.79678069</v>
      </c>
    </row>
    <row r="28" customFormat="false" ht="15" hidden="false" customHeight="false" outlineLevel="0" collapsed="false">
      <c r="A28" s="5" t="s">
        <v>495</v>
      </c>
      <c r="B28" s="18" t="n">
        <f aca="false">B27/(B4+B25+B26)</f>
        <v>0.123274307146996</v>
      </c>
    </row>
    <row r="30" customFormat="false" ht="15" hidden="false" customHeight="false" outlineLevel="0" collapsed="false">
      <c r="A30" s="3" t="s">
        <v>496</v>
      </c>
    </row>
    <row r="31" customFormat="false" ht="15" hidden="false" customHeight="false" outlineLevel="0" collapsed="false">
      <c r="A31" s="5" t="s">
        <v>138</v>
      </c>
      <c r="B31" s="15" t="n">
        <v>78</v>
      </c>
    </row>
    <row r="32" customFormat="false" ht="15" hidden="false" customHeight="false" outlineLevel="0" collapsed="false">
      <c r="A32" s="5" t="s">
        <v>300</v>
      </c>
      <c r="B32" s="28" t="n">
        <v>0.055</v>
      </c>
    </row>
    <row r="33" customFormat="false" ht="15" hidden="false" customHeight="false" outlineLevel="0" collapsed="false">
      <c r="A33" s="5" t="s">
        <v>490</v>
      </c>
      <c r="B33" s="7" t="n">
        <v>15</v>
      </c>
    </row>
    <row r="34" customFormat="false" ht="15" hidden="false" customHeight="false" outlineLevel="0" collapsed="false">
      <c r="A34" s="5" t="s">
        <v>145</v>
      </c>
      <c r="B34" s="9" t="n">
        <f aca="false">B31*B7</f>
        <v>2340000</v>
      </c>
    </row>
    <row r="35" customFormat="false" ht="15" hidden="false" customHeight="false" outlineLevel="0" collapsed="false">
      <c r="A35" s="5" t="s">
        <v>491</v>
      </c>
      <c r="B35" s="9" t="n">
        <f aca="false">B34/B32</f>
        <v>42545454.5454546</v>
      </c>
    </row>
    <row r="36" customFormat="false" ht="15" hidden="false" customHeight="false" outlineLevel="0" collapsed="false">
      <c r="A36" s="5" t="s">
        <v>492</v>
      </c>
      <c r="B36" s="9" t="n">
        <f aca="false">B35/(1+B12)</f>
        <v>39948783.6107554</v>
      </c>
    </row>
    <row r="37" customFormat="false" ht="15" hidden="false" customHeight="false" outlineLevel="0" collapsed="false">
      <c r="A37" s="5" t="s">
        <v>493</v>
      </c>
      <c r="B37" s="9" t="n">
        <f aca="false">B34*B33/12</f>
        <v>2925000</v>
      </c>
    </row>
    <row r="38" customFormat="false" ht="15" hidden="false" customHeight="false" outlineLevel="0" collapsed="false">
      <c r="A38" s="5" t="s">
        <v>494</v>
      </c>
      <c r="B38" s="9" t="n">
        <f aca="false">B36-B37</f>
        <v>37023783.6107554</v>
      </c>
    </row>
    <row r="39" customFormat="false" ht="15" hidden="false" customHeight="false" outlineLevel="0" collapsed="false">
      <c r="A39" s="5" t="s">
        <v>387</v>
      </c>
      <c r="B39" s="9" t="n">
        <f aca="false">B13*B34</f>
        <v>234000</v>
      </c>
    </row>
    <row r="40" customFormat="false" ht="15" hidden="false" customHeight="false" outlineLevel="0" collapsed="false">
      <c r="A40" s="5" t="s">
        <v>434</v>
      </c>
      <c r="B40" s="9" t="n">
        <f aca="false">ROUND(B14*B36,-3)</f>
        <v>399000</v>
      </c>
    </row>
    <row r="41" customFormat="false" ht="15" hidden="false" customHeight="false" outlineLevel="0" collapsed="false">
      <c r="A41" s="5" t="s">
        <v>497</v>
      </c>
      <c r="B41" s="9" t="n">
        <f aca="false">B4+B39+B40</f>
        <v>31633000</v>
      </c>
    </row>
    <row r="42" customFormat="false" ht="15" hidden="false" customHeight="false" outlineLevel="0" collapsed="false">
      <c r="A42" s="10" t="s">
        <v>498</v>
      </c>
      <c r="B42" s="11" t="n">
        <f aca="false">B38-B41</f>
        <v>5390783.61075544</v>
      </c>
    </row>
    <row r="43" customFormat="false" ht="15" hidden="false" customHeight="false" outlineLevel="0" collapsed="false">
      <c r="A43" s="5" t="s">
        <v>287</v>
      </c>
      <c r="B43" s="18" t="n">
        <f aca="false">B42/B41</f>
        <v>0.170416451514414</v>
      </c>
    </row>
    <row r="44" customFormat="false" ht="15" hidden="false" customHeight="false" outlineLevel="0" collapsed="false">
      <c r="A44" s="5" t="s">
        <v>499</v>
      </c>
      <c r="B44" s="9" t="n">
        <f aca="false">B42-B27</f>
        <v>1498150.81397475</v>
      </c>
    </row>
    <row r="45" customFormat="false" ht="15" hidden="false" customHeight="false" outlineLevel="0" collapsed="false">
      <c r="A45" s="10" t="s">
        <v>500</v>
      </c>
      <c r="B45" s="22" t="n">
        <f aca="false">B42/B11</f>
        <v>24.6906119576585</v>
      </c>
    </row>
    <row r="46" customFormat="false" ht="15" hidden="false" customHeight="false" outlineLevel="0" collapsed="false">
      <c r="A46" s="10" t="s">
        <v>501</v>
      </c>
      <c r="B46" s="22" t="n">
        <f aca="false">B44/B11</f>
        <v>6.86175945331948</v>
      </c>
    </row>
    <row r="48" customFormat="false" ht="23.85" hidden="false" customHeight="false" outlineLevel="0" collapsed="false">
      <c r="A48" s="20" t="s">
        <v>502</v>
      </c>
      <c r="B48" s="20" t="s">
        <v>503</v>
      </c>
      <c r="C48" s="20" t="s">
        <v>437</v>
      </c>
      <c r="D48" s="20" t="s">
        <v>504</v>
      </c>
      <c r="E48" s="20" t="s">
        <v>505</v>
      </c>
      <c r="F48" s="20" t="s">
        <v>506</v>
      </c>
    </row>
    <row r="49" customFormat="false" ht="15" hidden="false" customHeight="false" outlineLevel="0" collapsed="false">
      <c r="A49" s="32" t="n">
        <v>0</v>
      </c>
      <c r="B49" s="9" t="n">
        <f aca="false">B41+A49*B11</f>
        <v>31633000</v>
      </c>
      <c r="C49" s="9" t="n">
        <f aca="false">B42-A49*B11</f>
        <v>5390783.61075544</v>
      </c>
      <c r="D49" s="18" t="n">
        <f aca="false">C49/B49</f>
        <v>0.170416451514414</v>
      </c>
      <c r="E49" s="33" t="n">
        <v>0.3</v>
      </c>
      <c r="F49" s="33" t="n">
        <v>0.5</v>
      </c>
    </row>
    <row r="50" customFormat="false" ht="15" hidden="false" customHeight="false" outlineLevel="0" collapsed="false">
      <c r="A50" s="32" t="n">
        <v>6</v>
      </c>
      <c r="B50" s="9" t="n">
        <f aca="false">B41+A50*B11</f>
        <v>32943000</v>
      </c>
      <c r="C50" s="9" t="n">
        <f aca="false">B42-A50*B11</f>
        <v>4080783.61075544</v>
      </c>
      <c r="D50" s="18" t="n">
        <f aca="false">C50/B50</f>
        <v>0.123874073725995</v>
      </c>
      <c r="E50" s="33" t="n">
        <v>0.3</v>
      </c>
      <c r="F50" s="33" t="n">
        <v>0.3</v>
      </c>
    </row>
    <row r="51" customFormat="false" ht="15" hidden="false" customHeight="false" outlineLevel="0" collapsed="false">
      <c r="A51" s="32" t="n">
        <v>12</v>
      </c>
      <c r="B51" s="9" t="n">
        <f aca="false">B41+A51*B11</f>
        <v>34253000</v>
      </c>
      <c r="C51" s="9" t="n">
        <f aca="false">B42-A51*B11</f>
        <v>2770783.61075544</v>
      </c>
      <c r="D51" s="18" t="n">
        <f aca="false">C51/B51</f>
        <v>0.0808917061499852</v>
      </c>
      <c r="E51" s="33" t="n">
        <v>0.2</v>
      </c>
      <c r="F51" s="33" t="n">
        <v>0.15</v>
      </c>
    </row>
    <row r="52" customFormat="false" ht="15" hidden="false" customHeight="false" outlineLevel="0" collapsed="false">
      <c r="A52" s="32" t="n">
        <v>18</v>
      </c>
      <c r="B52" s="9" t="n">
        <f aca="false">B41+A52*B11</f>
        <v>35563000</v>
      </c>
      <c r="C52" s="9" t="n">
        <f aca="false">B42-A52*B11</f>
        <v>1460783.61075544</v>
      </c>
      <c r="D52" s="18" t="n">
        <f aca="false">C52/B52</f>
        <v>0.0410759387778152</v>
      </c>
      <c r="E52" s="33" t="n">
        <v>0.12</v>
      </c>
      <c r="F52" s="33" t="n">
        <v>0.05</v>
      </c>
    </row>
    <row r="53" customFormat="false" ht="15" hidden="false" customHeight="false" outlineLevel="0" collapsed="false">
      <c r="A53" s="32" t="n">
        <v>24</v>
      </c>
      <c r="B53" s="9" t="n">
        <f aca="false">B41+A53*B11</f>
        <v>36873000</v>
      </c>
      <c r="C53" s="9" t="n">
        <f aca="false">B42-A53*B11</f>
        <v>150783.610755444</v>
      </c>
      <c r="D53" s="18" t="n">
        <f aca="false">C53/B53</f>
        <v>0.00408926886218761</v>
      </c>
      <c r="E53" s="33" t="n">
        <v>0.08</v>
      </c>
      <c r="F53" s="33" t="n">
        <v>0</v>
      </c>
    </row>
    <row r="55" customFormat="false" ht="15" hidden="false" customHeight="false" outlineLevel="0" collapsed="false">
      <c r="A55" s="10" t="s">
        <v>507</v>
      </c>
      <c r="B55" s="11" t="n">
        <f aca="false">SUMPRODUCT(C49:C53,E49:E53)</f>
        <v>3582983.61075544</v>
      </c>
    </row>
    <row r="56" customFormat="false" ht="15" hidden="false" customHeight="false" outlineLevel="0" collapsed="false">
      <c r="A56" s="5" t="s">
        <v>508</v>
      </c>
      <c r="B56" s="9" t="n">
        <f aca="false">B55-B27</f>
        <v>-309649.186025247</v>
      </c>
    </row>
    <row r="57" customFormat="false" ht="15" hidden="false" customHeight="false" outlineLevel="0" collapsed="false">
      <c r="A57" s="10" t="s">
        <v>509</v>
      </c>
      <c r="B57" s="11" t="n">
        <f aca="false">SUMPRODUCT(C49:C53,F49:F53)</f>
        <v>4408283.61075544</v>
      </c>
    </row>
    <row r="58" customFormat="false" ht="15" hidden="false" customHeight="false" outlineLevel="0" collapsed="false">
      <c r="A58" s="5" t="s">
        <v>508</v>
      </c>
      <c r="B58" s="9" t="n">
        <f aca="false">B57-B27</f>
        <v>515650.813974753</v>
      </c>
    </row>
    <row r="59" customFormat="false" ht="15" hidden="false" customHeight="false" outlineLevel="0" collapsed="false">
      <c r="A59" s="5" t="s">
        <v>510</v>
      </c>
      <c r="B59" s="18" t="n">
        <f aca="false">B58/B27</f>
        <v>0.132468393731155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511</v>
      </c>
    </row>
    <row r="2" customFormat="false" ht="15" hidden="false" customHeight="false" outlineLevel="0" collapsed="false">
      <c r="A2" s="2" t="s">
        <v>512</v>
      </c>
    </row>
    <row r="5" customFormat="false" ht="15" hidden="false" customHeight="false" outlineLevel="0" collapsed="false">
      <c r="A5" s="3" t="s">
        <v>513</v>
      </c>
    </row>
    <row r="6" customFormat="false" ht="15" hidden="false" customHeight="false" outlineLevel="0" collapsed="false">
      <c r="A6" s="5" t="s">
        <v>177</v>
      </c>
      <c r="B6" s="6" t="n">
        <v>1400000</v>
      </c>
    </row>
    <row r="7" customFormat="false" ht="15" hidden="false" customHeight="false" outlineLevel="0" collapsed="false">
      <c r="A7" s="5" t="s">
        <v>178</v>
      </c>
      <c r="B7" s="6" t="n">
        <v>1750000</v>
      </c>
    </row>
    <row r="8" customFormat="false" ht="15" hidden="false" customHeight="false" outlineLevel="0" collapsed="false">
      <c r="A8" s="5" t="s">
        <v>514</v>
      </c>
      <c r="B8" s="7" t="n">
        <v>3</v>
      </c>
    </row>
    <row r="9" customFormat="false" ht="15" hidden="false" customHeight="false" outlineLevel="0" collapsed="false">
      <c r="A9" s="5" t="s">
        <v>515</v>
      </c>
      <c r="B9" s="28" t="n">
        <v>0.05</v>
      </c>
    </row>
    <row r="10" customFormat="false" ht="15" hidden="false" customHeight="false" outlineLevel="0" collapsed="false">
      <c r="A10" s="5" t="s">
        <v>516</v>
      </c>
      <c r="B10" s="28" t="n">
        <v>0.0525</v>
      </c>
    </row>
    <row r="11" customFormat="false" ht="15" hidden="false" customHeight="false" outlineLevel="0" collapsed="false">
      <c r="A11" s="5" t="s">
        <v>517</v>
      </c>
      <c r="B11" s="27" t="n">
        <f aca="false">(1-(1+B9)^-B8)/B9</f>
        <v>2.72324802937048</v>
      </c>
    </row>
    <row r="12" customFormat="false" ht="15" hidden="false" customHeight="false" outlineLevel="0" collapsed="false">
      <c r="A12" s="5" t="s">
        <v>518</v>
      </c>
      <c r="B12" s="9" t="n">
        <f aca="false">B6*B11</f>
        <v>3812547.24111867</v>
      </c>
    </row>
    <row r="13" customFormat="false" ht="15" hidden="false" customHeight="false" outlineLevel="0" collapsed="false">
      <c r="A13" s="5" t="s">
        <v>519</v>
      </c>
      <c r="B13" s="9" t="n">
        <f aca="false">B7/B10</f>
        <v>33333333.3333333</v>
      </c>
    </row>
    <row r="14" customFormat="false" ht="15" hidden="false" customHeight="false" outlineLevel="0" collapsed="false">
      <c r="A14" s="5" t="s">
        <v>520</v>
      </c>
      <c r="B14" s="27" t="n">
        <f aca="false">(1+B10)^-B8</f>
        <v>0.857696596020655</v>
      </c>
    </row>
    <row r="15" customFormat="false" ht="15" hidden="false" customHeight="false" outlineLevel="0" collapsed="false">
      <c r="A15" s="5" t="s">
        <v>521</v>
      </c>
      <c r="B15" s="9" t="n">
        <f aca="false">B13*B14</f>
        <v>28589886.5340218</v>
      </c>
    </row>
    <row r="16" customFormat="false" ht="15" hidden="false" customHeight="false" outlineLevel="0" collapsed="false">
      <c r="A16" s="10" t="s">
        <v>331</v>
      </c>
      <c r="B16" s="11" t="n">
        <f aca="false">B12+B15</f>
        <v>32402433.7751405</v>
      </c>
    </row>
    <row r="17" customFormat="false" ht="15" hidden="false" customHeight="false" outlineLevel="0" collapsed="false">
      <c r="A17" s="5" t="s">
        <v>522</v>
      </c>
      <c r="B17" s="9" t="n">
        <f aca="false">ROUND(B16,-5)</f>
        <v>32400000</v>
      </c>
    </row>
    <row r="18" customFormat="false" ht="15" hidden="false" customHeight="false" outlineLevel="0" collapsed="false">
      <c r="A18" s="5" t="s">
        <v>523</v>
      </c>
      <c r="B18" s="25" t="n">
        <f aca="false">B6/B17</f>
        <v>0.0432098765432099</v>
      </c>
    </row>
    <row r="19" customFormat="false" ht="15" hidden="false" customHeight="false" outlineLevel="0" collapsed="false">
      <c r="A19" s="5" t="s">
        <v>524</v>
      </c>
      <c r="B19" s="25" t="n">
        <f aca="false">B7/B17</f>
        <v>0.0540123456790123</v>
      </c>
    </row>
    <row r="21" customFormat="false" ht="15" hidden="false" customHeight="false" outlineLevel="0" collapsed="false">
      <c r="A21" s="3" t="s">
        <v>525</v>
      </c>
    </row>
    <row r="22" customFormat="false" ht="15" hidden="false" customHeight="false" outlineLevel="0" collapsed="false">
      <c r="A22" s="5" t="s">
        <v>526</v>
      </c>
      <c r="B22" s="6" t="n">
        <v>24000000</v>
      </c>
    </row>
    <row r="23" customFormat="false" ht="15" hidden="false" customHeight="false" outlineLevel="0" collapsed="false">
      <c r="A23" s="5" t="s">
        <v>527</v>
      </c>
      <c r="B23" s="6" t="n">
        <v>13000000</v>
      </c>
    </row>
    <row r="24" customFormat="false" ht="15" hidden="false" customHeight="false" outlineLevel="0" collapsed="false">
      <c r="A24" s="5" t="s">
        <v>528</v>
      </c>
      <c r="B24" s="6" t="n">
        <v>5250000</v>
      </c>
    </row>
    <row r="25" customFormat="false" ht="15" hidden="false" customHeight="false" outlineLevel="0" collapsed="false">
      <c r="A25" s="5" t="s">
        <v>529</v>
      </c>
      <c r="B25" s="8" t="n">
        <v>0.04</v>
      </c>
    </row>
    <row r="26" customFormat="false" ht="15" hidden="false" customHeight="false" outlineLevel="0" collapsed="false">
      <c r="A26" s="5" t="s">
        <v>530</v>
      </c>
      <c r="B26" s="8" t="n">
        <v>0.02</v>
      </c>
    </row>
    <row r="27" customFormat="false" ht="15" hidden="false" customHeight="false" outlineLevel="0" collapsed="false">
      <c r="A27" s="5" t="s">
        <v>531</v>
      </c>
      <c r="B27" s="8" t="n">
        <v>0.3</v>
      </c>
    </row>
    <row r="28" customFormat="false" ht="15" hidden="false" customHeight="false" outlineLevel="0" collapsed="false">
      <c r="A28" s="5" t="s">
        <v>532</v>
      </c>
      <c r="B28" s="8" t="n">
        <v>0.03</v>
      </c>
    </row>
    <row r="29" customFormat="false" ht="15" hidden="false" customHeight="false" outlineLevel="0" collapsed="false">
      <c r="A29" s="5" t="s">
        <v>244</v>
      </c>
      <c r="B29" s="6" t="n">
        <v>25000</v>
      </c>
    </row>
    <row r="30" customFormat="false" ht="15" hidden="false" customHeight="false" outlineLevel="0" collapsed="false">
      <c r="A30" s="5" t="s">
        <v>331</v>
      </c>
      <c r="B30" s="9" t="n">
        <f aca="false">B22+B23+B24+B7</f>
        <v>44000000</v>
      </c>
    </row>
    <row r="31" customFormat="false" ht="15" hidden="false" customHeight="false" outlineLevel="0" collapsed="false">
      <c r="A31" s="5" t="s">
        <v>533</v>
      </c>
      <c r="B31" s="18" t="n">
        <f aca="false">B7/B30</f>
        <v>0.0397727272727273</v>
      </c>
    </row>
    <row r="32" customFormat="false" ht="15" hidden="false" customHeight="false" outlineLevel="0" collapsed="false">
      <c r="A32" s="5" t="s">
        <v>534</v>
      </c>
      <c r="B32" s="27" t="n">
        <f aca="false">(1+B25)^10</f>
        <v>1.48024428491834</v>
      </c>
    </row>
    <row r="33" customFormat="false" ht="15" hidden="false" customHeight="false" outlineLevel="0" collapsed="false">
      <c r="A33" s="5" t="s">
        <v>535</v>
      </c>
      <c r="B33" s="9" t="n">
        <f aca="false">B7*B32</f>
        <v>2590427.4986071</v>
      </c>
    </row>
    <row r="34" customFormat="false" ht="15" hidden="false" customHeight="false" outlineLevel="0" collapsed="false">
      <c r="A34" s="5" t="s">
        <v>536</v>
      </c>
      <c r="B34" s="27" t="n">
        <f aca="false">(1+B26)^10</f>
        <v>1.21899441999476</v>
      </c>
    </row>
    <row r="35" customFormat="false" ht="15" hidden="false" customHeight="false" outlineLevel="0" collapsed="false">
      <c r="A35" s="5" t="s">
        <v>537</v>
      </c>
      <c r="B35" s="9" t="n">
        <f aca="false">(B30-B7)*B34</f>
        <v>51502514.2447785</v>
      </c>
    </row>
    <row r="36" customFormat="false" ht="15" hidden="false" customHeight="false" outlineLevel="0" collapsed="false">
      <c r="A36" s="5" t="s">
        <v>538</v>
      </c>
      <c r="B36" s="9" t="n">
        <f aca="false">B33+B35</f>
        <v>54092941.7433856</v>
      </c>
    </row>
    <row r="37" customFormat="false" ht="15" hidden="false" customHeight="false" outlineLevel="0" collapsed="false">
      <c r="A37" s="5" t="s">
        <v>533</v>
      </c>
      <c r="B37" s="25" t="n">
        <f aca="false">B33/B36</f>
        <v>0.0478884567028351</v>
      </c>
    </row>
    <row r="38" customFormat="false" ht="15" hidden="false" customHeight="false" outlineLevel="0" collapsed="false">
      <c r="A38" s="5" t="s">
        <v>539</v>
      </c>
      <c r="B38" s="9" t="n">
        <f aca="false">B27*B33</f>
        <v>777128.249582131</v>
      </c>
    </row>
    <row r="39" customFormat="false" ht="15" hidden="false" customHeight="false" outlineLevel="0" collapsed="false">
      <c r="A39" s="5" t="s">
        <v>540</v>
      </c>
      <c r="B39" s="9" t="n">
        <f aca="false">B22*B34</f>
        <v>29255866.0798742</v>
      </c>
    </row>
    <row r="40" customFormat="false" ht="15" hidden="false" customHeight="false" outlineLevel="0" collapsed="false">
      <c r="A40" s="5" t="s">
        <v>541</v>
      </c>
      <c r="B40" s="9" t="n">
        <f aca="false">B28*B39</f>
        <v>877675.982396225</v>
      </c>
    </row>
    <row r="41" customFormat="false" ht="15" hidden="false" customHeight="false" outlineLevel="0" collapsed="false">
      <c r="A41" s="10" t="s">
        <v>542</v>
      </c>
      <c r="B41" s="11" t="n">
        <f aca="false">B40/B27</f>
        <v>2925586.60798742</v>
      </c>
    </row>
    <row r="42" customFormat="false" ht="15" hidden="false" customHeight="false" outlineLevel="0" collapsed="false">
      <c r="A42" s="5" t="s">
        <v>62</v>
      </c>
      <c r="B42" s="19" t="n">
        <f aca="false">B41/B29</f>
        <v>117.023464319497</v>
      </c>
    </row>
    <row r="43" customFormat="false" ht="15" hidden="false" customHeight="false" outlineLevel="0" collapsed="false">
      <c r="A43" s="5" t="s">
        <v>543</v>
      </c>
      <c r="B43" s="19" t="n">
        <f aca="false">B7/B29</f>
        <v>70</v>
      </c>
    </row>
    <row r="44" customFormat="false" ht="15" hidden="false" customHeight="false" outlineLevel="0" collapsed="false">
      <c r="A44" s="5" t="s">
        <v>544</v>
      </c>
      <c r="B44" s="6" t="n">
        <v>2200000</v>
      </c>
    </row>
    <row r="45" customFormat="false" ht="15" hidden="false" customHeight="false" outlineLevel="0" collapsed="false">
      <c r="A45" s="5" t="s">
        <v>545</v>
      </c>
      <c r="B45" s="6" t="n">
        <v>2600000</v>
      </c>
    </row>
    <row r="46" customFormat="false" ht="15" hidden="false" customHeight="false" outlineLevel="0" collapsed="false">
      <c r="A46" s="5" t="s">
        <v>546</v>
      </c>
      <c r="B46" s="6" t="n">
        <v>1400000</v>
      </c>
    </row>
    <row r="47" customFormat="false" ht="15" hidden="false" customHeight="false" outlineLevel="0" collapsed="false">
      <c r="A47" s="5" t="s">
        <v>547</v>
      </c>
      <c r="B47" s="8" t="n">
        <v>0.4</v>
      </c>
    </row>
    <row r="48" customFormat="false" ht="15" hidden="false" customHeight="false" outlineLevel="0" collapsed="false">
      <c r="A48" s="5" t="s">
        <v>331</v>
      </c>
      <c r="B48" s="9" t="n">
        <f aca="false">B7+B44+B45+B46</f>
        <v>7950000</v>
      </c>
    </row>
    <row r="49" customFormat="false" ht="15" hidden="false" customHeight="false" outlineLevel="0" collapsed="false">
      <c r="A49" s="5" t="s">
        <v>533</v>
      </c>
      <c r="B49" s="18" t="n">
        <f aca="false">B7/B48</f>
        <v>0.220125786163522</v>
      </c>
    </row>
    <row r="50" customFormat="false" ht="15" hidden="false" customHeight="false" outlineLevel="0" collapsed="false">
      <c r="A50" s="5" t="s">
        <v>548</v>
      </c>
      <c r="B50" s="9" t="n">
        <f aca="false">B47*B7</f>
        <v>700000</v>
      </c>
    </row>
    <row r="51" customFormat="false" ht="15" hidden="false" customHeight="false" outlineLevel="0" collapsed="false">
      <c r="A51" s="5" t="s">
        <v>549</v>
      </c>
      <c r="B51" s="18" t="n">
        <f aca="false">B50/B48</f>
        <v>0.0880503144654088</v>
      </c>
    </row>
    <row r="53" customFormat="false" ht="15" hidden="false" customHeight="false" outlineLevel="0" collapsed="false">
      <c r="A53" s="3" t="s">
        <v>550</v>
      </c>
    </row>
    <row r="54" customFormat="false" ht="15" hidden="false" customHeight="false" outlineLevel="0" collapsed="false">
      <c r="A54" s="5" t="s">
        <v>177</v>
      </c>
      <c r="B54" s="6" t="n">
        <v>1900000</v>
      </c>
    </row>
    <row r="55" customFormat="false" ht="15" hidden="false" customHeight="false" outlineLevel="0" collapsed="false">
      <c r="A55" s="5" t="s">
        <v>178</v>
      </c>
      <c r="B55" s="6" t="n">
        <v>1600000</v>
      </c>
    </row>
    <row r="56" customFormat="false" ht="15" hidden="false" customHeight="false" outlineLevel="0" collapsed="false">
      <c r="A56" s="5" t="s">
        <v>551</v>
      </c>
      <c r="B56" s="7" t="n">
        <v>6</v>
      </c>
    </row>
    <row r="57" customFormat="false" ht="15" hidden="false" customHeight="false" outlineLevel="0" collapsed="false">
      <c r="A57" s="5" t="s">
        <v>552</v>
      </c>
      <c r="B57" s="28" t="n">
        <v>0.06</v>
      </c>
    </row>
    <row r="58" customFormat="false" ht="15" hidden="false" customHeight="false" outlineLevel="0" collapsed="false">
      <c r="A58" s="5" t="s">
        <v>553</v>
      </c>
      <c r="B58" s="28" t="n">
        <v>0.065</v>
      </c>
    </row>
    <row r="59" customFormat="false" ht="15" hidden="false" customHeight="false" outlineLevel="0" collapsed="false">
      <c r="A59" s="5" t="s">
        <v>517</v>
      </c>
      <c r="B59" s="27" t="n">
        <f aca="false">(1-(1+B57)^-B56)/B57</f>
        <v>4.91732432600539</v>
      </c>
    </row>
    <row r="60" customFormat="false" ht="15" hidden="false" customHeight="false" outlineLevel="0" collapsed="false">
      <c r="A60" s="5" t="s">
        <v>518</v>
      </c>
      <c r="B60" s="9" t="n">
        <f aca="false">B54*B59</f>
        <v>9342916.21941025</v>
      </c>
    </row>
    <row r="61" customFormat="false" ht="15" hidden="false" customHeight="false" outlineLevel="0" collapsed="false">
      <c r="A61" s="5" t="s">
        <v>519</v>
      </c>
      <c r="B61" s="9" t="n">
        <f aca="false">B55/B58</f>
        <v>24615384.6153846</v>
      </c>
    </row>
    <row r="62" customFormat="false" ht="15" hidden="false" customHeight="false" outlineLevel="0" collapsed="false">
      <c r="A62" s="5" t="s">
        <v>520</v>
      </c>
      <c r="B62" s="27" t="n">
        <f aca="false">(1+B58)^-B56</f>
        <v>0.685334118799019</v>
      </c>
    </row>
    <row r="63" customFormat="false" ht="15" hidden="false" customHeight="false" outlineLevel="0" collapsed="false">
      <c r="A63" s="5" t="s">
        <v>521</v>
      </c>
      <c r="B63" s="9" t="n">
        <f aca="false">B61*B62</f>
        <v>16869762.9242835</v>
      </c>
    </row>
    <row r="64" customFormat="false" ht="15" hidden="false" customHeight="false" outlineLevel="0" collapsed="false">
      <c r="A64" s="10" t="s">
        <v>331</v>
      </c>
      <c r="B64" s="11" t="n">
        <f aca="false">B60+B63</f>
        <v>26212679.1436938</v>
      </c>
    </row>
    <row r="65" customFormat="false" ht="15" hidden="false" customHeight="false" outlineLevel="0" collapsed="false">
      <c r="A65" s="5" t="s">
        <v>523</v>
      </c>
      <c r="B65" s="25" t="n">
        <f aca="false">B54/B64</f>
        <v>0.072484006292699</v>
      </c>
    </row>
    <row r="67" customFormat="false" ht="15" hidden="false" customHeight="false" outlineLevel="0" collapsed="false">
      <c r="A67" s="3" t="s">
        <v>554</v>
      </c>
    </row>
    <row r="69" customFormat="false" ht="15" hidden="false" customHeight="false" outlineLevel="0" collapsed="false">
      <c r="A69" s="20" t="s">
        <v>555</v>
      </c>
      <c r="B69" s="20" t="s">
        <v>556</v>
      </c>
      <c r="C69" s="20" t="s">
        <v>557</v>
      </c>
      <c r="D69" s="20" t="s">
        <v>558</v>
      </c>
    </row>
    <row r="70" customFormat="false" ht="15" hidden="false" customHeight="false" outlineLevel="0" collapsed="false">
      <c r="A70" s="34" t="n">
        <v>0.01</v>
      </c>
      <c r="B70" s="9" t="n">
        <f aca="false">B7*(1+A70)^10/0.0475</f>
        <v>40696604.6204128</v>
      </c>
      <c r="C70" s="9" t="n">
        <f aca="false">B7*(1+A70)^10/0.0525</f>
        <v>36820737.5137068</v>
      </c>
      <c r="D70" s="9" t="n">
        <f aca="false">B7*(1+A70)^10/0.0575</f>
        <v>33618934.2516454</v>
      </c>
    </row>
    <row r="71" customFormat="false" ht="15" hidden="false" customHeight="false" outlineLevel="0" collapsed="false">
      <c r="A71" s="34" t="n">
        <v>0.02</v>
      </c>
      <c r="B71" s="9" t="n">
        <f aca="false">B7*(1+A71)^10/0.0475</f>
        <v>44910320.736649</v>
      </c>
      <c r="C71" s="9" t="n">
        <f aca="false">B7*(1+A71)^10/0.0525</f>
        <v>40633147.3331586</v>
      </c>
      <c r="D71" s="9" t="n">
        <f aca="false">B7*(1+A71)^10/0.0575</f>
        <v>37099830.1737535</v>
      </c>
    </row>
    <row r="72" customFormat="false" ht="15" hidden="false" customHeight="false" outlineLevel="0" collapsed="false">
      <c r="A72" s="34" t="n">
        <v>0.03</v>
      </c>
      <c r="B72" s="9" t="n">
        <f aca="false">B7*(1+A72)^10/0.0475</f>
        <v>49512708.7126782</v>
      </c>
      <c r="C72" s="9" t="n">
        <f aca="false">B7*(1+A72)^10/0.0525</f>
        <v>44797212.6448041</v>
      </c>
      <c r="D72" s="9" t="n">
        <f aca="false">B7*(1+A72)^10/0.0575</f>
        <v>40901802.8496037</v>
      </c>
    </row>
    <row r="74" customFormat="false" ht="15" hidden="false" customHeight="false" outlineLevel="0" collapsed="false">
      <c r="A74" s="5" t="s">
        <v>559</v>
      </c>
      <c r="B74" s="9" t="n">
        <f aca="false">D71-C71</f>
        <v>-3533317.1594051</v>
      </c>
    </row>
    <row r="75" customFormat="false" ht="15" hidden="false" customHeight="false" outlineLevel="0" collapsed="false">
      <c r="A75" s="5" t="s">
        <v>560</v>
      </c>
      <c r="B75" s="18" t="n">
        <f aca="false">D71/C71-1</f>
        <v>-0.0869565217391305</v>
      </c>
    </row>
    <row r="76" customFormat="false" ht="15" hidden="false" customHeight="false" outlineLevel="0" collapsed="false">
      <c r="A76" s="5" t="s">
        <v>561</v>
      </c>
      <c r="B76" s="9" t="n">
        <f aca="false">C70-C71</f>
        <v>-3812409.81945176</v>
      </c>
    </row>
    <row r="77" customFormat="false" ht="15" hidden="false" customHeight="false" outlineLevel="0" collapsed="false">
      <c r="A77" s="5" t="s">
        <v>560</v>
      </c>
      <c r="B77" s="18" t="n">
        <f aca="false">C70/C71-1</f>
        <v>-0.093825117414438</v>
      </c>
    </row>
    <row r="78" customFormat="false" ht="15" hidden="false" customHeight="false" outlineLevel="0" collapsed="false">
      <c r="A78" s="5" t="s">
        <v>562</v>
      </c>
      <c r="B78" s="9" t="n">
        <f aca="false">B7*1.02^5</f>
        <v>1932141.4056</v>
      </c>
    </row>
    <row r="79" customFormat="false" ht="15" hidden="false" customHeight="false" outlineLevel="0" collapsed="false">
      <c r="A79" s="5" t="s">
        <v>563</v>
      </c>
      <c r="B79" s="9" t="n">
        <f aca="false">B7*1.01^5</f>
        <v>1839267.587675</v>
      </c>
    </row>
    <row r="80" customFormat="false" ht="15" hidden="false" customHeight="false" outlineLevel="0" collapsed="false">
      <c r="A80" s="5" t="s">
        <v>564</v>
      </c>
      <c r="B80" s="9" t="n">
        <f aca="false">B78/0.0525</f>
        <v>36802693.44</v>
      </c>
    </row>
    <row r="81" customFormat="false" ht="15" hidden="false" customHeight="false" outlineLevel="0" collapsed="false">
      <c r="A81" s="5"/>
      <c r="B81" s="9" t="n">
        <f aca="false">B79/0.0525</f>
        <v>35033668.3366667</v>
      </c>
    </row>
    <row r="82" customFormat="false" ht="15" hidden="false" customHeight="false" outlineLevel="0" collapsed="false">
      <c r="A82" s="5" t="s">
        <v>565</v>
      </c>
      <c r="B82" s="9" t="n">
        <f aca="false">B80-B81</f>
        <v>1769025.10333332</v>
      </c>
    </row>
    <row r="83" customFormat="false" ht="15" hidden="false" customHeight="false" outlineLevel="0" collapsed="false">
      <c r="A83" s="5" t="s">
        <v>560</v>
      </c>
      <c r="B83" s="18" t="n">
        <f aca="false">B82/B80</f>
        <v>0.0480678161835463</v>
      </c>
    </row>
    <row r="84" customFormat="false" ht="15" hidden="false" customHeight="false" outlineLevel="0" collapsed="false">
      <c r="A84" s="5" t="s">
        <v>566</v>
      </c>
      <c r="B84" s="9" t="n">
        <f aca="false">B78/0.0575</f>
        <v>33602459.2278261</v>
      </c>
    </row>
    <row r="85" customFormat="false" ht="15" hidden="false" customHeight="false" outlineLevel="0" collapsed="false">
      <c r="A85" s="5" t="s">
        <v>567</v>
      </c>
      <c r="B85" s="9" t="n">
        <f aca="false">B80-B84</f>
        <v>3200234.21217392</v>
      </c>
    </row>
    <row r="86" customFormat="false" ht="15" hidden="false" customHeight="false" outlineLevel="0" collapsed="false">
      <c r="A86" s="5" t="s">
        <v>560</v>
      </c>
      <c r="B86" s="18" t="n">
        <f aca="false">B85/B80</f>
        <v>0.0869565217391305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568</v>
      </c>
    </row>
    <row r="2" customFormat="false" ht="15" hidden="false" customHeight="false" outlineLevel="0" collapsed="false">
      <c r="A2" s="2"/>
    </row>
    <row r="4" customFormat="false" ht="15" hidden="false" customHeight="false" outlineLevel="0" collapsed="false">
      <c r="A4" s="5" t="s">
        <v>244</v>
      </c>
      <c r="B4" s="6" t="n">
        <v>22000</v>
      </c>
    </row>
    <row r="5" customFormat="false" ht="15" hidden="false" customHeight="false" outlineLevel="0" collapsed="false">
      <c r="A5" s="5" t="s">
        <v>138</v>
      </c>
      <c r="B5" s="15" t="n">
        <v>55</v>
      </c>
    </row>
    <row r="6" customFormat="false" ht="15" hidden="false" customHeight="false" outlineLevel="0" collapsed="false">
      <c r="A6" s="5" t="s">
        <v>569</v>
      </c>
      <c r="B6" s="28" t="n">
        <v>0.06</v>
      </c>
    </row>
    <row r="7" customFormat="false" ht="15" hidden="false" customHeight="false" outlineLevel="0" collapsed="false">
      <c r="A7" s="5" t="s">
        <v>405</v>
      </c>
      <c r="B7" s="28" t="n">
        <v>0.065</v>
      </c>
    </row>
    <row r="8" customFormat="false" ht="15" hidden="false" customHeight="false" outlineLevel="0" collapsed="false">
      <c r="A8" s="5" t="s">
        <v>145</v>
      </c>
      <c r="B8" s="9" t="n">
        <f aca="false">B5*B4</f>
        <v>1210000</v>
      </c>
    </row>
    <row r="9" customFormat="false" ht="15" hidden="false" customHeight="false" outlineLevel="0" collapsed="false">
      <c r="A9" s="5" t="s">
        <v>570</v>
      </c>
      <c r="B9" s="9" t="n">
        <f aca="false">B8/B6</f>
        <v>20166666.6666667</v>
      </c>
    </row>
    <row r="10" customFormat="false" ht="15" hidden="false" customHeight="false" outlineLevel="0" collapsed="false">
      <c r="A10" s="10" t="s">
        <v>571</v>
      </c>
      <c r="B10" s="11" t="n">
        <f aca="false">B9/(1+B7)</f>
        <v>18935837.2456964</v>
      </c>
    </row>
    <row r="11" customFormat="false" ht="15" hidden="false" customHeight="false" outlineLevel="0" collapsed="false">
      <c r="A11" s="5" t="s">
        <v>572</v>
      </c>
      <c r="B11" s="9" t="n">
        <f aca="false">ROUND(B10,-4)</f>
        <v>18940000</v>
      </c>
    </row>
    <row r="12" customFormat="false" ht="15" hidden="false" customHeight="false" outlineLevel="0" collapsed="false">
      <c r="A12" s="5" t="s">
        <v>573</v>
      </c>
      <c r="B12" s="6" t="n">
        <v>240000</v>
      </c>
    </row>
    <row r="13" customFormat="false" ht="15" hidden="false" customHeight="false" outlineLevel="0" collapsed="false">
      <c r="A13" s="5" t="s">
        <v>574</v>
      </c>
      <c r="B13" s="6" t="n">
        <v>220000</v>
      </c>
    </row>
    <row r="14" customFormat="false" ht="15" hidden="false" customHeight="false" outlineLevel="0" collapsed="false">
      <c r="A14" s="5" t="s">
        <v>575</v>
      </c>
      <c r="B14" s="6" t="n">
        <v>1870000</v>
      </c>
    </row>
    <row r="15" customFormat="false" ht="15" hidden="false" customHeight="false" outlineLevel="0" collapsed="false">
      <c r="A15" s="5" t="s">
        <v>576</v>
      </c>
      <c r="B15" s="6" t="n">
        <v>675000</v>
      </c>
    </row>
    <row r="16" customFormat="false" ht="15" hidden="false" customHeight="false" outlineLevel="0" collapsed="false">
      <c r="A16" s="5" t="s">
        <v>577</v>
      </c>
      <c r="B16" s="6" t="n">
        <v>400000</v>
      </c>
    </row>
    <row r="17" customFormat="false" ht="15" hidden="false" customHeight="false" outlineLevel="0" collapsed="false">
      <c r="A17" s="5" t="s">
        <v>578</v>
      </c>
      <c r="B17" s="6" t="n">
        <v>350000</v>
      </c>
    </row>
    <row r="18" customFormat="false" ht="15" hidden="false" customHeight="false" outlineLevel="0" collapsed="false">
      <c r="A18" s="5" t="s">
        <v>579</v>
      </c>
      <c r="B18" s="6" t="n">
        <v>250000</v>
      </c>
    </row>
    <row r="19" customFormat="false" ht="15" hidden="false" customHeight="false" outlineLevel="0" collapsed="false">
      <c r="A19" s="5" t="s">
        <v>580</v>
      </c>
      <c r="B19" s="15" t="n">
        <v>58</v>
      </c>
    </row>
    <row r="20" customFormat="false" ht="15" hidden="false" customHeight="false" outlineLevel="0" collapsed="false">
      <c r="A20" s="5" t="s">
        <v>387</v>
      </c>
      <c r="B20" s="8" t="n">
        <v>0.1</v>
      </c>
    </row>
    <row r="21" customFormat="false" ht="15" hidden="false" customHeight="false" outlineLevel="0" collapsed="false">
      <c r="A21" s="5" t="s">
        <v>319</v>
      </c>
      <c r="B21" s="28" t="n">
        <v>0.0675</v>
      </c>
    </row>
    <row r="22" customFormat="false" ht="15" hidden="false" customHeight="false" outlineLevel="0" collapsed="false">
      <c r="A22" s="5" t="s">
        <v>581</v>
      </c>
      <c r="B22" s="8" t="n">
        <v>0.01</v>
      </c>
    </row>
    <row r="23" customFormat="false" ht="15" hidden="false" customHeight="false" outlineLevel="0" collapsed="false">
      <c r="A23" s="5" t="s">
        <v>350</v>
      </c>
      <c r="B23" s="28" t="n">
        <v>0.08</v>
      </c>
    </row>
    <row r="24" customFormat="false" ht="15" hidden="false" customHeight="false" outlineLevel="0" collapsed="false">
      <c r="A24" s="5" t="s">
        <v>582</v>
      </c>
      <c r="B24" s="9" t="n">
        <f aca="false">B12+B13+B14+B15+B16+B17</f>
        <v>3755000</v>
      </c>
    </row>
    <row r="25" customFormat="false" ht="15" hidden="false" customHeight="false" outlineLevel="0" collapsed="false">
      <c r="A25" s="5" t="s">
        <v>583</v>
      </c>
      <c r="B25" s="9" t="n">
        <f aca="false">-(B24+B18)</f>
        <v>-4005000</v>
      </c>
    </row>
    <row r="26" customFormat="false" ht="15" hidden="false" customHeight="false" outlineLevel="0" collapsed="false">
      <c r="A26" s="5" t="s">
        <v>584</v>
      </c>
      <c r="B26" s="9" t="n">
        <f aca="false">B19*B4</f>
        <v>1276000</v>
      </c>
    </row>
    <row r="27" customFormat="false" ht="15" hidden="false" customHeight="false" outlineLevel="0" collapsed="false">
      <c r="A27" s="5" t="s">
        <v>585</v>
      </c>
      <c r="B27" s="9" t="n">
        <f aca="false">-B20*B26</f>
        <v>-127600</v>
      </c>
    </row>
    <row r="28" customFormat="false" ht="15" hidden="false" customHeight="false" outlineLevel="0" collapsed="false">
      <c r="A28" s="5" t="s">
        <v>586</v>
      </c>
      <c r="B28" s="9" t="n">
        <f aca="false">B26/B21</f>
        <v>18903703.7037037</v>
      </c>
    </row>
    <row r="29" customFormat="false" ht="15" hidden="false" customHeight="false" outlineLevel="0" collapsed="false">
      <c r="A29" s="5" t="s">
        <v>587</v>
      </c>
      <c r="B29" s="9" t="n">
        <f aca="false">B28*(1-B22)</f>
        <v>18714666.6666667</v>
      </c>
    </row>
    <row r="30" customFormat="false" ht="15" hidden="false" customHeight="false" outlineLevel="0" collapsed="false">
      <c r="A30" s="5" t="s">
        <v>588</v>
      </c>
      <c r="B30" s="27" t="n">
        <f aca="false">(1+B23)^-1+(1+B23)^-2+(1+B23)^-3+(1+B23)^-4</f>
        <v>3.31212684004433</v>
      </c>
    </row>
    <row r="31" customFormat="false" ht="15" hidden="false" customHeight="false" outlineLevel="0" collapsed="false">
      <c r="A31" s="5" t="s">
        <v>589</v>
      </c>
      <c r="B31" s="27" t="n">
        <f aca="false">(1+B23)^-7+(1+B23)^-8+(1+B23)^-9+(1+B23)^-10</f>
        <v>2.08720173498025</v>
      </c>
    </row>
    <row r="32" customFormat="false" ht="15" hidden="false" customHeight="false" outlineLevel="0" collapsed="false">
      <c r="A32" s="5" t="s">
        <v>590</v>
      </c>
      <c r="B32" s="9" t="n">
        <f aca="false">B8*B30</f>
        <v>4007673.47645364</v>
      </c>
    </row>
    <row r="33" customFormat="false" ht="15" hidden="false" customHeight="false" outlineLevel="0" collapsed="false">
      <c r="A33" s="5" t="s">
        <v>583</v>
      </c>
      <c r="B33" s="9" t="n">
        <f aca="false">B25*(1+B23)^-5</f>
        <v>-2725735.70412018</v>
      </c>
    </row>
    <row r="34" customFormat="false" ht="15" hidden="false" customHeight="false" outlineLevel="0" collapsed="false">
      <c r="A34" s="5" t="s">
        <v>591</v>
      </c>
      <c r="B34" s="9" t="n">
        <f aca="false">B27*(1+B23)^-6</f>
        <v>-80409.6443902841</v>
      </c>
    </row>
    <row r="35" customFormat="false" ht="15" hidden="false" customHeight="false" outlineLevel="0" collapsed="false">
      <c r="A35" s="5" t="s">
        <v>592</v>
      </c>
      <c r="B35" s="9" t="n">
        <f aca="false">B26*B31</f>
        <v>2663269.4138348</v>
      </c>
    </row>
    <row r="36" customFormat="false" ht="15" hidden="false" customHeight="false" outlineLevel="0" collapsed="false">
      <c r="A36" s="5" t="s">
        <v>593</v>
      </c>
      <c r="B36" s="9" t="n">
        <f aca="false">B29*(1+B23)^-10</f>
        <v>8668511.7316755</v>
      </c>
    </row>
    <row r="37" customFormat="false" ht="15" hidden="false" customHeight="false" outlineLevel="0" collapsed="false">
      <c r="A37" s="10" t="s">
        <v>594</v>
      </c>
      <c r="B37" s="11" t="n">
        <f aca="false">B32+B33+B34+B35+B36</f>
        <v>12533309.2734535</v>
      </c>
    </row>
    <row r="38" customFormat="false" ht="15" hidden="false" customHeight="false" outlineLevel="0" collapsed="false">
      <c r="A38" s="5" t="s">
        <v>572</v>
      </c>
      <c r="B38" s="9" t="n">
        <f aca="false">ROUND(B37,-4)</f>
        <v>12530000</v>
      </c>
    </row>
    <row r="39" customFormat="false" ht="15" hidden="false" customHeight="false" outlineLevel="0" collapsed="false">
      <c r="A39" s="5" t="s">
        <v>595</v>
      </c>
      <c r="B39" s="9" t="n">
        <f aca="false">B11-B38</f>
        <v>6410000</v>
      </c>
    </row>
    <row r="40" customFormat="false" ht="15" hidden="false" customHeight="false" outlineLevel="0" collapsed="false">
      <c r="A40" s="5" t="s">
        <v>596</v>
      </c>
      <c r="B40" s="18" t="n">
        <f aca="false">B39/B11</f>
        <v>0.33843717001056</v>
      </c>
    </row>
    <row r="41" customFormat="false" ht="15" hidden="false" customHeight="false" outlineLevel="0" collapsed="false">
      <c r="A41" s="5" t="s">
        <v>597</v>
      </c>
      <c r="B41" s="6" t="n">
        <v>900000</v>
      </c>
    </row>
    <row r="42" customFormat="false" ht="15" hidden="false" customHeight="false" outlineLevel="0" collapsed="false">
      <c r="A42" s="5" t="s">
        <v>598</v>
      </c>
      <c r="B42" s="13" t="n">
        <v>5.5</v>
      </c>
    </row>
    <row r="43" customFormat="false" ht="15" hidden="false" customHeight="false" outlineLevel="0" collapsed="false">
      <c r="A43" s="5" t="s">
        <v>599</v>
      </c>
      <c r="B43" s="6" t="n">
        <v>45</v>
      </c>
    </row>
    <row r="44" customFormat="false" ht="15" hidden="false" customHeight="false" outlineLevel="0" collapsed="false">
      <c r="A44" s="5" t="s">
        <v>600</v>
      </c>
      <c r="B44" s="7" t="n">
        <v>15</v>
      </c>
    </row>
    <row r="45" customFormat="false" ht="15" hidden="false" customHeight="false" outlineLevel="0" collapsed="false">
      <c r="A45" s="5" t="s">
        <v>273</v>
      </c>
      <c r="B45" s="9" t="n">
        <f aca="false">B41*B42</f>
        <v>4950000</v>
      </c>
    </row>
    <row r="46" customFormat="false" ht="15" hidden="false" customHeight="false" outlineLevel="0" collapsed="false">
      <c r="A46" s="5" t="s">
        <v>601</v>
      </c>
      <c r="B46" s="9" t="n">
        <f aca="false">B43*B4</f>
        <v>990000</v>
      </c>
    </row>
    <row r="47" customFormat="false" ht="15" hidden="false" customHeight="false" outlineLevel="0" collapsed="false">
      <c r="A47" s="10" t="s">
        <v>602</v>
      </c>
      <c r="B47" s="11" t="n">
        <f aca="false">B45-B46</f>
        <v>3960000</v>
      </c>
    </row>
    <row r="48" customFormat="false" ht="15" hidden="false" customHeight="false" outlineLevel="0" collapsed="false">
      <c r="A48" s="5" t="s">
        <v>603</v>
      </c>
      <c r="B48" s="18" t="n">
        <f aca="false">B47/B38</f>
        <v>0.316041500399042</v>
      </c>
    </row>
    <row r="49" customFormat="false" ht="15" hidden="false" customHeight="false" outlineLevel="0" collapsed="false">
      <c r="A49" s="5" t="s">
        <v>604</v>
      </c>
      <c r="B49" s="9" t="n">
        <f aca="false">B38-B47</f>
        <v>8570000</v>
      </c>
    </row>
    <row r="50" customFormat="false" ht="15" hidden="false" customHeight="false" outlineLevel="0" collapsed="false">
      <c r="A50" s="5" t="s">
        <v>605</v>
      </c>
      <c r="B50" s="9" t="n">
        <f aca="false">B49/B44</f>
        <v>571333.333333333</v>
      </c>
    </row>
    <row r="51" customFormat="false" ht="15" hidden="false" customHeight="false" outlineLevel="0" collapsed="false">
      <c r="A51" s="5" t="s">
        <v>606</v>
      </c>
      <c r="B51" s="18" t="n">
        <f aca="false">B50/B8</f>
        <v>0.472176308539945</v>
      </c>
    </row>
    <row r="52" customFormat="false" ht="15" hidden="false" customHeight="false" outlineLevel="0" collapsed="false">
      <c r="A52" s="5" t="s">
        <v>607</v>
      </c>
      <c r="B52" s="18" t="n">
        <f aca="false">B47/B11</f>
        <v>0.209081309398099</v>
      </c>
    </row>
    <row r="53" customFormat="false" ht="15" hidden="false" customHeight="false" outlineLevel="0" collapsed="false">
      <c r="A53" s="5" t="s">
        <v>608</v>
      </c>
      <c r="B53" s="9" t="n">
        <f aca="false">B11-B47</f>
        <v>14980000</v>
      </c>
    </row>
    <row r="54" customFormat="false" ht="15" hidden="false" customHeight="false" outlineLevel="0" collapsed="false">
      <c r="A54" s="5" t="s">
        <v>62</v>
      </c>
      <c r="B54" s="9" t="n">
        <f aca="false">B53/B4</f>
        <v>680.909090909091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609</v>
      </c>
    </row>
    <row r="2" customFormat="false" ht="15" hidden="false" customHeight="false" outlineLevel="0" collapsed="false">
      <c r="A2" s="2" t="s">
        <v>610</v>
      </c>
    </row>
    <row r="4" customFormat="false" ht="15" hidden="false" customHeight="false" outlineLevel="0" collapsed="false">
      <c r="A4" s="5" t="s">
        <v>611</v>
      </c>
      <c r="B4" s="6" t="n">
        <v>20000</v>
      </c>
    </row>
    <row r="5" customFormat="false" ht="15" hidden="false" customHeight="false" outlineLevel="0" collapsed="false">
      <c r="A5" s="5" t="s">
        <v>612</v>
      </c>
      <c r="B5" s="15" t="n">
        <v>8</v>
      </c>
    </row>
    <row r="6" customFormat="false" ht="15" hidden="false" customHeight="false" outlineLevel="0" collapsed="false">
      <c r="A6" s="5" t="s">
        <v>349</v>
      </c>
      <c r="B6" s="7" t="n">
        <v>25</v>
      </c>
    </row>
    <row r="7" customFormat="false" ht="15" hidden="false" customHeight="false" outlineLevel="0" collapsed="false">
      <c r="A7" s="5" t="s">
        <v>613</v>
      </c>
      <c r="B7" s="7" t="n">
        <v>12</v>
      </c>
    </row>
    <row r="8" customFormat="false" ht="15" hidden="false" customHeight="false" outlineLevel="0" collapsed="false">
      <c r="A8" s="5" t="s">
        <v>614</v>
      </c>
      <c r="B8" s="6" t="n">
        <v>25</v>
      </c>
    </row>
    <row r="9" customFormat="false" ht="15" hidden="false" customHeight="false" outlineLevel="0" collapsed="false">
      <c r="A9" s="5" t="s">
        <v>615</v>
      </c>
      <c r="B9" s="6" t="n">
        <v>85</v>
      </c>
    </row>
    <row r="10" customFormat="false" ht="15" hidden="false" customHeight="false" outlineLevel="0" collapsed="false">
      <c r="A10" s="5" t="s">
        <v>350</v>
      </c>
      <c r="B10" s="28" t="n">
        <v>0.07</v>
      </c>
    </row>
    <row r="11" customFormat="false" ht="15" hidden="false" customHeight="false" outlineLevel="0" collapsed="false">
      <c r="A11" s="5" t="s">
        <v>616</v>
      </c>
      <c r="B11" s="7" t="n">
        <v>8</v>
      </c>
    </row>
    <row r="12" customFormat="false" ht="15" hidden="false" customHeight="false" outlineLevel="0" collapsed="false">
      <c r="A12" s="5" t="s">
        <v>617</v>
      </c>
      <c r="B12" s="28" t="n">
        <v>0.055</v>
      </c>
    </row>
    <row r="13" customFormat="false" ht="15" hidden="false" customHeight="false" outlineLevel="0" collapsed="false">
      <c r="A13" s="5" t="s">
        <v>618</v>
      </c>
      <c r="B13" s="28" t="n">
        <v>0.08</v>
      </c>
    </row>
    <row r="14" customFormat="false" ht="15" hidden="false" customHeight="false" outlineLevel="0" collapsed="false">
      <c r="A14" s="5" t="s">
        <v>619</v>
      </c>
      <c r="B14" s="9" t="n">
        <f aca="false">B4*B5</f>
        <v>160000</v>
      </c>
    </row>
    <row r="15" customFormat="false" ht="15" hidden="false" customHeight="false" outlineLevel="0" collapsed="false">
      <c r="A15" s="5" t="s">
        <v>620</v>
      </c>
      <c r="B15" s="9" t="n">
        <f aca="false">B4*B8</f>
        <v>500000</v>
      </c>
    </row>
    <row r="16" customFormat="false" ht="15" hidden="false" customHeight="false" outlineLevel="0" collapsed="false">
      <c r="A16" s="5" t="s">
        <v>621</v>
      </c>
      <c r="B16" s="9" t="n">
        <f aca="false">B4*B9</f>
        <v>1700000</v>
      </c>
    </row>
    <row r="17" customFormat="false" ht="15" hidden="false" customHeight="false" outlineLevel="0" collapsed="false">
      <c r="A17" s="5" t="s">
        <v>622</v>
      </c>
      <c r="B17" s="9" t="n">
        <f aca="false">B15+B16</f>
        <v>2200000</v>
      </c>
    </row>
    <row r="18" customFormat="false" ht="15" hidden="false" customHeight="false" outlineLevel="0" collapsed="false">
      <c r="A18" s="5" t="s">
        <v>623</v>
      </c>
      <c r="B18" s="27" t="n">
        <f aca="false">(1-(1+B10)^-B6)/B10</f>
        <v>11.6535831782537</v>
      </c>
    </row>
    <row r="19" customFormat="false" ht="15" hidden="false" customHeight="false" outlineLevel="0" collapsed="false">
      <c r="A19" s="5" t="s">
        <v>624</v>
      </c>
      <c r="B19" s="9" t="n">
        <f aca="false">B14*B18</f>
        <v>1864573.3085206</v>
      </c>
    </row>
    <row r="20" customFormat="false" ht="15" hidden="false" customHeight="false" outlineLevel="0" collapsed="false">
      <c r="A20" s="5" t="s">
        <v>625</v>
      </c>
      <c r="B20" s="27" t="n">
        <f aca="false">(1+B10)^-B7</f>
        <v>0.444011959240735</v>
      </c>
    </row>
    <row r="21" customFormat="false" ht="15" hidden="false" customHeight="false" outlineLevel="0" collapsed="false">
      <c r="A21" s="5" t="s">
        <v>626</v>
      </c>
      <c r="B21" s="9" t="n">
        <f aca="false">B17*B20</f>
        <v>976826.310329617</v>
      </c>
    </row>
    <row r="22" customFormat="false" ht="15" hidden="false" customHeight="false" outlineLevel="0" collapsed="false">
      <c r="A22" s="5" t="s">
        <v>627</v>
      </c>
      <c r="B22" s="9" t="n">
        <f aca="false">B19-B21</f>
        <v>887746.998190979</v>
      </c>
    </row>
    <row r="23" customFormat="false" ht="15" hidden="false" customHeight="false" outlineLevel="0" collapsed="false">
      <c r="A23" s="5" t="s">
        <v>628</v>
      </c>
      <c r="B23" s="27" t="n">
        <f aca="false">(1+B10)^-B11</f>
        <v>0.582009104565038</v>
      </c>
    </row>
    <row r="24" customFormat="false" ht="15" hidden="false" customHeight="false" outlineLevel="0" collapsed="false">
      <c r="A24" s="5" t="s">
        <v>629</v>
      </c>
      <c r="B24" s="9" t="n">
        <f aca="false">B17*B23</f>
        <v>1280420.03004308</v>
      </c>
    </row>
    <row r="25" customFormat="false" ht="15" hidden="false" customHeight="false" outlineLevel="0" collapsed="false">
      <c r="A25" s="5" t="s">
        <v>571</v>
      </c>
      <c r="B25" s="9" t="n">
        <f aca="false">B19-B24</f>
        <v>584153.278477512</v>
      </c>
    </row>
    <row r="26" customFormat="false" ht="15" hidden="false" customHeight="false" outlineLevel="0" collapsed="false">
      <c r="A26" s="5" t="s">
        <v>630</v>
      </c>
      <c r="B26" s="9" t="n">
        <f aca="false">B14/B12</f>
        <v>2909090.90909091</v>
      </c>
    </row>
    <row r="27" customFormat="false" ht="15" hidden="false" customHeight="false" outlineLevel="0" collapsed="false">
      <c r="A27" s="5" t="s">
        <v>631</v>
      </c>
      <c r="B27" s="9" t="n">
        <f aca="false">B14/B13</f>
        <v>2000000</v>
      </c>
    </row>
    <row r="28" customFormat="false" ht="15" hidden="false" customHeight="false" outlineLevel="0" collapsed="false">
      <c r="A28" s="5" t="s">
        <v>632</v>
      </c>
      <c r="B28" s="9" t="n">
        <f aca="false">B26-B19</f>
        <v>1044517.60057031</v>
      </c>
    </row>
    <row r="30" customFormat="false" ht="15" hidden="false" customHeight="false" outlineLevel="0" collapsed="false">
      <c r="A30" s="3" t="s">
        <v>633</v>
      </c>
    </row>
    <row r="31" customFormat="false" ht="15" hidden="false" customHeight="false" outlineLevel="0" collapsed="false">
      <c r="A31" s="10" t="s">
        <v>634</v>
      </c>
      <c r="B31" s="11" t="n">
        <f aca="false">B15*B20</f>
        <v>222005.979620368</v>
      </c>
    </row>
    <row r="32" customFormat="false" ht="15" hidden="false" customHeight="false" outlineLevel="0" collapsed="false">
      <c r="A32" s="10" t="s">
        <v>635</v>
      </c>
      <c r="B32" s="11" t="n">
        <f aca="false">B19-B31</f>
        <v>1642567.32890023</v>
      </c>
    </row>
    <row r="33" customFormat="false" ht="15" hidden="false" customHeight="false" outlineLevel="0" collapsed="false">
      <c r="A33" s="5" t="s">
        <v>636</v>
      </c>
      <c r="B33" s="18" t="n">
        <f aca="false">B31/B19</f>
        <v>0.119065299608152</v>
      </c>
    </row>
    <row r="34" customFormat="false" ht="15" hidden="false" customHeight="false" outlineLevel="0" collapsed="false">
      <c r="A34" s="5" t="s">
        <v>637</v>
      </c>
      <c r="B34" s="9" t="n">
        <f aca="false">B19-B15*B23</f>
        <v>1573568.75623808</v>
      </c>
    </row>
    <row r="35" customFormat="false" ht="51.75" hidden="false" customHeight="true" outlineLevel="0" collapsed="false">
      <c r="A35" s="24" t="s">
        <v>638</v>
      </c>
      <c r="B35" s="24"/>
      <c r="C35" s="24"/>
      <c r="D35" s="24"/>
      <c r="E35" s="24"/>
      <c r="F35" s="24"/>
    </row>
  </sheetData>
  <mergeCells count="1">
    <mergeCell ref="A35:F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639</v>
      </c>
    </row>
    <row r="2" customFormat="false" ht="15" hidden="false" customHeight="false" outlineLevel="0" collapsed="false">
      <c r="A2" s="2"/>
    </row>
    <row r="4" customFormat="false" ht="15" hidden="false" customHeight="false" outlineLevel="0" collapsed="false">
      <c r="A4" s="5" t="s">
        <v>640</v>
      </c>
      <c r="B4" s="6" t="n">
        <v>1800000</v>
      </c>
    </row>
    <row r="5" customFormat="false" ht="15" hidden="false" customHeight="false" outlineLevel="0" collapsed="false">
      <c r="A5" s="5" t="s">
        <v>641</v>
      </c>
      <c r="B5" s="28" t="n">
        <v>0.005</v>
      </c>
    </row>
    <row r="6" customFormat="false" ht="15" hidden="false" customHeight="false" outlineLevel="0" collapsed="false">
      <c r="A6" s="5" t="s">
        <v>642</v>
      </c>
      <c r="B6" s="7" t="n">
        <v>9</v>
      </c>
    </row>
    <row r="7" customFormat="false" ht="15" hidden="false" customHeight="false" outlineLevel="0" collapsed="false">
      <c r="A7" s="5" t="s">
        <v>643</v>
      </c>
      <c r="B7" s="7" t="n">
        <v>12</v>
      </c>
    </row>
    <row r="8" customFormat="false" ht="15" hidden="false" customHeight="false" outlineLevel="0" collapsed="false">
      <c r="A8" s="5" t="s">
        <v>644</v>
      </c>
      <c r="B8" s="6" t="n">
        <v>1200000</v>
      </c>
    </row>
    <row r="9" customFormat="false" ht="15" hidden="false" customHeight="false" outlineLevel="0" collapsed="false">
      <c r="A9" s="5" t="s">
        <v>645</v>
      </c>
      <c r="B9" s="6" t="n">
        <v>180000</v>
      </c>
    </row>
    <row r="10" customFormat="false" ht="15" hidden="false" customHeight="false" outlineLevel="0" collapsed="false">
      <c r="A10" s="5" t="s">
        <v>646</v>
      </c>
      <c r="B10" s="7" t="n">
        <v>12</v>
      </c>
    </row>
    <row r="11" customFormat="false" ht="15" hidden="false" customHeight="false" outlineLevel="0" collapsed="false">
      <c r="A11" s="5" t="s">
        <v>647</v>
      </c>
      <c r="B11" s="9" t="n">
        <f aca="false">B5*B4</f>
        <v>9000</v>
      </c>
    </row>
    <row r="12" customFormat="false" ht="15" hidden="false" customHeight="false" outlineLevel="0" collapsed="false">
      <c r="A12" s="5" t="s">
        <v>648</v>
      </c>
      <c r="B12" s="9" t="n">
        <f aca="false">B4-B11</f>
        <v>1791000</v>
      </c>
    </row>
    <row r="13" customFormat="false" ht="15" hidden="false" customHeight="false" outlineLevel="0" collapsed="false">
      <c r="A13" s="5" t="s">
        <v>269</v>
      </c>
      <c r="B13" s="18" t="n">
        <f aca="false">B12/B4</f>
        <v>0.995</v>
      </c>
    </row>
    <row r="14" customFormat="false" ht="15" hidden="false" customHeight="false" outlineLevel="0" collapsed="false">
      <c r="A14" s="5" t="s">
        <v>649</v>
      </c>
      <c r="B14" s="9" t="n">
        <f aca="false">B4*B6/12</f>
        <v>1350000</v>
      </c>
    </row>
    <row r="15" customFormat="false" ht="15" hidden="false" customHeight="false" outlineLevel="0" collapsed="false">
      <c r="A15" s="5" t="s">
        <v>650</v>
      </c>
      <c r="B15" s="9" t="n">
        <f aca="false">B4*B7/12</f>
        <v>1800000</v>
      </c>
    </row>
    <row r="16" customFormat="false" ht="15" hidden="false" customHeight="false" outlineLevel="0" collapsed="false">
      <c r="A16" s="5" t="s">
        <v>651</v>
      </c>
      <c r="B16" s="9" t="n">
        <f aca="false">B14+B15+B8+B9</f>
        <v>4530000</v>
      </c>
    </row>
    <row r="17" customFormat="false" ht="15" hidden="false" customHeight="false" outlineLevel="0" collapsed="false">
      <c r="A17" s="5" t="s">
        <v>26</v>
      </c>
      <c r="B17" s="9" t="n">
        <f aca="false">B16/B10</f>
        <v>377500</v>
      </c>
    </row>
    <row r="18" customFormat="false" ht="15" hidden="false" customHeight="false" outlineLevel="0" collapsed="false">
      <c r="A18" s="10" t="s">
        <v>652</v>
      </c>
      <c r="B18" s="11" t="n">
        <f aca="false">B4-B11-B17</f>
        <v>1413500</v>
      </c>
    </row>
    <row r="19" customFormat="false" ht="15" hidden="false" customHeight="false" outlineLevel="0" collapsed="false">
      <c r="A19" s="5" t="s">
        <v>269</v>
      </c>
      <c r="B19" s="18" t="n">
        <f aca="false">B18/B4</f>
        <v>0.785277777777778</v>
      </c>
    </row>
    <row r="20" customFormat="false" ht="15" hidden="false" customHeight="false" outlineLevel="0" collapsed="false">
      <c r="A20" s="5" t="s">
        <v>244</v>
      </c>
      <c r="B20" s="6" t="n">
        <v>25000</v>
      </c>
    </row>
    <row r="21" customFormat="false" ht="15" hidden="false" customHeight="false" outlineLevel="0" collapsed="false">
      <c r="A21" s="5" t="s">
        <v>264</v>
      </c>
      <c r="B21" s="7" t="n">
        <v>18</v>
      </c>
    </row>
    <row r="22" customFormat="false" ht="15" hidden="false" customHeight="false" outlineLevel="0" collapsed="false">
      <c r="A22" s="5" t="s">
        <v>653</v>
      </c>
      <c r="B22" s="8" t="n">
        <v>0.08</v>
      </c>
    </row>
    <row r="23" customFormat="false" ht="15" hidden="false" customHeight="false" outlineLevel="0" collapsed="false">
      <c r="A23" s="5" t="s">
        <v>654</v>
      </c>
      <c r="B23" s="6" t="n">
        <v>300000</v>
      </c>
    </row>
    <row r="24" customFormat="false" ht="15" hidden="false" customHeight="false" outlineLevel="0" collapsed="false">
      <c r="A24" s="5" t="s">
        <v>655</v>
      </c>
      <c r="B24" s="8" t="n">
        <v>0.05</v>
      </c>
    </row>
    <row r="25" customFormat="false" ht="15" hidden="false" customHeight="false" outlineLevel="0" collapsed="false">
      <c r="A25" s="5" t="s">
        <v>656</v>
      </c>
      <c r="B25" s="6" t="n">
        <v>20000</v>
      </c>
    </row>
    <row r="26" customFormat="false" ht="15" hidden="false" customHeight="false" outlineLevel="0" collapsed="false">
      <c r="A26" s="5" t="s">
        <v>657</v>
      </c>
      <c r="B26" s="8" t="n">
        <v>0.03</v>
      </c>
    </row>
    <row r="27" customFormat="false" ht="15" hidden="false" customHeight="false" outlineLevel="0" collapsed="false">
      <c r="A27" s="5" t="s">
        <v>658</v>
      </c>
      <c r="B27" s="28" t="n">
        <v>0.015</v>
      </c>
    </row>
    <row r="28" customFormat="false" ht="15" hidden="false" customHeight="false" outlineLevel="0" collapsed="false">
      <c r="A28" s="5" t="s">
        <v>659</v>
      </c>
      <c r="B28" s="6" t="n">
        <v>5</v>
      </c>
    </row>
    <row r="29" customFormat="false" ht="15" hidden="false" customHeight="false" outlineLevel="0" collapsed="false">
      <c r="A29" s="5" t="s">
        <v>660</v>
      </c>
      <c r="B29" s="6" t="n">
        <v>100000</v>
      </c>
    </row>
    <row r="30" customFormat="false" ht="15" hidden="false" customHeight="false" outlineLevel="0" collapsed="false">
      <c r="A30" s="5" t="s">
        <v>661</v>
      </c>
      <c r="B30" s="28" t="n">
        <v>0.0525</v>
      </c>
    </row>
    <row r="31" customFormat="false" ht="15" hidden="false" customHeight="false" outlineLevel="0" collapsed="false">
      <c r="A31" s="5" t="s">
        <v>662</v>
      </c>
      <c r="B31" s="9" t="n">
        <f aca="false">B20/B21</f>
        <v>1388.88888888889</v>
      </c>
    </row>
    <row r="32" customFormat="false" ht="15" hidden="false" customHeight="false" outlineLevel="0" collapsed="false">
      <c r="A32" s="5" t="s">
        <v>251</v>
      </c>
      <c r="B32" s="9" t="n">
        <f aca="false">B4*B22</f>
        <v>144000</v>
      </c>
    </row>
    <row r="33" customFormat="false" ht="15" hidden="false" customHeight="false" outlineLevel="0" collapsed="false">
      <c r="A33" s="5" t="s">
        <v>663</v>
      </c>
      <c r="B33" s="9" t="n">
        <f aca="false">B22*B23+B24*B23</f>
        <v>39000</v>
      </c>
    </row>
    <row r="34" customFormat="false" ht="15" hidden="false" customHeight="false" outlineLevel="0" collapsed="false">
      <c r="A34" s="5" t="s">
        <v>664</v>
      </c>
      <c r="B34" s="9" t="n">
        <f aca="false">B4-B32</f>
        <v>1656000</v>
      </c>
    </row>
    <row r="35" customFormat="false" ht="15" hidden="false" customHeight="false" outlineLevel="0" collapsed="false">
      <c r="A35" s="5" t="s">
        <v>665</v>
      </c>
      <c r="B35" s="9" t="n">
        <f aca="false">B26*B34</f>
        <v>49680</v>
      </c>
    </row>
    <row r="36" customFormat="false" ht="15" hidden="false" customHeight="false" outlineLevel="0" collapsed="false">
      <c r="A36" s="5" t="s">
        <v>256</v>
      </c>
      <c r="B36" s="9" t="n">
        <f aca="false">B27*B34</f>
        <v>24840</v>
      </c>
    </row>
    <row r="37" customFormat="false" ht="15" hidden="false" customHeight="false" outlineLevel="0" collapsed="false">
      <c r="A37" s="5" t="s">
        <v>666</v>
      </c>
      <c r="B37" s="9" t="n">
        <f aca="false">B28*B20</f>
        <v>125000</v>
      </c>
    </row>
    <row r="38" customFormat="false" ht="15" hidden="false" customHeight="false" outlineLevel="0" collapsed="false">
      <c r="A38" s="5" t="s">
        <v>667</v>
      </c>
      <c r="B38" s="9" t="n">
        <f aca="false">B32+B33+B25+B35+B36+B37+B29</f>
        <v>502520</v>
      </c>
    </row>
    <row r="39" customFormat="false" ht="15" hidden="false" customHeight="false" outlineLevel="0" collapsed="false">
      <c r="A39" s="10" t="s">
        <v>258</v>
      </c>
      <c r="B39" s="11" t="n">
        <f aca="false">B4-B38</f>
        <v>1297480</v>
      </c>
    </row>
    <row r="40" customFormat="false" ht="15" hidden="false" customHeight="false" outlineLevel="0" collapsed="false">
      <c r="A40" s="5" t="s">
        <v>269</v>
      </c>
      <c r="B40" s="18" t="n">
        <f aca="false">B39/B4</f>
        <v>0.720822222222222</v>
      </c>
    </row>
    <row r="41" customFormat="false" ht="15" hidden="false" customHeight="false" outlineLevel="0" collapsed="false">
      <c r="A41" s="5" t="s">
        <v>668</v>
      </c>
      <c r="B41" s="9" t="n">
        <f aca="false">B32+B29</f>
        <v>244000</v>
      </c>
    </row>
    <row r="42" customFormat="false" ht="15" hidden="false" customHeight="false" outlineLevel="0" collapsed="false">
      <c r="A42" s="5" t="s">
        <v>669</v>
      </c>
      <c r="B42" s="9" t="n">
        <f aca="false">B33+B25</f>
        <v>59000</v>
      </c>
    </row>
    <row r="43" customFormat="false" ht="15" hidden="false" customHeight="false" outlineLevel="0" collapsed="false">
      <c r="A43" s="5" t="s">
        <v>670</v>
      </c>
      <c r="B43" s="9" t="n">
        <f aca="false">B35+B36+B37</f>
        <v>199520</v>
      </c>
    </row>
    <row r="44" customFormat="false" ht="15" hidden="false" customHeight="false" outlineLevel="0" collapsed="false">
      <c r="A44" s="5" t="s">
        <v>671</v>
      </c>
      <c r="B44" s="9" t="n">
        <f aca="false">B18-B39</f>
        <v>116020</v>
      </c>
    </row>
    <row r="45" customFormat="false" ht="15" hidden="false" customHeight="false" outlineLevel="0" collapsed="false">
      <c r="A45" s="5" t="s">
        <v>560</v>
      </c>
      <c r="B45" s="18" t="n">
        <f aca="false">B44/B18</f>
        <v>0.0820799434029006</v>
      </c>
    </row>
    <row r="46" customFormat="false" ht="15" hidden="false" customHeight="false" outlineLevel="0" collapsed="false">
      <c r="A46" s="5" t="s">
        <v>672</v>
      </c>
      <c r="B46" s="25" t="n">
        <f aca="false">B30/(B39/B18)</f>
        <v>0.0571945232296452</v>
      </c>
    </row>
    <row r="47" customFormat="false" ht="15" hidden="false" customHeight="false" outlineLevel="0" collapsed="false">
      <c r="A47" s="5" t="s">
        <v>673</v>
      </c>
      <c r="B47" s="6" t="n">
        <v>1000000000</v>
      </c>
    </row>
    <row r="48" customFormat="false" ht="15" hidden="false" customHeight="false" outlineLevel="0" collapsed="false">
      <c r="A48" s="5" t="s">
        <v>674</v>
      </c>
      <c r="B48" s="8" t="n">
        <v>0.25</v>
      </c>
    </row>
    <row r="49" customFormat="false" ht="15" hidden="false" customHeight="false" outlineLevel="0" collapsed="false">
      <c r="A49" s="5" t="s">
        <v>675</v>
      </c>
      <c r="B49" s="18" t="n">
        <f aca="false">0.1*B48</f>
        <v>0.025</v>
      </c>
    </row>
    <row r="50" customFormat="false" ht="15" hidden="false" customHeight="false" outlineLevel="0" collapsed="false">
      <c r="A50" s="5" t="s">
        <v>676</v>
      </c>
      <c r="B50" s="18" t="n">
        <f aca="false">0.2*B48</f>
        <v>0.05</v>
      </c>
    </row>
    <row r="51" customFormat="false" ht="15" hidden="false" customHeight="false" outlineLevel="0" collapsed="false">
      <c r="A51" s="5" t="s">
        <v>677</v>
      </c>
      <c r="B51" s="18" t="n">
        <f aca="false">0.3*B48</f>
        <v>0.075</v>
      </c>
    </row>
    <row r="52" customFormat="false" ht="15" hidden="false" customHeight="false" outlineLevel="0" collapsed="false">
      <c r="A52" s="5" t="s">
        <v>678</v>
      </c>
      <c r="B52" s="9" t="n">
        <f aca="false">0.1*B47*B48</f>
        <v>25000000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8" min="2" style="0" width="17"/>
  </cols>
  <sheetData>
    <row r="1" customFormat="false" ht="17.35" hidden="false" customHeight="false" outlineLevel="0" collapsed="false">
      <c r="A1" s="1" t="s">
        <v>679</v>
      </c>
    </row>
    <row r="2" customFormat="false" ht="15" hidden="false" customHeight="false" outlineLevel="0" collapsed="false">
      <c r="A2" s="2" t="s">
        <v>680</v>
      </c>
    </row>
    <row r="4" customFormat="false" ht="15" hidden="false" customHeight="false" outlineLevel="0" collapsed="false">
      <c r="A4" s="5" t="s">
        <v>177</v>
      </c>
      <c r="B4" s="6" t="n">
        <v>2100000</v>
      </c>
    </row>
    <row r="5" customFormat="false" ht="15" hidden="false" customHeight="false" outlineLevel="0" collapsed="false">
      <c r="A5" s="5" t="s">
        <v>178</v>
      </c>
      <c r="B5" s="6" t="n">
        <v>2220000</v>
      </c>
    </row>
    <row r="6" customFormat="false" ht="15" hidden="false" customHeight="false" outlineLevel="0" collapsed="false">
      <c r="A6" s="5" t="s">
        <v>681</v>
      </c>
      <c r="B6" s="28" t="n">
        <v>0.07</v>
      </c>
    </row>
    <row r="7" customFormat="false" ht="15" hidden="false" customHeight="false" outlineLevel="0" collapsed="false">
      <c r="A7" s="5" t="s">
        <v>405</v>
      </c>
      <c r="B7" s="28" t="n">
        <v>0.065</v>
      </c>
    </row>
    <row r="8" customFormat="false" ht="15" hidden="false" customHeight="false" outlineLevel="0" collapsed="false">
      <c r="A8" s="5" t="s">
        <v>682</v>
      </c>
      <c r="B8" s="6" t="n">
        <v>180000</v>
      </c>
    </row>
    <row r="9" customFormat="false" ht="15" hidden="false" customHeight="false" outlineLevel="0" collapsed="false">
      <c r="A9" s="5" t="s">
        <v>582</v>
      </c>
      <c r="B9" s="6" t="n">
        <v>750000</v>
      </c>
    </row>
    <row r="10" customFormat="false" ht="15" hidden="false" customHeight="false" outlineLevel="0" collapsed="false">
      <c r="A10" s="5" t="s">
        <v>387</v>
      </c>
      <c r="B10" s="6" t="n">
        <v>222000</v>
      </c>
    </row>
    <row r="11" customFormat="false" ht="15" hidden="false" customHeight="false" outlineLevel="0" collapsed="false">
      <c r="A11" s="5" t="s">
        <v>683</v>
      </c>
      <c r="B11" s="7" t="n">
        <v>3</v>
      </c>
    </row>
    <row r="12" customFormat="false" ht="15" hidden="false" customHeight="false" outlineLevel="0" collapsed="false">
      <c r="A12" s="5" t="s">
        <v>516</v>
      </c>
      <c r="B12" s="28" t="n">
        <v>0.055</v>
      </c>
    </row>
    <row r="13" customFormat="false" ht="15" hidden="false" customHeight="false" outlineLevel="0" collapsed="false">
      <c r="A13" s="5" t="s">
        <v>684</v>
      </c>
      <c r="B13" s="9" t="n">
        <f aca="false">B4*(1+B6)^-1</f>
        <v>1962616.82242991</v>
      </c>
    </row>
    <row r="14" customFormat="false" ht="15" hidden="false" customHeight="false" outlineLevel="0" collapsed="false">
      <c r="A14" s="5" t="s">
        <v>374</v>
      </c>
      <c r="B14" s="9" t="n">
        <f aca="false">-(B8+B9+B10)</f>
        <v>-1152000</v>
      </c>
    </row>
    <row r="15" customFormat="false" ht="15" hidden="false" customHeight="false" outlineLevel="0" collapsed="false">
      <c r="A15" s="5" t="s">
        <v>685</v>
      </c>
      <c r="B15" s="9" t="n">
        <f aca="false">B14*(1+B6)^-2</f>
        <v>-1006201.41497074</v>
      </c>
    </row>
    <row r="16" customFormat="false" ht="15" hidden="false" customHeight="false" outlineLevel="0" collapsed="false">
      <c r="A16" s="5" t="s">
        <v>686</v>
      </c>
      <c r="B16" s="9" t="n">
        <f aca="false">B5*B11/12</f>
        <v>555000</v>
      </c>
    </row>
    <row r="17" customFormat="false" ht="15" hidden="false" customHeight="false" outlineLevel="0" collapsed="false">
      <c r="A17" s="5" t="s">
        <v>685</v>
      </c>
      <c r="B17" s="9" t="n">
        <f aca="false">B16*(1+B6)^-3</f>
        <v>453045.321674423</v>
      </c>
    </row>
    <row r="18" customFormat="false" ht="15" hidden="false" customHeight="false" outlineLevel="0" collapsed="false">
      <c r="A18" s="5" t="s">
        <v>687</v>
      </c>
      <c r="B18" s="9" t="n">
        <f aca="false">B5/B12</f>
        <v>40363636.3636364</v>
      </c>
    </row>
    <row r="19" customFormat="false" ht="15" hidden="false" customHeight="false" outlineLevel="0" collapsed="false">
      <c r="A19" s="5" t="s">
        <v>685</v>
      </c>
      <c r="B19" s="9" t="n">
        <f aca="false">B18*(1+B6)^-3</f>
        <v>32948750.6672308</v>
      </c>
    </row>
    <row r="20" customFormat="false" ht="15" hidden="false" customHeight="false" outlineLevel="0" collapsed="false">
      <c r="A20" s="5" t="s">
        <v>688</v>
      </c>
      <c r="B20" s="9" t="n">
        <f aca="false">B13+B15+B17+B19</f>
        <v>34358211.3963643</v>
      </c>
    </row>
    <row r="21" customFormat="false" ht="15" hidden="false" customHeight="false" outlineLevel="0" collapsed="false">
      <c r="A21" s="10" t="s">
        <v>689</v>
      </c>
      <c r="B21" s="11" t="n">
        <f aca="false">B20/(1+B7)</f>
        <v>32261231.3580886</v>
      </c>
    </row>
    <row r="22" customFormat="false" ht="15" hidden="false" customHeight="false" outlineLevel="0" collapsed="false">
      <c r="A22" s="10" t="s">
        <v>690</v>
      </c>
      <c r="B22" s="11" t="n">
        <f aca="false">B21*(1+B6)^2</f>
        <v>36935883.7818756</v>
      </c>
    </row>
    <row r="24" customFormat="false" ht="15" hidden="false" customHeight="false" outlineLevel="0" collapsed="false">
      <c r="A24" s="3" t="s">
        <v>691</v>
      </c>
    </row>
    <row r="25" customFormat="false" ht="15" hidden="false" customHeight="false" outlineLevel="0" collapsed="false">
      <c r="A25" s="5" t="s">
        <v>692</v>
      </c>
      <c r="B25" s="7" t="n">
        <v>6</v>
      </c>
    </row>
    <row r="26" customFormat="false" ht="15" hidden="false" customHeight="false" outlineLevel="0" collapsed="false">
      <c r="A26" s="5" t="s">
        <v>693</v>
      </c>
      <c r="B26" s="6" t="n">
        <v>111000</v>
      </c>
    </row>
    <row r="27" customFormat="false" ht="15" hidden="false" customHeight="false" outlineLevel="0" collapsed="false">
      <c r="A27" s="5" t="s">
        <v>694</v>
      </c>
      <c r="B27" s="6" t="n">
        <v>400000</v>
      </c>
    </row>
    <row r="28" customFormat="false" ht="15" hidden="false" customHeight="false" outlineLevel="0" collapsed="false">
      <c r="A28" s="5" t="s">
        <v>695</v>
      </c>
      <c r="B28" s="28" t="n">
        <v>0.05</v>
      </c>
    </row>
    <row r="29" customFormat="false" ht="15" hidden="false" customHeight="false" outlineLevel="0" collapsed="false">
      <c r="A29" s="5" t="s">
        <v>696</v>
      </c>
      <c r="B29" s="9" t="n">
        <f aca="false">B5/B28</f>
        <v>44400000</v>
      </c>
    </row>
    <row r="30" customFormat="false" ht="15" hidden="false" customHeight="false" outlineLevel="0" collapsed="false">
      <c r="A30" s="5" t="s">
        <v>697</v>
      </c>
      <c r="B30" s="9" t="n">
        <f aca="false">B29/(1+B7)</f>
        <v>41690140.8450704</v>
      </c>
    </row>
    <row r="31" customFormat="false" ht="15" hidden="false" customHeight="false" outlineLevel="0" collapsed="false">
      <c r="A31" s="5" t="s">
        <v>698</v>
      </c>
      <c r="B31" s="9" t="n">
        <f aca="false">B4*(1+B6)</f>
        <v>2247000</v>
      </c>
    </row>
    <row r="32" customFormat="false" ht="15" hidden="false" customHeight="false" outlineLevel="0" collapsed="false">
      <c r="A32" s="5" t="s">
        <v>699</v>
      </c>
      <c r="B32" s="9" t="n">
        <f aca="false">B5*(12-B25)/12</f>
        <v>1110000</v>
      </c>
    </row>
    <row r="33" customFormat="false" ht="15" hidden="false" customHeight="false" outlineLevel="0" collapsed="false">
      <c r="A33" s="5" t="s">
        <v>700</v>
      </c>
      <c r="B33" s="9" t="n">
        <f aca="false">B5*B25/12+B26+B27</f>
        <v>1621000</v>
      </c>
    </row>
    <row r="34" customFormat="false" ht="15" hidden="false" customHeight="false" outlineLevel="0" collapsed="false">
      <c r="A34" s="5" t="s">
        <v>701</v>
      </c>
      <c r="B34" s="9" t="n">
        <f aca="false">B33*(1+B6)</f>
        <v>1734470</v>
      </c>
    </row>
    <row r="35" customFormat="false" ht="15" hidden="false" customHeight="false" outlineLevel="0" collapsed="false">
      <c r="A35" s="5" t="s">
        <v>702</v>
      </c>
      <c r="B35" s="9" t="n">
        <f aca="false">B31-B34+B32+B30</f>
        <v>43312670.8450704</v>
      </c>
    </row>
    <row r="36" customFormat="false" ht="15" hidden="false" customHeight="false" outlineLevel="0" collapsed="false">
      <c r="A36" s="5" t="s">
        <v>703</v>
      </c>
      <c r="B36" s="9" t="n">
        <f aca="false">B35-B22</f>
        <v>6376787.0631948</v>
      </c>
    </row>
    <row r="37" customFormat="false" ht="15" hidden="false" customHeight="false" outlineLevel="0" collapsed="false">
      <c r="A37" s="5" t="s">
        <v>560</v>
      </c>
      <c r="B37" s="18" t="n">
        <f aca="false">B36/B22</f>
        <v>0.172644767371828</v>
      </c>
    </row>
    <row r="39" customFormat="false" ht="15" hidden="false" customHeight="false" outlineLevel="0" collapsed="false">
      <c r="A39" s="3" t="s">
        <v>704</v>
      </c>
    </row>
    <row r="40" customFormat="false" ht="15" hidden="false" customHeight="false" outlineLevel="0" collapsed="false">
      <c r="A40" s="5" t="s">
        <v>705</v>
      </c>
      <c r="B40" s="28" t="n">
        <v>0.075</v>
      </c>
    </row>
    <row r="41" customFormat="false" ht="15" hidden="false" customHeight="false" outlineLevel="0" collapsed="false">
      <c r="A41" s="5" t="s">
        <v>706</v>
      </c>
      <c r="B41" s="6" t="n">
        <v>2600000</v>
      </c>
    </row>
    <row r="42" customFormat="false" ht="15" hidden="false" customHeight="false" outlineLevel="0" collapsed="false">
      <c r="A42" s="5" t="s">
        <v>491</v>
      </c>
      <c r="B42" s="9" t="n">
        <f aca="false">B5/B40-B41</f>
        <v>27000000</v>
      </c>
    </row>
    <row r="43" customFormat="false" ht="15" hidden="false" customHeight="false" outlineLevel="0" collapsed="false">
      <c r="A43" s="5" t="s">
        <v>707</v>
      </c>
      <c r="B43" s="9" t="n">
        <f aca="false">B42/(1+B7)</f>
        <v>25352112.6760563</v>
      </c>
    </row>
    <row r="44" customFormat="false" ht="15" hidden="false" customHeight="false" outlineLevel="0" collapsed="false">
      <c r="A44" s="5" t="s">
        <v>708</v>
      </c>
      <c r="B44" s="9" t="n">
        <f aca="false">B4*(1+B6)-B8</f>
        <v>2067000</v>
      </c>
    </row>
    <row r="45" customFormat="false" ht="15" hidden="false" customHeight="false" outlineLevel="0" collapsed="false">
      <c r="A45" s="10" t="s">
        <v>709</v>
      </c>
      <c r="B45" s="11" t="n">
        <f aca="false">B43+B44</f>
        <v>27419112.6760563</v>
      </c>
    </row>
    <row r="46" customFormat="false" ht="15" hidden="false" customHeight="false" outlineLevel="0" collapsed="false">
      <c r="A46" s="5" t="s">
        <v>710</v>
      </c>
      <c r="B46" s="33" t="n">
        <v>0.65</v>
      </c>
    </row>
    <row r="47" customFormat="false" ht="15" hidden="false" customHeight="false" outlineLevel="0" collapsed="false">
      <c r="A47" s="5" t="s">
        <v>711</v>
      </c>
      <c r="B47" s="9" t="n">
        <f aca="false">B46*B35+(1-B46)*B45</f>
        <v>37749925.4859155</v>
      </c>
    </row>
    <row r="48" customFormat="false" ht="15" hidden="false" customHeight="false" outlineLevel="0" collapsed="false">
      <c r="A48" s="5" t="s">
        <v>712</v>
      </c>
      <c r="B48" s="9" t="n">
        <f aca="false">B47-B22</f>
        <v>814041.704039879</v>
      </c>
    </row>
    <row r="49" customFormat="false" ht="15" hidden="false" customHeight="false" outlineLevel="0" collapsed="false">
      <c r="A49" s="5" t="s">
        <v>713</v>
      </c>
      <c r="B49" s="9" t="n">
        <f aca="false">B35-B45</f>
        <v>15893558.1690141</v>
      </c>
    </row>
    <row r="51" customFormat="false" ht="15" hidden="false" customHeight="false" outlineLevel="0" collapsed="false">
      <c r="A51" s="3" t="s">
        <v>714</v>
      </c>
    </row>
    <row r="52" customFormat="false" ht="15" hidden="false" customHeight="false" outlineLevel="0" collapsed="false">
      <c r="A52" s="5" t="s">
        <v>715</v>
      </c>
      <c r="B52" s="9" t="n">
        <f aca="false">B26+B27</f>
        <v>511000</v>
      </c>
    </row>
    <row r="53" customFormat="false" ht="15" hidden="false" customHeight="false" outlineLevel="0" collapsed="false">
      <c r="A53" s="10" t="s">
        <v>716</v>
      </c>
      <c r="B53" s="11" t="n">
        <f aca="false">B31-B52*(1+B6)+B32+B30</f>
        <v>44500370.8450704</v>
      </c>
    </row>
    <row r="54" customFormat="false" ht="15" hidden="false" customHeight="false" outlineLevel="0" collapsed="false">
      <c r="A54" s="10" t="s">
        <v>717</v>
      </c>
      <c r="B54" s="11" t="n">
        <f aca="false">B53-B22</f>
        <v>7564487.0631948</v>
      </c>
    </row>
    <row r="55" customFormat="false" ht="15" hidden="false" customHeight="false" outlineLevel="0" collapsed="false">
      <c r="A55" s="5" t="s">
        <v>560</v>
      </c>
      <c r="B55" s="18" t="n">
        <f aca="false">B54/B22</f>
        <v>0.20480048908175</v>
      </c>
    </row>
    <row r="56" customFormat="false" ht="15" hidden="false" customHeight="false" outlineLevel="0" collapsed="false">
      <c r="A56" s="10" t="s">
        <v>718</v>
      </c>
      <c r="B56" s="11" t="n">
        <f aca="false">B46*B53+(1-B46)*B45</f>
        <v>38521930.4859155</v>
      </c>
    </row>
    <row r="57" customFormat="false" ht="15" hidden="false" customHeight="false" outlineLevel="0" collapsed="false">
      <c r="A57" s="10" t="s">
        <v>712</v>
      </c>
      <c r="B57" s="11" t="n">
        <f aca="false">B56-B22</f>
        <v>1586046.70403988</v>
      </c>
    </row>
    <row r="58" customFormat="false" ht="15" hidden="false" customHeight="false" outlineLevel="0" collapsed="false">
      <c r="A58" s="5" t="s">
        <v>560</v>
      </c>
      <c r="B58" s="18" t="n">
        <f aca="false">B57/B22</f>
        <v>0.0429405375381366</v>
      </c>
    </row>
    <row r="59" customFormat="false" ht="15" hidden="false" customHeight="false" outlineLevel="0" collapsed="false">
      <c r="A59" s="5" t="s">
        <v>713</v>
      </c>
      <c r="B59" s="9" t="n">
        <f aca="false">B53-B45</f>
        <v>17081258.1690141</v>
      </c>
    </row>
    <row r="60" customFormat="false" ht="15" hidden="false" customHeight="false" outlineLevel="0" collapsed="false">
      <c r="A60" s="5" t="s">
        <v>719</v>
      </c>
      <c r="B60" s="18" t="n">
        <f aca="false">(B22-B45)/(B53-B45)</f>
        <v>0.55714696257463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2" min="2" style="0" width="64"/>
    <col collapsed="false" customWidth="true" hidden="false" outlineLevel="0" max="5" min="3" style="0" width="15"/>
    <col collapsed="false" customWidth="true" hidden="false" outlineLevel="0" max="7" min="6" style="0" width="13"/>
    <col collapsed="false" customWidth="true" hidden="false" outlineLevel="0" max="8" min="8" style="0" width="60"/>
  </cols>
  <sheetData>
    <row r="1" customFormat="false" ht="17.35" hidden="false" customHeight="false" outlineLevel="0" collapsed="false">
      <c r="A1" s="1" t="s">
        <v>720</v>
      </c>
    </row>
    <row r="2" customFormat="false" ht="15" hidden="false" customHeight="false" outlineLevel="0" collapsed="false">
      <c r="A2" s="2" t="s">
        <v>721</v>
      </c>
    </row>
    <row r="4" customFormat="false" ht="15" hidden="false" customHeight="false" outlineLevel="0" collapsed="false">
      <c r="A4" s="35" t="s">
        <v>722</v>
      </c>
      <c r="B4" s="35" t="s">
        <v>723</v>
      </c>
      <c r="C4" s="35" t="s">
        <v>724</v>
      </c>
      <c r="D4" s="35" t="s">
        <v>725</v>
      </c>
      <c r="E4" s="35" t="s">
        <v>726</v>
      </c>
      <c r="F4" s="35" t="s">
        <v>727</v>
      </c>
      <c r="G4" s="35" t="s">
        <v>728</v>
      </c>
      <c r="H4" s="35" t="s">
        <v>729</v>
      </c>
    </row>
    <row r="5" customFormat="false" ht="15" hidden="false" customHeight="false" outlineLevel="0" collapsed="false">
      <c r="A5" s="3" t="s">
        <v>730</v>
      </c>
      <c r="B5" s="5" t="s">
        <v>25</v>
      </c>
      <c r="C5" s="36" t="n">
        <v>3500000</v>
      </c>
      <c r="D5" s="36"/>
      <c r="E5" s="37" t="n">
        <f aca="false">'1. Capital intensity'!B17</f>
        <v>3500000</v>
      </c>
      <c r="F5" s="9" t="n">
        <f aca="false">IF(D5="",E5-C5,E5-D5)</f>
        <v>0</v>
      </c>
      <c r="G5" s="5" t="str">
        <f aca="false">IF(ISNUMBER(E5)=FALSE(),"CHECK",IF(D5="",IF(ABS(E5-C5)&lt;=1,"reproduced",IF(ABS(E5-C5)&lt;=1*5,"rounding","CHECK")),IF(ABS(E5-D5)&lt;=1,"corrected","CHECK")))</f>
        <v>reproduced</v>
      </c>
      <c r="H5" s="38"/>
    </row>
    <row r="6" customFormat="false" ht="15" hidden="false" customHeight="false" outlineLevel="0" collapsed="false">
      <c r="A6" s="39" t="s">
        <v>730</v>
      </c>
      <c r="B6" s="40" t="s">
        <v>731</v>
      </c>
      <c r="C6" s="41" t="n">
        <v>350000</v>
      </c>
      <c r="D6" s="41"/>
      <c r="E6" s="42" t="n">
        <f aca="false">'1. Capital intensity'!B18</f>
        <v>350000</v>
      </c>
      <c r="F6" s="43" t="n">
        <f aca="false">IF(D6="",E6-C6,E6-D6)</f>
        <v>0</v>
      </c>
      <c r="G6" s="40" t="str">
        <f aca="false">IF(ISNUMBER(E6)=FALSE(),"CHECK",IF(D6="",IF(ABS(E6-C6)&lt;=1,"reproduced",IF(ABS(E6-C6)&lt;=1*5,"rounding","CHECK")),IF(ABS(E6-D6)&lt;=1,"corrected","CHECK")))</f>
        <v>reproduced</v>
      </c>
      <c r="H6" s="44"/>
    </row>
    <row r="7" customFormat="false" ht="15" hidden="false" customHeight="false" outlineLevel="0" collapsed="false">
      <c r="A7" s="3" t="s">
        <v>730</v>
      </c>
      <c r="B7" s="5" t="s">
        <v>732</v>
      </c>
      <c r="C7" s="36" t="n">
        <v>650000</v>
      </c>
      <c r="D7" s="36"/>
      <c r="E7" s="37" t="n">
        <f aca="false">'1. Capital intensity'!B19</f>
        <v>650000</v>
      </c>
      <c r="F7" s="9" t="n">
        <f aca="false">IF(D7="",E7-C7,E7-D7)</f>
        <v>0</v>
      </c>
      <c r="G7" s="5" t="str">
        <f aca="false">IF(ISNUMBER(E7)=FALSE(),"CHECK",IF(D7="",IF(ABS(E7-C7)&lt;=1,"reproduced",IF(ABS(E7-C7)&lt;=1*5,"rounding","CHECK")),IF(ABS(E7-D7)&lt;=1,"corrected","CHECK")))</f>
        <v>reproduced</v>
      </c>
      <c r="H7" s="38"/>
    </row>
    <row r="8" customFormat="false" ht="15" hidden="false" customHeight="false" outlineLevel="0" collapsed="false">
      <c r="A8" s="39" t="s">
        <v>730</v>
      </c>
      <c r="B8" s="40" t="s">
        <v>28</v>
      </c>
      <c r="C8" s="41" t="n">
        <v>400000</v>
      </c>
      <c r="D8" s="41"/>
      <c r="E8" s="42" t="n">
        <f aca="false">'1. Capital intensity'!B20</f>
        <v>400000</v>
      </c>
      <c r="F8" s="43" t="n">
        <f aca="false">IF(D8="",E8-C8,E8-D8)</f>
        <v>0</v>
      </c>
      <c r="G8" s="40" t="str">
        <f aca="false">IF(ISNUMBER(E8)=FALSE(),"CHECK",IF(D8="",IF(ABS(E8-C8)&lt;=1,"reproduced",IF(ABS(E8-C8)&lt;=1*5,"rounding","CHECK")),IF(ABS(E8-D8)&lt;=1,"corrected","CHECK")))</f>
        <v>reproduced</v>
      </c>
      <c r="H8" s="44"/>
    </row>
    <row r="9" customFormat="false" ht="15" hidden="false" customHeight="false" outlineLevel="0" collapsed="false">
      <c r="A9" s="3" t="s">
        <v>730</v>
      </c>
      <c r="B9" s="5" t="s">
        <v>733</v>
      </c>
      <c r="C9" s="36" t="n">
        <v>40000</v>
      </c>
      <c r="D9" s="36"/>
      <c r="E9" s="37" t="n">
        <f aca="false">'1. Capital intensity'!B21</f>
        <v>40000</v>
      </c>
      <c r="F9" s="9" t="n">
        <f aca="false">IF(D9="",E9-C9,E9-D9)</f>
        <v>0</v>
      </c>
      <c r="G9" s="5" t="str">
        <f aca="false">IF(ISNUMBER(E9)=FALSE(),"CHECK",IF(D9="",IF(ABS(E9-C9)&lt;=1,"reproduced",IF(ABS(E9-C9)&lt;=1*5,"rounding","CHECK")),IF(ABS(E9-D9)&lt;=1,"corrected","CHECK")))</f>
        <v>reproduced</v>
      </c>
      <c r="H9" s="38"/>
    </row>
    <row r="10" customFormat="false" ht="15" hidden="false" customHeight="false" outlineLevel="0" collapsed="false">
      <c r="A10" s="39" t="s">
        <v>730</v>
      </c>
      <c r="B10" s="40" t="s">
        <v>734</v>
      </c>
      <c r="C10" s="41" t="n">
        <v>960000</v>
      </c>
      <c r="D10" s="41"/>
      <c r="E10" s="42" t="n">
        <f aca="false">'1. Capital intensity'!B22</f>
        <v>960000</v>
      </c>
      <c r="F10" s="43" t="n">
        <f aca="false">IF(D10="",E10-C10,E10-D10)</f>
        <v>0</v>
      </c>
      <c r="G10" s="40" t="str">
        <f aca="false">IF(ISNUMBER(E10)=FALSE(),"CHECK",IF(D10="",IF(ABS(E10-C10)&lt;=1,"reproduced",IF(ABS(E10-C10)&lt;=1*5,"rounding","CHECK")),IF(ABS(E10-D10)&lt;=1,"corrected","CHECK")))</f>
        <v>reproduced</v>
      </c>
      <c r="H10" s="44"/>
    </row>
    <row r="11" customFormat="false" ht="15" hidden="false" customHeight="false" outlineLevel="0" collapsed="false">
      <c r="A11" s="3" t="s">
        <v>730</v>
      </c>
      <c r="B11" s="5" t="s">
        <v>735</v>
      </c>
      <c r="C11" s="36" t="n">
        <v>10833000</v>
      </c>
      <c r="D11" s="36"/>
      <c r="E11" s="37" t="n">
        <f aca="false">'1. Capital intensity'!B23</f>
        <v>10833333.3333333</v>
      </c>
      <c r="F11" s="9" t="n">
        <f aca="false">IF(D11="",E11-C11,E11-D11)</f>
        <v>333.333333333954</v>
      </c>
      <c r="G11" s="5" t="str">
        <f aca="false">IF(ISNUMBER(E11)=FALSE(),"CHECK",IF(D11="",IF(ABS(E11-C11)&lt;=500,"reproduced",IF(ABS(E11-C11)&lt;=500*5,"rounding","CHECK")),IF(ABS(E11-D11)&lt;=500,"corrected","CHECK")))</f>
        <v>reproduced</v>
      </c>
      <c r="H11" s="38"/>
    </row>
    <row r="12" customFormat="false" ht="15" hidden="false" customHeight="false" outlineLevel="0" collapsed="false">
      <c r="A12" s="39" t="s">
        <v>730</v>
      </c>
      <c r="B12" s="40" t="s">
        <v>736</v>
      </c>
      <c r="C12" s="41" t="n">
        <v>16000000</v>
      </c>
      <c r="D12" s="41"/>
      <c r="E12" s="42" t="n">
        <f aca="false">'1. Capital intensity'!B24</f>
        <v>16000000</v>
      </c>
      <c r="F12" s="43" t="n">
        <f aca="false">IF(D12="",E12-C12,E12-D12)</f>
        <v>0</v>
      </c>
      <c r="G12" s="40" t="str">
        <f aca="false">IF(ISNUMBER(E12)=FALSE(),"CHECK",IF(D12="",IF(ABS(E12-C12)&lt;=1,"reproduced",IF(ABS(E12-C12)&lt;=1*5,"rounding","CHECK")),IF(ABS(E12-D12)&lt;=1,"corrected","CHECK")))</f>
        <v>reproduced</v>
      </c>
      <c r="H12" s="44"/>
    </row>
    <row r="13" customFormat="false" ht="15" hidden="false" customHeight="false" outlineLevel="0" collapsed="false">
      <c r="A13" s="3" t="s">
        <v>730</v>
      </c>
      <c r="B13" s="5" t="s">
        <v>737</v>
      </c>
      <c r="C13" s="45" t="n">
        <v>0.48</v>
      </c>
      <c r="D13" s="45"/>
      <c r="E13" s="46" t="n">
        <f aca="false">'1. Capital intensity'!B25</f>
        <v>0.476923076923077</v>
      </c>
      <c r="F13" s="18" t="n">
        <f aca="false">IF(D13="",E13-C13,E13-D13)</f>
        <v>-0.0030769230769232</v>
      </c>
      <c r="G13" s="5" t="str">
        <f aca="false">IF(ISNUMBER(E13)=FALSE(),"CHECK",IF(D13="",IF(ABS(E13-C13)&lt;=0.005,"reproduced",IF(ABS(E13-C13)&lt;=0.005*5,"rounding","CHECK")),IF(ABS(E13-D13)&lt;=0.005,"corrected","CHECK")))</f>
        <v>reproduced</v>
      </c>
      <c r="H13" s="38"/>
    </row>
    <row r="14" customFormat="false" ht="15" hidden="false" customHeight="false" outlineLevel="0" collapsed="false">
      <c r="A14" s="39" t="s">
        <v>738</v>
      </c>
      <c r="B14" s="40" t="s">
        <v>47</v>
      </c>
      <c r="C14" s="47" t="n">
        <v>8.5</v>
      </c>
      <c r="D14" s="47"/>
      <c r="E14" s="48" t="n">
        <f aca="false">'2. Height'!B18</f>
        <v>8.5</v>
      </c>
      <c r="F14" s="49" t="n">
        <f aca="false">IF(D14="",E14-C14,E14-D14)</f>
        <v>0</v>
      </c>
      <c r="G14" s="40" t="str">
        <f aca="false">IF(ISNUMBER(E14)=FALSE(),"CHECK",IF(D14="",IF(ABS(E14-C14)&lt;=0.05,"reproduced",IF(ABS(E14-C14)&lt;=0.05*5,"rounding","CHECK")),IF(ABS(E14-D14)&lt;=0.05,"corrected","CHECK")))</f>
        <v>reproduced</v>
      </c>
      <c r="H14" s="44"/>
    </row>
    <row r="15" customFormat="false" ht="15" hidden="false" customHeight="false" outlineLevel="0" collapsed="false">
      <c r="A15" s="3" t="s">
        <v>738</v>
      </c>
      <c r="B15" s="5" t="s">
        <v>48</v>
      </c>
      <c r="C15" s="50" t="n">
        <v>13.5</v>
      </c>
      <c r="D15" s="50"/>
      <c r="E15" s="51" t="n">
        <f aca="false">'2. Height'!B19</f>
        <v>13.5</v>
      </c>
      <c r="F15" s="23" t="n">
        <f aca="false">IF(D15="",E15-C15,E15-D15)</f>
        <v>0</v>
      </c>
      <c r="G15" s="5" t="str">
        <f aca="false">IF(ISNUMBER(E15)=FALSE(),"CHECK",IF(D15="",IF(ABS(E15-C15)&lt;=0.05,"reproduced",IF(ABS(E15-C15)&lt;=0.05*5,"rounding","CHECK")),IF(ABS(E15-D15)&lt;=0.05,"corrected","CHECK")))</f>
        <v>reproduced</v>
      </c>
      <c r="H15" s="38"/>
    </row>
    <row r="16" customFormat="false" ht="15" hidden="false" customHeight="false" outlineLevel="0" collapsed="false">
      <c r="A16" s="39" t="s">
        <v>738</v>
      </c>
      <c r="B16" s="40" t="s">
        <v>739</v>
      </c>
      <c r="C16" s="52" t="n">
        <v>5.15</v>
      </c>
      <c r="D16" s="52"/>
      <c r="E16" s="53" t="n">
        <f aca="false">'2. Height'!B20</f>
        <v>5.15151515151515</v>
      </c>
      <c r="F16" s="54" t="n">
        <f aca="false">IF(D16="",E16-C16,E16-D16)</f>
        <v>0.00151515151515103</v>
      </c>
      <c r="G16" s="40" t="str">
        <f aca="false">IF(ISNUMBER(E16)=FALSE(),"CHECK",IF(D16="",IF(ABS(E16-C16)&lt;=0.005,"reproduced",IF(ABS(E16-C16)&lt;=0.005*5,"rounding","CHECK")),IF(ABS(E16-D16)&lt;=0.005,"corrected","CHECK")))</f>
        <v>reproduced</v>
      </c>
      <c r="H16" s="44"/>
    </row>
    <row r="17" customFormat="false" ht="15" hidden="false" customHeight="false" outlineLevel="0" collapsed="false">
      <c r="A17" s="3" t="s">
        <v>738</v>
      </c>
      <c r="B17" s="5" t="s">
        <v>740</v>
      </c>
      <c r="C17" s="55" t="n">
        <v>8.18</v>
      </c>
      <c r="D17" s="55"/>
      <c r="E17" s="56" t="n">
        <f aca="false">'2. Height'!B21</f>
        <v>8.18181818181818</v>
      </c>
      <c r="F17" s="16" t="n">
        <f aca="false">IF(D17="",E17-C17,E17-D17)</f>
        <v>0.00181818181818194</v>
      </c>
      <c r="G17" s="5" t="str">
        <f aca="false">IF(ISNUMBER(E17)=FALSE(),"CHECK",IF(D17="",IF(ABS(E17-C17)&lt;=0.005,"reproduced",IF(ABS(E17-C17)&lt;=0.005*5,"rounding","CHECK")),IF(ABS(E17-D17)&lt;=0.005,"corrected","CHECK")))</f>
        <v>reproduced</v>
      </c>
      <c r="H17" s="38"/>
    </row>
    <row r="18" customFormat="false" ht="15" hidden="false" customHeight="false" outlineLevel="0" collapsed="false">
      <c r="A18" s="39" t="s">
        <v>738</v>
      </c>
      <c r="B18" s="40" t="s">
        <v>53</v>
      </c>
      <c r="C18" s="41" t="n">
        <v>14000</v>
      </c>
      <c r="D18" s="41"/>
      <c r="E18" s="42" t="n">
        <f aca="false">'2. Height'!B24</f>
        <v>14000</v>
      </c>
      <c r="F18" s="43" t="n">
        <f aca="false">IF(D18="",E18-C18,E18-D18)</f>
        <v>0</v>
      </c>
      <c r="G18" s="40" t="str">
        <f aca="false">IF(ISNUMBER(E18)=FALSE(),"CHECK",IF(D18="",IF(ABS(E18-C18)&lt;=1,"reproduced",IF(ABS(E18-C18)&lt;=1*5,"rounding","CHECK")),IF(ABS(E18-D18)&lt;=1,"corrected","CHECK")))</f>
        <v>reproduced</v>
      </c>
      <c r="H18" s="44"/>
    </row>
    <row r="19" customFormat="false" ht="15" hidden="false" customHeight="false" outlineLevel="0" collapsed="false">
      <c r="A19" s="3" t="s">
        <v>738</v>
      </c>
      <c r="B19" s="5" t="s">
        <v>741</v>
      </c>
      <c r="C19" s="36" t="n">
        <v>5880</v>
      </c>
      <c r="D19" s="36"/>
      <c r="E19" s="37" t="n">
        <f aca="false">'2. Height'!B25</f>
        <v>5880</v>
      </c>
      <c r="F19" s="9" t="n">
        <f aca="false">IF(D19="",E19-C19,E19-D19)</f>
        <v>0</v>
      </c>
      <c r="G19" s="5" t="str">
        <f aca="false">IF(ISNUMBER(E19)=FALSE(),"CHECK",IF(D19="",IF(ABS(E19-C19)&lt;=1,"reproduced",IF(ABS(E19-C19)&lt;=1*5,"rounding","CHECK")),IF(ABS(E19-D19)&lt;=1,"corrected","CHECK")))</f>
        <v>reproduced</v>
      </c>
      <c r="H19" s="38"/>
    </row>
    <row r="20" customFormat="false" ht="15" hidden="false" customHeight="false" outlineLevel="0" collapsed="false">
      <c r="A20" s="39" t="s">
        <v>738</v>
      </c>
      <c r="B20" s="40" t="s">
        <v>55</v>
      </c>
      <c r="C20" s="41" t="n">
        <v>29000</v>
      </c>
      <c r="D20" s="41"/>
      <c r="E20" s="42" t="n">
        <f aca="false">'2. Height'!B26</f>
        <v>29000</v>
      </c>
      <c r="F20" s="43" t="n">
        <f aca="false">IF(D20="",E20-C20,E20-D20)</f>
        <v>0</v>
      </c>
      <c r="G20" s="40" t="str">
        <f aca="false">IF(ISNUMBER(E20)=FALSE(),"CHECK",IF(D20="",IF(ABS(E20-C20)&lt;=1,"reproduced",IF(ABS(E20-C20)&lt;=1*5,"rounding","CHECK")),IF(ABS(E20-D20)&lt;=1,"corrected","CHECK")))</f>
        <v>reproduced</v>
      </c>
      <c r="H20" s="44"/>
    </row>
    <row r="21" customFormat="false" ht="15" hidden="false" customHeight="false" outlineLevel="0" collapsed="false">
      <c r="A21" s="3" t="s">
        <v>738</v>
      </c>
      <c r="B21" s="5" t="s">
        <v>56</v>
      </c>
      <c r="C21" s="36" t="n">
        <v>46400</v>
      </c>
      <c r="D21" s="36"/>
      <c r="E21" s="37" t="n">
        <f aca="false">'2. Height'!B27</f>
        <v>46400</v>
      </c>
      <c r="F21" s="9" t="n">
        <f aca="false">IF(D21="",E21-C21,E21-D21)</f>
        <v>0</v>
      </c>
      <c r="G21" s="5" t="str">
        <f aca="false">IF(ISNUMBER(E21)=FALSE(),"CHECK",IF(D21="",IF(ABS(E21-C21)&lt;=1,"reproduced",IF(ABS(E21-C21)&lt;=1*5,"rounding","CHECK")),IF(ABS(E21-D21)&lt;=1,"corrected","CHECK")))</f>
        <v>reproduced</v>
      </c>
      <c r="H21" s="38"/>
    </row>
    <row r="22" customFormat="false" ht="15" hidden="false" customHeight="false" outlineLevel="0" collapsed="false">
      <c r="A22" s="39" t="s">
        <v>738</v>
      </c>
      <c r="B22" s="40" t="s">
        <v>742</v>
      </c>
      <c r="C22" s="57" t="n">
        <v>0.6</v>
      </c>
      <c r="D22" s="57"/>
      <c r="E22" s="58" t="n">
        <f aca="false">'2. Height'!B28</f>
        <v>0.6</v>
      </c>
      <c r="F22" s="59" t="n">
        <f aca="false">IF(D22="",E22-C22,E22-D22)</f>
        <v>0</v>
      </c>
      <c r="G22" s="40" t="str">
        <f aca="false">IF(ISNUMBER(E22)=FALSE(),"CHECK",IF(D22="",IF(ABS(E22-C22)&lt;=0.005,"reproduced",IF(ABS(E22-C22)&lt;=0.005*5,"rounding","CHECK")),IF(ABS(E22-D22)&lt;=0.005,"corrected","CHECK")))</f>
        <v>reproduced</v>
      </c>
      <c r="H22" s="44"/>
    </row>
    <row r="23" customFormat="false" ht="15" hidden="false" customHeight="false" outlineLevel="0" collapsed="false">
      <c r="A23" s="3" t="s">
        <v>738</v>
      </c>
      <c r="B23" s="5" t="s">
        <v>59</v>
      </c>
      <c r="C23" s="36" t="n">
        <v>1800000</v>
      </c>
      <c r="D23" s="36"/>
      <c r="E23" s="37" t="n">
        <f aca="false">'2. Height'!B31</f>
        <v>1800000</v>
      </c>
      <c r="F23" s="9" t="n">
        <f aca="false">IF(D23="",E23-C23,E23-D23)</f>
        <v>0</v>
      </c>
      <c r="G23" s="5" t="str">
        <f aca="false">IF(ISNUMBER(E23)=FALSE(),"CHECK",IF(D23="",IF(ABS(E23-C23)&lt;=1,"reproduced",IF(ABS(E23-C23)&lt;=1*5,"rounding","CHECK")),IF(ABS(E23-D23)&lt;=1,"corrected","CHECK")))</f>
        <v>reproduced</v>
      </c>
      <c r="H23" s="38"/>
    </row>
    <row r="24" customFormat="false" ht="15" hidden="false" customHeight="false" outlineLevel="0" collapsed="false">
      <c r="A24" s="39" t="s">
        <v>738</v>
      </c>
      <c r="B24" s="40" t="s">
        <v>743</v>
      </c>
      <c r="C24" s="60" t="n">
        <v>62.07</v>
      </c>
      <c r="D24" s="60"/>
      <c r="E24" s="61" t="n">
        <f aca="false">'2. Height'!B32</f>
        <v>62.0689655172414</v>
      </c>
      <c r="F24" s="62" t="n">
        <f aca="false">IF(D24="",E24-C24,E24-D24)</f>
        <v>-0.0010344827586195</v>
      </c>
      <c r="G24" s="40" t="str">
        <f aca="false">IF(ISNUMBER(E24)=FALSE(),"CHECK",IF(D24="",IF(ABS(E24-C24)&lt;=0.006,"reproduced",IF(ABS(E24-C24)&lt;=0.006*5,"rounding","CHECK")),IF(ABS(E24-D24)&lt;=0.006,"corrected","CHECK")))</f>
        <v>reproduced</v>
      </c>
      <c r="H24" s="44"/>
    </row>
    <row r="25" customFormat="false" ht="15" hidden="false" customHeight="false" outlineLevel="0" collapsed="false">
      <c r="A25" s="3" t="s">
        <v>738</v>
      </c>
      <c r="B25" s="5" t="s">
        <v>744</v>
      </c>
      <c r="C25" s="36" t="n">
        <v>2880000</v>
      </c>
      <c r="D25" s="36"/>
      <c r="E25" s="37" t="n">
        <f aca="false">'2. Height'!B33</f>
        <v>2880000</v>
      </c>
      <c r="F25" s="9" t="n">
        <f aca="false">IF(D25="",E25-C25,E25-D25)</f>
        <v>0</v>
      </c>
      <c r="G25" s="5" t="str">
        <f aca="false">IF(ISNUMBER(E25)=FALSE(),"CHECK",IF(D25="",IF(ABS(E25-C25)&lt;=50,"reproduced",IF(ABS(E25-C25)&lt;=50*5,"rounding","CHECK")),IF(ABS(E25-D25)&lt;=50,"corrected","CHECK")))</f>
        <v>reproduced</v>
      </c>
      <c r="H25" s="38"/>
    </row>
    <row r="26" customFormat="false" ht="15" hidden="false" customHeight="false" outlineLevel="0" collapsed="false">
      <c r="A26" s="39" t="s">
        <v>738</v>
      </c>
      <c r="B26" s="40" t="s">
        <v>62</v>
      </c>
      <c r="C26" s="60" t="n">
        <v>144</v>
      </c>
      <c r="D26" s="60"/>
      <c r="E26" s="61" t="n">
        <f aca="false">'2. Height'!B34</f>
        <v>144</v>
      </c>
      <c r="F26" s="62" t="n">
        <f aca="false">IF(D26="",E26-C26,E26-D26)</f>
        <v>0</v>
      </c>
      <c r="G26" s="40" t="str">
        <f aca="false">IF(ISNUMBER(E26)=FALSE(),"CHECK",IF(D26="",IF(ABS(E26-C26)&lt;=0.6,"reproduced",IF(ABS(E26-C26)&lt;=0.6*5,"rounding","CHECK")),IF(ABS(E26-D26)&lt;=0.6,"corrected","CHECK")))</f>
        <v>reproduced</v>
      </c>
      <c r="H26" s="44"/>
    </row>
    <row r="27" customFormat="false" ht="15" hidden="false" customHeight="false" outlineLevel="0" collapsed="false">
      <c r="A27" s="3" t="s">
        <v>738</v>
      </c>
      <c r="B27" s="5" t="s">
        <v>63</v>
      </c>
      <c r="C27" s="36" t="n">
        <v>2100000</v>
      </c>
      <c r="D27" s="36"/>
      <c r="E27" s="37" t="n">
        <f aca="false">'2. Height'!B35</f>
        <v>2100000</v>
      </c>
      <c r="F27" s="9" t="n">
        <f aca="false">IF(D27="",E27-C27,E27-D27)</f>
        <v>0</v>
      </c>
      <c r="G27" s="5" t="str">
        <f aca="false">IF(ISNUMBER(E27)=FALSE(),"CHECK",IF(D27="",IF(ABS(E27-C27)&lt;=1,"reproduced",IF(ABS(E27-C27)&lt;=1*5,"rounding","CHECK")),IF(ABS(E27-D27)&lt;=1,"corrected","CHECK")))</f>
        <v>reproduced</v>
      </c>
      <c r="H27" s="38"/>
    </row>
    <row r="28" customFormat="false" ht="15" hidden="false" customHeight="false" outlineLevel="0" collapsed="false">
      <c r="A28" s="39" t="s">
        <v>738</v>
      </c>
      <c r="B28" s="40" t="s">
        <v>745</v>
      </c>
      <c r="C28" s="60" t="n">
        <v>45.26</v>
      </c>
      <c r="D28" s="60"/>
      <c r="E28" s="61" t="n">
        <f aca="false">'2. Height'!B36</f>
        <v>45.2586206896552</v>
      </c>
      <c r="F28" s="62" t="n">
        <f aca="false">IF(D28="",E28-C28,E28-D28)</f>
        <v>-0.00137931034482364</v>
      </c>
      <c r="G28" s="40" t="str">
        <f aca="false">IF(ISNUMBER(E28)=FALSE(),"CHECK",IF(D28="",IF(ABS(E28-C28)&lt;=0.006,"reproduced",IF(ABS(E28-C28)&lt;=0.006*5,"rounding","CHECK")),IF(ABS(E28-D28)&lt;=0.006,"corrected","CHECK")))</f>
        <v>reproduced</v>
      </c>
      <c r="H28" s="44"/>
    </row>
    <row r="29" customFormat="false" ht="15" hidden="false" customHeight="false" outlineLevel="0" collapsed="false">
      <c r="A29" s="3" t="s">
        <v>738</v>
      </c>
      <c r="B29" s="5" t="s">
        <v>746</v>
      </c>
      <c r="C29" s="45" t="n">
        <v>0.27</v>
      </c>
      <c r="D29" s="45"/>
      <c r="E29" s="46" t="n">
        <f aca="false">'2. Height'!B37</f>
        <v>0.270833333333333</v>
      </c>
      <c r="F29" s="18" t="n">
        <f aca="false">IF(D29="",E29-C29,E29-D29)</f>
        <v>0.000833333333333353</v>
      </c>
      <c r="G29" s="5" t="str">
        <f aca="false">IF(ISNUMBER(E29)=FALSE(),"CHECK",IF(D29="",IF(ABS(E29-C29)&lt;=0.005,"reproduced",IF(ABS(E29-C29)&lt;=0.005*5,"rounding","CHECK")),IF(ABS(E29-D29)&lt;=0.005,"corrected","CHECK")))</f>
        <v>reproduced</v>
      </c>
      <c r="H29" s="38"/>
    </row>
    <row r="30" customFormat="false" ht="15" hidden="false" customHeight="false" outlineLevel="0" collapsed="false">
      <c r="A30" s="39" t="s">
        <v>738</v>
      </c>
      <c r="B30" s="40" t="s">
        <v>747</v>
      </c>
      <c r="C30" s="57" t="n">
        <v>0.17</v>
      </c>
      <c r="D30" s="57"/>
      <c r="E30" s="58" t="n">
        <f aca="false">'2. Height'!B38</f>
        <v>0.166666666666667</v>
      </c>
      <c r="F30" s="59" t="n">
        <f aca="false">IF(D30="",E30-C30,E30-D30)</f>
        <v>-0.00333333333333327</v>
      </c>
      <c r="G30" s="40" t="str">
        <f aca="false">IF(ISNUMBER(E30)=FALSE(),"CHECK",IF(D30="",IF(ABS(E30-C30)&lt;=0.005,"reproduced",IF(ABS(E30-C30)&lt;=0.005*5,"rounding","CHECK")),IF(ABS(E30-D30)&lt;=0.005,"corrected","CHECK")))</f>
        <v>reproduced</v>
      </c>
      <c r="H30" s="44"/>
    </row>
    <row r="31" customFormat="false" ht="15" hidden="false" customHeight="false" outlineLevel="0" collapsed="false">
      <c r="A31" s="3" t="s">
        <v>738</v>
      </c>
      <c r="B31" s="5" t="s">
        <v>748</v>
      </c>
      <c r="C31" s="36" t="n">
        <v>300000</v>
      </c>
      <c r="D31" s="36"/>
      <c r="E31" s="37" t="n">
        <f aca="false">'2. Height'!B39</f>
        <v>300000</v>
      </c>
      <c r="F31" s="9" t="n">
        <f aca="false">IF(D31="",E31-C31,E31-D31)</f>
        <v>0</v>
      </c>
      <c r="G31" s="5" t="str">
        <f aca="false">IF(ISNUMBER(E31)=FALSE(),"CHECK",IF(D31="",IF(ABS(E31-C31)&lt;=1,"reproduced",IF(ABS(E31-C31)&lt;=1*5,"rounding","CHECK")),IF(ABS(E31-D31)&lt;=1,"corrected","CHECK")))</f>
        <v>reproduced</v>
      </c>
      <c r="H31" s="38"/>
    </row>
    <row r="32" customFormat="false" ht="15" hidden="false" customHeight="false" outlineLevel="0" collapsed="false">
      <c r="A32" s="39" t="s">
        <v>749</v>
      </c>
      <c r="B32" s="40" t="s">
        <v>83</v>
      </c>
      <c r="C32" s="57" t="n">
        <v>0.4</v>
      </c>
      <c r="D32" s="57"/>
      <c r="E32" s="58" t="n">
        <f aca="false">'3. Site coverage'!B20</f>
        <v>0.4</v>
      </c>
      <c r="F32" s="59" t="n">
        <f aca="false">IF(D32="",E32-C32,E32-D32)</f>
        <v>0</v>
      </c>
      <c r="G32" s="40" t="str">
        <f aca="false">IF(ISNUMBER(E32)=FALSE(),"CHECK",IF(D32="",IF(ABS(E32-C32)&lt;=0.0005,"reproduced",IF(ABS(E32-C32)&lt;=0.0005*5,"rounding","CHECK")),IF(ABS(E32-D32)&lt;=0.0005,"corrected","CHECK")))</f>
        <v>reproduced</v>
      </c>
      <c r="H32" s="44"/>
    </row>
    <row r="33" customFormat="false" ht="15" hidden="false" customHeight="false" outlineLevel="0" collapsed="false">
      <c r="A33" s="3" t="s">
        <v>749</v>
      </c>
      <c r="B33" s="5" t="s">
        <v>750</v>
      </c>
      <c r="C33" s="36" t="n">
        <v>24000</v>
      </c>
      <c r="D33" s="36"/>
      <c r="E33" s="37" t="n">
        <f aca="false">'3. Site coverage'!B21</f>
        <v>24000</v>
      </c>
      <c r="F33" s="9" t="n">
        <f aca="false">IF(D33="",E33-C33,E33-D33)</f>
        <v>0</v>
      </c>
      <c r="G33" s="5" t="str">
        <f aca="false">IF(ISNUMBER(E33)=FALSE(),"CHECK",IF(D33="",IF(ABS(E33-C33)&lt;=1,"reproduced",IF(ABS(E33-C33)&lt;=1*5,"rounding","CHECK")),IF(ABS(E33-D33)&lt;=1,"corrected","CHECK")))</f>
        <v>reproduced</v>
      </c>
      <c r="H33" s="38"/>
    </row>
    <row r="34" customFormat="false" ht="15" hidden="false" customHeight="false" outlineLevel="0" collapsed="false">
      <c r="A34" s="39" t="s">
        <v>749</v>
      </c>
      <c r="B34" s="40" t="s">
        <v>85</v>
      </c>
      <c r="C34" s="41" t="n">
        <v>5600</v>
      </c>
      <c r="D34" s="41"/>
      <c r="E34" s="42" t="n">
        <f aca="false">'3. Site coverage'!B22</f>
        <v>5600</v>
      </c>
      <c r="F34" s="43" t="n">
        <f aca="false">IF(D34="",E34-C34,E34-D34)</f>
        <v>0</v>
      </c>
      <c r="G34" s="40" t="str">
        <f aca="false">IF(ISNUMBER(E34)=FALSE(),"CHECK",IF(D34="",IF(ABS(E34-C34)&lt;=1,"reproduced",IF(ABS(E34-C34)&lt;=1*5,"rounding","CHECK")),IF(ABS(E34-D34)&lt;=1,"corrected","CHECK")))</f>
        <v>reproduced</v>
      </c>
      <c r="H34" s="44"/>
    </row>
    <row r="35" customFormat="false" ht="15" hidden="false" customHeight="false" outlineLevel="0" collapsed="false">
      <c r="A35" s="3" t="s">
        <v>749</v>
      </c>
      <c r="B35" s="5" t="s">
        <v>86</v>
      </c>
      <c r="C35" s="36" t="n">
        <v>2200</v>
      </c>
      <c r="D35" s="36"/>
      <c r="E35" s="37" t="n">
        <f aca="false">'3. Site coverage'!B23</f>
        <v>2200</v>
      </c>
      <c r="F35" s="9" t="n">
        <f aca="false">IF(D35="",E35-C35,E35-D35)</f>
        <v>0</v>
      </c>
      <c r="G35" s="5" t="str">
        <f aca="false">IF(ISNUMBER(E35)=FALSE(),"CHECK",IF(D35="",IF(ABS(E35-C35)&lt;=1,"reproduced",IF(ABS(E35-C35)&lt;=1*5,"rounding","CHECK")),IF(ABS(E35-D35)&lt;=1,"corrected","CHECK")))</f>
        <v>reproduced</v>
      </c>
      <c r="H35" s="38"/>
    </row>
    <row r="36" customFormat="false" ht="15" hidden="false" customHeight="false" outlineLevel="0" collapsed="false">
      <c r="A36" s="39" t="s">
        <v>749</v>
      </c>
      <c r="B36" s="40" t="s">
        <v>87</v>
      </c>
      <c r="C36" s="41" t="n">
        <v>6250</v>
      </c>
      <c r="D36" s="41"/>
      <c r="E36" s="42" t="n">
        <f aca="false">'3. Site coverage'!B24</f>
        <v>6250</v>
      </c>
      <c r="F36" s="43" t="n">
        <f aca="false">IF(D36="",E36-C36,E36-D36)</f>
        <v>0</v>
      </c>
      <c r="G36" s="40" t="str">
        <f aca="false">IF(ISNUMBER(E36)=FALSE(),"CHECK",IF(D36="",IF(ABS(E36-C36)&lt;=1,"reproduced",IF(ABS(E36-C36)&lt;=1*5,"rounding","CHECK")),IF(ABS(E36-D36)&lt;=1,"corrected","CHECK")))</f>
        <v>reproduced</v>
      </c>
      <c r="H36" s="44"/>
    </row>
    <row r="37" customFormat="false" ht="15" hidden="false" customHeight="false" outlineLevel="0" collapsed="false">
      <c r="A37" s="3" t="s">
        <v>749</v>
      </c>
      <c r="B37" s="5" t="s">
        <v>751</v>
      </c>
      <c r="C37" s="36" t="n">
        <v>2520</v>
      </c>
      <c r="D37" s="36"/>
      <c r="E37" s="37" t="n">
        <f aca="false">'3. Site coverage'!B25</f>
        <v>2520</v>
      </c>
      <c r="F37" s="9" t="n">
        <f aca="false">IF(D37="",E37-C37,E37-D37)</f>
        <v>0</v>
      </c>
      <c r="G37" s="5" t="str">
        <f aca="false">IF(ISNUMBER(E37)=FALSE(),"CHECK",IF(D37="",IF(ABS(E37-C37)&lt;=1,"reproduced",IF(ABS(E37-C37)&lt;=1*5,"rounding","CHECK")),IF(ABS(E37-D37)&lt;=1,"corrected","CHECK")))</f>
        <v>reproduced</v>
      </c>
      <c r="H37" s="38"/>
    </row>
    <row r="38" customFormat="false" ht="15" hidden="false" customHeight="false" outlineLevel="0" collapsed="false">
      <c r="A38" s="39" t="s">
        <v>749</v>
      </c>
      <c r="B38" s="40" t="s">
        <v>89</v>
      </c>
      <c r="C38" s="41" t="n">
        <v>19570</v>
      </c>
      <c r="D38" s="41"/>
      <c r="E38" s="42" t="n">
        <f aca="false">'3. Site coverage'!B26</f>
        <v>19570</v>
      </c>
      <c r="F38" s="43" t="n">
        <f aca="false">IF(D38="",E38-C38,E38-D38)</f>
        <v>0</v>
      </c>
      <c r="G38" s="40" t="str">
        <f aca="false">IF(ISNUMBER(E38)=FALSE(),"CHECK",IF(D38="",IF(ABS(E38-C38)&lt;=1,"reproduced",IF(ABS(E38-C38)&lt;=1*5,"rounding","CHECK")),IF(ABS(E38-D38)&lt;=1,"corrected","CHECK")))</f>
        <v>reproduced</v>
      </c>
      <c r="H38" s="44"/>
    </row>
    <row r="39" customFormat="false" ht="15" hidden="false" customHeight="false" outlineLevel="0" collapsed="false">
      <c r="A39" s="3" t="s">
        <v>749</v>
      </c>
      <c r="B39" s="5" t="s">
        <v>752</v>
      </c>
      <c r="C39" s="36" t="n">
        <v>4430</v>
      </c>
      <c r="D39" s="36"/>
      <c r="E39" s="37" t="n">
        <f aca="false">'3. Site coverage'!B27</f>
        <v>4430</v>
      </c>
      <c r="F39" s="9" t="n">
        <f aca="false">IF(D39="",E39-C39,E39-D39)</f>
        <v>0</v>
      </c>
      <c r="G39" s="5" t="str">
        <f aca="false">IF(ISNUMBER(E39)=FALSE(),"CHECK",IF(D39="",IF(ABS(E39-C39)&lt;=1,"reproduced",IF(ABS(E39-C39)&lt;=1*5,"rounding","CHECK")),IF(ABS(E39-D39)&lt;=1,"corrected","CHECK")))</f>
        <v>reproduced</v>
      </c>
      <c r="H39" s="38"/>
    </row>
    <row r="40" customFormat="false" ht="15" hidden="false" customHeight="false" outlineLevel="0" collapsed="false">
      <c r="A40" s="39" t="s">
        <v>749</v>
      </c>
      <c r="B40" s="40" t="s">
        <v>94</v>
      </c>
      <c r="C40" s="57" t="n">
        <v>0.55</v>
      </c>
      <c r="D40" s="57"/>
      <c r="E40" s="58" t="n">
        <f aca="false">'3. Site coverage'!B32</f>
        <v>0.551724137931035</v>
      </c>
      <c r="F40" s="59" t="n">
        <f aca="false">IF(D40="",E40-C40,E40-D40)</f>
        <v>0.00172413793103443</v>
      </c>
      <c r="G40" s="40" t="str">
        <f aca="false">IF(ISNUMBER(E40)=FALSE(),"CHECK",IF(D40="",IF(ABS(E40-C40)&lt;=0.005,"reproduced",IF(ABS(E40-C40)&lt;=0.005*5,"rounding","CHECK")),IF(ABS(E40-D40)&lt;=0.005,"corrected","CHECK")))</f>
        <v>reproduced</v>
      </c>
      <c r="H40" s="44"/>
    </row>
    <row r="41" customFormat="false" ht="15" hidden="false" customHeight="false" outlineLevel="0" collapsed="false">
      <c r="A41" s="3" t="s">
        <v>749</v>
      </c>
      <c r="B41" s="5" t="s">
        <v>753</v>
      </c>
      <c r="C41" s="36" t="n">
        <v>13000</v>
      </c>
      <c r="D41" s="36"/>
      <c r="E41" s="37" t="n">
        <f aca="false">'3. Site coverage'!B33</f>
        <v>13000</v>
      </c>
      <c r="F41" s="9" t="n">
        <f aca="false">IF(D41="",E41-C41,E41-D41)</f>
        <v>0</v>
      </c>
      <c r="G41" s="5" t="str">
        <f aca="false">IF(ISNUMBER(E41)=FALSE(),"CHECK",IF(D41="",IF(ABS(E41-C41)&lt;=1,"reproduced",IF(ABS(E41-C41)&lt;=1*5,"rounding","CHECK")),IF(ABS(E41-D41)&lt;=1,"corrected","CHECK")))</f>
        <v>reproduced</v>
      </c>
      <c r="H41" s="38"/>
    </row>
    <row r="42" customFormat="false" ht="15" hidden="false" customHeight="false" outlineLevel="0" collapsed="false">
      <c r="A42" s="39" t="s">
        <v>749</v>
      </c>
      <c r="B42" s="40" t="s">
        <v>96</v>
      </c>
      <c r="C42" s="41" t="n">
        <v>1120</v>
      </c>
      <c r="D42" s="41"/>
      <c r="E42" s="42" t="n">
        <f aca="false">'3. Site coverage'!B34</f>
        <v>1120</v>
      </c>
      <c r="F42" s="43" t="n">
        <f aca="false">IF(D42="",E42-C42,E42-D42)</f>
        <v>0</v>
      </c>
      <c r="G42" s="40" t="str">
        <f aca="false">IF(ISNUMBER(E42)=FALSE(),"CHECK",IF(D42="",IF(ABS(E42-C42)&lt;=1,"reproduced",IF(ABS(E42-C42)&lt;=1*5,"rounding","CHECK")),IF(ABS(E42-D42)&lt;=1,"corrected","CHECK")))</f>
        <v>reproduced</v>
      </c>
      <c r="H42" s="44"/>
    </row>
    <row r="43" customFormat="false" ht="15" hidden="false" customHeight="false" outlineLevel="0" collapsed="false">
      <c r="A43" s="3" t="s">
        <v>749</v>
      </c>
      <c r="B43" s="5" t="s">
        <v>97</v>
      </c>
      <c r="C43" s="36" t="n">
        <v>3250</v>
      </c>
      <c r="D43" s="36"/>
      <c r="E43" s="37" t="n">
        <f aca="false">'3. Site coverage'!B35</f>
        <v>3250</v>
      </c>
      <c r="F43" s="9" t="n">
        <f aca="false">IF(D43="",E43-C43,E43-D43)</f>
        <v>0</v>
      </c>
      <c r="G43" s="5" t="str">
        <f aca="false">IF(ISNUMBER(E43)=FALSE(),"CHECK",IF(D43="",IF(ABS(E43-C43)&lt;=1,"reproduced",IF(ABS(E43-C43)&lt;=1*5,"rounding","CHECK")),IF(ABS(E43-D43)&lt;=1,"corrected","CHECK")))</f>
        <v>reproduced</v>
      </c>
      <c r="H43" s="38"/>
    </row>
    <row r="44" customFormat="false" ht="15" hidden="false" customHeight="false" outlineLevel="0" collapsed="false">
      <c r="A44" s="39" t="s">
        <v>749</v>
      </c>
      <c r="B44" s="40" t="s">
        <v>99</v>
      </c>
      <c r="C44" s="41" t="n">
        <v>6570</v>
      </c>
      <c r="D44" s="41"/>
      <c r="E44" s="42" t="n">
        <f aca="false">'3. Site coverage'!B37</f>
        <v>6570</v>
      </c>
      <c r="F44" s="43" t="n">
        <f aca="false">IF(D44="",E44-C44,E44-D44)</f>
        <v>0</v>
      </c>
      <c r="G44" s="40" t="str">
        <f aca="false">IF(ISNUMBER(E44)=FALSE(),"CHECK",IF(D44="",IF(ABS(E44-C44)&lt;=1,"reproduced",IF(ABS(E44-C44)&lt;=1*5,"rounding","CHECK")),IF(ABS(E44-D44)&lt;=1,"corrected","CHECK")))</f>
        <v>reproduced</v>
      </c>
      <c r="H44" s="44"/>
    </row>
    <row r="45" customFormat="false" ht="15" hidden="false" customHeight="false" outlineLevel="0" collapsed="false">
      <c r="A45" s="3" t="s">
        <v>749</v>
      </c>
      <c r="B45" s="5" t="s">
        <v>100</v>
      </c>
      <c r="C45" s="36" t="n">
        <v>13000</v>
      </c>
      <c r="D45" s="36"/>
      <c r="E45" s="37" t="n">
        <f aca="false">'3. Site coverage'!B38</f>
        <v>13000</v>
      </c>
      <c r="F45" s="9" t="n">
        <f aca="false">IF(D45="",E45-C45,E45-D45)</f>
        <v>0</v>
      </c>
      <c r="G45" s="5" t="str">
        <f aca="false">IF(ISNUMBER(E45)=FALSE(),"CHECK",IF(D45="",IF(ABS(E45-C45)&lt;=1,"reproduced",IF(ABS(E45-C45)&lt;=1*5,"rounding","CHECK")),IF(ABS(E45-D45)&lt;=1,"corrected","CHECK")))</f>
        <v>reproduced</v>
      </c>
      <c r="H45" s="38"/>
    </row>
    <row r="46" customFormat="false" ht="15" hidden="false" customHeight="false" outlineLevel="0" collapsed="false">
      <c r="A46" s="39" t="s">
        <v>749</v>
      </c>
      <c r="B46" s="40" t="s">
        <v>754</v>
      </c>
      <c r="C46" s="57" t="n">
        <v>0.15</v>
      </c>
      <c r="D46" s="57"/>
      <c r="E46" s="58" t="n">
        <f aca="false">'3. Site coverage'!B40</f>
        <v>0.151724137931034</v>
      </c>
      <c r="F46" s="59" t="n">
        <f aca="false">IF(D46="",E46-C46,E46-D46)</f>
        <v>0.00172413793103446</v>
      </c>
      <c r="G46" s="40" t="str">
        <f aca="false">IF(ISNUMBER(E46)=FALSE(),"CHECK",IF(D46="",IF(ABS(E46-C46)&lt;=0.005,"reproduced",IF(ABS(E46-C46)&lt;=0.005*5,"rounding","CHECK")),IF(ABS(E46-D46)&lt;=0.005,"corrected","CHECK")))</f>
        <v>reproduced</v>
      </c>
      <c r="H46" s="44"/>
    </row>
    <row r="47" customFormat="false" ht="15" hidden="false" customHeight="false" outlineLevel="0" collapsed="false">
      <c r="A47" s="3" t="s">
        <v>749</v>
      </c>
      <c r="B47" s="5" t="s">
        <v>755</v>
      </c>
      <c r="C47" s="36" t="n">
        <v>6000</v>
      </c>
      <c r="D47" s="36"/>
      <c r="E47" s="37" t="n">
        <f aca="false">'3. Site coverage'!B41</f>
        <v>6068.96551724138</v>
      </c>
      <c r="F47" s="9" t="n">
        <f aca="false">IF(D47="",E47-C47,E47-D47)</f>
        <v>68.9655172413804</v>
      </c>
      <c r="G47" s="5" t="str">
        <f aca="false">IF(ISNUMBER(E47)=FALSE(),"CHECK",IF(D47="",IF(ABS(E47-C47)&lt;=100,"reproduced",IF(ABS(E47-C47)&lt;=100*5,"rounding","CHECK")),IF(ABS(E47-D47)&lt;=100,"corrected","CHECK")))</f>
        <v>reproduced</v>
      </c>
      <c r="H47" s="38"/>
    </row>
    <row r="48" customFormat="false" ht="15" hidden="false" customHeight="false" outlineLevel="0" collapsed="false">
      <c r="A48" s="39" t="s">
        <v>756</v>
      </c>
      <c r="B48" s="40" t="s">
        <v>119</v>
      </c>
      <c r="C48" s="63" t="n">
        <v>340</v>
      </c>
      <c r="D48" s="63"/>
      <c r="E48" s="64" t="n">
        <f aca="false">'4. Two sites'!B14</f>
        <v>340</v>
      </c>
      <c r="F48" s="65" t="n">
        <f aca="false">IF(D48="",E48-C48,E48-D48)</f>
        <v>0</v>
      </c>
      <c r="G48" s="40" t="str">
        <f aca="false">IF(ISNUMBER(E48)=FALSE(),"CHECK",IF(D48="",IF(ABS(E48-C48)&lt;=0.5,"reproduced",IF(ABS(E48-C48)&lt;=0.5*5,"rounding","CHECK")),IF(ABS(E48-D48)&lt;=0.5,"corrected","CHECK")))</f>
        <v>reproduced</v>
      </c>
      <c r="H48" s="44"/>
    </row>
    <row r="49" customFormat="false" ht="15" hidden="false" customHeight="false" outlineLevel="0" collapsed="false">
      <c r="A49" s="3" t="s">
        <v>756</v>
      </c>
      <c r="B49" s="5" t="s">
        <v>120</v>
      </c>
      <c r="C49" s="32" t="n">
        <v>390</v>
      </c>
      <c r="D49" s="32"/>
      <c r="E49" s="66" t="n">
        <f aca="false">'4. Two sites'!B15</f>
        <v>390</v>
      </c>
      <c r="F49" s="17" t="n">
        <f aca="false">IF(D49="",E49-C49,E49-D49)</f>
        <v>0</v>
      </c>
      <c r="G49" s="5" t="str">
        <f aca="false">IF(ISNUMBER(E49)=FALSE(),"CHECK",IF(D49="",IF(ABS(E49-C49)&lt;=0.5,"reproduced",IF(ABS(E49-C49)&lt;=0.5*5,"rounding","CHECK")),IF(ABS(E49-D49)&lt;=0.5,"corrected","CHECK")))</f>
        <v>reproduced</v>
      </c>
      <c r="H49" s="38"/>
    </row>
    <row r="50" customFormat="false" ht="15" hidden="false" customHeight="false" outlineLevel="0" collapsed="false">
      <c r="A50" s="39" t="s">
        <v>756</v>
      </c>
      <c r="B50" s="40" t="s">
        <v>121</v>
      </c>
      <c r="C50" s="63" t="n">
        <v>500</v>
      </c>
      <c r="D50" s="63"/>
      <c r="E50" s="64" t="n">
        <f aca="false">'4. Two sites'!B16</f>
        <v>500</v>
      </c>
      <c r="F50" s="65" t="n">
        <f aca="false">IF(D50="",E50-C50,E50-D50)</f>
        <v>0</v>
      </c>
      <c r="G50" s="40" t="str">
        <f aca="false">IF(ISNUMBER(E50)=FALSE(),"CHECK",IF(D50="",IF(ABS(E50-C50)&lt;=0.5,"reproduced",IF(ABS(E50-C50)&lt;=0.5*5,"rounding","CHECK")),IF(ABS(E50-D50)&lt;=0.5,"corrected","CHECK")))</f>
        <v>reproduced</v>
      </c>
      <c r="H50" s="44"/>
    </row>
    <row r="51" customFormat="false" ht="15" hidden="false" customHeight="false" outlineLevel="0" collapsed="false">
      <c r="A51" s="3" t="s">
        <v>756</v>
      </c>
      <c r="B51" s="5" t="s">
        <v>122</v>
      </c>
      <c r="C51" s="32" t="n">
        <v>435</v>
      </c>
      <c r="D51" s="32"/>
      <c r="E51" s="66" t="n">
        <f aca="false">'4. Two sites'!B17</f>
        <v>435</v>
      </c>
      <c r="F51" s="17" t="n">
        <f aca="false">IF(D51="",E51-C51,E51-D51)</f>
        <v>0</v>
      </c>
      <c r="G51" s="5" t="str">
        <f aca="false">IF(ISNUMBER(E51)=FALSE(),"CHECK",IF(D51="",IF(ABS(E51-C51)&lt;=0.5,"reproduced",IF(ABS(E51-C51)&lt;=0.5*5,"rounding","CHECK")),IF(ABS(E51-D51)&lt;=0.5,"corrected","CHECK")))</f>
        <v>reproduced</v>
      </c>
      <c r="H51" s="38"/>
    </row>
    <row r="52" customFormat="false" ht="15" hidden="false" customHeight="false" outlineLevel="0" collapsed="false">
      <c r="A52" s="39" t="s">
        <v>756</v>
      </c>
      <c r="B52" s="40" t="s">
        <v>123</v>
      </c>
      <c r="C52" s="63" t="n">
        <v>270</v>
      </c>
      <c r="D52" s="63"/>
      <c r="E52" s="64" t="n">
        <f aca="false">'4. Two sites'!B18</f>
        <v>270</v>
      </c>
      <c r="F52" s="65" t="n">
        <f aca="false">IF(D52="",E52-C52,E52-D52)</f>
        <v>0</v>
      </c>
      <c r="G52" s="40" t="str">
        <f aca="false">IF(ISNUMBER(E52)=FALSE(),"CHECK",IF(D52="",IF(ABS(E52-C52)&lt;=0.5,"reproduced",IF(ABS(E52-C52)&lt;=0.5*5,"rounding","CHECK")),IF(ABS(E52-D52)&lt;=0.5,"corrected","CHECK")))</f>
        <v>reproduced</v>
      </c>
      <c r="H52" s="44"/>
    </row>
    <row r="53" customFormat="false" ht="15" hidden="false" customHeight="false" outlineLevel="0" collapsed="false">
      <c r="A53" s="3" t="s">
        <v>756</v>
      </c>
      <c r="B53" s="5" t="s">
        <v>757</v>
      </c>
      <c r="C53" s="32"/>
      <c r="D53" s="32" t="n">
        <v>60</v>
      </c>
      <c r="E53" s="66" t="n">
        <f aca="false">'4. Two sites'!B26</f>
        <v>60</v>
      </c>
      <c r="F53" s="17" t="n">
        <f aca="false">IF(D53="",E53-C53,E53-D53)</f>
        <v>0</v>
      </c>
      <c r="G53" s="5" t="str">
        <f aca="false">IF(ISNUMBER(E53)=FALSE(),"CHECK",IF(D53="",IF(ABS(E53-C53)&lt;=0.5,"reproduced",IF(ABS(E53-C53)&lt;=0.5*5,"rounding","CHECK")),IF(ABS(E53-D53)&lt;=0.5,"corrected","CHECK")))</f>
        <v>corrected</v>
      </c>
      <c r="H53" s="38" t="s">
        <v>758</v>
      </c>
    </row>
    <row r="54" customFormat="false" ht="15" hidden="false" customHeight="false" outlineLevel="0" collapsed="false">
      <c r="A54" s="39" t="s">
        <v>756</v>
      </c>
      <c r="B54" s="40" t="s">
        <v>759</v>
      </c>
      <c r="C54" s="52"/>
      <c r="D54" s="52" t="n">
        <v>6.43</v>
      </c>
      <c r="E54" s="53" t="n">
        <f aca="false">'4. Two sites'!B28</f>
        <v>6.42857142857143</v>
      </c>
      <c r="F54" s="54" t="n">
        <f aca="false">IF(D54="",E54-C54,E54-D54)</f>
        <v>-0.00142857142857267</v>
      </c>
      <c r="G54" s="40" t="str">
        <f aca="false">IF(ISNUMBER(E54)=FALSE(),"CHECK",IF(D54="",IF(ABS(E54-C54)&lt;=0.005,"reproduced",IF(ABS(E54-C54)&lt;=0.005*5,"rounding","CHECK")),IF(ABS(E54-D54)&lt;=0.005,"corrected","CHECK")))</f>
        <v>corrected</v>
      </c>
      <c r="H54" s="44" t="s">
        <v>758</v>
      </c>
    </row>
    <row r="55" customFormat="false" ht="15" hidden="false" customHeight="false" outlineLevel="0" collapsed="false">
      <c r="A55" s="3" t="s">
        <v>760</v>
      </c>
      <c r="B55" s="5" t="s">
        <v>145</v>
      </c>
      <c r="C55" s="36" t="n">
        <v>1800000</v>
      </c>
      <c r="D55" s="36"/>
      <c r="E55" s="37" t="n">
        <f aca="false">'5. Occupier cost'!B14</f>
        <v>1800000</v>
      </c>
      <c r="F55" s="9" t="n">
        <f aca="false">IF(D55="",E55-C55,E55-D55)</f>
        <v>0</v>
      </c>
      <c r="G55" s="5" t="str">
        <f aca="false">IF(ISNUMBER(E55)=FALSE(),"CHECK",IF(D55="",IF(ABS(E55-C55)&lt;=1,"reproduced",IF(ABS(E55-C55)&lt;=1*5,"rounding","CHECK")),IF(ABS(E55-D55)&lt;=1,"corrected","CHECK")))</f>
        <v>reproduced</v>
      </c>
      <c r="H55" s="38"/>
    </row>
    <row r="56" customFormat="false" ht="15" hidden="false" customHeight="false" outlineLevel="0" collapsed="false">
      <c r="A56" s="39" t="s">
        <v>760</v>
      </c>
      <c r="B56" s="40" t="s">
        <v>146</v>
      </c>
      <c r="C56" s="41" t="n">
        <v>12800000</v>
      </c>
      <c r="D56" s="41"/>
      <c r="E56" s="42" t="n">
        <f aca="false">'5. Occupier cost'!B15</f>
        <v>12800000</v>
      </c>
      <c r="F56" s="43" t="n">
        <f aca="false">IF(D56="",E56-C56,E56-D56)</f>
        <v>0</v>
      </c>
      <c r="G56" s="40" t="str">
        <f aca="false">IF(ISNUMBER(E56)=FALSE(),"CHECK",IF(D56="",IF(ABS(E56-C56)&lt;=1,"reproduced",IF(ABS(E56-C56)&lt;=1*5,"rounding","CHECK")),IF(ABS(E56-D56)&lt;=1,"corrected","CHECK")))</f>
        <v>reproduced</v>
      </c>
      <c r="H56" s="44"/>
    </row>
    <row r="57" customFormat="false" ht="15" hidden="false" customHeight="false" outlineLevel="0" collapsed="false">
      <c r="A57" s="3" t="s">
        <v>760</v>
      </c>
      <c r="B57" s="5" t="s">
        <v>147</v>
      </c>
      <c r="C57" s="36" t="n">
        <v>25600000</v>
      </c>
      <c r="D57" s="36"/>
      <c r="E57" s="37" t="n">
        <f aca="false">'5. Occupier cost'!B16</f>
        <v>25600000</v>
      </c>
      <c r="F57" s="9" t="n">
        <f aca="false">IF(D57="",E57-C57,E57-D57)</f>
        <v>0</v>
      </c>
      <c r="G57" s="5" t="str">
        <f aca="false">IF(ISNUMBER(E57)=FALSE(),"CHECK",IF(D57="",IF(ABS(E57-C57)&lt;=1,"reproduced",IF(ABS(E57-C57)&lt;=1*5,"rounding","CHECK")),IF(ABS(E57-D57)&lt;=1,"corrected","CHECK")))</f>
        <v>reproduced</v>
      </c>
      <c r="H57" s="38"/>
    </row>
    <row r="58" customFormat="false" ht="15" hidden="false" customHeight="false" outlineLevel="0" collapsed="false">
      <c r="A58" s="39" t="s">
        <v>760</v>
      </c>
      <c r="B58" s="40" t="s">
        <v>761</v>
      </c>
      <c r="C58" s="41" t="n">
        <v>2600000</v>
      </c>
      <c r="D58" s="41"/>
      <c r="E58" s="42" t="n">
        <f aca="false">'5. Occupier cost'!B17</f>
        <v>2600000</v>
      </c>
      <c r="F58" s="43" t="n">
        <f aca="false">IF(D58="",E58-C58,E58-D58)</f>
        <v>0</v>
      </c>
      <c r="G58" s="40" t="str">
        <f aca="false">IF(ISNUMBER(E58)=FALSE(),"CHECK",IF(D58="",IF(ABS(E58-C58)&lt;=1,"reproduced",IF(ABS(E58-C58)&lt;=1*5,"rounding","CHECK")),IF(ABS(E58-D58)&lt;=1,"corrected","CHECK")))</f>
        <v>reproduced</v>
      </c>
      <c r="H58" s="44"/>
    </row>
    <row r="59" customFormat="false" ht="15" hidden="false" customHeight="false" outlineLevel="0" collapsed="false">
      <c r="A59" s="3" t="s">
        <v>760</v>
      </c>
      <c r="B59" s="5" t="s">
        <v>762</v>
      </c>
      <c r="C59" s="45" t="n">
        <v>0.102</v>
      </c>
      <c r="D59" s="45"/>
      <c r="E59" s="46" t="n">
        <f aca="false">'5. Occupier cost'!B18</f>
        <v>0.1015625</v>
      </c>
      <c r="F59" s="18" t="n">
        <f aca="false">IF(D59="",E59-C59,E59-D59)</f>
        <v>-0.000437499999999993</v>
      </c>
      <c r="G59" s="5" t="str">
        <f aca="false">IF(ISNUMBER(E59)=FALSE(),"CHECK",IF(D59="",IF(ABS(E59-C59)&lt;=0.0005,"reproduced",IF(ABS(E59-C59)&lt;=0.0005*5,"rounding","CHECK")),IF(ABS(E59-D59)&lt;=0.0005,"corrected","CHECK")))</f>
        <v>reproduced</v>
      </c>
      <c r="H59" s="38"/>
    </row>
    <row r="60" customFormat="false" ht="15" hidden="false" customHeight="false" outlineLevel="0" collapsed="false">
      <c r="A60" s="39" t="s">
        <v>760</v>
      </c>
      <c r="B60" s="40" t="s">
        <v>763</v>
      </c>
      <c r="C60" s="41" t="n">
        <v>180000</v>
      </c>
      <c r="D60" s="41"/>
      <c r="E60" s="42" t="n">
        <f aca="false">'5. Occupier cost'!B25</f>
        <v>180000</v>
      </c>
      <c r="F60" s="43" t="n">
        <f aca="false">IF(D60="",E60-C60,E60-D60)</f>
        <v>0</v>
      </c>
      <c r="G60" s="40" t="str">
        <f aca="false">IF(ISNUMBER(E60)=FALSE(),"CHECK",IF(D60="",IF(ABS(E60-C60)&lt;=1,"reproduced",IF(ABS(E60-C60)&lt;=1*5,"rounding","CHECK")),IF(ABS(E60-D60)&lt;=1,"corrected","CHECK")))</f>
        <v>reproduced</v>
      </c>
      <c r="H60" s="44"/>
    </row>
    <row r="61" customFormat="false" ht="15" hidden="false" customHeight="false" outlineLevel="0" collapsed="false">
      <c r="A61" s="3" t="s">
        <v>760</v>
      </c>
      <c r="B61" s="5" t="s">
        <v>764</v>
      </c>
      <c r="C61" s="67" t="n">
        <v>0.007</v>
      </c>
      <c r="D61" s="67"/>
      <c r="E61" s="68" t="n">
        <f aca="false">'5. Occupier cost'!B26</f>
        <v>0.00703125</v>
      </c>
      <c r="F61" s="25" t="n">
        <f aca="false">IF(D61="",E61-C61,E61-D61)</f>
        <v>3.125E-005</v>
      </c>
      <c r="G61" s="5" t="str">
        <f aca="false">IF(ISNUMBER(E61)=FALSE(),"CHECK",IF(D61="",IF(ABS(E61-C61)&lt;=0.00005,"reproduced",IF(ABS(E61-C61)&lt;=0.00005*5,"rounding","CHECK")),IF(ABS(E61-D61)&lt;=0.00005,"corrected","CHECK")))</f>
        <v>reproduced</v>
      </c>
      <c r="H61" s="38"/>
    </row>
    <row r="62" customFormat="false" ht="15" hidden="false" customHeight="false" outlineLevel="0" collapsed="false">
      <c r="A62" s="39" t="s">
        <v>760</v>
      </c>
      <c r="B62" s="40" t="s">
        <v>765</v>
      </c>
      <c r="C62" s="41" t="n">
        <v>360000</v>
      </c>
      <c r="D62" s="41"/>
      <c r="E62" s="42" t="n">
        <f aca="false">'5. Occupier cost'!B29</f>
        <v>360000</v>
      </c>
      <c r="F62" s="43" t="n">
        <f aca="false">IF(D62="",E62-C62,E62-D62)</f>
        <v>0</v>
      </c>
      <c r="G62" s="40" t="str">
        <f aca="false">IF(ISNUMBER(E62)=FALSE(),"CHECK",IF(D62="",IF(ABS(E62-C62)&lt;=1,"reproduced",IF(ABS(E62-C62)&lt;=1*5,"rounding","CHECK")),IF(ABS(E62-D62)&lt;=1,"corrected","CHECK")))</f>
        <v>reproduced</v>
      </c>
      <c r="H62" s="44"/>
    </row>
    <row r="63" customFormat="false" ht="15" hidden="false" customHeight="false" outlineLevel="0" collapsed="false">
      <c r="A63" s="3" t="s">
        <v>760</v>
      </c>
      <c r="B63" s="5" t="s">
        <v>764</v>
      </c>
      <c r="C63" s="67" t="n">
        <v>0.0141</v>
      </c>
      <c r="D63" s="67"/>
      <c r="E63" s="68" t="n">
        <f aca="false">'5. Occupier cost'!B30</f>
        <v>0.0140625</v>
      </c>
      <c r="F63" s="25" t="n">
        <f aca="false">IF(D63="",E63-C63,E63-D63)</f>
        <v>-3.74999999999993E-005</v>
      </c>
      <c r="G63" s="5" t="str">
        <f aca="false">IF(ISNUMBER(E63)=FALSE(),"CHECK",IF(D63="",IF(ABS(E63-C63)&lt;=0.00005,"reproduced",IF(ABS(E63-C63)&lt;=0.00005*5,"rounding","CHECK")),IF(ABS(E63-D63)&lt;=0.00005,"corrected","CHECK")))</f>
        <v>reproduced</v>
      </c>
      <c r="H63" s="38"/>
    </row>
    <row r="64" customFormat="false" ht="15" hidden="false" customHeight="false" outlineLevel="0" collapsed="false">
      <c r="A64" s="39" t="s">
        <v>760</v>
      </c>
      <c r="B64" s="40" t="s">
        <v>766</v>
      </c>
      <c r="C64" s="60" t="n">
        <v>18</v>
      </c>
      <c r="D64" s="60"/>
      <c r="E64" s="61" t="n">
        <f aca="false">'5. Occupier cost'!B31</f>
        <v>18</v>
      </c>
      <c r="F64" s="62" t="n">
        <f aca="false">IF(D64="",E64-C64,E64-D64)</f>
        <v>0</v>
      </c>
      <c r="G64" s="40" t="str">
        <f aca="false">IF(ISNUMBER(E64)=FALSE(),"CHECK",IF(D64="",IF(ABS(E64-C64)&lt;=0.5,"reproduced",IF(ABS(E64-C64)&lt;=0.5*5,"rounding","CHECK")),IF(ABS(E64-D64)&lt;=0.5,"corrected","CHECK")))</f>
        <v>reproduced</v>
      </c>
      <c r="H64" s="44"/>
    </row>
    <row r="65" customFormat="false" ht="15" hidden="false" customHeight="false" outlineLevel="0" collapsed="false">
      <c r="A65" s="3" t="s">
        <v>760</v>
      </c>
      <c r="B65" s="5" t="s">
        <v>767</v>
      </c>
      <c r="C65" s="45" t="n">
        <v>0.2</v>
      </c>
      <c r="D65" s="45"/>
      <c r="E65" s="46" t="n">
        <f aca="false">'5. Occupier cost'!B32</f>
        <v>0.2</v>
      </c>
      <c r="F65" s="18" t="n">
        <f aca="false">IF(D65="",E65-C65,E65-D65)</f>
        <v>0</v>
      </c>
      <c r="G65" s="5" t="str">
        <f aca="false">IF(ISNUMBER(E65)=FALSE(),"CHECK",IF(D65="",IF(ABS(E65-C65)&lt;=0.005,"reproduced",IF(ABS(E65-C65)&lt;=0.005*5,"rounding","CHECK")),IF(ABS(E65-D65)&lt;=0.005,"corrected","CHECK")))</f>
        <v>reproduced</v>
      </c>
      <c r="H65" s="38"/>
    </row>
    <row r="66" customFormat="false" ht="15" hidden="false" customHeight="false" outlineLevel="0" collapsed="false">
      <c r="A66" s="39" t="s">
        <v>760</v>
      </c>
      <c r="B66" s="40" t="s">
        <v>768</v>
      </c>
      <c r="C66" s="41" t="n">
        <v>640000</v>
      </c>
      <c r="D66" s="41"/>
      <c r="E66" s="42" t="n">
        <f aca="false">'5. Occupier cost'!B33</f>
        <v>640000</v>
      </c>
      <c r="F66" s="43" t="n">
        <f aca="false">IF(D66="",E66-C66,E66-D66)</f>
        <v>0</v>
      </c>
      <c r="G66" s="40" t="str">
        <f aca="false">IF(ISNUMBER(E66)=FALSE(),"CHECK",IF(D66="",IF(ABS(E66-C66)&lt;=1,"reproduced",IF(ABS(E66-C66)&lt;=1*5,"rounding","CHECK")),IF(ABS(E66-D66)&lt;=1,"corrected","CHECK")))</f>
        <v>reproduced</v>
      </c>
      <c r="H66" s="44"/>
    </row>
    <row r="67" customFormat="false" ht="15" hidden="false" customHeight="false" outlineLevel="0" collapsed="false">
      <c r="A67" s="3" t="s">
        <v>760</v>
      </c>
      <c r="B67" s="5" t="s">
        <v>764</v>
      </c>
      <c r="C67" s="67" t="n">
        <v>0.025</v>
      </c>
      <c r="D67" s="67"/>
      <c r="E67" s="68" t="n">
        <f aca="false">'5. Occupier cost'!B34</f>
        <v>0.025</v>
      </c>
      <c r="F67" s="25" t="n">
        <f aca="false">IF(D67="",E67-C67,E67-D67)</f>
        <v>0</v>
      </c>
      <c r="G67" s="5" t="str">
        <f aca="false">IF(ISNUMBER(E67)=FALSE(),"CHECK",IF(D67="",IF(ABS(E67-C67)&lt;=0.00005,"reproduced",IF(ABS(E67-C67)&lt;=0.00005*5,"rounding","CHECK")),IF(ABS(E67-D67)&lt;=0.00005,"corrected","CHECK")))</f>
        <v>reproduced</v>
      </c>
      <c r="H67" s="38"/>
    </row>
    <row r="68" customFormat="false" ht="15" hidden="false" customHeight="false" outlineLevel="0" collapsed="false">
      <c r="A68" s="39" t="s">
        <v>760</v>
      </c>
      <c r="B68" s="40" t="s">
        <v>766</v>
      </c>
      <c r="C68" s="60" t="n">
        <v>32</v>
      </c>
      <c r="D68" s="60"/>
      <c r="E68" s="61" t="n">
        <f aca="false">'5. Occupier cost'!B35</f>
        <v>32</v>
      </c>
      <c r="F68" s="62" t="n">
        <f aca="false">IF(D68="",E68-C68,E68-D68)</f>
        <v>0</v>
      </c>
      <c r="G68" s="40" t="str">
        <f aca="false">IF(ISNUMBER(E68)=FALSE(),"CHECK",IF(D68="",IF(ABS(E68-C68)&lt;=0.5,"reproduced",IF(ABS(E68-C68)&lt;=0.5*5,"rounding","CHECK")),IF(ABS(E68-D68)&lt;=0.5,"corrected","CHECK")))</f>
        <v>reproduced</v>
      </c>
      <c r="H68" s="44"/>
    </row>
    <row r="69" customFormat="false" ht="15" hidden="false" customHeight="false" outlineLevel="0" collapsed="false">
      <c r="A69" s="3" t="s">
        <v>760</v>
      </c>
      <c r="B69" s="5" t="s">
        <v>767</v>
      </c>
      <c r="C69" s="45" t="n">
        <v>0.36</v>
      </c>
      <c r="D69" s="45"/>
      <c r="E69" s="46" t="n">
        <f aca="false">'5. Occupier cost'!B36</f>
        <v>0.355555555555556</v>
      </c>
      <c r="F69" s="18" t="n">
        <f aca="false">IF(D69="",E69-C69,E69-D69)</f>
        <v>-0.00444444444444442</v>
      </c>
      <c r="G69" s="5" t="str">
        <f aca="false">IF(ISNUMBER(E69)=FALSE(),"CHECK",IF(D69="",IF(ABS(E69-C69)&lt;=0.005,"reproduced",IF(ABS(E69-C69)&lt;=0.005*5,"rounding","CHECK")),IF(ABS(E69-D69)&lt;=0.005,"corrected","CHECK")))</f>
        <v>reproduced</v>
      </c>
      <c r="H69" s="38"/>
    </row>
    <row r="70" customFormat="false" ht="15" hidden="false" customHeight="false" outlineLevel="0" collapsed="false">
      <c r="A70" s="39" t="s">
        <v>760</v>
      </c>
      <c r="B70" s="40" t="s">
        <v>769</v>
      </c>
      <c r="C70" s="41" t="n">
        <v>60000</v>
      </c>
      <c r="D70" s="41"/>
      <c r="E70" s="42" t="n">
        <f aca="false">'5. Occupier cost'!B37</f>
        <v>60000</v>
      </c>
      <c r="F70" s="43" t="n">
        <f aca="false">IF(D70="",E70-C70,E70-D70)</f>
        <v>0</v>
      </c>
      <c r="G70" s="40" t="str">
        <f aca="false">IF(ISNUMBER(E70)=FALSE(),"CHECK",IF(D70="",IF(ABS(E70-C70)&lt;=1,"reproduced",IF(ABS(E70-C70)&lt;=1*5,"rounding","CHECK")),IF(ABS(E70-D70)&lt;=1,"corrected","CHECK")))</f>
        <v>reproduced</v>
      </c>
      <c r="H70" s="44"/>
    </row>
    <row r="71" customFormat="false" ht="15" hidden="false" customHeight="false" outlineLevel="0" collapsed="false">
      <c r="A71" s="3" t="s">
        <v>760</v>
      </c>
      <c r="B71" s="5" t="s">
        <v>764</v>
      </c>
      <c r="C71" s="67" t="n">
        <v>0.0023</v>
      </c>
      <c r="D71" s="67"/>
      <c r="E71" s="68" t="n">
        <f aca="false">'5. Occupier cost'!B38</f>
        <v>0.00234375</v>
      </c>
      <c r="F71" s="25" t="n">
        <f aca="false">IF(D71="",E71-C71,E71-D71)</f>
        <v>4.375E-005</v>
      </c>
      <c r="G71" s="5" t="str">
        <f aca="false">IF(ISNUMBER(E71)=FALSE(),"CHECK",IF(D71="",IF(ABS(E71-C71)&lt;=0.00005,"reproduced",IF(ABS(E71-C71)&lt;=0.00005*5,"rounding","CHECK")),IF(ABS(E71-D71)&lt;=0.00005,"corrected","CHECK")))</f>
        <v>reproduced</v>
      </c>
      <c r="H71" s="38"/>
    </row>
    <row r="72" customFormat="false" ht="15" hidden="false" customHeight="false" outlineLevel="0" collapsed="false">
      <c r="A72" s="39" t="s">
        <v>760</v>
      </c>
      <c r="B72" s="40" t="s">
        <v>766</v>
      </c>
      <c r="C72" s="60" t="n">
        <v>3</v>
      </c>
      <c r="D72" s="60"/>
      <c r="E72" s="61" t="n">
        <f aca="false">'5. Occupier cost'!B39</f>
        <v>3</v>
      </c>
      <c r="F72" s="62" t="n">
        <f aca="false">IF(D72="",E72-C72,E72-D72)</f>
        <v>0</v>
      </c>
      <c r="G72" s="40" t="str">
        <f aca="false">IF(ISNUMBER(E72)=FALSE(),"CHECK",IF(D72="",IF(ABS(E72-C72)&lt;=0.5,"reproduced",IF(ABS(E72-C72)&lt;=0.5*5,"rounding","CHECK")),IF(ABS(E72-D72)&lt;=0.5,"corrected","CHECK")))</f>
        <v>reproduced</v>
      </c>
      <c r="H72" s="44"/>
    </row>
    <row r="73" customFormat="false" ht="15" hidden="false" customHeight="false" outlineLevel="0" collapsed="false">
      <c r="A73" s="3" t="s">
        <v>760</v>
      </c>
      <c r="B73" s="5" t="s">
        <v>767</v>
      </c>
      <c r="C73" s="45" t="n">
        <v>0.03</v>
      </c>
      <c r="D73" s="45"/>
      <c r="E73" s="46" t="n">
        <f aca="false">'5. Occupier cost'!B40</f>
        <v>0.0333333333333333</v>
      </c>
      <c r="F73" s="18" t="n">
        <f aca="false">IF(D73="",E73-C73,E73-D73)</f>
        <v>0.00333333333333333</v>
      </c>
      <c r="G73" s="5" t="str">
        <f aca="false">IF(ISNUMBER(E73)=FALSE(),"CHECK",IF(D73="",IF(ABS(E73-C73)&lt;=0.005,"reproduced",IF(ABS(E73-C73)&lt;=0.005*5,"rounding","CHECK")),IF(ABS(E73-D73)&lt;=0.005,"corrected","CHECK")))</f>
        <v>reproduced</v>
      </c>
      <c r="H73" s="38"/>
    </row>
    <row r="74" customFormat="false" ht="15" hidden="false" customHeight="false" outlineLevel="0" collapsed="false">
      <c r="A74" s="39" t="s">
        <v>760</v>
      </c>
      <c r="B74" s="40" t="s">
        <v>770</v>
      </c>
      <c r="C74" s="69" t="n">
        <v>0.005</v>
      </c>
      <c r="D74" s="69" t="n">
        <v>0.0035</v>
      </c>
      <c r="E74" s="70" t="n">
        <f aca="false">'5. Occupier cost'!B41</f>
        <v>0.003515625</v>
      </c>
      <c r="F74" s="71" t="n">
        <f aca="false">IF(D74="",E74-C74,E74-D74)</f>
        <v>1.5625E-005</v>
      </c>
      <c r="G74" s="40" t="str">
        <f aca="false">IF(ISNUMBER(E74)=FALSE(),"CHECK",IF(D74="",IF(ABS(E74-C74)&lt;=0.00005,"reproduced",IF(ABS(E74-C74)&lt;=0.00005*5,"rounding","CHECK")),IF(ABS(E74-D74)&lt;=0.00005,"corrected","CHECK")))</f>
        <v>corrected</v>
      </c>
      <c r="H74" s="44" t="s">
        <v>771</v>
      </c>
    </row>
    <row r="75" customFormat="false" ht="15" hidden="false" customHeight="false" outlineLevel="0" collapsed="false">
      <c r="A75" s="3" t="s">
        <v>760</v>
      </c>
      <c r="B75" s="5" t="s">
        <v>772</v>
      </c>
      <c r="C75" s="36" t="n">
        <v>5400000</v>
      </c>
      <c r="D75" s="36"/>
      <c r="E75" s="37" t="n">
        <f aca="false">'5. Occupier cost'!B46</f>
        <v>5400000</v>
      </c>
      <c r="F75" s="9" t="n">
        <f aca="false">IF(D75="",E75-C75,E75-D75)</f>
        <v>0</v>
      </c>
      <c r="G75" s="5" t="str">
        <f aca="false">IF(ISNUMBER(E75)=FALSE(),"CHECK",IF(D75="",IF(ABS(E75-C75)&lt;=1,"reproduced",IF(ABS(E75-C75)&lt;=1*5,"rounding","CHECK")),IF(ABS(E75-D75)&lt;=1,"corrected","CHECK")))</f>
        <v>reproduced</v>
      </c>
      <c r="H75" s="38"/>
    </row>
    <row r="76" customFormat="false" ht="15" hidden="false" customHeight="false" outlineLevel="0" collapsed="false">
      <c r="A76" s="39" t="s">
        <v>760</v>
      </c>
      <c r="B76" s="40" t="s">
        <v>773</v>
      </c>
      <c r="C76" s="41" t="n">
        <v>18000000</v>
      </c>
      <c r="D76" s="41"/>
      <c r="E76" s="42" t="n">
        <f aca="false">'5. Occupier cost'!B47</f>
        <v>18000000</v>
      </c>
      <c r="F76" s="43" t="n">
        <f aca="false">IF(D76="",E76-C76,E76-D76)</f>
        <v>0</v>
      </c>
      <c r="G76" s="40" t="str">
        <f aca="false">IF(ISNUMBER(E76)=FALSE(),"CHECK",IF(D76="",IF(ABS(E76-C76)&lt;=1,"reproduced",IF(ABS(E76-C76)&lt;=1*5,"rounding","CHECK")),IF(ABS(E76-D76)&lt;=1,"corrected","CHECK")))</f>
        <v>reproduced</v>
      </c>
      <c r="H76" s="44"/>
    </row>
    <row r="77" customFormat="false" ht="15" hidden="false" customHeight="false" outlineLevel="0" collapsed="false">
      <c r="A77" s="3" t="s">
        <v>760</v>
      </c>
      <c r="B77" s="5" t="s">
        <v>774</v>
      </c>
      <c r="C77" s="32" t="n">
        <v>7</v>
      </c>
      <c r="D77" s="32"/>
      <c r="E77" s="66" t="n">
        <f aca="false">'5. Occupier cost'!B48</f>
        <v>7</v>
      </c>
      <c r="F77" s="17" t="n">
        <f aca="false">IF(D77="",E77-C77,E77-D77)</f>
        <v>0</v>
      </c>
      <c r="G77" s="5" t="str">
        <f aca="false">IF(ISNUMBER(E77)=FALSE(),"CHECK",IF(D77="",IF(ABS(E77-C77)&lt;=0.5,"reproduced",IF(ABS(E77-C77)&lt;=0.5*5,"rounding","CHECK")),IF(ABS(E77-D77)&lt;=0.5,"corrected","CHECK")))</f>
        <v>reproduced</v>
      </c>
      <c r="H77" s="38"/>
    </row>
    <row r="78" customFormat="false" ht="15" hidden="false" customHeight="false" outlineLevel="0" collapsed="false">
      <c r="A78" s="39" t="s">
        <v>775</v>
      </c>
      <c r="B78" s="40" t="s">
        <v>177</v>
      </c>
      <c r="C78" s="41" t="n">
        <v>1650000</v>
      </c>
      <c r="D78" s="41"/>
      <c r="E78" s="42" t="n">
        <f aca="false">'6. Renewal'!B11</f>
        <v>1650000</v>
      </c>
      <c r="F78" s="43" t="n">
        <f aca="false">IF(D78="",E78-C78,E78-D78)</f>
        <v>0</v>
      </c>
      <c r="G78" s="40" t="str">
        <f aca="false">IF(ISNUMBER(E78)=FALSE(),"CHECK",IF(D78="",IF(ABS(E78-C78)&lt;=1,"reproduced",IF(ABS(E78-C78)&lt;=1*5,"rounding","CHECK")),IF(ABS(E78-D78)&lt;=1,"corrected","CHECK")))</f>
        <v>reproduced</v>
      </c>
      <c r="H78" s="44"/>
    </row>
    <row r="79" customFormat="false" ht="15" hidden="false" customHeight="false" outlineLevel="0" collapsed="false">
      <c r="A79" s="3" t="s">
        <v>775</v>
      </c>
      <c r="B79" s="5" t="s">
        <v>178</v>
      </c>
      <c r="C79" s="36" t="n">
        <v>1800000</v>
      </c>
      <c r="D79" s="36"/>
      <c r="E79" s="37" t="n">
        <f aca="false">'6. Renewal'!B12</f>
        <v>1800000</v>
      </c>
      <c r="F79" s="9" t="n">
        <f aca="false">IF(D79="",E79-C79,E79-D79)</f>
        <v>0</v>
      </c>
      <c r="G79" s="5" t="str">
        <f aca="false">IF(ISNUMBER(E79)=FALSE(),"CHECK",IF(D79="",IF(ABS(E79-C79)&lt;=1,"reproduced",IF(ABS(E79-C79)&lt;=1*5,"rounding","CHECK")),IF(ABS(E79-D79)&lt;=1,"corrected","CHECK")))</f>
        <v>reproduced</v>
      </c>
      <c r="H79" s="38"/>
    </row>
    <row r="80" customFormat="false" ht="15" hidden="false" customHeight="false" outlineLevel="0" collapsed="false">
      <c r="A80" s="39" t="s">
        <v>775</v>
      </c>
      <c r="B80" s="40" t="s">
        <v>776</v>
      </c>
      <c r="C80" s="72" t="n">
        <v>6.7101</v>
      </c>
      <c r="D80" s="72"/>
      <c r="E80" s="73" t="n">
        <f aca="false">'6. Renewal'!B13</f>
        <v>6.71008139894145</v>
      </c>
      <c r="F80" s="74" t="n">
        <f aca="false">IF(D80="",E80-C80,E80-D80)</f>
        <v>-1.86010585521146E-005</v>
      </c>
      <c r="G80" s="40" t="str">
        <f aca="false">IF(ISNUMBER(E80)=FALSE(),"CHECK",IF(D80="",IF(ABS(E80-C80)&lt;=0.00006,"reproduced",IF(ABS(E80-C80)&lt;=0.00006*5,"rounding","CHECK")),IF(ABS(E80-D80)&lt;=0.00006,"corrected","CHECK")))</f>
        <v>reproduced</v>
      </c>
      <c r="H80" s="44"/>
    </row>
    <row r="81" customFormat="false" ht="15" hidden="false" customHeight="false" outlineLevel="0" collapsed="false">
      <c r="A81" s="3" t="s">
        <v>775</v>
      </c>
      <c r="B81" s="5" t="s">
        <v>777</v>
      </c>
      <c r="C81" s="36" t="n">
        <v>2682000</v>
      </c>
      <c r="D81" s="36"/>
      <c r="E81" s="37" t="n">
        <f aca="false">'6. Renewal'!B15</f>
        <v>2682530.79654736</v>
      </c>
      <c r="F81" s="9" t="n">
        <f aca="false">IF(D81="",E81-C81,E81-D81)</f>
        <v>530.796547356062</v>
      </c>
      <c r="G81" s="5" t="str">
        <f aca="false">IF(ISNUMBER(E81)=FALSE(),"CHECK",IF(D81="",IF(ABS(E81-C81)&lt;=500,"reproduced",IF(ABS(E81-C81)&lt;=500*5,"rounding","CHECK")),IF(ABS(E81-D81)&lt;=500,"corrected","CHECK")))</f>
        <v>rounding</v>
      </c>
      <c r="H81" s="38" t="s">
        <v>778</v>
      </c>
    </row>
    <row r="82" customFormat="false" ht="15" hidden="false" customHeight="false" outlineLevel="0" collapsed="false">
      <c r="A82" s="39" t="s">
        <v>775</v>
      </c>
      <c r="B82" s="40" t="s">
        <v>188</v>
      </c>
      <c r="C82" s="41" t="n">
        <v>1980000</v>
      </c>
      <c r="D82" s="41"/>
      <c r="E82" s="42" t="n">
        <f aca="false">'6. Renewal'!B23</f>
        <v>1980000</v>
      </c>
      <c r="F82" s="43" t="n">
        <f aca="false">IF(D82="",E82-C82,E82-D82)</f>
        <v>0</v>
      </c>
      <c r="G82" s="40" t="str">
        <f aca="false">IF(ISNUMBER(E82)=FALSE(),"CHECK",IF(D82="",IF(ABS(E82-C82)&lt;=1,"reproduced",IF(ABS(E82-C82)&lt;=1*5,"rounding","CHECK")),IF(ABS(E82-D82)&lt;=1,"corrected","CHECK")))</f>
        <v>reproduced</v>
      </c>
      <c r="H82" s="44"/>
    </row>
    <row r="83" customFormat="false" ht="15" hidden="false" customHeight="false" outlineLevel="0" collapsed="false">
      <c r="A83" s="3" t="s">
        <v>775</v>
      </c>
      <c r="B83" s="5" t="s">
        <v>189</v>
      </c>
      <c r="C83" s="45" t="n">
        <v>0.1</v>
      </c>
      <c r="D83" s="45"/>
      <c r="E83" s="46" t="n">
        <f aca="false">'6. Renewal'!B24</f>
        <v>0.1</v>
      </c>
      <c r="F83" s="18" t="n">
        <f aca="false">IF(D83="",E83-C83,E83-D83)</f>
        <v>0</v>
      </c>
      <c r="G83" s="5" t="str">
        <f aca="false">IF(ISNUMBER(E83)=FALSE(),"CHECK",IF(D83="",IF(ABS(E83-C83)&lt;=0.0005,"reproduced",IF(ABS(E83-C83)&lt;=0.0005*5,"rounding","CHECK")),IF(ABS(E83-D83)&lt;=0.0005,"corrected","CHECK")))</f>
        <v>reproduced</v>
      </c>
      <c r="H83" s="38"/>
    </row>
    <row r="84" customFormat="false" ht="15" hidden="false" customHeight="false" outlineLevel="0" collapsed="false">
      <c r="A84" s="39" t="s">
        <v>775</v>
      </c>
      <c r="B84" s="40" t="s">
        <v>779</v>
      </c>
      <c r="C84" s="41" t="n">
        <v>32727273</v>
      </c>
      <c r="D84" s="41"/>
      <c r="E84" s="42" t="n">
        <f aca="false">'6. Renewal'!B25</f>
        <v>32727272.7272727</v>
      </c>
      <c r="F84" s="43" t="n">
        <f aca="false">IF(D84="",E84-C84,E84-D84)</f>
        <v>-0.272727273404598</v>
      </c>
      <c r="G84" s="40" t="str">
        <f aca="false">IF(ISNUMBER(E84)=FALSE(),"CHECK",IF(D84="",IF(ABS(E84-C84)&lt;=1,"reproduced",IF(ABS(E84-C84)&lt;=1*5,"rounding","CHECK")),IF(ABS(E84-D84)&lt;=1,"corrected","CHECK")))</f>
        <v>reproduced</v>
      </c>
      <c r="H84" s="44"/>
    </row>
    <row r="85" customFormat="false" ht="15" hidden="false" customHeight="false" outlineLevel="0" collapsed="false">
      <c r="A85" s="3" t="s">
        <v>775</v>
      </c>
      <c r="B85" s="5" t="s">
        <v>780</v>
      </c>
      <c r="C85" s="36" t="n">
        <v>36000000</v>
      </c>
      <c r="D85" s="36"/>
      <c r="E85" s="37" t="n">
        <f aca="false">'6. Renewal'!B26</f>
        <v>36000000</v>
      </c>
      <c r="F85" s="9" t="n">
        <f aca="false">IF(D85="",E85-C85,E85-D85)</f>
        <v>0</v>
      </c>
      <c r="G85" s="5" t="str">
        <f aca="false">IF(ISNUMBER(E85)=FALSE(),"CHECK",IF(D85="",IF(ABS(E85-C85)&lt;=1,"reproduced",IF(ABS(E85-C85)&lt;=1*5,"rounding","CHECK")),IF(ABS(E85-D85)&lt;=1,"corrected","CHECK")))</f>
        <v>reproduced</v>
      </c>
      <c r="H85" s="38"/>
    </row>
    <row r="86" customFormat="false" ht="15" hidden="false" customHeight="false" outlineLevel="0" collapsed="false">
      <c r="A86" s="39" t="s">
        <v>775</v>
      </c>
      <c r="B86" s="40" t="s">
        <v>781</v>
      </c>
      <c r="C86" s="72" t="n">
        <v>7.0236</v>
      </c>
      <c r="D86" s="72"/>
      <c r="E86" s="73" t="n">
        <f aca="false">'6. Renewal'!B27</f>
        <v>7.02358154093261</v>
      </c>
      <c r="F86" s="74" t="n">
        <f aca="false">IF(D86="",E86-C86,E86-D86)</f>
        <v>-1.84590673946161E-005</v>
      </c>
      <c r="G86" s="40" t="str">
        <f aca="false">IF(ISNUMBER(E86)=FALSE(),"CHECK",IF(D86="",IF(ABS(E86-C86)&lt;=0.00006,"reproduced",IF(ABS(E86-C86)&lt;=0.00006*5,"rounding","CHECK")),IF(ABS(E86-D86)&lt;=0.00006,"corrected","CHECK")))</f>
        <v>reproduced</v>
      </c>
      <c r="H86" s="44"/>
    </row>
    <row r="87" customFormat="false" ht="15" hidden="false" customHeight="false" outlineLevel="0" collapsed="false">
      <c r="A87" s="3" t="s">
        <v>775</v>
      </c>
      <c r="B87" s="5" t="s">
        <v>782</v>
      </c>
      <c r="C87" s="36" t="n">
        <v>1264000</v>
      </c>
      <c r="D87" s="36"/>
      <c r="E87" s="37" t="n">
        <f aca="false">'6. Renewal'!B28</f>
        <v>1264244.67736787</v>
      </c>
      <c r="F87" s="9" t="n">
        <f aca="false">IF(D87="",E87-C87,E87-D87)</f>
        <v>244.677367869066</v>
      </c>
      <c r="G87" s="5" t="str">
        <f aca="false">IF(ISNUMBER(E87)=FALSE(),"CHECK",IF(D87="",IF(ABS(E87-C87)&lt;=500,"reproduced",IF(ABS(E87-C87)&lt;=500*5,"rounding","CHECK")),IF(ABS(E87-D87)&lt;=500,"corrected","CHECK")))</f>
        <v>reproduced</v>
      </c>
      <c r="H87" s="38"/>
    </row>
    <row r="88" customFormat="false" ht="15" hidden="false" customHeight="false" outlineLevel="0" collapsed="false">
      <c r="A88" s="39" t="s">
        <v>775</v>
      </c>
      <c r="B88" s="40" t="s">
        <v>194</v>
      </c>
      <c r="C88" s="41" t="n">
        <v>33991000</v>
      </c>
      <c r="D88" s="41"/>
      <c r="E88" s="42" t="n">
        <f aca="false">'6. Renewal'!B29</f>
        <v>33991517.4046406</v>
      </c>
      <c r="F88" s="43" t="n">
        <f aca="false">IF(D88="",E88-C88,E88-D88)</f>
        <v>517.404640592635</v>
      </c>
      <c r="G88" s="40" t="str">
        <f aca="false">IF(ISNUMBER(E88)=FALSE(),"CHECK",IF(D88="",IF(ABS(E88-C88)&lt;=500,"reproduced",IF(ABS(E88-C88)&lt;=500*5,"rounding","CHECK")),IF(ABS(E88-D88)&lt;=500,"corrected","CHECK")))</f>
        <v>rounding</v>
      </c>
      <c r="H88" s="44" t="s">
        <v>778</v>
      </c>
    </row>
    <row r="89" customFormat="false" ht="15" hidden="false" customHeight="false" outlineLevel="0" collapsed="false">
      <c r="A89" s="3" t="s">
        <v>775</v>
      </c>
      <c r="B89" s="5" t="s">
        <v>783</v>
      </c>
      <c r="C89" s="36" t="n">
        <v>3272727</v>
      </c>
      <c r="D89" s="36"/>
      <c r="E89" s="37" t="n">
        <f aca="false">'6. Renewal'!B30</f>
        <v>3272727.27272727</v>
      </c>
      <c r="F89" s="9" t="n">
        <f aca="false">IF(D89="",E89-C89,E89-D89)</f>
        <v>0.272727273404598</v>
      </c>
      <c r="G89" s="5" t="str">
        <f aca="false">IF(ISNUMBER(E89)=FALSE(),"CHECK",IF(D89="",IF(ABS(E89-C89)&lt;=1,"reproduced",IF(ABS(E89-C89)&lt;=1*5,"rounding","CHECK")),IF(ABS(E89-D89)&lt;=1,"corrected","CHECK")))</f>
        <v>reproduced</v>
      </c>
      <c r="H89" s="38"/>
    </row>
    <row r="90" customFormat="false" ht="15" hidden="false" customHeight="false" outlineLevel="0" collapsed="false">
      <c r="A90" s="39" t="s">
        <v>775</v>
      </c>
      <c r="B90" s="40" t="s">
        <v>784</v>
      </c>
      <c r="C90" s="41" t="n">
        <v>1017000</v>
      </c>
      <c r="D90" s="41"/>
      <c r="E90" s="42" t="n">
        <f aca="false">'6. Renewal'!B31</f>
        <v>1016698.58426944</v>
      </c>
      <c r="F90" s="43" t="n">
        <f aca="false">IF(D90="",E90-C90,E90-D90)</f>
        <v>-301.415730564855</v>
      </c>
      <c r="G90" s="40" t="str">
        <f aca="false">IF(ISNUMBER(E90)=FALSE(),"CHECK",IF(D90="",IF(ABS(E90-C90)&lt;=500,"reproduced",IF(ABS(E90-C90)&lt;=500*5,"rounding","CHECK")),IF(ABS(E90-D90)&lt;=500,"corrected","CHECK")))</f>
        <v>reproduced</v>
      </c>
      <c r="H90" s="44"/>
    </row>
    <row r="91" customFormat="false" ht="15" hidden="false" customHeight="false" outlineLevel="0" collapsed="false">
      <c r="A91" s="3" t="s">
        <v>785</v>
      </c>
      <c r="B91" s="5" t="s">
        <v>208</v>
      </c>
      <c r="C91" s="36" t="n">
        <v>408000</v>
      </c>
      <c r="D91" s="36"/>
      <c r="E91" s="37" t="n">
        <f aca="false">'7. Urban'!B16</f>
        <v>408000</v>
      </c>
      <c r="F91" s="9" t="n">
        <f aca="false">IF(D91="",E91-C91,E91-D91)</f>
        <v>0</v>
      </c>
      <c r="G91" s="5" t="str">
        <f aca="false">IF(ISNUMBER(E91)=FALSE(),"CHECK",IF(D91="",IF(ABS(E91-C91)&lt;=1,"reproduced",IF(ABS(E91-C91)&lt;=1*5,"rounding","CHECK")),IF(ABS(E91-D91)&lt;=1,"corrected","CHECK")))</f>
        <v>reproduced</v>
      </c>
      <c r="H91" s="38"/>
    </row>
    <row r="92" customFormat="false" ht="15" hidden="false" customHeight="false" outlineLevel="0" collapsed="false">
      <c r="A92" s="39" t="s">
        <v>785</v>
      </c>
      <c r="B92" s="40" t="s">
        <v>786</v>
      </c>
      <c r="C92" s="41" t="n">
        <v>14400</v>
      </c>
      <c r="D92" s="41"/>
      <c r="E92" s="42" t="n">
        <f aca="false">'7. Urban'!B17</f>
        <v>14400</v>
      </c>
      <c r="F92" s="43" t="n">
        <f aca="false">IF(D92="",E92-C92,E92-D92)</f>
        <v>0</v>
      </c>
      <c r="G92" s="40" t="str">
        <f aca="false">IF(ISNUMBER(E92)=FALSE(),"CHECK",IF(D92="",IF(ABS(E92-C92)&lt;=1,"reproduced",IF(ABS(E92-C92)&lt;=1*5,"rounding","CHECK")),IF(ABS(E92-D92)&lt;=1,"corrected","CHECK")))</f>
        <v>reproduced</v>
      </c>
      <c r="H92" s="44"/>
    </row>
    <row r="93" customFormat="false" ht="15" hidden="false" customHeight="false" outlineLevel="0" collapsed="false">
      <c r="A93" s="3" t="s">
        <v>785</v>
      </c>
      <c r="B93" s="5" t="s">
        <v>210</v>
      </c>
      <c r="C93" s="75" t="n">
        <v>28.33</v>
      </c>
      <c r="D93" s="75"/>
      <c r="E93" s="76" t="n">
        <f aca="false">'7. Urban'!B18</f>
        <v>28.3333333333333</v>
      </c>
      <c r="F93" s="19" t="n">
        <f aca="false">IF(D93="",E93-C93,E93-D93)</f>
        <v>0.00333333333333385</v>
      </c>
      <c r="G93" s="5" t="str">
        <f aca="false">IF(ISNUMBER(E93)=FALSE(),"CHECK",IF(D93="",IF(ABS(E93-C93)&lt;=0.006,"reproduced",IF(ABS(E93-C93)&lt;=0.006*5,"rounding","CHECK")),IF(ABS(E93-D93)&lt;=0.006,"corrected","CHECK")))</f>
        <v>reproduced</v>
      </c>
      <c r="H93" s="38"/>
    </row>
    <row r="94" customFormat="false" ht="15" hidden="false" customHeight="false" outlineLevel="0" collapsed="false">
      <c r="A94" s="39" t="s">
        <v>785</v>
      </c>
      <c r="B94" s="40" t="s">
        <v>211</v>
      </c>
      <c r="C94" s="41" t="n">
        <v>2480000</v>
      </c>
      <c r="D94" s="41"/>
      <c r="E94" s="42" t="n">
        <f aca="false">'7. Urban'!B19</f>
        <v>2480000</v>
      </c>
      <c r="F94" s="43" t="n">
        <f aca="false">IF(D94="",E94-C94,E94-D94)</f>
        <v>0</v>
      </c>
      <c r="G94" s="40" t="str">
        <f aca="false">IF(ISNUMBER(E94)=FALSE(),"CHECK",IF(D94="",IF(ABS(E94-C94)&lt;=1,"reproduced",IF(ABS(E94-C94)&lt;=1*5,"rounding","CHECK")),IF(ABS(E94-D94)&lt;=1,"corrected","CHECK")))</f>
        <v>reproduced</v>
      </c>
      <c r="H94" s="44"/>
    </row>
    <row r="95" customFormat="false" ht="15" hidden="false" customHeight="false" outlineLevel="0" collapsed="false">
      <c r="A95" s="3" t="s">
        <v>785</v>
      </c>
      <c r="B95" s="5" t="s">
        <v>787</v>
      </c>
      <c r="C95" s="36" t="n">
        <v>600000</v>
      </c>
      <c r="D95" s="36"/>
      <c r="E95" s="37" t="n">
        <f aca="false">'7. Urban'!B20</f>
        <v>600000</v>
      </c>
      <c r="F95" s="9" t="n">
        <f aca="false">IF(D95="",E95-C95,E95-D95)</f>
        <v>0</v>
      </c>
      <c r="G95" s="5" t="str">
        <f aca="false">IF(ISNUMBER(E95)=FALSE(),"CHECK",IF(D95="",IF(ABS(E95-C95)&lt;=1,"reproduced",IF(ABS(E95-C95)&lt;=1*5,"rounding","CHECK")),IF(ABS(E95-D95)&lt;=1,"corrected","CHECK")))</f>
        <v>reproduced</v>
      </c>
      <c r="H95" s="38"/>
    </row>
    <row r="96" customFormat="false" ht="15" hidden="false" customHeight="false" outlineLevel="0" collapsed="false">
      <c r="A96" s="39" t="s">
        <v>785</v>
      </c>
      <c r="B96" s="40" t="s">
        <v>210</v>
      </c>
      <c r="C96" s="60" t="n">
        <v>4.13</v>
      </c>
      <c r="D96" s="60"/>
      <c r="E96" s="61" t="n">
        <f aca="false">'7. Urban'!B21</f>
        <v>4.13333333333333</v>
      </c>
      <c r="F96" s="62" t="n">
        <f aca="false">IF(D96="",E96-C96,E96-D96)</f>
        <v>0.00333333333333385</v>
      </c>
      <c r="G96" s="40" t="str">
        <f aca="false">IF(ISNUMBER(E96)=FALSE(),"CHECK",IF(D96="",IF(ABS(E96-C96)&lt;=0.006,"reproduced",IF(ABS(E96-C96)&lt;=0.006*5,"rounding","CHECK")),IF(ABS(E96-D96)&lt;=0.006,"corrected","CHECK")))</f>
        <v>reproduced</v>
      </c>
      <c r="H96" s="44"/>
    </row>
    <row r="97" customFormat="false" ht="15" hidden="false" customHeight="false" outlineLevel="0" collapsed="false">
      <c r="A97" s="3" t="s">
        <v>785</v>
      </c>
      <c r="B97" s="5" t="s">
        <v>788</v>
      </c>
      <c r="C97" s="50" t="n">
        <v>2.7</v>
      </c>
      <c r="D97" s="50"/>
      <c r="E97" s="51" t="n">
        <f aca="false">'7. Urban'!B22</f>
        <v>2.74193548387097</v>
      </c>
      <c r="F97" s="23" t="n">
        <f aca="false">IF(D97="",E97-C97,E97-D97)</f>
        <v>0.0419354838709674</v>
      </c>
      <c r="G97" s="5" t="str">
        <f aca="false">IF(ISNUMBER(E97)=FALSE(),"CHECK",IF(D97="",IF(ABS(E97-C97)&lt;=0.05,"reproduced",IF(ABS(E97-C97)&lt;=0.05*5,"rounding","CHECK")),IF(ABS(E97-D97)&lt;=0.05,"corrected","CHECK")))</f>
        <v>reproduced</v>
      </c>
      <c r="H97" s="38"/>
    </row>
    <row r="98" customFormat="false" ht="15" hidden="false" customHeight="false" outlineLevel="0" collapsed="false">
      <c r="A98" s="39" t="s">
        <v>785</v>
      </c>
      <c r="B98" s="40" t="s">
        <v>789</v>
      </c>
      <c r="C98" s="47" t="n">
        <v>6.9</v>
      </c>
      <c r="D98" s="47"/>
      <c r="E98" s="48" t="n">
        <f aca="false">'7. Urban'!B23</f>
        <v>6.85483870967742</v>
      </c>
      <c r="F98" s="49" t="n">
        <f aca="false">IF(D98="",E98-C98,E98-D98)</f>
        <v>-0.0451612903225822</v>
      </c>
      <c r="G98" s="40" t="str">
        <f aca="false">IF(ISNUMBER(E98)=FALSE(),"CHECK",IF(D98="",IF(ABS(E98-C98)&lt;=0.05,"reproduced",IF(ABS(E98-C98)&lt;=0.05*5,"rounding","CHECK")),IF(ABS(E98-D98)&lt;=0.05,"corrected","CHECK")))</f>
        <v>reproduced</v>
      </c>
      <c r="H98" s="44"/>
    </row>
    <row r="99" customFormat="false" ht="15" hidden="false" customHeight="false" outlineLevel="0" collapsed="false">
      <c r="A99" s="3" t="s">
        <v>785</v>
      </c>
      <c r="B99" s="5" t="s">
        <v>790</v>
      </c>
      <c r="C99" s="36" t="n">
        <v>1560</v>
      </c>
      <c r="D99" s="36"/>
      <c r="E99" s="37" t="n">
        <f aca="false">'7. Urban'!B24</f>
        <v>1560</v>
      </c>
      <c r="F99" s="9" t="n">
        <f aca="false">IF(D99="",E99-C99,E99-D99)</f>
        <v>0</v>
      </c>
      <c r="G99" s="5" t="str">
        <f aca="false">IF(ISNUMBER(E99)=FALSE(),"CHECK",IF(D99="",IF(ABS(E99-C99)&lt;=1,"reproduced",IF(ABS(E99-C99)&lt;=1*5,"rounding","CHECK")),IF(ABS(E99-D99)&lt;=1,"corrected","CHECK")))</f>
        <v>reproduced</v>
      </c>
      <c r="H99" s="38"/>
    </row>
    <row r="100" customFormat="false" ht="15" hidden="false" customHeight="false" outlineLevel="0" collapsed="false">
      <c r="A100" s="39" t="s">
        <v>785</v>
      </c>
      <c r="B100" s="40" t="s">
        <v>215</v>
      </c>
      <c r="C100" s="41" t="n">
        <v>1114</v>
      </c>
      <c r="D100" s="41"/>
      <c r="E100" s="42" t="n">
        <f aca="false">'7. Urban'!B25</f>
        <v>1114.28571428571</v>
      </c>
      <c r="F100" s="43" t="n">
        <f aca="false">IF(D100="",E100-C100,E100-D100)</f>
        <v>0.285714285714448</v>
      </c>
      <c r="G100" s="40" t="str">
        <f aca="false">IF(ISNUMBER(E100)=FALSE(),"CHECK",IF(D100="",IF(ABS(E100-C100)&lt;=0.5,"reproduced",IF(ABS(E100-C100)&lt;=0.5*5,"rounding","CHECK")),IF(ABS(E100-D100)&lt;=0.5,"corrected","CHECK")))</f>
        <v>reproduced</v>
      </c>
      <c r="H100" s="44"/>
    </row>
    <row r="101" customFormat="false" ht="15" hidden="false" customHeight="false" outlineLevel="0" collapsed="false">
      <c r="A101" s="3" t="s">
        <v>785</v>
      </c>
      <c r="B101" s="5" t="s">
        <v>216</v>
      </c>
      <c r="C101" s="36" t="n">
        <v>3343</v>
      </c>
      <c r="D101" s="36"/>
      <c r="E101" s="37" t="n">
        <f aca="false">'7. Urban'!B26</f>
        <v>3342.85714285714</v>
      </c>
      <c r="F101" s="9" t="n">
        <f aca="false">IF(D101="",E101-C101,E101-D101)</f>
        <v>-0.142857142856883</v>
      </c>
      <c r="G101" s="5" t="str">
        <f aca="false">IF(ISNUMBER(E101)=FALSE(),"CHECK",IF(D101="",IF(ABS(E101-C101)&lt;=0.5,"reproduced",IF(ABS(E101-C101)&lt;=0.5*5,"rounding","CHECK")),IF(ABS(E101-D101)&lt;=0.5,"corrected","CHECK")))</f>
        <v>reproduced</v>
      </c>
      <c r="H101" s="38"/>
    </row>
    <row r="102" customFormat="false" ht="15" hidden="false" customHeight="false" outlineLevel="0" collapsed="false">
      <c r="A102" s="39" t="s">
        <v>785</v>
      </c>
      <c r="B102" s="40" t="s">
        <v>791</v>
      </c>
      <c r="C102" s="41" t="n">
        <v>122</v>
      </c>
      <c r="D102" s="41"/>
      <c r="E102" s="42" t="n">
        <f aca="false">'7. Urban'!B27</f>
        <v>122.051282051282</v>
      </c>
      <c r="F102" s="43" t="n">
        <f aca="false">IF(D102="",E102-C102,E102-D102)</f>
        <v>0.051282051282044</v>
      </c>
      <c r="G102" s="40" t="str">
        <f aca="false">IF(ISNUMBER(E102)=FALSE(),"CHECK",IF(D102="",IF(ABS(E102-C102)&lt;=0.5,"reproduced",IF(ABS(E102-C102)&lt;=0.5*5,"rounding","CHECK")),IF(ABS(E102-D102)&lt;=0.5,"corrected","CHECK")))</f>
        <v>reproduced</v>
      </c>
      <c r="H102" s="44"/>
    </row>
    <row r="103" customFormat="false" ht="15" hidden="false" customHeight="false" outlineLevel="0" collapsed="false">
      <c r="A103" s="3" t="s">
        <v>785</v>
      </c>
      <c r="B103" s="5" t="s">
        <v>792</v>
      </c>
      <c r="C103" s="36" t="n">
        <v>26000</v>
      </c>
      <c r="D103" s="36"/>
      <c r="E103" s="37" t="n">
        <f aca="false">'7. Urban'!B28</f>
        <v>26000</v>
      </c>
      <c r="F103" s="9" t="n">
        <f aca="false">IF(D103="",E103-C103,E103-D103)</f>
        <v>0</v>
      </c>
      <c r="G103" s="5" t="str">
        <f aca="false">IF(ISNUMBER(E103)=FALSE(),"CHECK",IF(D103="",IF(ABS(E103-C103)&lt;=1,"reproduced",IF(ABS(E103-C103)&lt;=1*5,"rounding","CHECK")),IF(ABS(E103-D103)&lt;=1,"corrected","CHECK")))</f>
        <v>reproduced</v>
      </c>
      <c r="H103" s="38"/>
    </row>
    <row r="104" customFormat="false" ht="15" hidden="false" customHeight="false" outlineLevel="0" collapsed="false">
      <c r="A104" s="39" t="s">
        <v>785</v>
      </c>
      <c r="B104" s="40" t="s">
        <v>215</v>
      </c>
      <c r="C104" s="41" t="n">
        <v>18571</v>
      </c>
      <c r="D104" s="41"/>
      <c r="E104" s="42" t="n">
        <f aca="false">'7. Urban'!B29</f>
        <v>18571.4285714286</v>
      </c>
      <c r="F104" s="43" t="n">
        <f aca="false">IF(D104="",E104-C104,E104-D104)</f>
        <v>0.428571428572468</v>
      </c>
      <c r="G104" s="40" t="str">
        <f aca="false">IF(ISNUMBER(E104)=FALSE(),"CHECK",IF(D104="",IF(ABS(E104-C104)&lt;=0.5,"reproduced",IF(ABS(E104-C104)&lt;=0.5*5,"rounding","CHECK")),IF(ABS(E104-D104)&lt;=0.5,"corrected","CHECK")))</f>
        <v>reproduced</v>
      </c>
      <c r="H104" s="44"/>
    </row>
    <row r="105" customFormat="false" ht="15" hidden="false" customHeight="false" outlineLevel="0" collapsed="false">
      <c r="A105" s="3" t="s">
        <v>785</v>
      </c>
      <c r="B105" s="5" t="s">
        <v>216</v>
      </c>
      <c r="C105" s="36" t="n">
        <v>148571</v>
      </c>
      <c r="D105" s="36"/>
      <c r="E105" s="37" t="n">
        <f aca="false">'7. Urban'!B30</f>
        <v>148571.428571429</v>
      </c>
      <c r="F105" s="9" t="n">
        <f aca="false">IF(D105="",E105-C105,E105-D105)</f>
        <v>0.428571428579744</v>
      </c>
      <c r="G105" s="5" t="str">
        <f aca="false">IF(ISNUMBER(E105)=FALSE(),"CHECK",IF(D105="",IF(ABS(E105-C105)&lt;=0.5,"reproduced",IF(ABS(E105-C105)&lt;=0.5*5,"rounding","CHECK")),IF(ABS(E105-D105)&lt;=0.5,"corrected","CHECK")))</f>
        <v>reproduced</v>
      </c>
      <c r="H105" s="38"/>
    </row>
    <row r="106" customFormat="false" ht="15" hidden="false" customHeight="false" outlineLevel="0" collapsed="false">
      <c r="A106" s="39" t="s">
        <v>785</v>
      </c>
      <c r="B106" s="40" t="s">
        <v>791</v>
      </c>
      <c r="C106" s="60" t="n">
        <v>16.69</v>
      </c>
      <c r="D106" s="60"/>
      <c r="E106" s="61" t="n">
        <f aca="false">'7. Urban'!B31</f>
        <v>16.6923076923077</v>
      </c>
      <c r="F106" s="62" t="n">
        <f aca="false">IF(D106="",E106-C106,E106-D106)</f>
        <v>0.00230769230768857</v>
      </c>
      <c r="G106" s="40" t="str">
        <f aca="false">IF(ISNUMBER(E106)=FALSE(),"CHECK",IF(D106="",IF(ABS(E106-C106)&lt;=0.006,"reproduced",IF(ABS(E106-C106)&lt;=0.006*5,"rounding","CHECK")),IF(ABS(E106-D106)&lt;=0.006,"corrected","CHECK")))</f>
        <v>reproduced</v>
      </c>
      <c r="H106" s="44"/>
    </row>
    <row r="107" customFormat="false" ht="15" hidden="false" customHeight="false" outlineLevel="0" collapsed="false">
      <c r="A107" s="3" t="s">
        <v>785</v>
      </c>
      <c r="B107" s="5" t="s">
        <v>793</v>
      </c>
      <c r="C107" s="50" t="n">
        <v>7.3</v>
      </c>
      <c r="D107" s="50"/>
      <c r="E107" s="51" t="n">
        <f aca="false">'7. Urban'!B32</f>
        <v>7.31182795698925</v>
      </c>
      <c r="F107" s="23" t="n">
        <f aca="false">IF(D107="",E107-C107,E107-D107)</f>
        <v>0.0118279569892481</v>
      </c>
      <c r="G107" s="5" t="str">
        <f aca="false">IF(ISNUMBER(E107)=FALSE(),"CHECK",IF(D107="",IF(ABS(E107-C107)&lt;=0.05,"reproduced",IF(ABS(E107-C107)&lt;=0.05*5,"rounding","CHECK")),IF(ABS(E107-D107)&lt;=0.05,"corrected","CHECK")))</f>
        <v>reproduced</v>
      </c>
      <c r="H107" s="38"/>
    </row>
    <row r="108" customFormat="false" ht="15" hidden="false" customHeight="false" outlineLevel="0" collapsed="false">
      <c r="A108" s="39" t="s">
        <v>785</v>
      </c>
      <c r="B108" s="40" t="s">
        <v>234</v>
      </c>
      <c r="C108" s="72" t="n">
        <v>0.4167</v>
      </c>
      <c r="D108" s="72"/>
      <c r="E108" s="73" t="n">
        <f aca="false">'7. Urban'!B49</f>
        <v>0.416666666666667</v>
      </c>
      <c r="F108" s="74" t="n">
        <f aca="false">IF(D108="",E108-C108,E108-D108)</f>
        <v>-3.33333333333297E-005</v>
      </c>
      <c r="G108" s="40" t="str">
        <f aca="false">IF(ISNUMBER(E108)=FALSE(),"CHECK",IF(D108="",IF(ABS(E108-C108)&lt;=0.00005,"reproduced",IF(ABS(E108-C108)&lt;=0.00005*5,"rounding","CHECK")),IF(ABS(E108-D108)&lt;=0.00005,"corrected","CHECK")))</f>
        <v>reproduced</v>
      </c>
      <c r="H108" s="44"/>
    </row>
    <row r="109" customFormat="false" ht="15" hidden="false" customHeight="false" outlineLevel="0" collapsed="false">
      <c r="A109" s="3" t="s">
        <v>785</v>
      </c>
      <c r="B109" s="5" t="s">
        <v>794</v>
      </c>
      <c r="C109" s="75" t="n">
        <v>14.17</v>
      </c>
      <c r="D109" s="75"/>
      <c r="E109" s="76" t="n">
        <f aca="false">'7. Urban'!B50</f>
        <v>14.1666666666667</v>
      </c>
      <c r="F109" s="19" t="n">
        <f aca="false">IF(D109="",E109-C109,E109-D109)</f>
        <v>-0.00333333333333208</v>
      </c>
      <c r="G109" s="5" t="str">
        <f aca="false">IF(ISNUMBER(E109)=FALSE(),"CHECK",IF(D109="",IF(ABS(E109-C109)&lt;=0.006,"reproduced",IF(ABS(E109-C109)&lt;=0.006*5,"rounding","CHECK")),IF(ABS(E109-D109)&lt;=0.006,"corrected","CHECK")))</f>
        <v>reproduced</v>
      </c>
      <c r="H109" s="38"/>
    </row>
    <row r="110" customFormat="false" ht="15" hidden="false" customHeight="false" outlineLevel="0" collapsed="false">
      <c r="A110" s="39" t="s">
        <v>785</v>
      </c>
      <c r="B110" s="40" t="s">
        <v>795</v>
      </c>
      <c r="C110" s="60" t="n">
        <v>5.88</v>
      </c>
      <c r="D110" s="60"/>
      <c r="E110" s="61" t="n">
        <f aca="false">'7. Urban'!B51</f>
        <v>5.88</v>
      </c>
      <c r="F110" s="62" t="n">
        <f aca="false">IF(D110="",E110-C110,E110-D110)</f>
        <v>0</v>
      </c>
      <c r="G110" s="40" t="str">
        <f aca="false">IF(ISNUMBER(E110)=FALSE(),"CHECK",IF(D110="",IF(ABS(E110-C110)&lt;=0.006,"reproduced",IF(ABS(E110-C110)&lt;=0.006*5,"rounding","CHECK")),IF(ABS(E110-D110)&lt;=0.006,"corrected","CHECK")))</f>
        <v>reproduced</v>
      </c>
      <c r="H110" s="44"/>
    </row>
    <row r="111" customFormat="false" ht="15" hidden="false" customHeight="false" outlineLevel="0" collapsed="false">
      <c r="A111" s="3" t="s">
        <v>785</v>
      </c>
      <c r="B111" s="5" t="s">
        <v>237</v>
      </c>
      <c r="C111" s="75" t="n">
        <v>20.05</v>
      </c>
      <c r="D111" s="75"/>
      <c r="E111" s="76" t="n">
        <f aca="false">'7. Urban'!B52</f>
        <v>20.0466666666667</v>
      </c>
      <c r="F111" s="19" t="n">
        <f aca="false">IF(D111="",E111-C111,E111-D111)</f>
        <v>-0.00333333333333385</v>
      </c>
      <c r="G111" s="5" t="str">
        <f aca="false">IF(ISNUMBER(E111)=FALSE(),"CHECK",IF(D111="",IF(ABS(E111-C111)&lt;=0.006,"reproduced",IF(ABS(E111-C111)&lt;=0.006*5,"rounding","CHECK")),IF(ABS(E111-D111)&lt;=0.006,"corrected","CHECK")))</f>
        <v>reproduced</v>
      </c>
      <c r="H111" s="38"/>
    </row>
    <row r="112" customFormat="false" ht="15" hidden="false" customHeight="false" outlineLevel="0" collapsed="false">
      <c r="A112" s="39" t="s">
        <v>785</v>
      </c>
      <c r="B112" s="40" t="s">
        <v>238</v>
      </c>
      <c r="C112" s="41" t="n">
        <v>366900</v>
      </c>
      <c r="D112" s="41"/>
      <c r="E112" s="42" t="n">
        <f aca="false">'7. Urban'!B53</f>
        <v>366854</v>
      </c>
      <c r="F112" s="43" t="n">
        <f aca="false">IF(D112="",E112-C112,E112-D112)</f>
        <v>-46</v>
      </c>
      <c r="G112" s="40" t="str">
        <f aca="false">IF(ISNUMBER(E112)=FALSE(),"CHECK",IF(D112="",IF(ABS(E112-C112)&lt;=50,"reproduced",IF(ABS(E112-C112)&lt;=50*5,"rounding","CHECK")),IF(ABS(E112-D112)&lt;=50,"corrected","CHECK")))</f>
        <v>reproduced</v>
      </c>
      <c r="H112" s="44"/>
    </row>
    <row r="113" customFormat="false" ht="15" hidden="false" customHeight="false" outlineLevel="0" collapsed="false">
      <c r="A113" s="3" t="s">
        <v>785</v>
      </c>
      <c r="B113" s="5" t="s">
        <v>796</v>
      </c>
      <c r="C113" s="36" t="n">
        <v>148800</v>
      </c>
      <c r="D113" s="36"/>
      <c r="E113" s="37" t="n">
        <f aca="false">'7. Urban'!B54</f>
        <v>148800</v>
      </c>
      <c r="F113" s="9" t="n">
        <f aca="false">IF(D113="",E113-C113,E113-D113)</f>
        <v>0</v>
      </c>
      <c r="G113" s="5" t="str">
        <f aca="false">IF(ISNUMBER(E113)=FALSE(),"CHECK",IF(D113="",IF(ABS(E113-C113)&lt;=1,"reproduced",IF(ABS(E113-C113)&lt;=1*5,"rounding","CHECK")),IF(ABS(E113-D113)&lt;=1,"corrected","CHECK")))</f>
        <v>reproduced</v>
      </c>
      <c r="H113" s="38"/>
    </row>
    <row r="114" customFormat="false" ht="15" hidden="false" customHeight="false" outlineLevel="0" collapsed="false">
      <c r="A114" s="39" t="s">
        <v>785</v>
      </c>
      <c r="B114" s="40" t="s">
        <v>797</v>
      </c>
      <c r="C114" s="41" t="n">
        <v>259200</v>
      </c>
      <c r="D114" s="41"/>
      <c r="E114" s="42" t="n">
        <f aca="false">'7. Urban'!B55</f>
        <v>259200</v>
      </c>
      <c r="F114" s="43" t="n">
        <f aca="false">IF(D114="",E114-C114,E114-D114)</f>
        <v>0</v>
      </c>
      <c r="G114" s="40" t="str">
        <f aca="false">IF(ISNUMBER(E114)=FALSE(),"CHECK",IF(D114="",IF(ABS(E114-C114)&lt;=1,"reproduced",IF(ABS(E114-C114)&lt;=1*5,"rounding","CHECK")),IF(ABS(E114-D114)&lt;=1,"corrected","CHECK")))</f>
        <v>reproduced</v>
      </c>
      <c r="H114" s="44"/>
    </row>
    <row r="115" customFormat="false" ht="15" hidden="false" customHeight="false" outlineLevel="0" collapsed="false">
      <c r="A115" s="3" t="s">
        <v>785</v>
      </c>
      <c r="B115" s="5" t="s">
        <v>798</v>
      </c>
      <c r="C115" s="36" t="n">
        <v>107700</v>
      </c>
      <c r="D115" s="36"/>
      <c r="E115" s="37" t="n">
        <f aca="false">'7. Urban'!B56</f>
        <v>107654</v>
      </c>
      <c r="F115" s="9" t="n">
        <f aca="false">IF(D115="",E115-C115,E115-D115)</f>
        <v>-46</v>
      </c>
      <c r="G115" s="5" t="str">
        <f aca="false">IF(ISNUMBER(E115)=FALSE(),"CHECK",IF(D115="",IF(ABS(E115-C115)&lt;=50,"reproduced",IF(ABS(E115-C115)&lt;=50*5,"rounding","CHECK")),IF(ABS(E115-D115)&lt;=50,"corrected","CHECK")))</f>
        <v>reproduced</v>
      </c>
      <c r="H115" s="38"/>
    </row>
    <row r="116" customFormat="false" ht="15" hidden="false" customHeight="false" outlineLevel="0" collapsed="false">
      <c r="A116" s="39" t="s">
        <v>785</v>
      </c>
      <c r="B116" s="40" t="s">
        <v>251</v>
      </c>
      <c r="C116" s="41" t="n">
        <v>92400</v>
      </c>
      <c r="D116" s="41"/>
      <c r="E116" s="42" t="n">
        <f aca="false">'7. Urban'!B67</f>
        <v>92400</v>
      </c>
      <c r="F116" s="43" t="n">
        <f aca="false">IF(D116="",E116-C116,E116-D116)</f>
        <v>0</v>
      </c>
      <c r="G116" s="40" t="str">
        <f aca="false">IF(ISNUMBER(E116)=FALSE(),"CHECK",IF(D116="",IF(ABS(E116-C116)&lt;=1,"reproduced",IF(ABS(E116-C116)&lt;=1*5,"rounding","CHECK")),IF(ABS(E116-D116)&lt;=1,"corrected","CHECK")))</f>
        <v>reproduced</v>
      </c>
      <c r="H116" s="44"/>
    </row>
    <row r="117" customFormat="false" ht="15" hidden="false" customHeight="false" outlineLevel="0" collapsed="false">
      <c r="A117" s="3" t="s">
        <v>785</v>
      </c>
      <c r="B117" s="5" t="s">
        <v>799</v>
      </c>
      <c r="C117" s="36" t="n">
        <v>1227600</v>
      </c>
      <c r="D117" s="36"/>
      <c r="E117" s="37" t="n">
        <f aca="false">'7. Urban'!B68</f>
        <v>1227600</v>
      </c>
      <c r="F117" s="9" t="n">
        <f aca="false">IF(D117="",E117-C117,E117-D117)</f>
        <v>0</v>
      </c>
      <c r="G117" s="5" t="str">
        <f aca="false">IF(ISNUMBER(E117)=FALSE(),"CHECK",IF(D117="",IF(ABS(E117-C117)&lt;=1,"reproduced",IF(ABS(E117-C117)&lt;=1*5,"rounding","CHECK")),IF(ABS(E117-D117)&lt;=1,"corrected","CHECK")))</f>
        <v>reproduced</v>
      </c>
      <c r="H117" s="38"/>
    </row>
    <row r="118" customFormat="false" ht="15" hidden="false" customHeight="false" outlineLevel="0" collapsed="false">
      <c r="A118" s="39" t="s">
        <v>785</v>
      </c>
      <c r="B118" s="40" t="s">
        <v>800</v>
      </c>
      <c r="C118" s="41" t="n">
        <v>1187600</v>
      </c>
      <c r="D118" s="41"/>
      <c r="E118" s="42" t="n">
        <f aca="false">'7. Urban'!B69</f>
        <v>1187600</v>
      </c>
      <c r="F118" s="43" t="n">
        <f aca="false">IF(D118="",E118-C118,E118-D118)</f>
        <v>0</v>
      </c>
      <c r="G118" s="40" t="str">
        <f aca="false">IF(ISNUMBER(E118)=FALSE(),"CHECK",IF(D118="",IF(ABS(E118-C118)&lt;=1,"reproduced",IF(ABS(E118-C118)&lt;=1*5,"rounding","CHECK")),IF(ABS(E118-D118)&lt;=1,"corrected","CHECK")))</f>
        <v>reproduced</v>
      </c>
      <c r="H118" s="44"/>
    </row>
    <row r="119" customFormat="false" ht="15" hidden="false" customHeight="false" outlineLevel="0" collapsed="false">
      <c r="A119" s="3" t="s">
        <v>785</v>
      </c>
      <c r="B119" s="5" t="s">
        <v>665</v>
      </c>
      <c r="C119" s="36" t="n">
        <v>49104</v>
      </c>
      <c r="D119" s="36"/>
      <c r="E119" s="37" t="n">
        <f aca="false">'7. Urban'!B70</f>
        <v>49104</v>
      </c>
      <c r="F119" s="9" t="n">
        <f aca="false">IF(D119="",E119-C119,E119-D119)</f>
        <v>0</v>
      </c>
      <c r="G119" s="5" t="str">
        <f aca="false">IF(ISNUMBER(E119)=FALSE(),"CHECK",IF(D119="",IF(ABS(E119-C119)&lt;=1,"reproduced",IF(ABS(E119-C119)&lt;=1*5,"rounding","CHECK")),IF(ABS(E119-D119)&lt;=1,"corrected","CHECK")))</f>
        <v>reproduced</v>
      </c>
      <c r="H119" s="38"/>
    </row>
    <row r="120" customFormat="false" ht="15" hidden="false" customHeight="false" outlineLevel="0" collapsed="false">
      <c r="A120" s="39" t="s">
        <v>785</v>
      </c>
      <c r="B120" s="40" t="s">
        <v>801</v>
      </c>
      <c r="C120" s="41" t="n">
        <v>1138496</v>
      </c>
      <c r="D120" s="41"/>
      <c r="E120" s="42" t="n">
        <f aca="false">'7. Urban'!B71</f>
        <v>1138496</v>
      </c>
      <c r="F120" s="43" t="n">
        <f aca="false">IF(D120="",E120-C120,E120-D120)</f>
        <v>0</v>
      </c>
      <c r="G120" s="40" t="str">
        <f aca="false">IF(ISNUMBER(E120)=FALSE(),"CHECK",IF(D120="",IF(ABS(E120-C120)&lt;=1,"reproduced",IF(ABS(E120-C120)&lt;=1*5,"rounding","CHECK")),IF(ABS(E120-D120)&lt;=1,"corrected","CHECK")))</f>
        <v>reproduced</v>
      </c>
      <c r="H120" s="44"/>
    </row>
    <row r="121" customFormat="false" ht="15" hidden="false" customHeight="false" outlineLevel="0" collapsed="false">
      <c r="A121" s="3" t="s">
        <v>785</v>
      </c>
      <c r="B121" s="5" t="s">
        <v>256</v>
      </c>
      <c r="C121" s="36" t="n">
        <v>12276</v>
      </c>
      <c r="D121" s="36"/>
      <c r="E121" s="37" t="n">
        <f aca="false">'7. Urban'!B72</f>
        <v>12276</v>
      </c>
      <c r="F121" s="9" t="n">
        <f aca="false">IF(D121="",E121-C121,E121-D121)</f>
        <v>0</v>
      </c>
      <c r="G121" s="5" t="str">
        <f aca="false">IF(ISNUMBER(E121)=FALSE(),"CHECK",IF(D121="",IF(ABS(E121-C121)&lt;=1,"reproduced",IF(ABS(E121-C121)&lt;=1*5,"rounding","CHECK")),IF(ABS(E121-D121)&lt;=1,"corrected","CHECK")))</f>
        <v>reproduced</v>
      </c>
      <c r="H121" s="38"/>
    </row>
    <row r="122" customFormat="false" ht="15" hidden="false" customHeight="false" outlineLevel="0" collapsed="false">
      <c r="A122" s="39" t="s">
        <v>785</v>
      </c>
      <c r="B122" s="40" t="s">
        <v>802</v>
      </c>
      <c r="C122" s="41" t="n">
        <v>1126220</v>
      </c>
      <c r="D122" s="41"/>
      <c r="E122" s="42" t="n">
        <f aca="false">'7. Urban'!B73</f>
        <v>1126220</v>
      </c>
      <c r="F122" s="43" t="n">
        <f aca="false">IF(D122="",E122-C122,E122-D122)</f>
        <v>0</v>
      </c>
      <c r="G122" s="40" t="str">
        <f aca="false">IF(ISNUMBER(E122)=FALSE(),"CHECK",IF(D122="",IF(ABS(E122-C122)&lt;=1,"reproduced",IF(ABS(E122-C122)&lt;=1*5,"rounding","CHECK")),IF(ABS(E122-D122)&lt;=1,"corrected","CHECK")))</f>
        <v>reproduced</v>
      </c>
      <c r="H122" s="44"/>
    </row>
    <row r="123" customFormat="false" ht="15" hidden="false" customHeight="false" outlineLevel="0" collapsed="false">
      <c r="A123" s="3" t="s">
        <v>785</v>
      </c>
      <c r="B123" s="5" t="s">
        <v>258</v>
      </c>
      <c r="C123" s="36" t="n">
        <v>1071220</v>
      </c>
      <c r="D123" s="36"/>
      <c r="E123" s="37" t="n">
        <f aca="false">'7. Urban'!B74</f>
        <v>1071220</v>
      </c>
      <c r="F123" s="9" t="n">
        <f aca="false">IF(D123="",E123-C123,E123-D123)</f>
        <v>0</v>
      </c>
      <c r="G123" s="5" t="str">
        <f aca="false">IF(ISNUMBER(E123)=FALSE(),"CHECK",IF(D123="",IF(ABS(E123-C123)&lt;=1,"reproduced",IF(ABS(E123-C123)&lt;=1*5,"rounding","CHECK")),IF(ABS(E123-D123)&lt;=1,"corrected","CHECK")))</f>
        <v>reproduced</v>
      </c>
      <c r="H123" s="38"/>
    </row>
    <row r="124" customFormat="false" ht="15" hidden="false" customHeight="false" outlineLevel="0" collapsed="false">
      <c r="A124" s="39" t="s">
        <v>785</v>
      </c>
      <c r="B124" s="40" t="s">
        <v>259</v>
      </c>
      <c r="C124" s="57" t="n">
        <v>0.812</v>
      </c>
      <c r="D124" s="57"/>
      <c r="E124" s="58" t="n">
        <f aca="false">'7. Urban'!B75</f>
        <v>0.811530303030303</v>
      </c>
      <c r="F124" s="59" t="n">
        <f aca="false">IF(D124="",E124-C124,E124-D124)</f>
        <v>-0.000469696969697009</v>
      </c>
      <c r="G124" s="40" t="str">
        <f aca="false">IF(ISNUMBER(E124)=FALSE(),"CHECK",IF(D124="",IF(ABS(E124-C124)&lt;=0.0005,"reproduced",IF(ABS(E124-C124)&lt;=0.0005*5,"rounding","CHECK")),IF(ABS(E124-D124)&lt;=0.0005,"corrected","CHECK")))</f>
        <v>reproduced</v>
      </c>
      <c r="H124" s="44"/>
    </row>
    <row r="125" customFormat="false" ht="15" hidden="false" customHeight="false" outlineLevel="0" collapsed="false">
      <c r="A125" s="3" t="s">
        <v>785</v>
      </c>
      <c r="B125" s="5" t="s">
        <v>803</v>
      </c>
      <c r="C125" s="36" t="n">
        <v>12400</v>
      </c>
      <c r="D125" s="36"/>
      <c r="E125" s="37" t="n">
        <f aca="false">'7. Urban'!B77</f>
        <v>12400</v>
      </c>
      <c r="F125" s="9" t="n">
        <f aca="false">IF(D125="",E125-C125,E125-D125)</f>
        <v>0</v>
      </c>
      <c r="G125" s="5" t="str">
        <f aca="false">IF(ISNUMBER(E125)=FALSE(),"CHECK",IF(D125="",IF(ABS(E125-C125)&lt;=1,"reproduced",IF(ABS(E125-C125)&lt;=1*5,"rounding","CHECK")),IF(ABS(E125-D125)&lt;=1,"corrected","CHECK")))</f>
        <v>reproduced</v>
      </c>
      <c r="H125" s="38"/>
    </row>
    <row r="126" customFormat="false" ht="15" hidden="false" customHeight="false" outlineLevel="0" collapsed="false">
      <c r="A126" s="39" t="s">
        <v>785</v>
      </c>
      <c r="B126" s="40" t="s">
        <v>262</v>
      </c>
      <c r="C126" s="57" t="n">
        <v>0.995</v>
      </c>
      <c r="D126" s="57"/>
      <c r="E126" s="58" t="n">
        <f aca="false">'7. Urban'!B78</f>
        <v>0.995</v>
      </c>
      <c r="F126" s="59" t="n">
        <f aca="false">IF(D126="",E126-C126,E126-D126)</f>
        <v>0</v>
      </c>
      <c r="G126" s="40" t="str">
        <f aca="false">IF(ISNUMBER(E126)=FALSE(),"CHECK",IF(D126="",IF(ABS(E126-C126)&lt;=0.0005,"reproduced",IF(ABS(E126-C126)&lt;=0.0005*5,"rounding","CHECK")),IF(ABS(E126-D126)&lt;=0.0005,"corrected","CHECK")))</f>
        <v>reproduced</v>
      </c>
      <c r="H126" s="44"/>
    </row>
    <row r="127" customFormat="false" ht="15" hidden="false" customHeight="false" outlineLevel="0" collapsed="false">
      <c r="A127" s="3" t="s">
        <v>785</v>
      </c>
      <c r="B127" s="5" t="s">
        <v>804</v>
      </c>
      <c r="C127" s="67" t="n">
        <v>0.0467</v>
      </c>
      <c r="D127" s="67"/>
      <c r="E127" s="68" t="n">
        <f aca="false">'7. Urban'!B76</f>
        <v>0.0466629924242424</v>
      </c>
      <c r="F127" s="25" t="n">
        <f aca="false">IF(D127="",E127-C127,E127-D127)</f>
        <v>-3.70075757575722E-005</v>
      </c>
      <c r="G127" s="5" t="str">
        <f aca="false">IF(ISNUMBER(E127)=FALSE(),"CHECK",IF(D127="",IF(ABS(E127-C127)&lt;=0.00005,"reproduced",IF(ABS(E127-C127)&lt;=0.00005*5,"rounding","CHECK")),IF(ABS(E127-D127)&lt;=0.00005,"corrected","CHECK")))</f>
        <v>reproduced</v>
      </c>
      <c r="H127" s="38"/>
    </row>
    <row r="128" customFormat="false" ht="15" hidden="false" customHeight="false" outlineLevel="0" collapsed="false">
      <c r="A128" s="39" t="s">
        <v>785</v>
      </c>
      <c r="B128" s="40" t="s">
        <v>805</v>
      </c>
      <c r="C128" s="41" t="n">
        <v>150000</v>
      </c>
      <c r="D128" s="41"/>
      <c r="E128" s="42" t="n">
        <f aca="false">'7. Urban'!B83</f>
        <v>150000</v>
      </c>
      <c r="F128" s="43" t="n">
        <f aca="false">IF(D128="",E128-C128,E128-D128)</f>
        <v>0</v>
      </c>
      <c r="G128" s="40" t="str">
        <f aca="false">IF(ISNUMBER(E128)=FALSE(),"CHECK",IF(D128="",IF(ABS(E128-C128)&lt;=1,"reproduced",IF(ABS(E128-C128)&lt;=1*5,"rounding","CHECK")),IF(ABS(E128-D128)&lt;=1,"corrected","CHECK")))</f>
        <v>reproduced</v>
      </c>
      <c r="H128" s="44"/>
    </row>
    <row r="129" customFormat="false" ht="15" hidden="false" customHeight="false" outlineLevel="0" collapsed="false">
      <c r="A129" s="3" t="s">
        <v>806</v>
      </c>
      <c r="B129" s="5" t="s">
        <v>282</v>
      </c>
      <c r="C129" s="36" t="n">
        <v>15000000</v>
      </c>
      <c r="D129" s="36"/>
      <c r="E129" s="37" t="n">
        <f aca="false">'8. Cold storage'!B14</f>
        <v>15000000</v>
      </c>
      <c r="F129" s="9" t="n">
        <f aca="false">IF(D129="",E129-C129,E129-D129)</f>
        <v>0</v>
      </c>
      <c r="G129" s="5" t="str">
        <f aca="false">IF(ISNUMBER(E129)=FALSE(),"CHECK",IF(D129="",IF(ABS(E129-C129)&lt;=1,"reproduced",IF(ABS(E129-C129)&lt;=1*5,"rounding","CHECK")),IF(ABS(E129-D129)&lt;=1,"corrected","CHECK")))</f>
        <v>reproduced</v>
      </c>
      <c r="H129" s="38"/>
    </row>
    <row r="130" customFormat="false" ht="15" hidden="false" customHeight="false" outlineLevel="0" collapsed="false">
      <c r="A130" s="39" t="s">
        <v>806</v>
      </c>
      <c r="B130" s="40" t="s">
        <v>807</v>
      </c>
      <c r="C130" s="41" t="n">
        <v>23000000</v>
      </c>
      <c r="D130" s="41"/>
      <c r="E130" s="42" t="n">
        <f aca="false">'8. Cold storage'!B15</f>
        <v>23000000</v>
      </c>
      <c r="F130" s="43" t="n">
        <f aca="false">IF(D130="",E130-C130,E130-D130)</f>
        <v>0</v>
      </c>
      <c r="G130" s="40" t="str">
        <f aca="false">IF(ISNUMBER(E130)=FALSE(),"CHECK",IF(D130="",IF(ABS(E130-C130)&lt;=1,"reproduced",IF(ABS(E130-C130)&lt;=1*5,"rounding","CHECK")),IF(ABS(E130-D130)&lt;=1,"corrected","CHECK")))</f>
        <v>reproduced</v>
      </c>
      <c r="H130" s="44"/>
    </row>
    <row r="131" customFormat="false" ht="15" hidden="false" customHeight="false" outlineLevel="0" collapsed="false">
      <c r="A131" s="3" t="s">
        <v>806</v>
      </c>
      <c r="B131" s="5" t="s">
        <v>284</v>
      </c>
      <c r="C131" s="36" t="n">
        <v>1360000</v>
      </c>
      <c r="D131" s="36"/>
      <c r="E131" s="37" t="n">
        <f aca="false">'8. Cold storage'!B16</f>
        <v>1360000</v>
      </c>
      <c r="F131" s="9" t="n">
        <f aca="false">IF(D131="",E131-C131,E131-D131)</f>
        <v>0</v>
      </c>
      <c r="G131" s="5" t="str">
        <f aca="false">IF(ISNUMBER(E131)=FALSE(),"CHECK",IF(D131="",IF(ABS(E131-C131)&lt;=1,"reproduced",IF(ABS(E131-C131)&lt;=1*5,"rounding","CHECK")),IF(ABS(E131-D131)&lt;=1,"corrected","CHECK")))</f>
        <v>reproduced</v>
      </c>
      <c r="H131" s="38"/>
    </row>
    <row r="132" customFormat="false" ht="15" hidden="false" customHeight="false" outlineLevel="0" collapsed="false">
      <c r="A132" s="39" t="s">
        <v>806</v>
      </c>
      <c r="B132" s="40" t="s">
        <v>285</v>
      </c>
      <c r="C132" s="41" t="n">
        <v>25904762</v>
      </c>
      <c r="D132" s="41"/>
      <c r="E132" s="42" t="n">
        <f aca="false">'8. Cold storage'!B17</f>
        <v>25904761.9047619</v>
      </c>
      <c r="F132" s="43" t="n">
        <f aca="false">IF(D132="",E132-C132,E132-D132)</f>
        <v>-0.0952380932867527</v>
      </c>
      <c r="G132" s="40" t="str">
        <f aca="false">IF(ISNUMBER(E132)=FALSE(),"CHECK",IF(D132="",IF(ABS(E132-C132)&lt;=1,"reproduced",IF(ABS(E132-C132)&lt;=1*5,"rounding","CHECK")),IF(ABS(E132-D132)&lt;=1,"corrected","CHECK")))</f>
        <v>reproduced</v>
      </c>
      <c r="H132" s="44"/>
    </row>
    <row r="133" customFormat="false" ht="15" hidden="false" customHeight="false" outlineLevel="0" collapsed="false">
      <c r="A133" s="3" t="s">
        <v>806</v>
      </c>
      <c r="B133" s="5" t="s">
        <v>286</v>
      </c>
      <c r="C133" s="36" t="n">
        <v>2904762</v>
      </c>
      <c r="D133" s="36"/>
      <c r="E133" s="37" t="n">
        <f aca="false">'8. Cold storage'!B18</f>
        <v>2904761.90476191</v>
      </c>
      <c r="F133" s="9" t="n">
        <f aca="false">IF(D133="",E133-C133,E133-D133)</f>
        <v>-0.0952380932867527</v>
      </c>
      <c r="G133" s="5" t="str">
        <f aca="false">IF(ISNUMBER(E133)=FALSE(),"CHECK",IF(D133="",IF(ABS(E133-C133)&lt;=1,"reproduced",IF(ABS(E133-C133)&lt;=1*5,"rounding","CHECK")),IF(ABS(E133-D133)&lt;=1,"corrected","CHECK")))</f>
        <v>reproduced</v>
      </c>
      <c r="H133" s="38"/>
    </row>
    <row r="134" customFormat="false" ht="15" hidden="false" customHeight="false" outlineLevel="0" collapsed="false">
      <c r="A134" s="39" t="s">
        <v>806</v>
      </c>
      <c r="B134" s="40" t="s">
        <v>287</v>
      </c>
      <c r="C134" s="57" t="n">
        <v>0.126</v>
      </c>
      <c r="D134" s="57"/>
      <c r="E134" s="58" t="n">
        <f aca="false">'8. Cold storage'!B19</f>
        <v>0.126293995859213</v>
      </c>
      <c r="F134" s="59" t="n">
        <f aca="false">IF(D134="",E134-C134,E134-D134)</f>
        <v>0.000293995859213331</v>
      </c>
      <c r="G134" s="40" t="str">
        <f aca="false">IF(ISNUMBER(E134)=FALSE(),"CHECK",IF(D134="",IF(ABS(E134-C134)&lt;=0.0005,"reproduced",IF(ABS(E134-C134)&lt;=0.0005*5,"rounding","CHECK")),IF(ABS(E134-D134)&lt;=0.0005,"corrected","CHECK")))</f>
        <v>reproduced</v>
      </c>
      <c r="H134" s="44"/>
    </row>
    <row r="135" customFormat="false" ht="15" hidden="false" customHeight="false" outlineLevel="0" collapsed="false">
      <c r="A135" s="3" t="s">
        <v>806</v>
      </c>
      <c r="B135" s="5" t="s">
        <v>288</v>
      </c>
      <c r="C135" s="36" t="n">
        <v>42000000</v>
      </c>
      <c r="D135" s="36"/>
      <c r="E135" s="37" t="n">
        <f aca="false">'8. Cold storage'!B20</f>
        <v>42000000</v>
      </c>
      <c r="F135" s="9" t="n">
        <f aca="false">IF(D135="",E135-C135,E135-D135)</f>
        <v>0</v>
      </c>
      <c r="G135" s="5" t="str">
        <f aca="false">IF(ISNUMBER(E135)=FALSE(),"CHECK",IF(D135="",IF(ABS(E135-C135)&lt;=1,"reproduced",IF(ABS(E135-C135)&lt;=1*5,"rounding","CHECK")),IF(ABS(E135-D135)&lt;=1,"corrected","CHECK")))</f>
        <v>reproduced</v>
      </c>
      <c r="H135" s="38"/>
    </row>
    <row r="136" customFormat="false" ht="15" hidden="false" customHeight="false" outlineLevel="0" collapsed="false">
      <c r="A136" s="39" t="s">
        <v>806</v>
      </c>
      <c r="B136" s="40" t="s">
        <v>808</v>
      </c>
      <c r="C136" s="41" t="n">
        <v>53000000</v>
      </c>
      <c r="D136" s="41"/>
      <c r="E136" s="42" t="n">
        <f aca="false">'8. Cold storage'!B21</f>
        <v>53000000</v>
      </c>
      <c r="F136" s="43" t="n">
        <f aca="false">IF(D136="",E136-C136,E136-D136)</f>
        <v>0</v>
      </c>
      <c r="G136" s="40" t="str">
        <f aca="false">IF(ISNUMBER(E136)=FALSE(),"CHECK",IF(D136="",IF(ABS(E136-C136)&lt;=1,"reproduced",IF(ABS(E136-C136)&lt;=1*5,"rounding","CHECK")),IF(ABS(E136-D136)&lt;=1,"corrected","CHECK")))</f>
        <v>reproduced</v>
      </c>
      <c r="H136" s="44"/>
    </row>
    <row r="137" customFormat="false" ht="15" hidden="false" customHeight="false" outlineLevel="0" collapsed="false">
      <c r="A137" s="3" t="s">
        <v>806</v>
      </c>
      <c r="B137" s="5" t="s">
        <v>290</v>
      </c>
      <c r="C137" s="36" t="n">
        <v>2900000</v>
      </c>
      <c r="D137" s="36"/>
      <c r="E137" s="37" t="n">
        <f aca="false">'8. Cold storage'!B22</f>
        <v>2900000</v>
      </c>
      <c r="F137" s="9" t="n">
        <f aca="false">IF(D137="",E137-C137,E137-D137)</f>
        <v>0</v>
      </c>
      <c r="G137" s="5" t="str">
        <f aca="false">IF(ISNUMBER(E137)=FALSE(),"CHECK",IF(D137="",IF(ABS(E137-C137)&lt;=1,"reproduced",IF(ABS(E137-C137)&lt;=1*5,"rounding","CHECK")),IF(ABS(E137-D137)&lt;=1,"corrected","CHECK")))</f>
        <v>reproduced</v>
      </c>
      <c r="H137" s="38"/>
    </row>
    <row r="138" customFormat="false" ht="15" hidden="false" customHeight="false" outlineLevel="0" collapsed="false">
      <c r="A138" s="39" t="s">
        <v>806</v>
      </c>
      <c r="B138" s="40" t="s">
        <v>291</v>
      </c>
      <c r="C138" s="41" t="n">
        <v>41428571</v>
      </c>
      <c r="D138" s="41"/>
      <c r="E138" s="42" t="n">
        <f aca="false">'8. Cold storage'!B23</f>
        <v>41428571.4285714</v>
      </c>
      <c r="F138" s="43" t="n">
        <f aca="false">IF(D138="",E138-C138,E138-D138)</f>
        <v>0.428571425378323</v>
      </c>
      <c r="G138" s="40" t="str">
        <f aca="false">IF(ISNUMBER(E138)=FALSE(),"CHECK",IF(D138="",IF(ABS(E138-C138)&lt;=1,"reproduced",IF(ABS(E138-C138)&lt;=1*5,"rounding","CHECK")),IF(ABS(E138-D138)&lt;=1,"corrected","CHECK")))</f>
        <v>reproduced</v>
      </c>
      <c r="H138" s="44"/>
    </row>
    <row r="139" customFormat="false" ht="15" hidden="false" customHeight="false" outlineLevel="0" collapsed="false">
      <c r="A139" s="3" t="s">
        <v>806</v>
      </c>
      <c r="B139" s="5" t="s">
        <v>292</v>
      </c>
      <c r="C139" s="36" t="n">
        <v>11571429</v>
      </c>
      <c r="D139" s="36"/>
      <c r="E139" s="37" t="n">
        <f aca="false">'8. Cold storage'!B24</f>
        <v>11571428.5714286</v>
      </c>
      <c r="F139" s="9" t="n">
        <f aca="false">IF(D139="",E139-C139,E139-D139)</f>
        <v>-0.428571425378323</v>
      </c>
      <c r="G139" s="5" t="str">
        <f aca="false">IF(ISNUMBER(E139)=FALSE(),"CHECK",IF(D139="",IF(ABS(E139-C139)&lt;=1,"reproduced",IF(ABS(E139-C139)&lt;=1*5,"rounding","CHECK")),IF(ABS(E139-D139)&lt;=1,"corrected","CHECK")))</f>
        <v>reproduced</v>
      </c>
      <c r="H139" s="38"/>
    </row>
    <row r="140" customFormat="false" ht="15" hidden="false" customHeight="false" outlineLevel="0" collapsed="false">
      <c r="A140" s="39" t="s">
        <v>806</v>
      </c>
      <c r="B140" s="40" t="s">
        <v>293</v>
      </c>
      <c r="C140" s="47" t="n">
        <v>2.3</v>
      </c>
      <c r="D140" s="47"/>
      <c r="E140" s="48" t="n">
        <f aca="false">'8. Cold storage'!B25</f>
        <v>2.30434782608696</v>
      </c>
      <c r="F140" s="49" t="n">
        <f aca="false">IF(D140="",E140-C140,E140-D140)</f>
        <v>0.00434782608695672</v>
      </c>
      <c r="G140" s="40" t="str">
        <f aca="false">IF(ISNUMBER(E140)=FALSE(),"CHECK",IF(D140="",IF(ABS(E140-C140)&lt;=0.05,"reproduced",IF(ABS(E140-C140)&lt;=0.05*5,"rounding","CHECK")),IF(ABS(E140-D140)&lt;=0.05,"corrected","CHECK")))</f>
        <v>reproduced</v>
      </c>
      <c r="H140" s="44"/>
    </row>
    <row r="141" customFormat="false" ht="15" hidden="false" customHeight="false" outlineLevel="0" collapsed="false">
      <c r="A141" s="3" t="s">
        <v>806</v>
      </c>
      <c r="B141" s="5" t="s">
        <v>294</v>
      </c>
      <c r="C141" s="50" t="n">
        <v>2.1</v>
      </c>
      <c r="D141" s="50"/>
      <c r="E141" s="51" t="n">
        <f aca="false">'8. Cold storage'!B26</f>
        <v>2.13235294117647</v>
      </c>
      <c r="F141" s="23" t="n">
        <f aca="false">IF(D141="",E141-C141,E141-D141)</f>
        <v>0.0323529411764705</v>
      </c>
      <c r="G141" s="5" t="str">
        <f aca="false">IF(ISNUMBER(E141)=FALSE(),"CHECK",IF(D141="",IF(ABS(E141-C141)&lt;=0.05,"reproduced",IF(ABS(E141-C141)&lt;=0.05*5,"rounding","CHECK")),IF(ABS(E141-D141)&lt;=0.05,"corrected","CHECK")))</f>
        <v>reproduced</v>
      </c>
      <c r="H141" s="38"/>
    </row>
    <row r="142" customFormat="false" ht="15" hidden="false" customHeight="false" outlineLevel="0" collapsed="false">
      <c r="A142" s="39" t="s">
        <v>806</v>
      </c>
      <c r="B142" s="40" t="s">
        <v>809</v>
      </c>
      <c r="C142" s="41" t="n">
        <v>3710000</v>
      </c>
      <c r="D142" s="41"/>
      <c r="E142" s="42" t="n">
        <f aca="false">'8. Cold storage'!B27</f>
        <v>3710000</v>
      </c>
      <c r="F142" s="43" t="n">
        <f aca="false">IF(D142="",E142-C142,E142-D142)</f>
        <v>0</v>
      </c>
      <c r="G142" s="40" t="str">
        <f aca="false">IF(ISNUMBER(E142)=FALSE(),"CHECK",IF(D142="",IF(ABS(E142-C142)&lt;=1,"reproduced",IF(ABS(E142-C142)&lt;=1*5,"rounding","CHECK")),IF(ABS(E142-D142)&lt;=1,"corrected","CHECK")))</f>
        <v>reproduced</v>
      </c>
      <c r="H142" s="44"/>
    </row>
    <row r="143" customFormat="false" ht="15" hidden="false" customHeight="false" outlineLevel="0" collapsed="false">
      <c r="A143" s="3" t="s">
        <v>806</v>
      </c>
      <c r="B143" s="5" t="s">
        <v>62</v>
      </c>
      <c r="C143" s="75" t="n">
        <v>185.5</v>
      </c>
      <c r="D143" s="75"/>
      <c r="E143" s="76" t="n">
        <f aca="false">'8. Cold storage'!B28</f>
        <v>185.5</v>
      </c>
      <c r="F143" s="19" t="n">
        <f aca="false">IF(D143="",E143-C143,E143-D143)</f>
        <v>0</v>
      </c>
      <c r="G143" s="5" t="str">
        <f aca="false">IF(ISNUMBER(E143)=FALSE(),"CHECK",IF(D143="",IF(ABS(E143-C143)&lt;=0.006,"reproduced",IF(ABS(E143-C143)&lt;=0.006*5,"rounding","CHECK")),IF(ABS(E143-D143)&lt;=0.006,"corrected","CHECK")))</f>
        <v>reproduced</v>
      </c>
      <c r="H143" s="38"/>
    </row>
    <row r="144" customFormat="false" ht="15" hidden="false" customHeight="false" outlineLevel="0" collapsed="false">
      <c r="A144" s="39" t="s">
        <v>806</v>
      </c>
      <c r="B144" s="40" t="s">
        <v>810</v>
      </c>
      <c r="C144" s="57" t="n">
        <v>0.28</v>
      </c>
      <c r="D144" s="57"/>
      <c r="E144" s="58" t="n">
        <f aca="false">'8. Cold storage'!B29</f>
        <v>0.279310344827586</v>
      </c>
      <c r="F144" s="59" t="n">
        <f aca="false">IF(D144="",E144-C144,E144-D144)</f>
        <v>-0.000689655172413595</v>
      </c>
      <c r="G144" s="40" t="str">
        <f aca="false">IF(ISNUMBER(E144)=FALSE(),"CHECK",IF(D144="",IF(ABS(E144-C144)&lt;=0.005,"reproduced",IF(ABS(E144-C144)&lt;=0.005*5,"rounding","CHECK")),IF(ABS(E144-D144)&lt;=0.005,"corrected","CHECK")))</f>
        <v>reproduced</v>
      </c>
      <c r="H144" s="44"/>
    </row>
    <row r="145" customFormat="false" ht="15" hidden="false" customHeight="false" outlineLevel="0" collapsed="false">
      <c r="A145" s="3" t="s">
        <v>806</v>
      </c>
      <c r="B145" s="5" t="s">
        <v>811</v>
      </c>
      <c r="C145" s="36" t="n">
        <v>3600000</v>
      </c>
      <c r="D145" s="36"/>
      <c r="E145" s="37" t="n">
        <f aca="false">'8. Cold storage'!B37</f>
        <v>3600000</v>
      </c>
      <c r="F145" s="9" t="n">
        <f aca="false">IF(D145="",E145-C145,E145-D145)</f>
        <v>0</v>
      </c>
      <c r="G145" s="5" t="str">
        <f aca="false">IF(ISNUMBER(E145)=FALSE(),"CHECK",IF(D145="",IF(ABS(E145-C145)&lt;=1,"reproduced",IF(ABS(E145-C145)&lt;=1*5,"rounding","CHECK")),IF(ABS(E145-D145)&lt;=1,"corrected","CHECK")))</f>
        <v>reproduced</v>
      </c>
      <c r="H145" s="38"/>
    </row>
    <row r="146" customFormat="false" ht="15" hidden="false" customHeight="false" outlineLevel="0" collapsed="false">
      <c r="A146" s="39" t="s">
        <v>806</v>
      </c>
      <c r="B146" s="40" t="s">
        <v>304</v>
      </c>
      <c r="C146" s="41" t="n">
        <v>1200000</v>
      </c>
      <c r="D146" s="41"/>
      <c r="E146" s="42" t="n">
        <f aca="false">'8. Cold storage'!B38</f>
        <v>1200000</v>
      </c>
      <c r="F146" s="43" t="n">
        <f aca="false">IF(D146="",E146-C146,E146-D146)</f>
        <v>0</v>
      </c>
      <c r="G146" s="40" t="str">
        <f aca="false">IF(ISNUMBER(E146)=FALSE(),"CHECK",IF(D146="",IF(ABS(E146-C146)&lt;=1,"reproduced",IF(ABS(E146-C146)&lt;=1*5,"rounding","CHECK")),IF(ABS(E146-D146)&lt;=1,"corrected","CHECK")))</f>
        <v>reproduced</v>
      </c>
      <c r="H146" s="44"/>
    </row>
    <row r="147" customFormat="false" ht="15" hidden="false" customHeight="false" outlineLevel="0" collapsed="false">
      <c r="A147" s="3" t="s">
        <v>806</v>
      </c>
      <c r="B147" s="5" t="s">
        <v>305</v>
      </c>
      <c r="C147" s="36" t="n">
        <v>21818182</v>
      </c>
      <c r="D147" s="36"/>
      <c r="E147" s="37" t="n">
        <f aca="false">'8. Cold storage'!B39</f>
        <v>21818181.8181818</v>
      </c>
      <c r="F147" s="9" t="n">
        <f aca="false">IF(D147="",E147-C147,E147-D147)</f>
        <v>-0.181818183511496</v>
      </c>
      <c r="G147" s="5" t="str">
        <f aca="false">IF(ISNUMBER(E147)=FALSE(),"CHECK",IF(D147="",IF(ABS(E147-C147)&lt;=1,"reproduced",IF(ABS(E147-C147)&lt;=1*5,"rounding","CHECK")),IF(ABS(E147-D147)&lt;=1,"corrected","CHECK")))</f>
        <v>reproduced</v>
      </c>
      <c r="H147" s="38"/>
    </row>
    <row r="148" customFormat="false" ht="15" hidden="false" customHeight="false" outlineLevel="0" collapsed="false">
      <c r="A148" s="39" t="s">
        <v>806</v>
      </c>
      <c r="B148" s="40" t="s">
        <v>306</v>
      </c>
      <c r="C148" s="41" t="n">
        <v>18218182</v>
      </c>
      <c r="D148" s="41"/>
      <c r="E148" s="42" t="n">
        <f aca="false">'8. Cold storage'!B40</f>
        <v>18218181.8181818</v>
      </c>
      <c r="F148" s="43" t="n">
        <f aca="false">IF(D148="",E148-C148,E148-D148)</f>
        <v>-0.181818183511496</v>
      </c>
      <c r="G148" s="40" t="str">
        <f aca="false">IF(ISNUMBER(E148)=FALSE(),"CHECK",IF(D148="",IF(ABS(E148-C148)&lt;=1,"reproduced",IF(ABS(E148-C148)&lt;=1*5,"rounding","CHECK")),IF(ABS(E148-D148)&lt;=1,"corrected","CHECK")))</f>
        <v>reproduced</v>
      </c>
      <c r="H148" s="44"/>
    </row>
    <row r="149" customFormat="false" ht="15" hidden="false" customHeight="false" outlineLevel="0" collapsed="false">
      <c r="A149" s="3" t="s">
        <v>806</v>
      </c>
      <c r="B149" s="5" t="s">
        <v>812</v>
      </c>
      <c r="C149" s="45" t="n">
        <v>0.3</v>
      </c>
      <c r="D149" s="45"/>
      <c r="E149" s="46" t="n">
        <f aca="false">'8. Cold storage'!B41</f>
        <v>0.296724598930481</v>
      </c>
      <c r="F149" s="18" t="n">
        <f aca="false">IF(D149="",E149-C149,E149-D149)</f>
        <v>-0.00327540106951857</v>
      </c>
      <c r="G149" s="5" t="str">
        <f aca="false">IF(ISNUMBER(E149)=FALSE(),"CHECK",IF(D149="",IF(ABS(E149-C149)&lt;=0.005,"reproduced",IF(ABS(E149-C149)&lt;=0.005*5,"rounding","CHECK")),IF(ABS(E149-D149)&lt;=0.005,"corrected","CHECK")))</f>
        <v>reproduced</v>
      </c>
      <c r="H149" s="38"/>
    </row>
    <row r="150" customFormat="false" ht="15" hidden="false" customHeight="false" outlineLevel="0" collapsed="false">
      <c r="A150" s="39" t="s">
        <v>806</v>
      </c>
      <c r="B150" s="40" t="s">
        <v>813</v>
      </c>
      <c r="C150" s="41" t="n">
        <v>36000000</v>
      </c>
      <c r="D150" s="41"/>
      <c r="E150" s="42" t="n">
        <f aca="false">'8. Cold storage'!B42</f>
        <v>36000000</v>
      </c>
      <c r="F150" s="43" t="n">
        <f aca="false">IF(D150="",E150-C150,E150-D150)</f>
        <v>0</v>
      </c>
      <c r="G150" s="40" t="str">
        <f aca="false">IF(ISNUMBER(E150)=FALSE(),"CHECK",IF(D150="",IF(ABS(E150-C150)&lt;=1,"reproduced",IF(ABS(E150-C150)&lt;=1*5,"rounding","CHECK")),IF(ABS(E150-D150)&lt;=1,"corrected","CHECK")))</f>
        <v>reproduced</v>
      </c>
      <c r="H150" s="44"/>
    </row>
    <row r="151" customFormat="false" ht="15" hidden="false" customHeight="false" outlineLevel="0" collapsed="false">
      <c r="A151" s="3" t="s">
        <v>814</v>
      </c>
      <c r="B151" s="5" t="s">
        <v>815</v>
      </c>
      <c r="C151" s="36" t="n">
        <v>1248863</v>
      </c>
      <c r="D151" s="36"/>
      <c r="E151" s="37" t="n">
        <f aca="false">'9. Rent review'!K15</f>
        <v>1248862.96994767</v>
      </c>
      <c r="F151" s="9" t="n">
        <f aca="false">IF(D151="",E151-C151,E151-D151)</f>
        <v>-0.0300523343030363</v>
      </c>
      <c r="G151" s="5" t="str">
        <f aca="false">IF(ISNUMBER(E151)=FALSE(),"CHECK",IF(D151="",IF(ABS(E151-C151)&lt;=1,"reproduced",IF(ABS(E151-C151)&lt;=1*5,"rounding","CHECK")),IF(ABS(E151-D151)&lt;=1,"corrected","CHECK")))</f>
        <v>reproduced</v>
      </c>
      <c r="H151" s="38"/>
    </row>
    <row r="152" customFormat="false" ht="15" hidden="false" customHeight="false" outlineLevel="0" collapsed="false">
      <c r="A152" s="39" t="s">
        <v>814</v>
      </c>
      <c r="B152" s="40" t="s">
        <v>816</v>
      </c>
      <c r="C152" s="41" t="n">
        <v>11203382</v>
      </c>
      <c r="D152" s="41"/>
      <c r="E152" s="42" t="n">
        <f aca="false">'9. Rent review'!L15</f>
        <v>11203381.7678543</v>
      </c>
      <c r="F152" s="43" t="n">
        <f aca="false">IF(D152="",E152-C152,E152-D152)</f>
        <v>-0.232145689427853</v>
      </c>
      <c r="G152" s="40" t="str">
        <f aca="false">IF(ISNUMBER(E152)=FALSE(),"CHECK",IF(D152="",IF(ABS(E152-C152)&lt;=1,"reproduced",IF(ABS(E152-C152)&lt;=1*5,"rounding","CHECK")),IF(ABS(E152-D152)&lt;=1,"corrected","CHECK")))</f>
        <v>reproduced</v>
      </c>
      <c r="H152" s="44"/>
    </row>
    <row r="153" customFormat="false" ht="15" hidden="false" customHeight="false" outlineLevel="0" collapsed="false">
      <c r="A153" s="3" t="s">
        <v>814</v>
      </c>
      <c r="B153" s="5" t="s">
        <v>817</v>
      </c>
      <c r="C153" s="36" t="n">
        <v>1093685</v>
      </c>
      <c r="D153" s="36"/>
      <c r="E153" s="37" t="n">
        <f aca="false">'9. Rent review'!K16</f>
        <v>1093685.27268436</v>
      </c>
      <c r="F153" s="9" t="n">
        <f aca="false">IF(D153="",E153-C153,E153-D153)</f>
        <v>0.272684361087158</v>
      </c>
      <c r="G153" s="5" t="str">
        <f aca="false">IF(ISNUMBER(E153)=FALSE(),"CHECK",IF(D153="",IF(ABS(E153-C153)&lt;=1,"reproduced",IF(ABS(E153-C153)&lt;=1*5,"rounding","CHECK")),IF(ABS(E153-D153)&lt;=1,"corrected","CHECK")))</f>
        <v>reproduced</v>
      </c>
      <c r="H153" s="38"/>
    </row>
    <row r="154" customFormat="false" ht="15" hidden="false" customHeight="false" outlineLevel="0" collapsed="false">
      <c r="A154" s="39" t="s">
        <v>814</v>
      </c>
      <c r="B154" s="40" t="s">
        <v>818</v>
      </c>
      <c r="C154" s="41" t="n">
        <v>10462213</v>
      </c>
      <c r="D154" s="41"/>
      <c r="E154" s="42" t="n">
        <f aca="false">'9. Rent review'!L16</f>
        <v>10462212.5411205</v>
      </c>
      <c r="F154" s="43" t="n">
        <f aca="false">IF(D154="",E154-C154,E154-D154)</f>
        <v>-0.458879547193646</v>
      </c>
      <c r="G154" s="40" t="str">
        <f aca="false">IF(ISNUMBER(E154)=FALSE(),"CHECK",IF(D154="",IF(ABS(E154-C154)&lt;=1,"reproduced",IF(ABS(E154-C154)&lt;=1*5,"rounding","CHECK")),IF(ABS(E154-D154)&lt;=1,"corrected","CHECK")))</f>
        <v>reproduced</v>
      </c>
      <c r="H154" s="44"/>
    </row>
    <row r="155" customFormat="false" ht="15" hidden="false" customHeight="false" outlineLevel="0" collapsed="false">
      <c r="A155" s="3" t="s">
        <v>814</v>
      </c>
      <c r="B155" s="5" t="s">
        <v>819</v>
      </c>
      <c r="C155" s="36" t="n">
        <v>1248863</v>
      </c>
      <c r="D155" s="36"/>
      <c r="E155" s="37" t="n">
        <f aca="false">'9. Rent review'!K17</f>
        <v>1248862.96994767</v>
      </c>
      <c r="F155" s="9" t="n">
        <f aca="false">IF(D155="",E155-C155,E155-D155)</f>
        <v>-0.0300523343030363</v>
      </c>
      <c r="G155" s="5" t="str">
        <f aca="false">IF(ISNUMBER(E155)=FALSE(),"CHECK",IF(D155="",IF(ABS(E155-C155)&lt;=1,"reproduced",IF(ABS(E155-C155)&lt;=1*5,"rounding","CHECK")),IF(ABS(E155-D155)&lt;=1,"corrected","CHECK")))</f>
        <v>reproduced</v>
      </c>
      <c r="H155" s="38"/>
    </row>
    <row r="156" customFormat="false" ht="15" hidden="false" customHeight="false" outlineLevel="0" collapsed="false">
      <c r="A156" s="39" t="s">
        <v>814</v>
      </c>
      <c r="B156" s="40" t="s">
        <v>820</v>
      </c>
      <c r="C156" s="41" t="n">
        <v>11203382</v>
      </c>
      <c r="D156" s="41"/>
      <c r="E156" s="42" t="n">
        <f aca="false">'9. Rent review'!L17</f>
        <v>11203381.7678543</v>
      </c>
      <c r="F156" s="43" t="n">
        <f aca="false">IF(D156="",E156-C156,E156-D156)</f>
        <v>-0.232145689427853</v>
      </c>
      <c r="G156" s="40" t="str">
        <f aca="false">IF(ISNUMBER(E156)=FALSE(),"CHECK",IF(D156="",IF(ABS(E156-C156)&lt;=1,"reproduced",IF(ABS(E156-C156)&lt;=1*5,"rounding","CHECK")),IF(ABS(E156-D156)&lt;=1,"corrected","CHECK")))</f>
        <v>reproduced</v>
      </c>
      <c r="H156" s="44"/>
    </row>
    <row r="157" customFormat="false" ht="15" hidden="false" customHeight="false" outlineLevel="0" collapsed="false">
      <c r="A157" s="3" t="s">
        <v>814</v>
      </c>
      <c r="B157" s="5" t="s">
        <v>821</v>
      </c>
      <c r="C157" s="36" t="n">
        <v>1423312</v>
      </c>
      <c r="D157" s="36"/>
      <c r="E157" s="37" t="n">
        <f aca="false">'9. Rent review'!K18</f>
        <v>1423311.81242148</v>
      </c>
      <c r="F157" s="9" t="n">
        <f aca="false">IF(D157="",E157-C157,E157-D157)</f>
        <v>-0.187578515382484</v>
      </c>
      <c r="G157" s="5" t="str">
        <f aca="false">IF(ISNUMBER(E157)=FALSE(),"CHECK",IF(D157="",IF(ABS(E157-C157)&lt;=1,"reproduced",IF(ABS(E157-C157)&lt;=1*5,"rounding","CHECK")),IF(ABS(E157-D157)&lt;=1,"corrected","CHECK")))</f>
        <v>reproduced</v>
      </c>
      <c r="H157" s="38"/>
    </row>
    <row r="158" customFormat="false" ht="15" hidden="false" customHeight="false" outlineLevel="0" collapsed="false">
      <c r="A158" s="39" t="s">
        <v>814</v>
      </c>
      <c r="B158" s="40" t="s">
        <v>822</v>
      </c>
      <c r="C158" s="41" t="n">
        <v>12006107</v>
      </c>
      <c r="D158" s="41"/>
      <c r="E158" s="42" t="n">
        <f aca="false">'9. Rent review'!L18</f>
        <v>12006107.1229586</v>
      </c>
      <c r="F158" s="43" t="n">
        <f aca="false">IF(D158="",E158-C158,E158-D158)</f>
        <v>0.122958598658443</v>
      </c>
      <c r="G158" s="40" t="str">
        <f aca="false">IF(ISNUMBER(E158)=FALSE(),"CHECK",IF(D158="",IF(ABS(E158-C158)&lt;=1,"reproduced",IF(ABS(E158-C158)&lt;=1*5,"rounding","CHECK")),IF(ABS(E158-D158)&lt;=1,"corrected","CHECK")))</f>
        <v>reproduced</v>
      </c>
      <c r="H158" s="44"/>
    </row>
    <row r="159" customFormat="false" ht="15" hidden="false" customHeight="false" outlineLevel="0" collapsed="false">
      <c r="A159" s="3" t="s">
        <v>814</v>
      </c>
      <c r="B159" s="5" t="s">
        <v>823</v>
      </c>
      <c r="C159" s="36" t="n">
        <v>1689479</v>
      </c>
      <c r="D159" s="36"/>
      <c r="E159" s="37" t="n">
        <f aca="false">'9. Rent review'!K19</f>
        <v>1689478.95900269</v>
      </c>
      <c r="F159" s="9" t="n">
        <f aca="false">IF(D159="",E159-C159,E159-D159)</f>
        <v>-0.0409973075147718</v>
      </c>
      <c r="G159" s="5" t="str">
        <f aca="false">IF(ISNUMBER(E159)=FALSE(),"CHECK",IF(D159="",IF(ABS(E159-C159)&lt;=1,"reproduced",IF(ABS(E159-C159)&lt;=1*5,"rounding","CHECK")),IF(ABS(E159-D159)&lt;=1,"corrected","CHECK")))</f>
        <v>reproduced</v>
      </c>
      <c r="H159" s="38"/>
    </row>
    <row r="160" customFormat="false" ht="15" hidden="false" customHeight="false" outlineLevel="0" collapsed="false">
      <c r="A160" s="39" t="s">
        <v>814</v>
      </c>
      <c r="B160" s="40" t="s">
        <v>824</v>
      </c>
      <c r="C160" s="41" t="n">
        <v>13180795</v>
      </c>
      <c r="D160" s="41"/>
      <c r="E160" s="42" t="n">
        <f aca="false">'9. Rent review'!L19</f>
        <v>13180794.9423809</v>
      </c>
      <c r="F160" s="43" t="n">
        <f aca="false">IF(D160="",E160-C160,E160-D160)</f>
        <v>-0.0576191060245037</v>
      </c>
      <c r="G160" s="40" t="str">
        <f aca="false">IF(ISNUMBER(E160)=FALSE(),"CHECK",IF(D160="",IF(ABS(E160-C160)&lt;=1,"reproduced",IF(ABS(E160-C160)&lt;=1*5,"rounding","CHECK")),IF(ABS(E160-D160)&lt;=1,"corrected","CHECK")))</f>
        <v>reproduced</v>
      </c>
      <c r="H160" s="44"/>
    </row>
    <row r="161" customFormat="false" ht="15" hidden="false" customHeight="false" outlineLevel="0" collapsed="false">
      <c r="A161" s="3" t="s">
        <v>814</v>
      </c>
      <c r="B161" s="5" t="s">
        <v>825</v>
      </c>
      <c r="C161" s="36" t="n">
        <v>1174688</v>
      </c>
      <c r="D161" s="36"/>
      <c r="E161" s="37" t="n">
        <f aca="false">'9. Rent review'!B22</f>
        <v>1174687.8194223</v>
      </c>
      <c r="F161" s="9" t="n">
        <f aca="false">IF(D161="",E161-C161,E161-D161)</f>
        <v>-0.180577704682946</v>
      </c>
      <c r="G161" s="5" t="str">
        <f aca="false">IF(ISNUMBER(E161)=FALSE(),"CHECK",IF(D161="",IF(ABS(E161-C161)&lt;=1,"reproduced",IF(ABS(E161-C161)&lt;=1*5,"rounding","CHECK")),IF(ABS(E161-D161)&lt;=1,"corrected","CHECK")))</f>
        <v>reproduced</v>
      </c>
      <c r="H161" s="38"/>
    </row>
    <row r="162" customFormat="false" ht="15" hidden="false" customHeight="false" outlineLevel="0" collapsed="false">
      <c r="A162" s="39" t="s">
        <v>814</v>
      </c>
      <c r="B162" s="40" t="s">
        <v>826</v>
      </c>
      <c r="C162" s="41" t="n">
        <v>266167</v>
      </c>
      <c r="D162" s="41"/>
      <c r="E162" s="42" t="n">
        <f aca="false">'9. Rent review'!B23</f>
        <v>266167.146581208</v>
      </c>
      <c r="F162" s="43" t="n">
        <f aca="false">IF(D162="",E162-C162,E162-D162)</f>
        <v>0.146581207867712</v>
      </c>
      <c r="G162" s="40" t="str">
        <f aca="false">IF(ISNUMBER(E162)=FALSE(),"CHECK",IF(D162="",IF(ABS(E162-C162)&lt;=1,"reproduced",IF(ABS(E162-C162)&lt;=1*5,"rounding","CHECK")),IF(ABS(E162-D162)&lt;=1,"corrected","CHECK")))</f>
        <v>reproduced</v>
      </c>
      <c r="H162" s="44"/>
    </row>
    <row r="163" customFormat="false" ht="15" hidden="false" customHeight="false" outlineLevel="0" collapsed="false">
      <c r="A163" s="3" t="s">
        <v>814</v>
      </c>
      <c r="B163" s="5" t="s">
        <v>827</v>
      </c>
      <c r="C163" s="36" t="n">
        <v>4839400</v>
      </c>
      <c r="D163" s="36"/>
      <c r="E163" s="37" t="n">
        <f aca="false">'9. Rent review'!B24</f>
        <v>4839402.66511287</v>
      </c>
      <c r="F163" s="9" t="n">
        <f aca="false">IF(D163="",E163-C163,E163-D163)</f>
        <v>2.66511287074536</v>
      </c>
      <c r="G163" s="5" t="str">
        <f aca="false">IF(ISNUMBER(E163)=FALSE(),"CHECK",IF(D163="",IF(ABS(E163-C163)&lt;=5,"reproduced",IF(ABS(E163-C163)&lt;=5*5,"rounding","CHECK")),IF(ABS(E163-D163)&lt;=5,"corrected","CHECK")))</f>
        <v>reproduced</v>
      </c>
      <c r="H163" s="38"/>
    </row>
    <row r="164" customFormat="false" ht="15" hidden="false" customHeight="false" outlineLevel="0" collapsed="false">
      <c r="A164" s="39" t="s">
        <v>814</v>
      </c>
      <c r="B164" s="40" t="s">
        <v>828</v>
      </c>
      <c r="C164" s="41" t="n">
        <v>6000000</v>
      </c>
      <c r="D164" s="41"/>
      <c r="E164" s="42" t="n">
        <f aca="false">'9. Rent review'!B25</f>
        <v>6014090.48453517</v>
      </c>
      <c r="F164" s="43" t="n">
        <f aca="false">IF(D164="",E164-C164,E164-D164)</f>
        <v>14090.4845351661</v>
      </c>
      <c r="G164" s="40" t="str">
        <f aca="false">IF(ISNUMBER(E164)=FALSE(),"CHECK",IF(D164="",IF(ABS(E164-C164)&lt;=100000,"reproduced",IF(ABS(E164-C164)&lt;=100000*5,"rounding","CHECK")),IF(ABS(E164-D164)&lt;=100000,"corrected","CHECK")))</f>
        <v>reproduced</v>
      </c>
      <c r="H164" s="44" t="s">
        <v>829</v>
      </c>
    </row>
    <row r="165" customFormat="false" ht="15" hidden="false" customHeight="false" outlineLevel="0" collapsed="false">
      <c r="A165" s="3" t="s">
        <v>814</v>
      </c>
      <c r="B165" s="5" t="s">
        <v>830</v>
      </c>
      <c r="C165" s="36" t="n">
        <v>1246182</v>
      </c>
      <c r="D165" s="36"/>
      <c r="E165" s="37" t="n">
        <f aca="false">'9. Rent review'!G20</f>
        <v>1246181.93765312</v>
      </c>
      <c r="F165" s="9" t="n">
        <f aca="false">IF(D165="",E165-C165,E165-D165)</f>
        <v>-0.0623468752019107</v>
      </c>
      <c r="G165" s="5" t="str">
        <f aca="false">IF(ISNUMBER(E165)=FALSE(),"CHECK",IF(D165="",IF(ABS(E165-C165)&lt;=1,"reproduced",IF(ABS(E165-C165)&lt;=1*5,"rounding","CHECK")),IF(ABS(E165-D165)&lt;=1,"corrected","CHECK")))</f>
        <v>reproduced</v>
      </c>
      <c r="H165" s="38"/>
    </row>
    <row r="166" customFormat="false" ht="15" hidden="false" customHeight="false" outlineLevel="0" collapsed="false">
      <c r="A166" s="39" t="s">
        <v>814</v>
      </c>
      <c r="B166" s="40" t="s">
        <v>831</v>
      </c>
      <c r="C166" s="41" t="n">
        <v>11230910</v>
      </c>
      <c r="D166" s="41"/>
      <c r="E166" s="42" t="n">
        <f aca="false">'9. Rent review'!L20</f>
        <v>11230909.6882656</v>
      </c>
      <c r="F166" s="43" t="n">
        <f aca="false">IF(D166="",E166-C166,E166-D166)</f>
        <v>-0.311734376475215</v>
      </c>
      <c r="G166" s="40" t="str">
        <f aca="false">IF(ISNUMBER(E166)=FALSE(),"CHECK",IF(D166="",IF(ABS(E166-C166)&lt;=1,"reproduced",IF(ABS(E166-C166)&lt;=1*5,"rounding","CHECK")),IF(ABS(E166-D166)&lt;=1,"corrected","CHECK")))</f>
        <v>reproduced</v>
      </c>
      <c r="H166" s="44"/>
    </row>
    <row r="167" customFormat="false" ht="15" hidden="false" customHeight="false" outlineLevel="0" collapsed="false">
      <c r="A167" s="3" t="s">
        <v>814</v>
      </c>
      <c r="B167" s="5" t="s">
        <v>832</v>
      </c>
      <c r="C167" s="36" t="n">
        <v>1552969</v>
      </c>
      <c r="D167" s="36"/>
      <c r="E167" s="37" t="n">
        <f aca="false">'9. Rent review'!B26</f>
        <v>1552969.4217329</v>
      </c>
      <c r="F167" s="9" t="n">
        <f aca="false">IF(D167="",E167-C167,E167-D167)</f>
        <v>0.421732896007597</v>
      </c>
      <c r="G167" s="5" t="str">
        <f aca="false">IF(ISNUMBER(E167)=FALSE(),"CHECK",IF(D167="",IF(ABS(E167-C167)&lt;=1,"reproduced",IF(ABS(E167-C167)&lt;=1*5,"rounding","CHECK")),IF(ABS(E167-D167)&lt;=1,"corrected","CHECK")))</f>
        <v>reproduced</v>
      </c>
      <c r="H167" s="38"/>
    </row>
    <row r="168" customFormat="false" ht="15" hidden="false" customHeight="false" outlineLevel="0" collapsed="false">
      <c r="A168" s="39" t="s">
        <v>833</v>
      </c>
      <c r="B168" s="40" t="s">
        <v>834</v>
      </c>
      <c r="C168" s="41" t="n">
        <v>1800000</v>
      </c>
      <c r="D168" s="41"/>
      <c r="E168" s="42" t="n">
        <f aca="false">'10. Income'!B12</f>
        <v>1800000</v>
      </c>
      <c r="F168" s="43" t="n">
        <f aca="false">IF(D168="",E168-C168,E168-D168)</f>
        <v>0</v>
      </c>
      <c r="G168" s="40" t="str">
        <f aca="false">IF(ISNUMBER(E168)=FALSE(),"CHECK",IF(D168="",IF(ABS(E168-C168)&lt;=1,"reproduced",IF(ABS(E168-C168)&lt;=1*5,"rounding","CHECK")),IF(ABS(E168-D168)&lt;=1,"corrected","CHECK")))</f>
        <v>reproduced</v>
      </c>
      <c r="H168" s="44"/>
    </row>
    <row r="169" customFormat="false" ht="15" hidden="false" customHeight="false" outlineLevel="0" collapsed="false">
      <c r="A169" s="3" t="s">
        <v>833</v>
      </c>
      <c r="B169" s="5" t="s">
        <v>650</v>
      </c>
      <c r="C169" s="36" t="n">
        <v>1350000</v>
      </c>
      <c r="D169" s="36"/>
      <c r="E169" s="37" t="n">
        <f aca="false">'10. Income'!B13</f>
        <v>1350000</v>
      </c>
      <c r="F169" s="9" t="n">
        <f aca="false">IF(D169="",E169-C169,E169-D169)</f>
        <v>0</v>
      </c>
      <c r="G169" s="5" t="str">
        <f aca="false">IF(ISNUMBER(E169)=FALSE(),"CHECK",IF(D169="",IF(ABS(E169-C169)&lt;=1,"reproduced",IF(ABS(E169-C169)&lt;=1*5,"rounding","CHECK")),IF(ABS(E169-D169)&lt;=1,"corrected","CHECK")))</f>
        <v>reproduced</v>
      </c>
      <c r="H169" s="38"/>
    </row>
    <row r="170" customFormat="false" ht="15" hidden="false" customHeight="false" outlineLevel="0" collapsed="false">
      <c r="A170" s="39" t="s">
        <v>833</v>
      </c>
      <c r="B170" s="40" t="s">
        <v>835</v>
      </c>
      <c r="C170" s="41" t="n">
        <v>2600000</v>
      </c>
      <c r="D170" s="41"/>
      <c r="E170" s="42" t="n">
        <f aca="false">'10. Income'!B14</f>
        <v>2600000</v>
      </c>
      <c r="F170" s="43" t="n">
        <f aca="false">IF(D170="",E170-C170,E170-D170)</f>
        <v>0</v>
      </c>
      <c r="G170" s="40" t="str">
        <f aca="false">IF(ISNUMBER(E170)=FALSE(),"CHECK",IF(D170="",IF(ABS(E170-C170)&lt;=1,"reproduced",IF(ABS(E170-C170)&lt;=1*5,"rounding","CHECK")),IF(ABS(E170-D170)&lt;=1,"corrected","CHECK")))</f>
        <v>reproduced</v>
      </c>
      <c r="H170" s="44"/>
    </row>
    <row r="171" customFormat="false" ht="15" hidden="false" customHeight="false" outlineLevel="0" collapsed="false">
      <c r="A171" s="3" t="s">
        <v>833</v>
      </c>
      <c r="B171" s="5" t="s">
        <v>836</v>
      </c>
      <c r="C171" s="36" t="n">
        <v>9000000</v>
      </c>
      <c r="D171" s="36"/>
      <c r="E171" s="37" t="n">
        <f aca="false">'10. Income'!B15</f>
        <v>9000000</v>
      </c>
      <c r="F171" s="9" t="n">
        <f aca="false">IF(D171="",E171-C171,E171-D171)</f>
        <v>0</v>
      </c>
      <c r="G171" s="5" t="str">
        <f aca="false">IF(ISNUMBER(E171)=FALSE(),"CHECK",IF(D171="",IF(ABS(E171-C171)&lt;=1,"reproduced",IF(ABS(E171-C171)&lt;=1*5,"rounding","CHECK")),IF(ABS(E171-D171)&lt;=1,"corrected","CHECK")))</f>
        <v>reproduced</v>
      </c>
      <c r="H171" s="38"/>
    </row>
    <row r="172" customFormat="false" ht="15" hidden="false" customHeight="false" outlineLevel="0" collapsed="false">
      <c r="A172" s="39" t="s">
        <v>833</v>
      </c>
      <c r="B172" s="40" t="s">
        <v>837</v>
      </c>
      <c r="C172" s="41" t="n">
        <v>1280000</v>
      </c>
      <c r="D172" s="41"/>
      <c r="E172" s="42" t="n">
        <f aca="false">'10. Income'!B16</f>
        <v>1280000</v>
      </c>
      <c r="F172" s="43" t="n">
        <f aca="false">IF(D172="",E172-C172,E172-D172)</f>
        <v>0</v>
      </c>
      <c r="G172" s="40" t="str">
        <f aca="false">IF(ISNUMBER(E172)=FALSE(),"CHECK",IF(D172="",IF(ABS(E172-C172)&lt;=1,"reproduced",IF(ABS(E172-C172)&lt;=1*5,"rounding","CHECK")),IF(ABS(E172-D172)&lt;=1,"corrected","CHECK")))</f>
        <v>reproduced</v>
      </c>
      <c r="H172" s="44"/>
    </row>
    <row r="173" customFormat="false" ht="15" hidden="false" customHeight="false" outlineLevel="0" collapsed="false">
      <c r="A173" s="3" t="s">
        <v>833</v>
      </c>
      <c r="B173" s="5" t="s">
        <v>838</v>
      </c>
      <c r="C173" s="75" t="n">
        <v>51.2</v>
      </c>
      <c r="D173" s="75"/>
      <c r="E173" s="76" t="n">
        <f aca="false">'10. Income'!B17</f>
        <v>51.2</v>
      </c>
      <c r="F173" s="19" t="n">
        <f aca="false">IF(D173="",E173-C173,E173-D173)</f>
        <v>0</v>
      </c>
      <c r="G173" s="5" t="str">
        <f aca="false">IF(ISNUMBER(E173)=FALSE(),"CHECK",IF(D173="",IF(ABS(E173-C173)&lt;=0.006,"reproduced",IF(ABS(E173-C173)&lt;=0.006*5,"rounding","CHECK")),IF(ABS(E173-D173)&lt;=0.006,"corrected","CHECK")))</f>
        <v>reproduced</v>
      </c>
      <c r="H173" s="38"/>
    </row>
    <row r="174" customFormat="false" ht="15" hidden="false" customHeight="false" outlineLevel="0" collapsed="false">
      <c r="A174" s="39" t="s">
        <v>833</v>
      </c>
      <c r="B174" s="40" t="s">
        <v>839</v>
      </c>
      <c r="C174" s="57" t="n">
        <v>0.71</v>
      </c>
      <c r="D174" s="57"/>
      <c r="E174" s="58" t="n">
        <f aca="false">'10. Income'!B18</f>
        <v>0.711111111111111</v>
      </c>
      <c r="F174" s="59" t="n">
        <f aca="false">IF(D174="",E174-C174,E174-D174)</f>
        <v>0.00111111111111117</v>
      </c>
      <c r="G174" s="40" t="str">
        <f aca="false">IF(ISNUMBER(E174)=FALSE(),"CHECK",IF(D174="",IF(ABS(E174-C174)&lt;=0.005,"reproduced",IF(ABS(E174-C174)&lt;=0.005*5,"rounding","CHECK")),IF(ABS(E174-D174)&lt;=0.005,"corrected","CHECK")))</f>
        <v>reproduced</v>
      </c>
      <c r="H174" s="44"/>
    </row>
    <row r="175" customFormat="false" ht="15" hidden="false" customHeight="false" outlineLevel="0" collapsed="false">
      <c r="A175" s="3" t="s">
        <v>833</v>
      </c>
      <c r="B175" s="5" t="s">
        <v>840</v>
      </c>
      <c r="C175" s="36" t="n">
        <v>18000000</v>
      </c>
      <c r="D175" s="36"/>
      <c r="E175" s="37" t="n">
        <f aca="false">'10. Income'!B19</f>
        <v>18000000</v>
      </c>
      <c r="F175" s="9" t="n">
        <f aca="false">IF(D175="",E175-C175,E175-D175)</f>
        <v>0</v>
      </c>
      <c r="G175" s="5" t="str">
        <f aca="false">IF(ISNUMBER(E175)=FALSE(),"CHECK",IF(D175="",IF(ABS(E175-C175)&lt;=1,"reproduced",IF(ABS(E175-C175)&lt;=1*5,"rounding","CHECK")),IF(ABS(E175-D175)&lt;=1,"corrected","CHECK")))</f>
        <v>reproduced</v>
      </c>
      <c r="H175" s="38"/>
    </row>
    <row r="176" customFormat="false" ht="15" hidden="false" customHeight="false" outlineLevel="0" collapsed="false">
      <c r="A176" s="39" t="s">
        <v>833</v>
      </c>
      <c r="B176" s="40" t="s">
        <v>358</v>
      </c>
      <c r="C176" s="41" t="n">
        <v>1540000</v>
      </c>
      <c r="D176" s="41"/>
      <c r="E176" s="42" t="n">
        <f aca="false">'10. Income'!B20</f>
        <v>1540000</v>
      </c>
      <c r="F176" s="43" t="n">
        <f aca="false">IF(D176="",E176-C176,E176-D176)</f>
        <v>0</v>
      </c>
      <c r="G176" s="40" t="str">
        <f aca="false">IF(ISNUMBER(E176)=FALSE(),"CHECK",IF(D176="",IF(ABS(E176-C176)&lt;=1,"reproduced",IF(ABS(E176-C176)&lt;=1*5,"rounding","CHECK")),IF(ABS(E176-D176)&lt;=1,"corrected","CHECK")))</f>
        <v>reproduced</v>
      </c>
      <c r="H176" s="44"/>
    </row>
    <row r="177" customFormat="false" ht="15" hidden="false" customHeight="false" outlineLevel="0" collapsed="false">
      <c r="A177" s="3" t="s">
        <v>833</v>
      </c>
      <c r="B177" s="5" t="s">
        <v>838</v>
      </c>
      <c r="C177" s="75" t="n">
        <v>61.6</v>
      </c>
      <c r="D177" s="75"/>
      <c r="E177" s="76" t="n">
        <f aca="false">'10. Income'!B21</f>
        <v>61.6</v>
      </c>
      <c r="F177" s="19" t="n">
        <f aca="false">IF(D177="",E177-C177,E177-D177)</f>
        <v>0</v>
      </c>
      <c r="G177" s="5" t="str">
        <f aca="false">IF(ISNUMBER(E177)=FALSE(),"CHECK",IF(D177="",IF(ABS(E177-C177)&lt;=0.006,"reproduced",IF(ABS(E177-C177)&lt;=0.006*5,"rounding","CHECK")),IF(ABS(E177-D177)&lt;=0.006,"corrected","CHECK")))</f>
        <v>reproduced</v>
      </c>
      <c r="H177" s="38"/>
    </row>
    <row r="178" customFormat="false" ht="15" hidden="false" customHeight="false" outlineLevel="0" collapsed="false">
      <c r="A178" s="39" t="s">
        <v>833</v>
      </c>
      <c r="B178" s="40" t="s">
        <v>839</v>
      </c>
      <c r="C178" s="57" t="n">
        <v>0.86</v>
      </c>
      <c r="D178" s="57"/>
      <c r="E178" s="58" t="n">
        <f aca="false">'10. Income'!B22</f>
        <v>0.855555555555556</v>
      </c>
      <c r="F178" s="59" t="n">
        <f aca="false">IF(D178="",E178-C178,E178-D178)</f>
        <v>-0.00444444444444447</v>
      </c>
      <c r="G178" s="40" t="str">
        <f aca="false">IF(ISNUMBER(E178)=FALSE(),"CHECK",IF(D178="",IF(ABS(E178-C178)&lt;=0.005,"reproduced",IF(ABS(E178-C178)&lt;=0.005*5,"rounding","CHECK")),IF(ABS(E178-D178)&lt;=0.005,"corrected","CHECK")))</f>
        <v>reproduced</v>
      </c>
      <c r="H178" s="44"/>
    </row>
    <row r="179" customFormat="false" ht="15" hidden="false" customHeight="false" outlineLevel="0" collapsed="false">
      <c r="A179" s="3" t="s">
        <v>833</v>
      </c>
      <c r="B179" s="5" t="s">
        <v>684</v>
      </c>
      <c r="C179" s="36" t="n">
        <v>450000</v>
      </c>
      <c r="D179" s="36"/>
      <c r="E179" s="37" t="n">
        <f aca="false">'10. Income'!B23</f>
        <v>450000</v>
      </c>
      <c r="F179" s="9" t="n">
        <f aca="false">IF(D179="",E179-C179,E179-D179)</f>
        <v>0</v>
      </c>
      <c r="G179" s="5" t="str">
        <f aca="false">IF(ISNUMBER(E179)=FALSE(),"CHECK",IF(D179="",IF(ABS(E179-C179)&lt;=1,"reproduced",IF(ABS(E179-C179)&lt;=1*5,"rounding","CHECK")),IF(ABS(E179-D179)&lt;=1,"corrected","CHECK")))</f>
        <v>reproduced</v>
      </c>
      <c r="H179" s="38"/>
    </row>
    <row r="180" customFormat="false" ht="15" hidden="false" customHeight="false" outlineLevel="0" collapsed="false">
      <c r="A180" s="39" t="s">
        <v>833</v>
      </c>
      <c r="B180" s="40" t="s">
        <v>360</v>
      </c>
      <c r="C180" s="41" t="n">
        <v>424528</v>
      </c>
      <c r="D180" s="41"/>
      <c r="E180" s="42" t="n">
        <f aca="false">'10. Income'!B24</f>
        <v>424528.301886792</v>
      </c>
      <c r="F180" s="43" t="n">
        <f aca="false">IF(D180="",E180-C180,E180-D180)</f>
        <v>0.301886792411096</v>
      </c>
      <c r="G180" s="40" t="str">
        <f aca="false">IF(ISNUMBER(E180)=FALSE(),"CHECK",IF(D180="",IF(ABS(E180-C180)&lt;=1,"reproduced",IF(ABS(E180-C180)&lt;=1*5,"rounding","CHECK")),IF(ABS(E180-D180)&lt;=1,"corrected","CHECK")))</f>
        <v>reproduced</v>
      </c>
      <c r="H180" s="44"/>
    </row>
    <row r="181" customFormat="false" ht="15" hidden="false" customHeight="false" outlineLevel="0" collapsed="false">
      <c r="A181" s="3" t="s">
        <v>833</v>
      </c>
      <c r="B181" s="5" t="s">
        <v>841</v>
      </c>
      <c r="C181" s="77" t="n">
        <v>0.889996</v>
      </c>
      <c r="D181" s="77"/>
      <c r="E181" s="78" t="n">
        <f aca="false">'10. Income'!B25</f>
        <v>0.88999644001424</v>
      </c>
      <c r="F181" s="30" t="n">
        <f aca="false">IF(D181="",E181-C181,E181-D181)</f>
        <v>4.40014239821984E-007</v>
      </c>
      <c r="G181" s="5" t="str">
        <f aca="false">IF(ISNUMBER(E181)=FALSE(),"CHECK",IF(D181="",IF(ABS(E181-C181)&lt;=0.0000006,"reproduced",IF(ABS(E181-C181)&lt;=0.0000006*5,"rounding","CHECK")),IF(ABS(E181-D181)&lt;=0.0000006,"corrected","CHECK")))</f>
        <v>reproduced</v>
      </c>
      <c r="H181" s="38"/>
    </row>
    <row r="182" customFormat="false" ht="15" hidden="false" customHeight="false" outlineLevel="0" collapsed="false">
      <c r="A182" s="39" t="s">
        <v>833</v>
      </c>
      <c r="B182" s="40" t="s">
        <v>842</v>
      </c>
      <c r="C182" s="79" t="n">
        <v>0.839619</v>
      </c>
      <c r="D182" s="79"/>
      <c r="E182" s="80" t="n">
        <f aca="false">'10. Income'!B26</f>
        <v>0.839619283032302</v>
      </c>
      <c r="F182" s="81" t="n">
        <f aca="false">IF(D182="",E182-C182,E182-D182)</f>
        <v>2.83032301706676E-007</v>
      </c>
      <c r="G182" s="40" t="str">
        <f aca="false">IF(ISNUMBER(E182)=FALSE(),"CHECK",IF(D182="",IF(ABS(E182-C182)&lt;=0.0000006,"reproduced",IF(ABS(E182-C182)&lt;=0.0000006*5,"rounding","CHECK")),IF(ABS(E182-D182)&lt;=0.0000006,"corrected","CHECK")))</f>
        <v>reproduced</v>
      </c>
      <c r="H182" s="44"/>
    </row>
    <row r="183" customFormat="false" ht="15" hidden="false" customHeight="false" outlineLevel="0" collapsed="false">
      <c r="A183" s="3" t="s">
        <v>833</v>
      </c>
      <c r="B183" s="5" t="s">
        <v>843</v>
      </c>
      <c r="C183" s="77" t="n">
        <v>0.792094</v>
      </c>
      <c r="D183" s="77"/>
      <c r="E183" s="78" t="n">
        <f aca="false">'10. Income'!B27</f>
        <v>0.79209366323802</v>
      </c>
      <c r="F183" s="30" t="n">
        <f aca="false">IF(D183="",E183-C183,E183-D183)</f>
        <v>-3.36761979524702E-007</v>
      </c>
      <c r="G183" s="5" t="str">
        <f aca="false">IF(ISNUMBER(E183)=FALSE(),"CHECK",IF(D183="",IF(ABS(E183-C183)&lt;=0.0000006,"reproduced",IF(ABS(E183-C183)&lt;=0.0000006*5,"rounding","CHECK")),IF(ABS(E183-D183)&lt;=0.0000006,"corrected","CHECK")))</f>
        <v>reproduced</v>
      </c>
      <c r="H183" s="38"/>
    </row>
    <row r="184" customFormat="false" ht="15" hidden="false" customHeight="false" outlineLevel="0" collapsed="false">
      <c r="A184" s="39" t="s">
        <v>833</v>
      </c>
      <c r="B184" s="40" t="s">
        <v>844</v>
      </c>
      <c r="C184" s="79" t="n">
        <v>0.747258</v>
      </c>
      <c r="D184" s="79"/>
      <c r="E184" s="80" t="n">
        <f aca="false">'10. Income'!B28</f>
        <v>0.747258172866057</v>
      </c>
      <c r="F184" s="81" t="n">
        <f aca="false">IF(D184="",E184-C184,E184-D184)</f>
        <v>1.72866057024379E-007</v>
      </c>
      <c r="G184" s="40" t="str">
        <f aca="false">IF(ISNUMBER(E184)=FALSE(),"CHECK",IF(D184="",IF(ABS(E184-C184)&lt;=0.0000006,"reproduced",IF(ABS(E184-C184)&lt;=0.0000006*5,"rounding","CHECK")),IF(ABS(E184-D184)&lt;=0.0000006,"corrected","CHECK")))</f>
        <v>reproduced</v>
      </c>
      <c r="H184" s="44"/>
    </row>
    <row r="185" customFormat="false" ht="15" hidden="false" customHeight="false" outlineLevel="0" collapsed="false">
      <c r="A185" s="3" t="s">
        <v>833</v>
      </c>
      <c r="B185" s="5" t="s">
        <v>845</v>
      </c>
      <c r="C185" s="77" t="n">
        <v>3.268967</v>
      </c>
      <c r="D185" s="77"/>
      <c r="E185" s="78" t="n">
        <f aca="false">'10. Income'!B29</f>
        <v>3.26896755915062</v>
      </c>
      <c r="F185" s="30" t="n">
        <f aca="false">IF(D185="",E185-C185,E185-D185)</f>
        <v>5.59150619139359E-007</v>
      </c>
      <c r="G185" s="5" t="str">
        <f aca="false">IF(ISNUMBER(E185)=FALSE(),"CHECK",IF(D185="",IF(ABS(E185-C185)&lt;=0.0000006,"reproduced",IF(ABS(E185-C185)&lt;=0.0000006*5,"rounding","CHECK")),IF(ABS(E185-D185)&lt;=0.0000006,"corrected","CHECK")))</f>
        <v>reproduced</v>
      </c>
      <c r="H185" s="38"/>
    </row>
    <row r="186" customFormat="false" ht="15" hidden="false" customHeight="false" outlineLevel="0" collapsed="false">
      <c r="A186" s="39" t="s">
        <v>833</v>
      </c>
      <c r="B186" s="40" t="s">
        <v>366</v>
      </c>
      <c r="C186" s="41" t="n">
        <v>5884141</v>
      </c>
      <c r="D186" s="41"/>
      <c r="E186" s="42" t="n">
        <f aca="false">'10. Income'!B30</f>
        <v>5884141.60647112</v>
      </c>
      <c r="F186" s="43" t="n">
        <f aca="false">IF(D186="",E186-C186,E186-D186)</f>
        <v>0.60647111479193</v>
      </c>
      <c r="G186" s="40" t="str">
        <f aca="false">IF(ISNUMBER(E186)=FALSE(),"CHECK",IF(D186="",IF(ABS(E186-C186)&lt;=1,"reproduced",IF(ABS(E186-C186)&lt;=1*5,"rounding","CHECK")),IF(ABS(E186-D186)&lt;=1,"corrected","CHECK")))</f>
        <v>reproduced</v>
      </c>
      <c r="H186" s="44"/>
    </row>
    <row r="187" customFormat="false" ht="15" hidden="false" customHeight="false" outlineLevel="0" collapsed="false">
      <c r="A187" s="3" t="s">
        <v>833</v>
      </c>
      <c r="B187" s="5" t="s">
        <v>846</v>
      </c>
      <c r="C187" s="36" t="n">
        <v>1250000</v>
      </c>
      <c r="D187" s="36"/>
      <c r="E187" s="37" t="n">
        <f aca="false">'10. Income'!B31</f>
        <v>1250000</v>
      </c>
      <c r="F187" s="9" t="n">
        <f aca="false">IF(D187="",E187-C187,E187-D187)</f>
        <v>0</v>
      </c>
      <c r="G187" s="5" t="str">
        <f aca="false">IF(ISNUMBER(E187)=FALSE(),"CHECK",IF(D187="",IF(ABS(E187-C187)&lt;=1,"reproduced",IF(ABS(E187-C187)&lt;=1*5,"rounding","CHECK")),IF(ABS(E187-D187)&lt;=1,"corrected","CHECK")))</f>
        <v>reproduced</v>
      </c>
      <c r="H187" s="38"/>
    </row>
    <row r="188" customFormat="false" ht="15" hidden="false" customHeight="false" outlineLevel="0" collapsed="false">
      <c r="A188" s="39" t="s">
        <v>833</v>
      </c>
      <c r="B188" s="40" t="s">
        <v>368</v>
      </c>
      <c r="C188" s="41" t="n">
        <v>5058669</v>
      </c>
      <c r="D188" s="41"/>
      <c r="E188" s="42" t="n">
        <f aca="false">'10. Income'!B32</f>
        <v>5058669.90835791</v>
      </c>
      <c r="F188" s="43" t="n">
        <f aca="false">IF(D188="",E188-C188,E188-D188)</f>
        <v>0.908357907086611</v>
      </c>
      <c r="G188" s="40" t="str">
        <f aca="false">IF(ISNUMBER(E188)=FALSE(),"CHECK",IF(D188="",IF(ABS(E188-C188)&lt;=1,"reproduced",IF(ABS(E188-C188)&lt;=1*5,"rounding","CHECK")),IF(ABS(E188-D188)&lt;=1,"corrected","CHECK")))</f>
        <v>reproduced</v>
      </c>
      <c r="H188" s="44"/>
    </row>
    <row r="189" customFormat="false" ht="15" hidden="false" customHeight="false" outlineLevel="0" collapsed="false">
      <c r="A189" s="3" t="s">
        <v>833</v>
      </c>
      <c r="B189" s="5" t="s">
        <v>179</v>
      </c>
      <c r="C189" s="77" t="n">
        <v>4.212364</v>
      </c>
      <c r="D189" s="77"/>
      <c r="E189" s="78" t="n">
        <f aca="false">'10. Income'!B33</f>
        <v>4.21236378556572</v>
      </c>
      <c r="F189" s="30" t="n">
        <f aca="false">IF(D189="",E189-C189,E189-D189)</f>
        <v>-2.14434282774789E-007</v>
      </c>
      <c r="G189" s="5" t="str">
        <f aca="false">IF(ISNUMBER(E189)=FALSE(),"CHECK",IF(D189="",IF(ABS(E189-C189)&lt;=0.0000006,"reproduced",IF(ABS(E189-C189)&lt;=0.0000006*5,"rounding","CHECK")),IF(ABS(E189-D189)&lt;=0.0000006,"corrected","CHECK")))</f>
        <v>reproduced</v>
      </c>
      <c r="H189" s="38"/>
    </row>
    <row r="190" customFormat="false" ht="15" hidden="false" customHeight="false" outlineLevel="0" collapsed="false">
      <c r="A190" s="39" t="s">
        <v>833</v>
      </c>
      <c r="B190" s="40" t="s">
        <v>847</v>
      </c>
      <c r="C190" s="41" t="n">
        <v>1200913</v>
      </c>
      <c r="D190" s="41"/>
      <c r="E190" s="42" t="n">
        <f aca="false">'10. Income'!B34</f>
        <v>1200910.02721374</v>
      </c>
      <c r="F190" s="43" t="n">
        <f aca="false">IF(D190="",E190-C190,E190-D190)</f>
        <v>-2.9727862579748</v>
      </c>
      <c r="G190" s="40" t="str">
        <f aca="false">IF(ISNUMBER(E190)=FALSE(),"CHECK",IF(D190="",IF(ABS(E190-C190)&lt;=5,"reproduced",IF(ABS(E190-C190)&lt;=5*5,"rounding","CHECK")),IF(ABS(E190-D190)&lt;=5,"corrected","CHECK")))</f>
        <v>reproduced</v>
      </c>
      <c r="H190" s="44"/>
    </row>
    <row r="191" customFormat="false" ht="15" hidden="false" customHeight="false" outlineLevel="0" collapsed="false">
      <c r="A191" s="3" t="s">
        <v>833</v>
      </c>
      <c r="B191" s="5" t="s">
        <v>838</v>
      </c>
      <c r="C191" s="75" t="n">
        <v>48.04</v>
      </c>
      <c r="D191" s="75"/>
      <c r="E191" s="76" t="n">
        <f aca="false">'10. Income'!B35</f>
        <v>48.0364010885497</v>
      </c>
      <c r="F191" s="19" t="n">
        <f aca="false">IF(D191="",E191-C191,E191-D191)</f>
        <v>-0.0035989114503181</v>
      </c>
      <c r="G191" s="5" t="str">
        <f aca="false">IF(ISNUMBER(E191)=FALSE(),"CHECK",IF(D191="",IF(ABS(E191-C191)&lt;=0.006,"reproduced",IF(ABS(E191-C191)&lt;=0.006*5,"rounding","CHECK")),IF(ABS(E191-D191)&lt;=0.006,"corrected","CHECK")))</f>
        <v>reproduced</v>
      </c>
      <c r="H191" s="38"/>
    </row>
    <row r="192" customFormat="false" ht="15" hidden="false" customHeight="false" outlineLevel="0" collapsed="false">
      <c r="A192" s="39" t="s">
        <v>833</v>
      </c>
      <c r="B192" s="40" t="s">
        <v>848</v>
      </c>
      <c r="C192" s="57" t="n">
        <v>0.06</v>
      </c>
      <c r="D192" s="57"/>
      <c r="E192" s="58" t="n">
        <f aca="false">'10. Income'!B36</f>
        <v>0.0617890412392641</v>
      </c>
      <c r="F192" s="59" t="n">
        <f aca="false">IF(D192="",E192-C192,E192-D192)</f>
        <v>0.0017890412392641</v>
      </c>
      <c r="G192" s="40" t="str">
        <f aca="false">IF(ISNUMBER(E192)=FALSE(),"CHECK",IF(D192="",IF(ABS(E192-C192)&lt;=0.005,"reproduced",IF(ABS(E192-C192)&lt;=0.005*5,"rounding","CHECK")),IF(ABS(E192-D192)&lt;=0.005,"corrected","CHECK")))</f>
        <v>reproduced</v>
      </c>
      <c r="H192" s="44"/>
    </row>
    <row r="193" customFormat="false" ht="15" hidden="false" customHeight="false" outlineLevel="0" collapsed="false">
      <c r="A193" s="3" t="s">
        <v>833</v>
      </c>
      <c r="B193" s="5" t="s">
        <v>849</v>
      </c>
      <c r="C193" s="36" t="n">
        <v>8025000</v>
      </c>
      <c r="D193" s="36"/>
      <c r="E193" s="37" t="n">
        <f aca="false">'10. Income'!B41</f>
        <v>8025000</v>
      </c>
      <c r="F193" s="9" t="n">
        <f aca="false">IF(D193="",E193-C193,E193-D193)</f>
        <v>0</v>
      </c>
      <c r="G193" s="5" t="str">
        <f aca="false">IF(ISNUMBER(E193)=FALSE(),"CHECK",IF(D193="",IF(ABS(E193-C193)&lt;=1,"reproduced",IF(ABS(E193-C193)&lt;=1*5,"rounding","CHECK")),IF(ABS(E193-D193)&lt;=1,"corrected","CHECK")))</f>
        <v>reproduced</v>
      </c>
      <c r="H193" s="38"/>
    </row>
    <row r="194" customFormat="false" ht="15" hidden="false" customHeight="false" outlineLevel="0" collapsed="false">
      <c r="A194" s="39" t="s">
        <v>833</v>
      </c>
      <c r="B194" s="40" t="s">
        <v>850</v>
      </c>
      <c r="C194" s="41" t="n">
        <v>975000</v>
      </c>
      <c r="D194" s="41"/>
      <c r="E194" s="42" t="n">
        <f aca="false">'10. Income'!B42</f>
        <v>975000</v>
      </c>
      <c r="F194" s="43" t="n">
        <f aca="false">IF(D194="",E194-C194,E194-D194)</f>
        <v>0</v>
      </c>
      <c r="G194" s="40" t="str">
        <f aca="false">IF(ISNUMBER(E194)=FALSE(),"CHECK",IF(D194="",IF(ABS(E194-C194)&lt;=1,"reproduced",IF(ABS(E194-C194)&lt;=1*5,"rounding","CHECK")),IF(ABS(E194-D194)&lt;=1,"corrected","CHECK")))</f>
        <v>reproduced</v>
      </c>
      <c r="H194" s="44"/>
    </row>
    <row r="195" customFormat="false" ht="15" hidden="false" customHeight="false" outlineLevel="0" collapsed="false">
      <c r="A195" s="3" t="s">
        <v>833</v>
      </c>
      <c r="B195" s="5" t="s">
        <v>851</v>
      </c>
      <c r="C195" s="75" t="n">
        <v>64.2</v>
      </c>
      <c r="D195" s="75"/>
      <c r="E195" s="76" t="n">
        <f aca="false">'10. Income'!B43</f>
        <v>64.2</v>
      </c>
      <c r="F195" s="19" t="n">
        <f aca="false">IF(D195="",E195-C195,E195-D195)</f>
        <v>0</v>
      </c>
      <c r="G195" s="5" t="str">
        <f aca="false">IF(ISNUMBER(E195)=FALSE(),"CHECK",IF(D195="",IF(ABS(E195-C195)&lt;=0.006,"reproduced",IF(ABS(E195-C195)&lt;=0.006*5,"rounding","CHECK")),IF(ABS(E195-D195)&lt;=0.006,"corrected","CHECK")))</f>
        <v>reproduced</v>
      </c>
      <c r="H195" s="38"/>
    </row>
    <row r="196" customFormat="false" ht="15" hidden="false" customHeight="false" outlineLevel="0" collapsed="false">
      <c r="A196" s="39" t="s">
        <v>833</v>
      </c>
      <c r="B196" s="40" t="s">
        <v>852</v>
      </c>
      <c r="C196" s="57" t="n">
        <v>0.43</v>
      </c>
      <c r="D196" s="57"/>
      <c r="E196" s="58" t="n">
        <f aca="false">'10. Income'!B48</f>
        <v>0.428571428571429</v>
      </c>
      <c r="F196" s="59" t="n">
        <f aca="false">IF(D196="",E196-C196,E196-D196)</f>
        <v>-0.00142857142857145</v>
      </c>
      <c r="G196" s="40" t="str">
        <f aca="false">IF(ISNUMBER(E196)=FALSE(),"CHECK",IF(D196="",IF(ABS(E196-C196)&lt;=0.005,"reproduced",IF(ABS(E196-C196)&lt;=0.005*5,"rounding","CHECK")),IF(ABS(E196-D196)&lt;=0.005,"corrected","CHECK")))</f>
        <v>reproduced</v>
      </c>
      <c r="H196" s="44"/>
    </row>
    <row r="197" customFormat="false" ht="15" hidden="false" customHeight="false" outlineLevel="0" collapsed="false">
      <c r="A197" s="3" t="s">
        <v>833</v>
      </c>
      <c r="B197" s="5" t="s">
        <v>853</v>
      </c>
      <c r="C197" s="45" t="n">
        <v>0.095</v>
      </c>
      <c r="D197" s="45"/>
      <c r="E197" s="46" t="n">
        <f aca="false">'10. Income'!B49</f>
        <v>0.0947368421052632</v>
      </c>
      <c r="F197" s="18" t="n">
        <f aca="false">IF(D197="",E197-C197,E197-D197)</f>
        <v>-0.00026315789473684</v>
      </c>
      <c r="G197" s="5" t="str">
        <f aca="false">IF(ISNUMBER(E197)=FALSE(),"CHECK",IF(D197="",IF(ABS(E197-C197)&lt;=0.005,"reproduced",IF(ABS(E197-C197)&lt;=0.005*5,"rounding","CHECK")),IF(ABS(E197-D197)&lt;=0.005,"corrected","CHECK")))</f>
        <v>reproduced</v>
      </c>
      <c r="H197" s="38"/>
    </row>
    <row r="198" customFormat="false" ht="15" hidden="false" customHeight="false" outlineLevel="0" collapsed="false">
      <c r="A198" s="39" t="s">
        <v>833</v>
      </c>
      <c r="B198" s="40" t="s">
        <v>854</v>
      </c>
      <c r="C198" s="41" t="n">
        <v>1387500</v>
      </c>
      <c r="D198" s="41"/>
      <c r="E198" s="42" t="n">
        <f aca="false">'10. Income'!B57</f>
        <v>1387500</v>
      </c>
      <c r="F198" s="43" t="n">
        <f aca="false">IF(D198="",E198-C198,E198-D198)</f>
        <v>0</v>
      </c>
      <c r="G198" s="40" t="str">
        <f aca="false">IF(ISNUMBER(E198)=FALSE(),"CHECK",IF(D198="",IF(ABS(E198-C198)&lt;=1,"reproduced",IF(ABS(E198-C198)&lt;=1*5,"rounding","CHECK")),IF(ABS(E198-D198)&lt;=1,"corrected","CHECK")))</f>
        <v>reproduced</v>
      </c>
      <c r="H198" s="44"/>
    </row>
    <row r="199" customFormat="false" ht="15" hidden="false" customHeight="false" outlineLevel="0" collapsed="false">
      <c r="A199" s="3" t="s">
        <v>833</v>
      </c>
      <c r="B199" s="5" t="s">
        <v>389</v>
      </c>
      <c r="C199" s="36" t="n">
        <v>2772500</v>
      </c>
      <c r="D199" s="36"/>
      <c r="E199" s="37" t="n">
        <f aca="false">'10. Income'!B58</f>
        <v>2772500</v>
      </c>
      <c r="F199" s="9" t="n">
        <f aca="false">IF(D199="",E199-C199,E199-D199)</f>
        <v>0</v>
      </c>
      <c r="G199" s="5" t="str">
        <f aca="false">IF(ISNUMBER(E199)=FALSE(),"CHECK",IF(D199="",IF(ABS(E199-C199)&lt;=1,"reproduced",IF(ABS(E199-C199)&lt;=1*5,"rounding","CHECK")),IF(ABS(E199-D199)&lt;=1,"corrected","CHECK")))</f>
        <v>reproduced</v>
      </c>
      <c r="H199" s="38"/>
    </row>
    <row r="200" customFormat="false" ht="15" hidden="false" customHeight="false" outlineLevel="0" collapsed="false">
      <c r="A200" s="39" t="s">
        <v>833</v>
      </c>
      <c r="B200" s="40" t="s">
        <v>855</v>
      </c>
      <c r="C200" s="47" t="n">
        <v>2.6</v>
      </c>
      <c r="D200" s="47"/>
      <c r="E200" s="48" t="n">
        <f aca="false">'10. Income'!B60</f>
        <v>2.56805555555556</v>
      </c>
      <c r="F200" s="49" t="n">
        <f aca="false">IF(D200="",E200-C200,E200-D200)</f>
        <v>-0.0319444444444446</v>
      </c>
      <c r="G200" s="40" t="str">
        <f aca="false">IF(ISNUMBER(E200)=FALSE(),"CHECK",IF(D200="",IF(ABS(E200-C200)&lt;=0.05,"reproduced",IF(ABS(E200-C200)&lt;=0.05*5,"rounding","CHECK")),IF(ABS(E200-D200)&lt;=0.05,"corrected","CHECK")))</f>
        <v>reproduced</v>
      </c>
      <c r="H200" s="44"/>
    </row>
    <row r="201" customFormat="false" ht="15" hidden="false" customHeight="false" outlineLevel="0" collapsed="false">
      <c r="A201" s="3" t="s">
        <v>833</v>
      </c>
      <c r="B201" s="5" t="s">
        <v>780</v>
      </c>
      <c r="C201" s="36" t="n">
        <v>32727273</v>
      </c>
      <c r="D201" s="36"/>
      <c r="E201" s="37" t="n">
        <f aca="false">'10. Income'!B66</f>
        <v>32727272.7272727</v>
      </c>
      <c r="F201" s="9" t="n">
        <f aca="false">IF(D201="",E201-C201,E201-D201)</f>
        <v>-0.272727273404598</v>
      </c>
      <c r="G201" s="5" t="str">
        <f aca="false">IF(ISNUMBER(E201)=FALSE(),"CHECK",IF(D201="",IF(ABS(E201-C201)&lt;=1,"reproduced",IF(ABS(E201-C201)&lt;=1*5,"rounding","CHECK")),IF(ABS(E201-D201)&lt;=1,"corrected","CHECK")))</f>
        <v>reproduced</v>
      </c>
      <c r="H201" s="38"/>
    </row>
    <row r="202" customFormat="false" ht="15" hidden="false" customHeight="false" outlineLevel="0" collapsed="false">
      <c r="A202" s="39" t="s">
        <v>833</v>
      </c>
      <c r="B202" s="40" t="s">
        <v>190</v>
      </c>
      <c r="C202" s="41" t="n">
        <v>28181818</v>
      </c>
      <c r="D202" s="41"/>
      <c r="E202" s="42" t="n">
        <f aca="false">'10. Income'!B68</f>
        <v>28181818.1818182</v>
      </c>
      <c r="F202" s="43" t="n">
        <f aca="false">IF(D202="",E202-C202,E202-D202)</f>
        <v>0.181818183511496</v>
      </c>
      <c r="G202" s="40" t="str">
        <f aca="false">IF(ISNUMBER(E202)=FALSE(),"CHECK",IF(D202="",IF(ABS(E202-C202)&lt;=1,"reproduced",IF(ABS(E202-C202)&lt;=1*5,"rounding","CHECK")),IF(ABS(E202-D202)&lt;=1,"corrected","CHECK")))</f>
        <v>reproduced</v>
      </c>
      <c r="H202" s="44"/>
    </row>
    <row r="203" customFormat="false" ht="15" hidden="false" customHeight="false" outlineLevel="0" collapsed="false">
      <c r="A203" s="3" t="s">
        <v>833</v>
      </c>
      <c r="B203" s="5" t="s">
        <v>856</v>
      </c>
      <c r="C203" s="77" t="n">
        <v>4.100197</v>
      </c>
      <c r="D203" s="77"/>
      <c r="E203" s="78" t="n">
        <f aca="false">'10. Income'!B69</f>
        <v>4.1001974359476</v>
      </c>
      <c r="F203" s="30" t="n">
        <f aca="false">IF(D203="",E203-C203,E203-D203)</f>
        <v>4.35947596244546E-007</v>
      </c>
      <c r="G203" s="5" t="str">
        <f aca="false">IF(ISNUMBER(E203)=FALSE(),"CHECK",IF(D203="",IF(ABS(E203-C203)&lt;=0.0000006,"reproduced",IF(ABS(E203-C203)&lt;=0.0000006*5,"rounding","CHECK")),IF(ABS(E203-D203)&lt;=0.0000006,"corrected","CHECK")))</f>
        <v>reproduced</v>
      </c>
      <c r="H203" s="38"/>
    </row>
    <row r="204" customFormat="false" ht="15" hidden="false" customHeight="false" outlineLevel="0" collapsed="false">
      <c r="A204" s="39" t="s">
        <v>833</v>
      </c>
      <c r="B204" s="40" t="s">
        <v>857</v>
      </c>
      <c r="C204" s="41" t="n">
        <v>1025049</v>
      </c>
      <c r="D204" s="41"/>
      <c r="E204" s="42" t="n">
        <f aca="false">'10. Income'!B70</f>
        <v>1025049.3589869</v>
      </c>
      <c r="F204" s="43" t="n">
        <f aca="false">IF(D204="",E204-C204,E204-D204)</f>
        <v>0.358986899023876</v>
      </c>
      <c r="G204" s="40" t="str">
        <f aca="false">IF(ISNUMBER(E204)=FALSE(),"CHECK",IF(D204="",IF(ABS(E204-C204)&lt;=1,"reproduced",IF(ABS(E204-C204)&lt;=1*5,"rounding","CHECK")),IF(ABS(E204-D204)&lt;=1,"corrected","CHECK")))</f>
        <v>reproduced</v>
      </c>
      <c r="H204" s="44"/>
    </row>
    <row r="205" customFormat="false" ht="15" hidden="false" customHeight="false" outlineLevel="0" collapsed="false">
      <c r="A205" s="3" t="s">
        <v>833</v>
      </c>
      <c r="B205" s="5" t="s">
        <v>858</v>
      </c>
      <c r="C205" s="36" t="n">
        <v>2100000</v>
      </c>
      <c r="D205" s="36"/>
      <c r="E205" s="37" t="n">
        <f aca="false">'10. Income'!B71</f>
        <v>2100000</v>
      </c>
      <c r="F205" s="9" t="n">
        <f aca="false">IF(D205="",E205-C205,E205-D205)</f>
        <v>0</v>
      </c>
      <c r="G205" s="5" t="str">
        <f aca="false">IF(ISNUMBER(E205)=FALSE(),"CHECK",IF(D205="",IF(ABS(E205-C205)&lt;=1,"reproduced",IF(ABS(E205-C205)&lt;=1*5,"rounding","CHECK")),IF(ABS(E205-D205)&lt;=1,"corrected","CHECK")))</f>
        <v>reproduced</v>
      </c>
      <c r="H205" s="38"/>
    </row>
    <row r="206" customFormat="false" ht="15" hidden="false" customHeight="false" outlineLevel="0" collapsed="false">
      <c r="A206" s="39" t="s">
        <v>833</v>
      </c>
      <c r="B206" s="40" t="s">
        <v>398</v>
      </c>
      <c r="C206" s="41" t="n">
        <v>27106867</v>
      </c>
      <c r="D206" s="41"/>
      <c r="E206" s="42" t="n">
        <f aca="false">'10. Income'!B72</f>
        <v>27106867.5408051</v>
      </c>
      <c r="F206" s="43" t="n">
        <f aca="false">IF(D206="",E206-C206,E206-D206)</f>
        <v>0.540805082768202</v>
      </c>
      <c r="G206" s="40" t="str">
        <f aca="false">IF(ISNUMBER(E206)=FALSE(),"CHECK",IF(D206="",IF(ABS(E206-C206)&lt;=1,"reproduced",IF(ABS(E206-C206)&lt;=1*5,"rounding","CHECK")),IF(ABS(E206-D206)&lt;=1,"corrected","CHECK")))</f>
        <v>reproduced</v>
      </c>
      <c r="H206" s="44"/>
    </row>
    <row r="207" customFormat="false" ht="15" hidden="false" customHeight="false" outlineLevel="0" collapsed="false">
      <c r="A207" s="3" t="s">
        <v>833</v>
      </c>
      <c r="B207" s="5" t="s">
        <v>565</v>
      </c>
      <c r="C207" s="36" t="n">
        <v>5620406</v>
      </c>
      <c r="D207" s="36"/>
      <c r="E207" s="37" t="n">
        <f aca="false">'10. Income'!B73</f>
        <v>5620405.18646764</v>
      </c>
      <c r="F207" s="9" t="n">
        <f aca="false">IF(D207="",E207-C207,E207-D207)</f>
        <v>-0.8135323561728</v>
      </c>
      <c r="G207" s="5" t="str">
        <f aca="false">IF(ISNUMBER(E207)=FALSE(),"CHECK",IF(D207="",IF(ABS(E207-C207)&lt;=1,"reproduced",IF(ABS(E207-C207)&lt;=1*5,"rounding","CHECK")),IF(ABS(E207-D207)&lt;=1,"corrected","CHECK")))</f>
        <v>reproduced</v>
      </c>
      <c r="H207" s="38"/>
    </row>
    <row r="208" customFormat="false" ht="15" hidden="false" customHeight="false" outlineLevel="0" collapsed="false">
      <c r="A208" s="39" t="s">
        <v>833</v>
      </c>
      <c r="B208" s="40" t="s">
        <v>400</v>
      </c>
      <c r="C208" s="57" t="n">
        <v>0.17</v>
      </c>
      <c r="D208" s="57"/>
      <c r="E208" s="58" t="n">
        <f aca="false">'10. Income'!B74</f>
        <v>0.171734602919845</v>
      </c>
      <c r="F208" s="59" t="n">
        <f aca="false">IF(D208="",E208-C208,E208-D208)</f>
        <v>0.00173460291984467</v>
      </c>
      <c r="G208" s="40" t="str">
        <f aca="false">IF(ISNUMBER(E208)=FALSE(),"CHECK",IF(D208="",IF(ABS(E208-C208)&lt;=0.005,"reproduced",IF(ABS(E208-C208)&lt;=0.005*5,"rounding","CHECK")),IF(ABS(E208-D208)&lt;=0.005,"corrected","CHECK")))</f>
        <v>reproduced</v>
      </c>
      <c r="H208" s="44"/>
    </row>
    <row r="209" customFormat="false" ht="15" hidden="false" customHeight="false" outlineLevel="0" collapsed="false">
      <c r="A209" s="3" t="s">
        <v>859</v>
      </c>
      <c r="B209" s="5" t="s">
        <v>860</v>
      </c>
      <c r="C209" s="36" t="n">
        <v>54000</v>
      </c>
      <c r="D209" s="36"/>
      <c r="E209" s="37" t="n">
        <f aca="false">'11. Land residual'!B26</f>
        <v>54000</v>
      </c>
      <c r="F209" s="9" t="n">
        <f aca="false">IF(D209="",E209-C209,E209-D209)</f>
        <v>0</v>
      </c>
      <c r="G209" s="5" t="str">
        <f aca="false">IF(ISNUMBER(E209)=FALSE(),"CHECK",IF(D209="",IF(ABS(E209-C209)&lt;=1,"reproduced",IF(ABS(E209-C209)&lt;=1*5,"rounding","CHECK")),IF(ABS(E209-D209)&lt;=1,"corrected","CHECK")))</f>
        <v>reproduced</v>
      </c>
      <c r="H209" s="38"/>
    </row>
    <row r="210" customFormat="false" ht="15" hidden="false" customHeight="false" outlineLevel="0" collapsed="false">
      <c r="A210" s="39" t="s">
        <v>859</v>
      </c>
      <c r="B210" s="40" t="s">
        <v>145</v>
      </c>
      <c r="C210" s="41" t="n">
        <v>3564000</v>
      </c>
      <c r="D210" s="41"/>
      <c r="E210" s="42" t="n">
        <f aca="false">'11. Land residual'!B27</f>
        <v>3564000</v>
      </c>
      <c r="F210" s="43" t="n">
        <f aca="false">IF(D210="",E210-C210,E210-D210)</f>
        <v>0</v>
      </c>
      <c r="G210" s="40" t="str">
        <f aca="false">IF(ISNUMBER(E210)=FALSE(),"CHECK",IF(D210="",IF(ABS(E210-C210)&lt;=1,"reproduced",IF(ABS(E210-C210)&lt;=1*5,"rounding","CHECK")),IF(ABS(E210-D210)&lt;=1,"corrected","CHECK")))</f>
        <v>reproduced</v>
      </c>
      <c r="H210" s="44"/>
    </row>
    <row r="211" customFormat="false" ht="15" hidden="false" customHeight="false" outlineLevel="0" collapsed="false">
      <c r="A211" s="3" t="s">
        <v>859</v>
      </c>
      <c r="B211" s="5" t="s">
        <v>428</v>
      </c>
      <c r="C211" s="36" t="n">
        <v>64800000</v>
      </c>
      <c r="D211" s="36"/>
      <c r="E211" s="37" t="n">
        <f aca="false">'11. Land residual'!B28</f>
        <v>64800000</v>
      </c>
      <c r="F211" s="9" t="n">
        <f aca="false">IF(D211="",E211-C211,E211-D211)</f>
        <v>0</v>
      </c>
      <c r="G211" s="5" t="str">
        <f aca="false">IF(ISNUMBER(E211)=FALSE(),"CHECK",IF(D211="",IF(ABS(E211-C211)&lt;=1,"reproduced",IF(ABS(E211-C211)&lt;=1*5,"rounding","CHECK")),IF(ABS(E211-D211)&lt;=1,"corrected","CHECK")))</f>
        <v>reproduced</v>
      </c>
      <c r="H211" s="38"/>
    </row>
    <row r="212" customFormat="false" ht="15" hidden="false" customHeight="false" outlineLevel="0" collapsed="false">
      <c r="A212" s="39" t="s">
        <v>859</v>
      </c>
      <c r="B212" s="40" t="s">
        <v>861</v>
      </c>
      <c r="C212" s="41" t="n">
        <v>60845000</v>
      </c>
      <c r="D212" s="41"/>
      <c r="E212" s="42" t="n">
        <f aca="false">'11. Land residual'!B29</f>
        <v>60845000</v>
      </c>
      <c r="F212" s="43" t="n">
        <f aca="false">IF(D212="",E212-C212,E212-D212)</f>
        <v>0</v>
      </c>
      <c r="G212" s="40" t="str">
        <f aca="false">IF(ISNUMBER(E212)=FALSE(),"CHECK",IF(D212="",IF(ABS(E212-C212)&lt;=1,"reproduced",IF(ABS(E212-C212)&lt;=1*5,"rounding","CHECK")),IF(ABS(E212-D212)&lt;=1,"corrected","CHECK")))</f>
        <v>reproduced</v>
      </c>
      <c r="H212" s="44"/>
    </row>
    <row r="213" customFormat="false" ht="15" hidden="false" customHeight="false" outlineLevel="0" collapsed="false">
      <c r="A213" s="3" t="s">
        <v>859</v>
      </c>
      <c r="B213" s="5" t="s">
        <v>430</v>
      </c>
      <c r="C213" s="36" t="n">
        <v>32940000</v>
      </c>
      <c r="D213" s="36"/>
      <c r="E213" s="37" t="n">
        <f aca="false">'11. Land residual'!B30</f>
        <v>32940000</v>
      </c>
      <c r="F213" s="9" t="n">
        <f aca="false">IF(D213="",E213-C213,E213-D213)</f>
        <v>0</v>
      </c>
      <c r="G213" s="5" t="str">
        <f aca="false">IF(ISNUMBER(E213)=FALSE(),"CHECK",IF(D213="",IF(ABS(E213-C213)&lt;=1,"reproduced",IF(ABS(E213-C213)&lt;=1*5,"rounding","CHECK")),IF(ABS(E213-D213)&lt;=1,"corrected","CHECK")))</f>
        <v>reproduced</v>
      </c>
      <c r="H213" s="38"/>
    </row>
    <row r="214" customFormat="false" ht="15" hidden="false" customHeight="false" outlineLevel="0" collapsed="false">
      <c r="A214" s="39" t="s">
        <v>859</v>
      </c>
      <c r="B214" s="40" t="s">
        <v>432</v>
      </c>
      <c r="C214" s="41" t="n">
        <v>2995200</v>
      </c>
      <c r="D214" s="41"/>
      <c r="E214" s="42" t="n">
        <f aca="false">'11. Land residual'!B32</f>
        <v>2995200</v>
      </c>
      <c r="F214" s="43" t="n">
        <f aca="false">IF(D214="",E214-C214,E214-D214)</f>
        <v>0</v>
      </c>
      <c r="G214" s="40" t="str">
        <f aca="false">IF(ISNUMBER(E214)=FALSE(),"CHECK",IF(D214="",IF(ABS(E214-C214)&lt;=1,"reproduced",IF(ABS(E214-C214)&lt;=1*5,"rounding","CHECK")),IF(ABS(E214-D214)&lt;=1,"corrected","CHECK")))</f>
        <v>reproduced</v>
      </c>
      <c r="H214" s="44"/>
    </row>
    <row r="215" customFormat="false" ht="15" hidden="false" customHeight="false" outlineLevel="0" collapsed="false">
      <c r="A215" s="3" t="s">
        <v>859</v>
      </c>
      <c r="B215" s="5" t="s">
        <v>409</v>
      </c>
      <c r="C215" s="36" t="n">
        <v>2021760</v>
      </c>
      <c r="D215" s="36"/>
      <c r="E215" s="37" t="n">
        <f aca="false">'11. Land residual'!B33</f>
        <v>2021760</v>
      </c>
      <c r="F215" s="9" t="n">
        <f aca="false">IF(D215="",E215-C215,E215-D215)</f>
        <v>0</v>
      </c>
      <c r="G215" s="5" t="str">
        <f aca="false">IF(ISNUMBER(E215)=FALSE(),"CHECK",IF(D215="",IF(ABS(E215-C215)&lt;=1,"reproduced",IF(ABS(E215-C215)&lt;=1*5,"rounding","CHECK")),IF(ABS(E215-D215)&lt;=1,"corrected","CHECK")))</f>
        <v>reproduced</v>
      </c>
      <c r="H215" s="38"/>
    </row>
    <row r="216" customFormat="false" ht="15" hidden="false" customHeight="false" outlineLevel="0" collapsed="false">
      <c r="A216" s="39" t="s">
        <v>859</v>
      </c>
      <c r="B216" s="40" t="s">
        <v>433</v>
      </c>
      <c r="C216" s="41" t="n">
        <v>42456960</v>
      </c>
      <c r="D216" s="41"/>
      <c r="E216" s="42" t="n">
        <f aca="false">'11. Land residual'!B34</f>
        <v>42456960</v>
      </c>
      <c r="F216" s="43" t="n">
        <f aca="false">IF(D216="",E216-C216,E216-D216)</f>
        <v>0</v>
      </c>
      <c r="G216" s="40" t="str">
        <f aca="false">IF(ISNUMBER(E216)=FALSE(),"CHECK",IF(D216="",IF(ABS(E216-C216)&lt;=1,"reproduced",IF(ABS(E216-C216)&lt;=1*5,"rounding","CHECK")),IF(ABS(E216-D216)&lt;=1,"corrected","CHECK")))</f>
        <v>reproduced</v>
      </c>
      <c r="H216" s="44"/>
    </row>
    <row r="217" customFormat="false" ht="15" hidden="false" customHeight="false" outlineLevel="0" collapsed="false">
      <c r="A217" s="3" t="s">
        <v>859</v>
      </c>
      <c r="B217" s="5" t="s">
        <v>387</v>
      </c>
      <c r="C217" s="36" t="n">
        <v>356400</v>
      </c>
      <c r="D217" s="36"/>
      <c r="E217" s="37" t="n">
        <f aca="false">'11. Land residual'!B35</f>
        <v>356400</v>
      </c>
      <c r="F217" s="9" t="n">
        <f aca="false">IF(D217="",E217-C217,E217-D217)</f>
        <v>0</v>
      </c>
      <c r="G217" s="5" t="str">
        <f aca="false">IF(ISNUMBER(E217)=FALSE(),"CHECK",IF(D217="",IF(ABS(E217-C217)&lt;=1,"reproduced",IF(ABS(E217-C217)&lt;=1*5,"rounding","CHECK")),IF(ABS(E217-D217)&lt;=1,"corrected","CHECK")))</f>
        <v>reproduced</v>
      </c>
      <c r="H217" s="38"/>
    </row>
    <row r="218" customFormat="false" ht="15" hidden="false" customHeight="false" outlineLevel="0" collapsed="false">
      <c r="A218" s="39" t="s">
        <v>859</v>
      </c>
      <c r="B218" s="40" t="s">
        <v>434</v>
      </c>
      <c r="C218" s="41" t="n">
        <v>608450</v>
      </c>
      <c r="D218" s="41"/>
      <c r="E218" s="42" t="n">
        <f aca="false">'11. Land residual'!B36</f>
        <v>608450</v>
      </c>
      <c r="F218" s="43" t="n">
        <f aca="false">IF(D218="",E218-C218,E218-D218)</f>
        <v>0</v>
      </c>
      <c r="G218" s="40" t="str">
        <f aca="false">IF(ISNUMBER(E218)=FALSE(),"CHECK",IF(D218="",IF(ABS(E218-C218)&lt;=1,"reproduced",IF(ABS(E218-C218)&lt;=1*5,"rounding","CHECK")),IF(ABS(E218-D218)&lt;=1,"corrected","CHECK")))</f>
        <v>reproduced</v>
      </c>
      <c r="H218" s="44"/>
    </row>
    <row r="219" customFormat="false" ht="15" hidden="false" customHeight="false" outlineLevel="0" collapsed="false">
      <c r="A219" s="3" t="s">
        <v>859</v>
      </c>
      <c r="B219" s="5" t="s">
        <v>862</v>
      </c>
      <c r="C219" s="36" t="n">
        <v>2972000</v>
      </c>
      <c r="D219" s="36"/>
      <c r="E219" s="37" t="n">
        <f aca="false">'11. Land residual'!B38</f>
        <v>2972000</v>
      </c>
      <c r="F219" s="9" t="n">
        <f aca="false">IF(D219="",E219-C219,E219-D219)</f>
        <v>0</v>
      </c>
      <c r="G219" s="5" t="str">
        <f aca="false">IF(ISNUMBER(E219)=FALSE(),"CHECK",IF(D219="",IF(ABS(E219-C219)&lt;=1,"reproduced",IF(ABS(E219-C219)&lt;=1*5,"rounding","CHECK")),IF(ABS(E219-D219)&lt;=1,"corrected","CHECK")))</f>
        <v>reproduced</v>
      </c>
      <c r="H219" s="38"/>
    </row>
    <row r="220" customFormat="false" ht="15" hidden="false" customHeight="false" outlineLevel="0" collapsed="false">
      <c r="A220" s="39" t="s">
        <v>859</v>
      </c>
      <c r="B220" s="40" t="s">
        <v>863</v>
      </c>
      <c r="C220" s="41" t="n">
        <v>46643810</v>
      </c>
      <c r="D220" s="41"/>
      <c r="E220" s="42" t="n">
        <f aca="false">'11. Land residual'!B39</f>
        <v>46643810</v>
      </c>
      <c r="F220" s="43" t="n">
        <f aca="false">IF(D220="",E220-C220,E220-D220)</f>
        <v>0</v>
      </c>
      <c r="G220" s="40" t="str">
        <f aca="false">IF(ISNUMBER(E220)=FALSE(),"CHECK",IF(D220="",IF(ABS(E220-C220)&lt;=1,"reproduced",IF(ABS(E220-C220)&lt;=1*5,"rounding","CHECK")),IF(ABS(E220-D220)&lt;=1,"corrected","CHECK")))</f>
        <v>reproduced</v>
      </c>
      <c r="H220" s="44"/>
    </row>
    <row r="221" customFormat="false" ht="15" hidden="false" customHeight="false" outlineLevel="0" collapsed="false">
      <c r="A221" s="3" t="s">
        <v>859</v>
      </c>
      <c r="B221" s="5" t="s">
        <v>437</v>
      </c>
      <c r="C221" s="36" t="n">
        <v>9126750</v>
      </c>
      <c r="D221" s="36"/>
      <c r="E221" s="37" t="n">
        <f aca="false">'11. Land residual'!B40</f>
        <v>9126750</v>
      </c>
      <c r="F221" s="9" t="n">
        <f aca="false">IF(D221="",E221-C221,E221-D221)</f>
        <v>0</v>
      </c>
      <c r="G221" s="5" t="str">
        <f aca="false">IF(ISNUMBER(E221)=FALSE(),"CHECK",IF(D221="",IF(ABS(E221-C221)&lt;=1,"reproduced",IF(ABS(E221-C221)&lt;=1*5,"rounding","CHECK")),IF(ABS(E221-D221)&lt;=1,"corrected","CHECK")))</f>
        <v>reproduced</v>
      </c>
      <c r="H221" s="38"/>
    </row>
    <row r="222" customFormat="false" ht="15" hidden="false" customHeight="false" outlineLevel="0" collapsed="false">
      <c r="A222" s="39" t="s">
        <v>859</v>
      </c>
      <c r="B222" s="40" t="s">
        <v>438</v>
      </c>
      <c r="C222" s="41" t="n">
        <v>5074440</v>
      </c>
      <c r="D222" s="41"/>
      <c r="E222" s="42" t="n">
        <f aca="false">'11. Land residual'!B41</f>
        <v>5074440</v>
      </c>
      <c r="F222" s="43" t="n">
        <f aca="false">IF(D222="",E222-C222,E222-D222)</f>
        <v>0</v>
      </c>
      <c r="G222" s="40" t="str">
        <f aca="false">IF(ISNUMBER(E222)=FALSE(),"CHECK",IF(D222="",IF(ABS(E222-C222)&lt;=1,"reproduced",IF(ABS(E222-C222)&lt;=1*5,"rounding","CHECK")),IF(ABS(E222-D222)&lt;=1,"corrected","CHECK")))</f>
        <v>reproduced</v>
      </c>
      <c r="H222" s="44"/>
    </row>
    <row r="223" customFormat="false" ht="15" hidden="false" customHeight="false" outlineLevel="0" collapsed="false">
      <c r="A223" s="3" t="s">
        <v>859</v>
      </c>
      <c r="B223" s="5" t="s">
        <v>864</v>
      </c>
      <c r="C223" s="77" t="n">
        <v>1.213594</v>
      </c>
      <c r="D223" s="77"/>
      <c r="E223" s="78" t="n">
        <f aca="false">'11. Land residual'!B42</f>
        <v>1.213594</v>
      </c>
      <c r="F223" s="30" t="n">
        <f aca="false">IF(D223="",E223-C223,E223-D223)</f>
        <v>0</v>
      </c>
      <c r="G223" s="5" t="str">
        <f aca="false">IF(ISNUMBER(E223)=FALSE(),"CHECK",IF(D223="",IF(ABS(E223-C223)&lt;=0.0000006,"reproduced",IF(ABS(E223-C223)&lt;=0.0000006*5,"rounding","CHECK")),IF(ABS(E223-D223)&lt;=0.0000006,"corrected","CHECK")))</f>
        <v>reproduced</v>
      </c>
      <c r="H223" s="38"/>
    </row>
    <row r="224" customFormat="false" ht="15" hidden="false" customHeight="false" outlineLevel="0" collapsed="false">
      <c r="A224" s="39" t="s">
        <v>859</v>
      </c>
      <c r="B224" s="40" t="s">
        <v>440</v>
      </c>
      <c r="C224" s="41" t="n">
        <v>4181000</v>
      </c>
      <c r="D224" s="41"/>
      <c r="E224" s="42" t="n">
        <f aca="false">'11. Land residual'!B43</f>
        <v>4181332.47197992</v>
      </c>
      <c r="F224" s="43" t="n">
        <f aca="false">IF(D224="",E224-C224,E224-D224)</f>
        <v>332.471979920752</v>
      </c>
      <c r="G224" s="40" t="str">
        <f aca="false">IF(ISNUMBER(E224)=FALSE(),"CHECK",IF(D224="",IF(ABS(E224-C224)&lt;=500,"reproduced",IF(ABS(E224-C224)&lt;=500*5,"rounding","CHECK")),IF(ABS(E224-D224)&lt;=500,"corrected","CHECK")))</f>
        <v>reproduced</v>
      </c>
      <c r="H224" s="44"/>
    </row>
    <row r="225" customFormat="false" ht="15" hidden="false" customHeight="false" outlineLevel="0" collapsed="false">
      <c r="A225" s="3" t="s">
        <v>859</v>
      </c>
      <c r="B225" s="5" t="s">
        <v>865</v>
      </c>
      <c r="C225" s="36" t="n">
        <v>348000</v>
      </c>
      <c r="D225" s="36"/>
      <c r="E225" s="37" t="n">
        <f aca="false">'11. Land residual'!B46</f>
        <v>348444.372664993</v>
      </c>
      <c r="F225" s="9" t="n">
        <f aca="false">IF(D225="",E225-C225,E225-D225)</f>
        <v>444.372664993396</v>
      </c>
      <c r="G225" s="5" t="str">
        <f aca="false">IF(ISNUMBER(E225)=FALSE(),"CHECK",IF(D225="",IF(ABS(E225-C225)&lt;=500,"reproduced",IF(ABS(E225-C225)&lt;=500*5,"rounding","CHECK")),IF(ABS(E225-D225)&lt;=500,"corrected","CHECK")))</f>
        <v>reproduced</v>
      </c>
      <c r="H225" s="38"/>
    </row>
    <row r="226" customFormat="false" ht="15" hidden="false" customHeight="false" outlineLevel="0" collapsed="false">
      <c r="A226" s="39" t="s">
        <v>859</v>
      </c>
      <c r="B226" s="40" t="s">
        <v>866</v>
      </c>
      <c r="C226" s="57" t="n">
        <v>0.07</v>
      </c>
      <c r="D226" s="57"/>
      <c r="E226" s="58" t="n">
        <f aca="false">'11. Land residual'!B47</f>
        <v>0.068721053036074</v>
      </c>
      <c r="F226" s="59" t="n">
        <f aca="false">IF(D226="",E226-C226,E226-D226)</f>
        <v>-0.00127894696392604</v>
      </c>
      <c r="G226" s="40" t="str">
        <f aca="false">IF(ISNUMBER(E226)=FALSE(),"CHECK",IF(D226="",IF(ABS(E226-C226)&lt;=0.005,"reproduced",IF(ABS(E226-C226)&lt;=0.005*5,"rounding","CHECK")),IF(ABS(E226-D226)&lt;=0.005,"corrected","CHECK")))</f>
        <v>reproduced</v>
      </c>
      <c r="H226" s="44"/>
    </row>
    <row r="227" customFormat="false" ht="15" hidden="false" customHeight="false" outlineLevel="0" collapsed="false">
      <c r="A227" s="3" t="s">
        <v>859</v>
      </c>
      <c r="B227" s="5" t="s">
        <v>419</v>
      </c>
      <c r="C227" s="36" t="n">
        <v>6272000</v>
      </c>
      <c r="D227" s="36"/>
      <c r="E227" s="37" t="n">
        <f aca="false">'11. Land residual'!C43</f>
        <v>6272196.46768194</v>
      </c>
      <c r="F227" s="9" t="n">
        <f aca="false">IF(D227="",E227-C227,E227-D227)</f>
        <v>196.467681942508</v>
      </c>
      <c r="G227" s="5" t="str">
        <f aca="false">IF(ISNUMBER(E227)=FALSE(),"CHECK",IF(D227="",IF(ABS(E227-C227)&lt;=500,"reproduced",IF(ABS(E227-C227)&lt;=500*5,"rounding","CHECK")),IF(ABS(E227-D227)&lt;=500,"corrected","CHECK")))</f>
        <v>reproduced</v>
      </c>
      <c r="H227" s="38"/>
    </row>
    <row r="228" customFormat="false" ht="15" hidden="false" customHeight="false" outlineLevel="0" collapsed="false">
      <c r="A228" s="39" t="s">
        <v>859</v>
      </c>
      <c r="B228" s="40" t="s">
        <v>867</v>
      </c>
      <c r="C228" s="57" t="n">
        <v>0.5</v>
      </c>
      <c r="D228" s="57"/>
      <c r="E228" s="58" t="n">
        <f aca="false">'11. Land residual'!C44</f>
        <v>0.500047295859248</v>
      </c>
      <c r="F228" s="59" t="n">
        <f aca="false">IF(D228="",E228-C228,E228-D228)</f>
        <v>4.72958592474537E-005</v>
      </c>
      <c r="G228" s="40" t="str">
        <f aca="false">IF(ISNUMBER(E228)=FALSE(),"CHECK",IF(D228="",IF(ABS(E228-C228)&lt;=0.005,"reproduced",IF(ABS(E228-C228)&lt;=0.005*5,"rounding","CHECK")),IF(ABS(E228-D228)&lt;=0.005,"corrected","CHECK")))</f>
        <v>reproduced</v>
      </c>
      <c r="H228" s="44"/>
    </row>
    <row r="229" customFormat="false" ht="15" hidden="false" customHeight="false" outlineLevel="0" collapsed="false">
      <c r="A229" s="3" t="s">
        <v>859</v>
      </c>
      <c r="B229" s="5" t="s">
        <v>420</v>
      </c>
      <c r="C229" s="36" t="n">
        <v>2090000</v>
      </c>
      <c r="D229" s="36"/>
      <c r="E229" s="37" t="n">
        <f aca="false">'11. Land residual'!D43</f>
        <v>2090468.4762779</v>
      </c>
      <c r="F229" s="9" t="n">
        <f aca="false">IF(D229="",E229-C229,E229-D229)</f>
        <v>468.476277898531</v>
      </c>
      <c r="G229" s="5" t="str">
        <f aca="false">IF(ISNUMBER(E229)=FALSE(),"CHECK",IF(D229="",IF(ABS(E229-C229)&lt;=500,"reproduced",IF(ABS(E229-C229)&lt;=500*5,"rounding","CHECK")),IF(ABS(E229-D229)&lt;=500,"corrected","CHECK")))</f>
        <v>reproduced</v>
      </c>
      <c r="H229" s="38"/>
    </row>
    <row r="230" customFormat="false" ht="15" hidden="false" customHeight="false" outlineLevel="0" collapsed="false">
      <c r="A230" s="39" t="s">
        <v>859</v>
      </c>
      <c r="B230" s="40" t="s">
        <v>867</v>
      </c>
      <c r="C230" s="57" t="n">
        <v>-0.5</v>
      </c>
      <c r="D230" s="57"/>
      <c r="E230" s="58" t="n">
        <f aca="false">'11. Land residual'!D44</f>
        <v>-0.500047295859248</v>
      </c>
      <c r="F230" s="59" t="n">
        <f aca="false">IF(D230="",E230-C230,E230-D230)</f>
        <v>-4.72958592474537E-005</v>
      </c>
      <c r="G230" s="40" t="str">
        <f aca="false">IF(ISNUMBER(E230)=FALSE(),"CHECK",IF(D230="",IF(ABS(E230-C230)&lt;=0.005,"reproduced",IF(ABS(E230-C230)&lt;=0.005*5,"rounding","CHECK")),IF(ABS(E230-D230)&lt;=0.005,"corrected","CHECK")))</f>
        <v>reproduced</v>
      </c>
      <c r="H230" s="44"/>
    </row>
    <row r="231" customFormat="false" ht="15" hidden="false" customHeight="false" outlineLevel="0" collapsed="false">
      <c r="A231" s="3" t="s">
        <v>859</v>
      </c>
      <c r="B231" s="5" t="s">
        <v>421</v>
      </c>
      <c r="C231" s="36" t="n">
        <v>6187000</v>
      </c>
      <c r="D231" s="36"/>
      <c r="E231" s="37" t="n">
        <f aca="false">'11. Land residual'!E43</f>
        <v>6186517.07243114</v>
      </c>
      <c r="F231" s="9" t="n">
        <f aca="false">IF(D231="",E231-C231,E231-D231)</f>
        <v>-482.927568857558</v>
      </c>
      <c r="G231" s="5" t="str">
        <f aca="false">IF(ISNUMBER(E231)=FALSE(),"CHECK",IF(D231="",IF(ABS(E231-C231)&lt;=500,"reproduced",IF(ABS(E231-C231)&lt;=500*5,"rounding","CHECK")),IF(ABS(E231-D231)&lt;=500,"corrected","CHECK")))</f>
        <v>reproduced</v>
      </c>
      <c r="H231" s="38"/>
    </row>
    <row r="232" customFormat="false" ht="15" hidden="false" customHeight="false" outlineLevel="0" collapsed="false">
      <c r="A232" s="39" t="s">
        <v>859</v>
      </c>
      <c r="B232" s="40" t="s">
        <v>867</v>
      </c>
      <c r="C232" s="57" t="n">
        <v>0.48</v>
      </c>
      <c r="D232" s="57"/>
      <c r="E232" s="58" t="n">
        <f aca="false">'11. Land residual'!E44</f>
        <v>0.479556364840258</v>
      </c>
      <c r="F232" s="59" t="n">
        <f aca="false">IF(D232="",E232-C232,E232-D232)</f>
        <v>-0.000443635159741662</v>
      </c>
      <c r="G232" s="40" t="str">
        <f aca="false">IF(ISNUMBER(E232)=FALSE(),"CHECK",IF(D232="",IF(ABS(E232-C232)&lt;=0.005,"reproduced",IF(ABS(E232-C232)&lt;=0.005*5,"rounding","CHECK")),IF(ABS(E232-D232)&lt;=0.005,"corrected","CHECK")))</f>
        <v>reproduced</v>
      </c>
      <c r="H232" s="44"/>
    </row>
    <row r="233" customFormat="false" ht="15" hidden="false" customHeight="false" outlineLevel="0" collapsed="false">
      <c r="A233" s="3" t="s">
        <v>859</v>
      </c>
      <c r="B233" s="5" t="s">
        <v>422</v>
      </c>
      <c r="C233" s="36" t="n">
        <v>2350000</v>
      </c>
      <c r="D233" s="36"/>
      <c r="E233" s="37" t="n">
        <f aca="false">'11. Land residual'!F43</f>
        <v>2350571.93756726</v>
      </c>
      <c r="F233" s="9" t="n">
        <f aca="false">IF(D233="",E233-C233,E233-D233)</f>
        <v>571.937567258719</v>
      </c>
      <c r="G233" s="5" t="str">
        <f aca="false">IF(ISNUMBER(E233)=FALSE(),"CHECK",IF(D233="",IF(ABS(E233-C233)&lt;=1000,"reproduced",IF(ABS(E233-C233)&lt;=1000*5,"rounding","CHECK")),IF(ABS(E233-D233)&lt;=1000,"corrected","CHECK")))</f>
        <v>reproduced</v>
      </c>
      <c r="H233" s="38"/>
    </row>
    <row r="234" customFormat="false" ht="15" hidden="false" customHeight="false" outlineLevel="0" collapsed="false">
      <c r="A234" s="39" t="s">
        <v>859</v>
      </c>
      <c r="B234" s="40" t="s">
        <v>867</v>
      </c>
      <c r="C234" s="57" t="n">
        <v>-0.44</v>
      </c>
      <c r="D234" s="57"/>
      <c r="E234" s="58" t="n">
        <f aca="false">'11. Land residual'!F44</f>
        <v>-0.437841416983943</v>
      </c>
      <c r="F234" s="59" t="n">
        <f aca="false">IF(D234="",E234-C234,E234-D234)</f>
        <v>0.00215858301605693</v>
      </c>
      <c r="G234" s="40" t="str">
        <f aca="false">IF(ISNUMBER(E234)=FALSE(),"CHECK",IF(D234="",IF(ABS(E234-C234)&lt;=0.005,"reproduced",IF(ABS(E234-C234)&lt;=0.005*5,"rounding","CHECK")),IF(ABS(E234-D234)&lt;=0.005,"corrected","CHECK")))</f>
        <v>reproduced</v>
      </c>
      <c r="H234" s="44"/>
    </row>
    <row r="235" customFormat="false" ht="15" hidden="false" customHeight="false" outlineLevel="0" collapsed="false">
      <c r="A235" s="3" t="s">
        <v>859</v>
      </c>
      <c r="B235" s="5" t="s">
        <v>868</v>
      </c>
      <c r="C235" s="36" t="n">
        <v>2310000</v>
      </c>
      <c r="D235" s="36"/>
      <c r="E235" s="37" t="n">
        <f aca="false">'11. Land residual'!G43</f>
        <v>2309332.44561196</v>
      </c>
      <c r="F235" s="9" t="n">
        <f aca="false">IF(D235="",E235-C235,E235-D235)</f>
        <v>-667.554388041142</v>
      </c>
      <c r="G235" s="5" t="str">
        <f aca="false">IF(ISNUMBER(E235)=FALSE(),"CHECK",IF(D235="",IF(ABS(E235-C235)&lt;=500,"reproduced",IF(ABS(E235-C235)&lt;=500*5,"rounding","CHECK")),IF(ABS(E235-D235)&lt;=500,"corrected","CHECK")))</f>
        <v>rounding</v>
      </c>
      <c r="H235" s="38"/>
    </row>
    <row r="236" customFormat="false" ht="15" hidden="false" customHeight="false" outlineLevel="0" collapsed="false">
      <c r="A236" s="39" t="s">
        <v>859</v>
      </c>
      <c r="B236" s="40" t="s">
        <v>867</v>
      </c>
      <c r="C236" s="57" t="n">
        <v>-0.45</v>
      </c>
      <c r="D236" s="57"/>
      <c r="E236" s="58" t="n">
        <f aca="false">'11. Land residual'!G44</f>
        <v>-0.447704180165693</v>
      </c>
      <c r="F236" s="59" t="n">
        <f aca="false">IF(D236="",E236-C236,E236-D236)</f>
        <v>0.00229581983430677</v>
      </c>
      <c r="G236" s="40" t="str">
        <f aca="false">IF(ISNUMBER(E236)=FALSE(),"CHECK",IF(D236="",IF(ABS(E236-C236)&lt;=0.005,"reproduced",IF(ABS(E236-C236)&lt;=0.005*5,"rounding","CHECK")),IF(ABS(E236-D236)&lt;=0.005,"corrected","CHECK")))</f>
        <v>reproduced</v>
      </c>
      <c r="H236" s="44"/>
    </row>
    <row r="237" customFormat="false" ht="15" hidden="false" customHeight="false" outlineLevel="0" collapsed="false">
      <c r="A237" s="3" t="s">
        <v>869</v>
      </c>
      <c r="B237" s="5" t="s">
        <v>433</v>
      </c>
      <c r="C237" s="36" t="n">
        <v>31800000</v>
      </c>
      <c r="D237" s="36"/>
      <c r="E237" s="37" t="n">
        <f aca="false">'12. Cost and delay'!B15</f>
        <v>31800000</v>
      </c>
      <c r="F237" s="9" t="n">
        <f aca="false">IF(D237="",E237-C237,E237-D237)</f>
        <v>0</v>
      </c>
      <c r="G237" s="5" t="str">
        <f aca="false">IF(ISNUMBER(E237)=FALSE(),"CHECK",IF(D237="",IF(ABS(E237-C237)&lt;=1,"reproduced",IF(ABS(E237-C237)&lt;=1*5,"rounding","CHECK")),IF(ABS(E237-D237)&lt;=1,"corrected","CHECK")))</f>
        <v>reproduced</v>
      </c>
      <c r="H237" s="38"/>
    </row>
    <row r="238" customFormat="false" ht="15" hidden="false" customHeight="false" outlineLevel="0" collapsed="false">
      <c r="A238" s="39" t="s">
        <v>869</v>
      </c>
      <c r="B238" s="40" t="s">
        <v>870</v>
      </c>
      <c r="C238" s="41" t="n">
        <v>795</v>
      </c>
      <c r="D238" s="41"/>
      <c r="E238" s="42" t="n">
        <f aca="false">'12. Cost and delay'!B16</f>
        <v>795</v>
      </c>
      <c r="F238" s="43" t="n">
        <f aca="false">IF(D238="",E238-C238,E238-D238)</f>
        <v>0</v>
      </c>
      <c r="G238" s="40" t="str">
        <f aca="false">IF(ISNUMBER(E238)=FALSE(),"CHECK",IF(D238="",IF(ABS(E238-C238)&lt;=0.5,"reproduced",IF(ABS(E238-C238)&lt;=0.5*5,"rounding","CHECK")),IF(ABS(E238-D238)&lt;=0.5,"corrected","CHECK")))</f>
        <v>reproduced</v>
      </c>
      <c r="H238" s="44"/>
    </row>
    <row r="239" customFormat="false" ht="15" hidden="false" customHeight="false" outlineLevel="0" collapsed="false">
      <c r="A239" s="3" t="s">
        <v>869</v>
      </c>
      <c r="B239" s="5" t="s">
        <v>871</v>
      </c>
      <c r="C239" s="36" t="n">
        <v>8700000</v>
      </c>
      <c r="D239" s="36"/>
      <c r="E239" s="37" t="n">
        <f aca="false">'12. Cost and delay'!B17</f>
        <v>8700000</v>
      </c>
      <c r="F239" s="9" t="n">
        <f aca="false">IF(D239="",E239-C239,E239-D239)</f>
        <v>0</v>
      </c>
      <c r="G239" s="5" t="str">
        <f aca="false">IF(ISNUMBER(E239)=FALSE(),"CHECK",IF(D239="",IF(ABS(E239-C239)&lt;=1,"reproduced",IF(ABS(E239-C239)&lt;=1*5,"rounding","CHECK")),IF(ABS(E239-D239)&lt;=1,"corrected","CHECK")))</f>
        <v>reproduced</v>
      </c>
      <c r="H239" s="38"/>
    </row>
    <row r="240" customFormat="false" ht="15" hidden="false" customHeight="false" outlineLevel="0" collapsed="false">
      <c r="A240" s="39" t="s">
        <v>869</v>
      </c>
      <c r="B240" s="40" t="s">
        <v>762</v>
      </c>
      <c r="C240" s="57" t="n">
        <v>0.274</v>
      </c>
      <c r="D240" s="57"/>
      <c r="E240" s="58" t="n">
        <f aca="false">'12. Cost and delay'!B18</f>
        <v>0.273584905660377</v>
      </c>
      <c r="F240" s="59" t="n">
        <f aca="false">IF(D240="",E240-C240,E240-D240)</f>
        <v>-0.000415094339622668</v>
      </c>
      <c r="G240" s="40" t="str">
        <f aca="false">IF(ISNUMBER(E240)=FALSE(),"CHECK",IF(D240="",IF(ABS(E240-C240)&lt;=0.0005,"reproduced",IF(ABS(E240-C240)&lt;=0.0005*5,"rounding","CHECK")),IF(ABS(E240-D240)&lt;=0.0005,"corrected","CHECK")))</f>
        <v>reproduced</v>
      </c>
      <c r="H240" s="44"/>
    </row>
    <row r="241" customFormat="false" ht="15" hidden="false" customHeight="false" outlineLevel="0" collapsed="false">
      <c r="A241" s="3" t="s">
        <v>869</v>
      </c>
      <c r="B241" s="5" t="s">
        <v>432</v>
      </c>
      <c r="C241" s="36" t="n">
        <v>2226000</v>
      </c>
      <c r="D241" s="36"/>
      <c r="E241" s="37" t="n">
        <f aca="false">'12. Cost and delay'!B21</f>
        <v>2226000</v>
      </c>
      <c r="F241" s="9" t="n">
        <f aca="false">IF(D241="",E241-C241,E241-D241)</f>
        <v>0</v>
      </c>
      <c r="G241" s="5" t="str">
        <f aca="false">IF(ISNUMBER(E241)=FALSE(),"CHECK",IF(D241="",IF(ABS(E241-C241)&lt;=1,"reproduced",IF(ABS(E241-C241)&lt;=1*5,"rounding","CHECK")),IF(ABS(E241-D241)&lt;=1,"corrected","CHECK")))</f>
        <v>reproduced</v>
      </c>
      <c r="H241" s="38"/>
    </row>
    <row r="242" customFormat="false" ht="15" hidden="false" customHeight="false" outlineLevel="0" collapsed="false">
      <c r="A242" s="39" t="s">
        <v>869</v>
      </c>
      <c r="B242" s="40" t="s">
        <v>459</v>
      </c>
      <c r="C242" s="41" t="n">
        <v>34026000</v>
      </c>
      <c r="D242" s="41"/>
      <c r="E242" s="42" t="n">
        <f aca="false">'12. Cost and delay'!B22</f>
        <v>34026000</v>
      </c>
      <c r="F242" s="43" t="n">
        <f aca="false">IF(D242="",E242-C242,E242-D242)</f>
        <v>0</v>
      </c>
      <c r="G242" s="40" t="str">
        <f aca="false">IF(ISNUMBER(E242)=FALSE(),"CHECK",IF(D242="",IF(ABS(E242-C242)&lt;=1,"reproduced",IF(ABS(E242-C242)&lt;=1*5,"rounding","CHECK")),IF(ABS(E242-D242)&lt;=1,"corrected","CHECK")))</f>
        <v>reproduced</v>
      </c>
      <c r="H242" s="44"/>
    </row>
    <row r="243" customFormat="false" ht="15" hidden="false" customHeight="false" outlineLevel="0" collapsed="false">
      <c r="A243" s="3" t="s">
        <v>869</v>
      </c>
      <c r="B243" s="5" t="s">
        <v>409</v>
      </c>
      <c r="C243" s="36" t="n">
        <v>1701300</v>
      </c>
      <c r="D243" s="36"/>
      <c r="E243" s="37" t="n">
        <f aca="false">'12. Cost and delay'!B23</f>
        <v>1701300</v>
      </c>
      <c r="F243" s="9" t="n">
        <f aca="false">IF(D243="",E243-C243,E243-D243)</f>
        <v>0</v>
      </c>
      <c r="G243" s="5" t="str">
        <f aca="false">IF(ISNUMBER(E243)=FALSE(),"CHECK",IF(D243="",IF(ABS(E243-C243)&lt;=1,"reproduced",IF(ABS(E243-C243)&lt;=1*5,"rounding","CHECK")),IF(ABS(E243-D243)&lt;=1,"corrected","CHECK")))</f>
        <v>reproduced</v>
      </c>
      <c r="H243" s="38"/>
    </row>
    <row r="244" customFormat="false" ht="15" hidden="false" customHeight="false" outlineLevel="0" collapsed="false">
      <c r="A244" s="39" t="s">
        <v>869</v>
      </c>
      <c r="B244" s="40" t="s">
        <v>872</v>
      </c>
      <c r="C244" s="41" t="n">
        <v>35727300</v>
      </c>
      <c r="D244" s="41"/>
      <c r="E244" s="42" t="n">
        <f aca="false">'12. Cost and delay'!B24</f>
        <v>35727300</v>
      </c>
      <c r="F244" s="43" t="n">
        <f aca="false">IF(D244="",E244-C244,E244-D244)</f>
        <v>0</v>
      </c>
      <c r="G244" s="40" t="str">
        <f aca="false">IF(ISNUMBER(E244)=FALSE(),"CHECK",IF(D244="",IF(ABS(E244-C244)&lt;=1,"reproduced",IF(ABS(E244-C244)&lt;=1*5,"rounding","CHECK")),IF(ABS(E244-D244)&lt;=1,"corrected","CHECK")))</f>
        <v>reproduced</v>
      </c>
      <c r="H244" s="44"/>
    </row>
    <row r="245" customFormat="false" ht="15" hidden="false" customHeight="false" outlineLevel="0" collapsed="false">
      <c r="A245" s="3" t="s">
        <v>869</v>
      </c>
      <c r="B245" s="5" t="s">
        <v>838</v>
      </c>
      <c r="C245" s="36" t="n">
        <v>893</v>
      </c>
      <c r="D245" s="36"/>
      <c r="E245" s="37" t="n">
        <f aca="false">'12. Cost and delay'!B25</f>
        <v>893.1825</v>
      </c>
      <c r="F245" s="9" t="n">
        <f aca="false">IF(D245="",E245-C245,E245-D245)</f>
        <v>0.182500000000005</v>
      </c>
      <c r="G245" s="5" t="str">
        <f aca="false">IF(ISNUMBER(E245)=FALSE(),"CHECK",IF(D245="",IF(ABS(E245-C245)&lt;=0.5,"reproduced",IF(ABS(E245-C245)&lt;=0.5*5,"rounding","CHECK")),IF(ABS(E245-D245)&lt;=0.5,"corrected","CHECK")))</f>
        <v>reproduced</v>
      </c>
      <c r="H245" s="38"/>
    </row>
    <row r="246" customFormat="false" ht="15" hidden="false" customHeight="false" outlineLevel="0" collapsed="false">
      <c r="A246" s="39" t="s">
        <v>869</v>
      </c>
      <c r="B246" s="40" t="s">
        <v>464</v>
      </c>
      <c r="C246" s="41" t="n">
        <v>672000</v>
      </c>
      <c r="D246" s="41"/>
      <c r="E246" s="42" t="n">
        <f aca="false">'12. Cost and delay'!B38</f>
        <v>672000</v>
      </c>
      <c r="F246" s="43" t="n">
        <f aca="false">IF(D246="",E246-C246,E246-D246)</f>
        <v>0</v>
      </c>
      <c r="G246" s="40" t="str">
        <f aca="false">IF(ISNUMBER(E246)=FALSE(),"CHECK",IF(D246="",IF(ABS(E246-C246)&lt;=1,"reproduced",IF(ABS(E246-C246)&lt;=1*5,"rounding","CHECK")),IF(ABS(E246-D246)&lt;=1,"corrected","CHECK")))</f>
        <v>reproduced</v>
      </c>
      <c r="H246" s="44"/>
    </row>
    <row r="247" customFormat="false" ht="15" hidden="false" customHeight="false" outlineLevel="0" collapsed="false">
      <c r="A247" s="3" t="s">
        <v>869</v>
      </c>
      <c r="B247" s="5" t="s">
        <v>873</v>
      </c>
      <c r="C247" s="36" t="n">
        <v>1459000</v>
      </c>
      <c r="D247" s="36"/>
      <c r="E247" s="37" t="n">
        <f aca="false">'12. Cost and delay'!B39</f>
        <v>1459000</v>
      </c>
      <c r="F247" s="9" t="n">
        <f aca="false">IF(D247="",E247-C247,E247-D247)</f>
        <v>0</v>
      </c>
      <c r="G247" s="5" t="str">
        <f aca="false">IF(ISNUMBER(E247)=FALSE(),"CHECK",IF(D247="",IF(ABS(E247-C247)&lt;=1,"reproduced",IF(ABS(E247-C247)&lt;=1*5,"rounding","CHECK")),IF(ABS(E247-D247)&lt;=1,"corrected","CHECK")))</f>
        <v>reproduced</v>
      </c>
      <c r="H247" s="38"/>
    </row>
    <row r="248" customFormat="false" ht="15" hidden="false" customHeight="false" outlineLevel="0" collapsed="false">
      <c r="A248" s="39" t="s">
        <v>869</v>
      </c>
      <c r="B248" s="40" t="s">
        <v>387</v>
      </c>
      <c r="C248" s="41" t="n">
        <v>288000</v>
      </c>
      <c r="D248" s="41"/>
      <c r="E248" s="42" t="n">
        <f aca="false">'12. Cost and delay'!B41</f>
        <v>288000</v>
      </c>
      <c r="F248" s="43" t="n">
        <f aca="false">IF(D248="",E248-C248,E248-D248)</f>
        <v>0</v>
      </c>
      <c r="G248" s="40" t="str">
        <f aca="false">IF(ISNUMBER(E248)=FALSE(),"CHECK",IF(D248="",IF(ABS(E248-C248)&lt;=1,"reproduced",IF(ABS(E248-C248)&lt;=1*5,"rounding","CHECK")),IF(ABS(E248-D248)&lt;=1,"corrected","CHECK")))</f>
        <v>reproduced</v>
      </c>
      <c r="H248" s="44"/>
    </row>
    <row r="249" customFormat="false" ht="15" hidden="false" customHeight="false" outlineLevel="0" collapsed="false">
      <c r="A249" s="3" t="s">
        <v>869</v>
      </c>
      <c r="B249" s="5" t="s">
        <v>434</v>
      </c>
      <c r="C249" s="36" t="n">
        <v>492000</v>
      </c>
      <c r="D249" s="36"/>
      <c r="E249" s="37" t="n">
        <f aca="false">'12. Cost and delay'!B44</f>
        <v>492000</v>
      </c>
      <c r="F249" s="9" t="n">
        <f aca="false">IF(D249="",E249-C249,E249-D249)</f>
        <v>0</v>
      </c>
      <c r="G249" s="5" t="str">
        <f aca="false">IF(ISNUMBER(E249)=FALSE(),"CHECK",IF(D249="",IF(ABS(E249-C249)&lt;=1,"reproduced",IF(ABS(E249-C249)&lt;=1*5,"rounding","CHECK")),IF(ABS(E249-D249)&lt;=1,"corrected","CHECK")))</f>
        <v>reproduced</v>
      </c>
      <c r="H249" s="38"/>
    </row>
    <row r="250" customFormat="false" ht="15" hidden="false" customHeight="false" outlineLevel="0" collapsed="false">
      <c r="A250" s="39" t="s">
        <v>869</v>
      </c>
      <c r="B250" s="40" t="s">
        <v>467</v>
      </c>
      <c r="C250" s="41" t="n">
        <v>43588300</v>
      </c>
      <c r="D250" s="41"/>
      <c r="E250" s="42" t="n">
        <f aca="false">'12. Cost and delay'!B45</f>
        <v>43588300</v>
      </c>
      <c r="F250" s="43" t="n">
        <f aca="false">IF(D250="",E250-C250,E250-D250)</f>
        <v>0</v>
      </c>
      <c r="G250" s="40" t="str">
        <f aca="false">IF(ISNUMBER(E250)=FALSE(),"CHECK",IF(D250="",IF(ABS(E250-C250)&lt;=1,"reproduced",IF(ABS(E250-C250)&lt;=1*5,"rounding","CHECK")),IF(ABS(E250-D250)&lt;=1,"corrected","CHECK")))</f>
        <v>reproduced</v>
      </c>
      <c r="H250" s="44"/>
    </row>
    <row r="251" customFormat="false" ht="15" hidden="false" customHeight="false" outlineLevel="0" collapsed="false">
      <c r="A251" s="3" t="s">
        <v>869</v>
      </c>
      <c r="B251" s="5" t="s">
        <v>838</v>
      </c>
      <c r="C251" s="36" t="n">
        <v>1090</v>
      </c>
      <c r="D251" s="36"/>
      <c r="E251" s="37" t="n">
        <f aca="false">'12. Cost and delay'!B46</f>
        <v>1089.7075</v>
      </c>
      <c r="F251" s="9" t="n">
        <f aca="false">IF(D251="",E251-C251,E251-D251)</f>
        <v>-0.292500000000018</v>
      </c>
      <c r="G251" s="5" t="str">
        <f aca="false">IF(ISNUMBER(E251)=FALSE(),"CHECK",IF(D251="",IF(ABS(E251-C251)&lt;=0.5,"reproduced",IF(ABS(E251-C251)&lt;=0.5*5,"rounding","CHECK")),IF(ABS(E251-D251)&lt;=0.5,"corrected","CHECK")))</f>
        <v>reproduced</v>
      </c>
      <c r="H251" s="38"/>
    </row>
    <row r="252" customFormat="false" ht="15" hidden="false" customHeight="false" outlineLevel="0" collapsed="false">
      <c r="A252" s="39" t="s">
        <v>869</v>
      </c>
      <c r="B252" s="40" t="s">
        <v>145</v>
      </c>
      <c r="C252" s="41" t="n">
        <v>2880000</v>
      </c>
      <c r="D252" s="41"/>
      <c r="E252" s="42" t="n">
        <f aca="false">'12. Cost and delay'!B40</f>
        <v>2880000</v>
      </c>
      <c r="F252" s="43" t="n">
        <f aca="false">IF(D252="",E252-C252,E252-D252)</f>
        <v>0</v>
      </c>
      <c r="G252" s="40" t="str">
        <f aca="false">IF(ISNUMBER(E252)=FALSE(),"CHECK",IF(D252="",IF(ABS(E252-C252)&lt;=1,"reproduced",IF(ABS(E252-C252)&lt;=1*5,"rounding","CHECK")),IF(ABS(E252-D252)&lt;=1,"corrected","CHECK")))</f>
        <v>reproduced</v>
      </c>
      <c r="H252" s="44"/>
    </row>
    <row r="253" customFormat="false" ht="15" hidden="false" customHeight="false" outlineLevel="0" collapsed="false">
      <c r="A253" s="3" t="s">
        <v>869</v>
      </c>
      <c r="B253" s="5" t="s">
        <v>428</v>
      </c>
      <c r="C253" s="36" t="n">
        <v>52363636</v>
      </c>
      <c r="D253" s="36"/>
      <c r="E253" s="37" t="n">
        <f aca="false">'12. Cost and delay'!B42</f>
        <v>52363636.3636364</v>
      </c>
      <c r="F253" s="9" t="n">
        <f aca="false">IF(D253="",E253-C253,E253-D253)</f>
        <v>0.363636367022991</v>
      </c>
      <c r="G253" s="5" t="str">
        <f aca="false">IF(ISNUMBER(E253)=FALSE(),"CHECK",IF(D253="",IF(ABS(E253-C253)&lt;=1,"reproduced",IF(ABS(E253-C253)&lt;=1*5,"rounding","CHECK")),IF(ABS(E253-D253)&lt;=1,"corrected","CHECK")))</f>
        <v>reproduced</v>
      </c>
      <c r="H253" s="38"/>
    </row>
    <row r="254" customFormat="false" ht="15" hidden="false" customHeight="false" outlineLevel="0" collapsed="false">
      <c r="A254" s="39" t="s">
        <v>869</v>
      </c>
      <c r="B254" s="40" t="s">
        <v>861</v>
      </c>
      <c r="C254" s="41" t="n">
        <v>49168000</v>
      </c>
      <c r="D254" s="41"/>
      <c r="E254" s="42" t="n">
        <f aca="false">'12. Cost and delay'!B43</f>
        <v>49168000</v>
      </c>
      <c r="F254" s="43" t="n">
        <f aca="false">IF(D254="",E254-C254,E254-D254)</f>
        <v>0</v>
      </c>
      <c r="G254" s="40" t="str">
        <f aca="false">IF(ISNUMBER(E254)=FALSE(),"CHECK",IF(D254="",IF(ABS(E254-C254)&lt;=1,"reproduced",IF(ABS(E254-C254)&lt;=1*5,"rounding","CHECK")),IF(ABS(E254-D254)&lt;=1,"corrected","CHECK")))</f>
        <v>reproduced</v>
      </c>
      <c r="H254" s="44"/>
    </row>
    <row r="255" customFormat="false" ht="15" hidden="false" customHeight="false" outlineLevel="0" collapsed="false">
      <c r="A255" s="3" t="s">
        <v>869</v>
      </c>
      <c r="B255" s="5" t="s">
        <v>437</v>
      </c>
      <c r="C255" s="36" t="n">
        <v>5579700</v>
      </c>
      <c r="D255" s="36"/>
      <c r="E255" s="37" t="n">
        <f aca="false">'12. Cost and delay'!B47</f>
        <v>5579700</v>
      </c>
      <c r="F255" s="9" t="n">
        <f aca="false">IF(D255="",E255-C255,E255-D255)</f>
        <v>0</v>
      </c>
      <c r="G255" s="5" t="str">
        <f aca="false">IF(ISNUMBER(E255)=FALSE(),"CHECK",IF(D255="",IF(ABS(E255-C255)&lt;=1,"reproduced",IF(ABS(E255-C255)&lt;=1*5,"rounding","CHECK")),IF(ABS(E255-D255)&lt;=1,"corrected","CHECK")))</f>
        <v>reproduced</v>
      </c>
      <c r="H255" s="38"/>
    </row>
    <row r="256" customFormat="false" ht="15" hidden="false" customHeight="false" outlineLevel="0" collapsed="false">
      <c r="A256" s="39" t="s">
        <v>869</v>
      </c>
      <c r="B256" s="40" t="s">
        <v>287</v>
      </c>
      <c r="C256" s="57" t="n">
        <v>0.128</v>
      </c>
      <c r="D256" s="57"/>
      <c r="E256" s="58" t="n">
        <f aca="false">'12. Cost and delay'!B48</f>
        <v>0.128009121713854</v>
      </c>
      <c r="F256" s="59" t="n">
        <f aca="false">IF(D256="",E256-C256,E256-D256)</f>
        <v>9.12171385439309E-006</v>
      </c>
      <c r="G256" s="40" t="str">
        <f aca="false">IF(ISNUMBER(E256)=FALSE(),"CHECK",IF(D256="",IF(ABS(E256-C256)&lt;=0.0005,"reproduced",IF(ABS(E256-C256)&lt;=0.0005*5,"rounding","CHECK")),IF(ABS(E256-D256)&lt;=0.0005,"corrected","CHECK")))</f>
        <v>reproduced</v>
      </c>
      <c r="H256" s="44"/>
    </row>
    <row r="257" customFormat="false" ht="15" hidden="false" customHeight="false" outlineLevel="0" collapsed="false">
      <c r="A257" s="3" t="s">
        <v>869</v>
      </c>
      <c r="B257" s="5" t="s">
        <v>475</v>
      </c>
      <c r="C257" s="36" t="n">
        <v>36346000</v>
      </c>
      <c r="D257" s="36"/>
      <c r="E257" s="37" t="n">
        <f aca="false">'12. Cost and delay'!B57</f>
        <v>36346000</v>
      </c>
      <c r="F257" s="9" t="n">
        <f aca="false">IF(D257="",E257-C257,E257-D257)</f>
        <v>0</v>
      </c>
      <c r="G257" s="5" t="str">
        <f aca="false">IF(ISNUMBER(E257)=FALSE(),"CHECK",IF(D257="",IF(ABS(E257-C257)&lt;=1,"reproduced",IF(ABS(E257-C257)&lt;=1*5,"rounding","CHECK")),IF(ABS(E257-D257)&lt;=1,"corrected","CHECK")))</f>
        <v>reproduced</v>
      </c>
      <c r="H257" s="38"/>
    </row>
    <row r="258" customFormat="false" ht="15" hidden="false" customHeight="false" outlineLevel="0" collapsed="false">
      <c r="A258" s="39" t="s">
        <v>869</v>
      </c>
      <c r="B258" s="40" t="s">
        <v>874</v>
      </c>
      <c r="C258" s="41" t="n">
        <v>784000</v>
      </c>
      <c r="D258" s="41"/>
      <c r="E258" s="42" t="n">
        <f aca="false">'12. Cost and delay'!B58</f>
        <v>784000</v>
      </c>
      <c r="F258" s="43" t="n">
        <f aca="false">IF(D258="",E258-C258,E258-D258)</f>
        <v>0</v>
      </c>
      <c r="G258" s="40" t="str">
        <f aca="false">IF(ISNUMBER(E258)=FALSE(),"CHECK",IF(D258="",IF(ABS(E258-C258)&lt;=1,"reproduced",IF(ABS(E258-C258)&lt;=1*5,"rounding","CHECK")),IF(ABS(E258-D258)&lt;=1,"corrected","CHECK")))</f>
        <v>reproduced</v>
      </c>
      <c r="H258" s="44"/>
    </row>
    <row r="259" customFormat="false" ht="15" hidden="false" customHeight="false" outlineLevel="0" collapsed="false">
      <c r="A259" s="3" t="s">
        <v>869</v>
      </c>
      <c r="B259" s="5" t="s">
        <v>875</v>
      </c>
      <c r="C259" s="36" t="n">
        <v>1908000</v>
      </c>
      <c r="D259" s="36"/>
      <c r="E259" s="37" t="n">
        <f aca="false">'12. Cost and delay'!B59</f>
        <v>1908000</v>
      </c>
      <c r="F259" s="9" t="n">
        <f aca="false">IF(D259="",E259-C259,E259-D259)</f>
        <v>0</v>
      </c>
      <c r="G259" s="5" t="str">
        <f aca="false">IF(ISNUMBER(E259)=FALSE(),"CHECK",IF(D259="",IF(ABS(E259-C259)&lt;=1,"reproduced",IF(ABS(E259-C259)&lt;=1*5,"rounding","CHECK")),IF(ABS(E259-D259)&lt;=1,"corrected","CHECK")))</f>
        <v>reproduced</v>
      </c>
      <c r="H259" s="38"/>
    </row>
    <row r="260" customFormat="false" ht="15" hidden="false" customHeight="false" outlineLevel="0" collapsed="false">
      <c r="A260" s="39" t="s">
        <v>869</v>
      </c>
      <c r="B260" s="40" t="s">
        <v>331</v>
      </c>
      <c r="C260" s="41" t="n">
        <v>44768000</v>
      </c>
      <c r="D260" s="41"/>
      <c r="E260" s="42" t="n">
        <f aca="false">'12. Cost and delay'!B60</f>
        <v>44768000</v>
      </c>
      <c r="F260" s="43" t="n">
        <f aca="false">IF(D260="",E260-C260,E260-D260)</f>
        <v>0</v>
      </c>
      <c r="G260" s="40" t="str">
        <f aca="false">IF(ISNUMBER(E260)=FALSE(),"CHECK",IF(D260="",IF(ABS(E260-C260)&lt;=1,"reproduced",IF(ABS(E260-C260)&lt;=1*5,"rounding","CHECK")),IF(ABS(E260-D260)&lt;=1,"corrected","CHECK")))</f>
        <v>reproduced</v>
      </c>
      <c r="H260" s="44"/>
    </row>
    <row r="261" customFormat="false" ht="15" hidden="false" customHeight="false" outlineLevel="0" collapsed="false">
      <c r="A261" s="3" t="s">
        <v>869</v>
      </c>
      <c r="B261" s="5" t="s">
        <v>838</v>
      </c>
      <c r="C261" s="36" t="n">
        <v>1119</v>
      </c>
      <c r="D261" s="36"/>
      <c r="E261" s="37" t="n">
        <f aca="false">'12. Cost and delay'!B61</f>
        <v>1119.2</v>
      </c>
      <c r="F261" s="9" t="n">
        <f aca="false">IF(D261="",E261-C261,E261-D261)</f>
        <v>0.200000000000045</v>
      </c>
      <c r="G261" s="5" t="str">
        <f aca="false">IF(ISNUMBER(E261)=FALSE(),"CHECK",IF(D261="",IF(ABS(E261-C261)&lt;=0.5,"reproduced",IF(ABS(E261-C261)&lt;=0.5*5,"rounding","CHECK")),IF(ABS(E261-D261)&lt;=0.5,"corrected","CHECK")))</f>
        <v>reproduced</v>
      </c>
      <c r="H261" s="38"/>
    </row>
    <row r="262" customFormat="false" ht="15" hidden="false" customHeight="false" outlineLevel="0" collapsed="false">
      <c r="A262" s="39" t="s">
        <v>869</v>
      </c>
      <c r="B262" s="40" t="s">
        <v>437</v>
      </c>
      <c r="C262" s="41" t="n">
        <v>4400000</v>
      </c>
      <c r="D262" s="41"/>
      <c r="E262" s="42" t="n">
        <f aca="false">'12. Cost and delay'!B62</f>
        <v>4400000</v>
      </c>
      <c r="F262" s="43" t="n">
        <f aca="false">IF(D262="",E262-C262,E262-D262)</f>
        <v>0</v>
      </c>
      <c r="G262" s="40" t="str">
        <f aca="false">IF(ISNUMBER(E262)=FALSE(),"CHECK",IF(D262="",IF(ABS(E262-C262)&lt;=1,"reproduced",IF(ABS(E262-C262)&lt;=1*5,"rounding","CHECK")),IF(ABS(E262-D262)&lt;=1,"corrected","CHECK")))</f>
        <v>reproduced</v>
      </c>
      <c r="H262" s="44"/>
    </row>
    <row r="263" customFormat="false" ht="15" hidden="false" customHeight="false" outlineLevel="0" collapsed="false">
      <c r="A263" s="3" t="s">
        <v>869</v>
      </c>
      <c r="B263" s="5" t="s">
        <v>287</v>
      </c>
      <c r="C263" s="45" t="n">
        <v>0.098</v>
      </c>
      <c r="D263" s="45"/>
      <c r="E263" s="46" t="n">
        <f aca="false">'12. Cost and delay'!B63</f>
        <v>0.0982844889206576</v>
      </c>
      <c r="F263" s="18" t="n">
        <f aca="false">IF(D263="",E263-C263,E263-D263)</f>
        <v>0.000284488920657605</v>
      </c>
      <c r="G263" s="5" t="str">
        <f aca="false">IF(ISNUMBER(E263)=FALSE(),"CHECK",IF(D263="",IF(ABS(E263-C263)&lt;=0.0005,"reproduced",IF(ABS(E263-C263)&lt;=0.0005*5,"rounding","CHECK")),IF(ABS(E263-D263)&lt;=0.0005,"corrected","CHECK")))</f>
        <v>reproduced</v>
      </c>
      <c r="H263" s="38"/>
    </row>
    <row r="264" customFormat="false" ht="15" hidden="false" customHeight="false" outlineLevel="0" collapsed="false">
      <c r="A264" s="39" t="s">
        <v>869</v>
      </c>
      <c r="B264" s="40" t="s">
        <v>876</v>
      </c>
      <c r="C264" s="57" t="n">
        <v>0.027</v>
      </c>
      <c r="D264" s="57"/>
      <c r="E264" s="58" t="n">
        <f aca="false">'12. Cost and delay'!B64</f>
        <v>0.0270646021982963</v>
      </c>
      <c r="F264" s="59" t="n">
        <f aca="false">IF(D264="",E264-C264,E264-D264)</f>
        <v>6.46021982963173E-005</v>
      </c>
      <c r="G264" s="40" t="str">
        <f aca="false">IF(ISNUMBER(E264)=FALSE(),"CHECK",IF(D264="",IF(ABS(E264-C264)&lt;=0.0005,"reproduced",IF(ABS(E264-C264)&lt;=0.0005*5,"rounding","CHECK")),IF(ABS(E264-D264)&lt;=0.0005,"corrected","CHECK")))</f>
        <v>reproduced</v>
      </c>
      <c r="H264" s="44"/>
    </row>
    <row r="265" customFormat="false" ht="15" hidden="false" customHeight="false" outlineLevel="0" collapsed="false">
      <c r="A265" s="3" t="s">
        <v>869</v>
      </c>
      <c r="B265" s="5" t="s">
        <v>877</v>
      </c>
      <c r="C265" s="45" t="n">
        <v>0.21</v>
      </c>
      <c r="D265" s="45"/>
      <c r="E265" s="46" t="n">
        <f aca="false">'12. Cost and delay'!B65</f>
        <v>0.211427137659731</v>
      </c>
      <c r="F265" s="18" t="n">
        <f aca="false">IF(D265="",E265-C265,E265-D265)</f>
        <v>0.00142713765973077</v>
      </c>
      <c r="G265" s="5" t="str">
        <f aca="false">IF(ISNUMBER(E265)=FALSE(),"CHECK",IF(D265="",IF(ABS(E265-C265)&lt;=0.005,"reproduced",IF(ABS(E265-C265)&lt;=0.005*5,"rounding","CHECK")),IF(ABS(E265-D265)&lt;=0.005,"corrected","CHECK")))</f>
        <v>reproduced</v>
      </c>
      <c r="H265" s="38"/>
    </row>
    <row r="266" customFormat="false" ht="15" hidden="false" customHeight="false" outlineLevel="0" collapsed="false">
      <c r="A266" s="39" t="s">
        <v>869</v>
      </c>
      <c r="B266" s="40" t="s">
        <v>474</v>
      </c>
      <c r="C266" s="41" t="n">
        <v>2320000</v>
      </c>
      <c r="D266" s="41"/>
      <c r="E266" s="42" t="n">
        <f aca="false">'12. Cost and delay'!B56</f>
        <v>2320000</v>
      </c>
      <c r="F266" s="43" t="n">
        <f aca="false">IF(D266="",E266-C266,E266-D266)</f>
        <v>0</v>
      </c>
      <c r="G266" s="40" t="str">
        <f aca="false">IF(ISNUMBER(E266)=FALSE(),"CHECK",IF(D266="",IF(ABS(E266-C266)&lt;=1,"reproduced",IF(ABS(E266-C266)&lt;=1*5,"rounding","CHECK")),IF(ABS(E266-D266)&lt;=1,"corrected","CHECK")))</f>
        <v>reproduced</v>
      </c>
      <c r="H266" s="44"/>
    </row>
    <row r="267" customFormat="false" ht="15" hidden="false" customHeight="false" outlineLevel="0" collapsed="false">
      <c r="A267" s="3" t="s">
        <v>869</v>
      </c>
      <c r="B267" s="5" t="s">
        <v>878</v>
      </c>
      <c r="C267" s="45"/>
      <c r="D267" s="45" t="n">
        <v>1</v>
      </c>
      <c r="E267" s="46" t="n">
        <f aca="false">'12. Cost and delay'!B67</f>
        <v>1</v>
      </c>
      <c r="F267" s="18" t="n">
        <f aca="false">IF(D267="",E267-C267,E267-D267)</f>
        <v>0</v>
      </c>
      <c r="G267" s="5" t="str">
        <f aca="false">IF(ISNUMBER(E267)=FALSE(),"CHECK",IF(D267="",IF(ABS(E267-C267)&lt;=0.0005,"reproduced",IF(ABS(E267-C267)&lt;=0.0005*5,"rounding","CHECK")),IF(ABS(E267-D267)&lt;=0.0005,"corrected","CHECK")))</f>
        <v>corrected</v>
      </c>
      <c r="H267" s="38" t="s">
        <v>879</v>
      </c>
    </row>
    <row r="268" customFormat="false" ht="15" hidden="false" customHeight="false" outlineLevel="0" collapsed="false">
      <c r="A268" s="39" t="s">
        <v>880</v>
      </c>
      <c r="B268" s="40" t="s">
        <v>485</v>
      </c>
      <c r="C268" s="41" t="n">
        <v>2170000</v>
      </c>
      <c r="D268" s="41"/>
      <c r="E268" s="42" t="n">
        <f aca="false">'13. Spec or pre-let'!B8</f>
        <v>2170000</v>
      </c>
      <c r="F268" s="43" t="n">
        <f aca="false">IF(D268="",E268-C268,E268-D268)</f>
        <v>0</v>
      </c>
      <c r="G268" s="40" t="str">
        <f aca="false">IF(ISNUMBER(E268)=FALSE(),"CHECK",IF(D268="",IF(ABS(E268-C268)&lt;=1,"reproduced",IF(ABS(E268-C268)&lt;=1*5,"rounding","CHECK")),IF(ABS(E268-D268)&lt;=1,"corrected","CHECK")))</f>
        <v>reproduced</v>
      </c>
      <c r="H268" s="44"/>
    </row>
    <row r="269" customFormat="false" ht="15" hidden="false" customHeight="false" outlineLevel="0" collapsed="false">
      <c r="A269" s="3" t="s">
        <v>880</v>
      </c>
      <c r="B269" s="5" t="s">
        <v>486</v>
      </c>
      <c r="C269" s="36" t="n">
        <v>180833</v>
      </c>
      <c r="D269" s="36"/>
      <c r="E269" s="37" t="n">
        <f aca="false">'13. Spec or pre-let'!B9</f>
        <v>180833.333333333</v>
      </c>
      <c r="F269" s="9" t="n">
        <f aca="false">IF(D269="",E269-C269,E269-D269)</f>
        <v>0.333333333343035</v>
      </c>
      <c r="G269" s="5" t="str">
        <f aca="false">IF(ISNUMBER(E269)=FALSE(),"CHECK",IF(D269="",IF(ABS(E269-C269)&lt;=1,"reproduced",IF(ABS(E269-C269)&lt;=1*5,"rounding","CHECK")),IF(ABS(E269-D269)&lt;=1,"corrected","CHECK")))</f>
        <v>reproduced</v>
      </c>
      <c r="H269" s="38"/>
    </row>
    <row r="270" customFormat="false" ht="15" hidden="false" customHeight="false" outlineLevel="0" collapsed="false">
      <c r="A270" s="39" t="s">
        <v>880</v>
      </c>
      <c r="B270" s="40" t="s">
        <v>487</v>
      </c>
      <c r="C270" s="41" t="n">
        <v>37500</v>
      </c>
      <c r="D270" s="41"/>
      <c r="E270" s="42" t="n">
        <f aca="false">'13. Spec or pre-let'!B10</f>
        <v>37500</v>
      </c>
      <c r="F270" s="43" t="n">
        <f aca="false">IF(D270="",E270-C270,E270-D270)</f>
        <v>0</v>
      </c>
      <c r="G270" s="40" t="str">
        <f aca="false">IF(ISNUMBER(E270)=FALSE(),"CHECK",IF(D270="",IF(ABS(E270-C270)&lt;=1,"reproduced",IF(ABS(E270-C270)&lt;=1*5,"rounding","CHECK")),IF(ABS(E270-D270)&lt;=1,"corrected","CHECK")))</f>
        <v>reproduced</v>
      </c>
      <c r="H270" s="44"/>
    </row>
    <row r="271" customFormat="false" ht="15" hidden="false" customHeight="false" outlineLevel="0" collapsed="false">
      <c r="A271" s="3" t="s">
        <v>880</v>
      </c>
      <c r="B271" s="5" t="s">
        <v>488</v>
      </c>
      <c r="C271" s="36" t="n">
        <v>218333</v>
      </c>
      <c r="D271" s="36"/>
      <c r="E271" s="37" t="n">
        <f aca="false">'13. Spec or pre-let'!B11</f>
        <v>218333.333333333</v>
      </c>
      <c r="F271" s="9" t="n">
        <f aca="false">IF(D271="",E271-C271,E271-D271)</f>
        <v>0.333333333343035</v>
      </c>
      <c r="G271" s="5" t="str">
        <f aca="false">IF(ISNUMBER(E271)=FALSE(),"CHECK",IF(D271="",IF(ABS(E271-C271)&lt;=1,"reproduced",IF(ABS(E271-C271)&lt;=1*5,"rounding","CHECK")),IF(ABS(E271-D271)&lt;=1,"corrected","CHECK")))</f>
        <v>reproduced</v>
      </c>
      <c r="H271" s="38"/>
    </row>
    <row r="272" customFormat="false" ht="15" hidden="false" customHeight="false" outlineLevel="0" collapsed="false">
      <c r="A272" s="39" t="s">
        <v>880</v>
      </c>
      <c r="B272" s="40" t="s">
        <v>881</v>
      </c>
      <c r="C272" s="41" t="n">
        <v>2070000</v>
      </c>
      <c r="D272" s="41"/>
      <c r="E272" s="42" t="n">
        <f aca="false">'13. Spec or pre-let'!B20</f>
        <v>2070000</v>
      </c>
      <c r="F272" s="43" t="n">
        <f aca="false">IF(D272="",E272-C272,E272-D272)</f>
        <v>0</v>
      </c>
      <c r="G272" s="40" t="str">
        <f aca="false">IF(ISNUMBER(E272)=FALSE(),"CHECK",IF(D272="",IF(ABS(E272-C272)&lt;=1,"reproduced",IF(ABS(E272-C272)&lt;=1*5,"rounding","CHECK")),IF(ABS(E272-D272)&lt;=1,"corrected","CHECK")))</f>
        <v>reproduced</v>
      </c>
      <c r="H272" s="44"/>
    </row>
    <row r="273" customFormat="false" ht="15" hidden="false" customHeight="false" outlineLevel="0" collapsed="false">
      <c r="A273" s="3" t="s">
        <v>880</v>
      </c>
      <c r="B273" s="5" t="s">
        <v>882</v>
      </c>
      <c r="C273" s="36" t="n">
        <v>39428571</v>
      </c>
      <c r="D273" s="36"/>
      <c r="E273" s="37" t="n">
        <f aca="false">'13. Spec or pre-let'!B21</f>
        <v>39428571.4285714</v>
      </c>
      <c r="F273" s="9" t="n">
        <f aca="false">IF(D273="",E273-C273,E273-D273)</f>
        <v>0.428571432828903</v>
      </c>
      <c r="G273" s="5" t="str">
        <f aca="false">IF(ISNUMBER(E273)=FALSE(),"CHECK",IF(D273="",IF(ABS(E273-C273)&lt;=1,"reproduced",IF(ABS(E273-C273)&lt;=1*5,"rounding","CHECK")),IF(ABS(E273-D273)&lt;=1,"corrected","CHECK")))</f>
        <v>reproduced</v>
      </c>
      <c r="H273" s="38"/>
    </row>
    <row r="274" customFormat="false" ht="15" hidden="false" customHeight="false" outlineLevel="0" collapsed="false">
      <c r="A274" s="39" t="s">
        <v>880</v>
      </c>
      <c r="B274" s="40" t="s">
        <v>571</v>
      </c>
      <c r="C274" s="41" t="n">
        <v>37022133</v>
      </c>
      <c r="D274" s="41"/>
      <c r="E274" s="42" t="n">
        <f aca="false">'13. Spec or pre-let'!B22</f>
        <v>37022132.7967807</v>
      </c>
      <c r="F274" s="43" t="n">
        <f aca="false">IF(D274="",E274-C274,E274-D274)</f>
        <v>-0.203219309449196</v>
      </c>
      <c r="G274" s="40" t="str">
        <f aca="false">IF(ISNUMBER(E274)=FALSE(),"CHECK",IF(D274="",IF(ABS(E274-C274)&lt;=1,"reproduced",IF(ABS(E274-C274)&lt;=1*5,"rounding","CHECK")),IF(ABS(E274-D274)&lt;=1,"corrected","CHECK")))</f>
        <v>reproduced</v>
      </c>
      <c r="H274" s="44"/>
    </row>
    <row r="275" customFormat="false" ht="15" hidden="false" customHeight="false" outlineLevel="0" collapsed="false">
      <c r="A275" s="3" t="s">
        <v>880</v>
      </c>
      <c r="B275" s="5" t="s">
        <v>883</v>
      </c>
      <c r="C275" s="36" t="n">
        <v>1552500</v>
      </c>
      <c r="D275" s="36"/>
      <c r="E275" s="37" t="n">
        <f aca="false">'13. Spec or pre-let'!B23</f>
        <v>1552500</v>
      </c>
      <c r="F275" s="9" t="n">
        <f aca="false">IF(D275="",E275-C275,E275-D275)</f>
        <v>0</v>
      </c>
      <c r="G275" s="5" t="str">
        <f aca="false">IF(ISNUMBER(E275)=FALSE(),"CHECK",IF(D275="",IF(ABS(E275-C275)&lt;=1,"reproduced",IF(ABS(E275-C275)&lt;=1*5,"rounding","CHECK")),IF(ABS(E275-D275)&lt;=1,"corrected","CHECK")))</f>
        <v>reproduced</v>
      </c>
      <c r="H275" s="38"/>
    </row>
    <row r="276" customFormat="false" ht="15" hidden="false" customHeight="false" outlineLevel="0" collapsed="false">
      <c r="A276" s="39" t="s">
        <v>880</v>
      </c>
      <c r="B276" s="40" t="s">
        <v>884</v>
      </c>
      <c r="C276" s="41" t="n">
        <v>35469633</v>
      </c>
      <c r="D276" s="41"/>
      <c r="E276" s="42" t="n">
        <f aca="false">'13. Spec or pre-let'!B24</f>
        <v>35469632.7967807</v>
      </c>
      <c r="F276" s="43" t="n">
        <f aca="false">IF(D276="",E276-C276,E276-D276)</f>
        <v>-0.203219309449196</v>
      </c>
      <c r="G276" s="40" t="str">
        <f aca="false">IF(ISNUMBER(E276)=FALSE(),"CHECK",IF(D276="",IF(ABS(E276-C276)&lt;=1,"reproduced",IF(ABS(E276-C276)&lt;=1*5,"rounding","CHECK")),IF(ABS(E276-D276)&lt;=1,"corrected","CHECK")))</f>
        <v>reproduced</v>
      </c>
      <c r="H276" s="44"/>
    </row>
    <row r="277" customFormat="false" ht="15" hidden="false" customHeight="false" outlineLevel="0" collapsed="false">
      <c r="A277" s="3" t="s">
        <v>880</v>
      </c>
      <c r="B277" s="5" t="s">
        <v>645</v>
      </c>
      <c r="C277" s="36" t="n">
        <v>207000</v>
      </c>
      <c r="D277" s="36"/>
      <c r="E277" s="37" t="n">
        <f aca="false">'13. Spec or pre-let'!B25</f>
        <v>207000</v>
      </c>
      <c r="F277" s="9" t="n">
        <f aca="false">IF(D277="",E277-C277,E277-D277)</f>
        <v>0</v>
      </c>
      <c r="G277" s="5" t="str">
        <f aca="false">IF(ISNUMBER(E277)=FALSE(),"CHECK",IF(D277="",IF(ABS(E277-C277)&lt;=1,"reproduced",IF(ABS(E277-C277)&lt;=1*5,"rounding","CHECK")),IF(ABS(E277-D277)&lt;=1,"corrected","CHECK")))</f>
        <v>reproduced</v>
      </c>
      <c r="H277" s="38"/>
    </row>
    <row r="278" customFormat="false" ht="15" hidden="false" customHeight="false" outlineLevel="0" collapsed="false">
      <c r="A278" s="39" t="s">
        <v>880</v>
      </c>
      <c r="B278" s="40" t="s">
        <v>885</v>
      </c>
      <c r="C278" s="41" t="n">
        <v>370000</v>
      </c>
      <c r="D278" s="41"/>
      <c r="E278" s="42" t="n">
        <f aca="false">'13. Spec or pre-let'!B26</f>
        <v>370000</v>
      </c>
      <c r="F278" s="43" t="n">
        <f aca="false">IF(D278="",E278-C278,E278-D278)</f>
        <v>0</v>
      </c>
      <c r="G278" s="40" t="str">
        <f aca="false">IF(ISNUMBER(E278)=FALSE(),"CHECK",IF(D278="",IF(ABS(E278-C278)&lt;=1,"reproduced",IF(ABS(E278-C278)&lt;=1*5,"rounding","CHECK")),IF(ABS(E278-D278)&lt;=1,"corrected","CHECK")))</f>
        <v>reproduced</v>
      </c>
      <c r="H278" s="44"/>
    </row>
    <row r="279" customFormat="false" ht="15" hidden="false" customHeight="false" outlineLevel="0" collapsed="false">
      <c r="A279" s="3" t="s">
        <v>880</v>
      </c>
      <c r="B279" s="5" t="s">
        <v>886</v>
      </c>
      <c r="C279" s="36" t="n">
        <v>3892633</v>
      </c>
      <c r="D279" s="36"/>
      <c r="E279" s="37" t="n">
        <f aca="false">'13. Spec or pre-let'!B27</f>
        <v>3892632.79678069</v>
      </c>
      <c r="F279" s="9" t="n">
        <f aca="false">IF(D279="",E279-C279,E279-D279)</f>
        <v>-0.203219309449196</v>
      </c>
      <c r="G279" s="5" t="str">
        <f aca="false">IF(ISNUMBER(E279)=FALSE(),"CHECK",IF(D279="",IF(ABS(E279-C279)&lt;=1,"reproduced",IF(ABS(E279-C279)&lt;=1*5,"rounding","CHECK")),IF(ABS(E279-D279)&lt;=1,"corrected","CHECK")))</f>
        <v>reproduced</v>
      </c>
      <c r="H279" s="38"/>
    </row>
    <row r="280" customFormat="false" ht="15" hidden="false" customHeight="false" outlineLevel="0" collapsed="false">
      <c r="A280" s="39" t="s">
        <v>880</v>
      </c>
      <c r="B280" s="40" t="s">
        <v>287</v>
      </c>
      <c r="C280" s="57" t="n">
        <v>0.123</v>
      </c>
      <c r="D280" s="57"/>
      <c r="E280" s="58" t="n">
        <f aca="false">'13. Spec or pre-let'!B28</f>
        <v>0.123274307146996</v>
      </c>
      <c r="F280" s="59" t="n">
        <f aca="false">IF(D280="",E280-C280,E280-D280)</f>
        <v>0.000274307146995931</v>
      </c>
      <c r="G280" s="40" t="str">
        <f aca="false">IF(ISNUMBER(E280)=FALSE(),"CHECK",IF(D280="",IF(ABS(E280-C280)&lt;=0.0005,"reproduced",IF(ABS(E280-C280)&lt;=0.0005*5,"rounding","CHECK")),IF(ABS(E280-D280)&lt;=0.0005,"corrected","CHECK")))</f>
        <v>reproduced</v>
      </c>
      <c r="H280" s="44"/>
    </row>
    <row r="281" customFormat="false" ht="15" hidden="false" customHeight="false" outlineLevel="0" collapsed="false">
      <c r="A281" s="3" t="s">
        <v>880</v>
      </c>
      <c r="B281" s="5" t="s">
        <v>887</v>
      </c>
      <c r="C281" s="36" t="n">
        <v>2340000</v>
      </c>
      <c r="D281" s="36"/>
      <c r="E281" s="37" t="n">
        <f aca="false">'13. Spec or pre-let'!B34</f>
        <v>2340000</v>
      </c>
      <c r="F281" s="9" t="n">
        <f aca="false">IF(D281="",E281-C281,E281-D281)</f>
        <v>0</v>
      </c>
      <c r="G281" s="5" t="str">
        <f aca="false">IF(ISNUMBER(E281)=FALSE(),"CHECK",IF(D281="",IF(ABS(E281-C281)&lt;=1,"reproduced",IF(ABS(E281-C281)&lt;=1*5,"rounding","CHECK")),IF(ABS(E281-D281)&lt;=1,"corrected","CHECK")))</f>
        <v>reproduced</v>
      </c>
      <c r="H281" s="38"/>
    </row>
    <row r="282" customFormat="false" ht="15" hidden="false" customHeight="false" outlineLevel="0" collapsed="false">
      <c r="A282" s="39" t="s">
        <v>880</v>
      </c>
      <c r="B282" s="40" t="s">
        <v>882</v>
      </c>
      <c r="C282" s="41" t="n">
        <v>42545455</v>
      </c>
      <c r="D282" s="41"/>
      <c r="E282" s="42" t="n">
        <f aca="false">'13. Spec or pre-let'!B35</f>
        <v>42545454.5454546</v>
      </c>
      <c r="F282" s="43" t="n">
        <f aca="false">IF(D282="",E282-C282,E282-D282)</f>
        <v>-0.454545453190804</v>
      </c>
      <c r="G282" s="40" t="str">
        <f aca="false">IF(ISNUMBER(E282)=FALSE(),"CHECK",IF(D282="",IF(ABS(E282-C282)&lt;=1,"reproduced",IF(ABS(E282-C282)&lt;=1*5,"rounding","CHECK")),IF(ABS(E282-D282)&lt;=1,"corrected","CHECK")))</f>
        <v>reproduced</v>
      </c>
      <c r="H282" s="44"/>
    </row>
    <row r="283" customFormat="false" ht="15" hidden="false" customHeight="false" outlineLevel="0" collapsed="false">
      <c r="A283" s="3" t="s">
        <v>880</v>
      </c>
      <c r="B283" s="5" t="s">
        <v>571</v>
      </c>
      <c r="C283" s="36" t="n">
        <v>39948784</v>
      </c>
      <c r="D283" s="36"/>
      <c r="E283" s="37" t="n">
        <f aca="false">'13. Spec or pre-let'!B36</f>
        <v>39948783.6107554</v>
      </c>
      <c r="F283" s="9" t="n">
        <f aca="false">IF(D283="",E283-C283,E283-D283)</f>
        <v>-0.389244556427002</v>
      </c>
      <c r="G283" s="5" t="str">
        <f aca="false">IF(ISNUMBER(E283)=FALSE(),"CHECK",IF(D283="",IF(ABS(E283-C283)&lt;=1,"reproduced",IF(ABS(E283-C283)&lt;=1*5,"rounding","CHECK")),IF(ABS(E283-D283)&lt;=1,"corrected","CHECK")))</f>
        <v>reproduced</v>
      </c>
      <c r="H283" s="38"/>
    </row>
    <row r="284" customFormat="false" ht="15" hidden="false" customHeight="false" outlineLevel="0" collapsed="false">
      <c r="A284" s="39" t="s">
        <v>880</v>
      </c>
      <c r="B284" s="40" t="s">
        <v>883</v>
      </c>
      <c r="C284" s="41" t="n">
        <v>2925000</v>
      </c>
      <c r="D284" s="41"/>
      <c r="E284" s="42" t="n">
        <f aca="false">'13. Spec or pre-let'!B37</f>
        <v>2925000</v>
      </c>
      <c r="F284" s="43" t="n">
        <f aca="false">IF(D284="",E284-C284,E284-D284)</f>
        <v>0</v>
      </c>
      <c r="G284" s="40" t="str">
        <f aca="false">IF(ISNUMBER(E284)=FALSE(),"CHECK",IF(D284="",IF(ABS(E284-C284)&lt;=1,"reproduced",IF(ABS(E284-C284)&lt;=1*5,"rounding","CHECK")),IF(ABS(E284-D284)&lt;=1,"corrected","CHECK")))</f>
        <v>reproduced</v>
      </c>
      <c r="H284" s="44"/>
    </row>
    <row r="285" customFormat="false" ht="15" hidden="false" customHeight="false" outlineLevel="0" collapsed="false">
      <c r="A285" s="3" t="s">
        <v>880</v>
      </c>
      <c r="B285" s="5" t="s">
        <v>884</v>
      </c>
      <c r="C285" s="36" t="n">
        <v>37023784</v>
      </c>
      <c r="D285" s="36"/>
      <c r="E285" s="37" t="n">
        <f aca="false">'13. Spec or pre-let'!B38</f>
        <v>37023783.6107554</v>
      </c>
      <c r="F285" s="9" t="n">
        <f aca="false">IF(D285="",E285-C285,E285-D285)</f>
        <v>-0.389244556427002</v>
      </c>
      <c r="G285" s="5" t="str">
        <f aca="false">IF(ISNUMBER(E285)=FALSE(),"CHECK",IF(D285="",IF(ABS(E285-C285)&lt;=1,"reproduced",IF(ABS(E285-C285)&lt;=1*5,"rounding","CHECK")),IF(ABS(E285-D285)&lt;=1,"corrected","CHECK")))</f>
        <v>reproduced</v>
      </c>
      <c r="H285" s="38"/>
    </row>
    <row r="286" customFormat="false" ht="15" hidden="false" customHeight="false" outlineLevel="0" collapsed="false">
      <c r="A286" s="39" t="s">
        <v>880</v>
      </c>
      <c r="B286" s="40" t="s">
        <v>645</v>
      </c>
      <c r="C286" s="41" t="n">
        <v>234000</v>
      </c>
      <c r="D286" s="41"/>
      <c r="E286" s="42" t="n">
        <f aca="false">'13. Spec or pre-let'!B39</f>
        <v>234000</v>
      </c>
      <c r="F286" s="43" t="n">
        <f aca="false">IF(D286="",E286-C286,E286-D286)</f>
        <v>0</v>
      </c>
      <c r="G286" s="40" t="str">
        <f aca="false">IF(ISNUMBER(E286)=FALSE(),"CHECK",IF(D286="",IF(ABS(E286-C286)&lt;=1,"reproduced",IF(ABS(E286-C286)&lt;=1*5,"rounding","CHECK")),IF(ABS(E286-D286)&lt;=1,"corrected","CHECK")))</f>
        <v>reproduced</v>
      </c>
      <c r="H286" s="44"/>
    </row>
    <row r="287" customFormat="false" ht="15" hidden="false" customHeight="false" outlineLevel="0" collapsed="false">
      <c r="A287" s="3" t="s">
        <v>880</v>
      </c>
      <c r="B287" s="5" t="s">
        <v>885</v>
      </c>
      <c r="C287" s="36" t="n">
        <v>399000</v>
      </c>
      <c r="D287" s="36"/>
      <c r="E287" s="37" t="n">
        <f aca="false">'13. Spec or pre-let'!B40</f>
        <v>399000</v>
      </c>
      <c r="F287" s="9" t="n">
        <f aca="false">IF(D287="",E287-C287,E287-D287)</f>
        <v>0</v>
      </c>
      <c r="G287" s="5" t="str">
        <f aca="false">IF(ISNUMBER(E287)=FALSE(),"CHECK",IF(D287="",IF(ABS(E287-C287)&lt;=1,"reproduced",IF(ABS(E287-C287)&lt;=1*5,"rounding","CHECK")),IF(ABS(E287-D287)&lt;=1,"corrected","CHECK")))</f>
        <v>reproduced</v>
      </c>
      <c r="H287" s="38"/>
    </row>
    <row r="288" customFormat="false" ht="15" hidden="false" customHeight="false" outlineLevel="0" collapsed="false">
      <c r="A288" s="39" t="s">
        <v>880</v>
      </c>
      <c r="B288" s="40" t="s">
        <v>888</v>
      </c>
      <c r="C288" s="41" t="n">
        <v>31633000</v>
      </c>
      <c r="D288" s="41"/>
      <c r="E288" s="42" t="n">
        <f aca="false">'13. Spec or pre-let'!B41</f>
        <v>31633000</v>
      </c>
      <c r="F288" s="43" t="n">
        <f aca="false">IF(D288="",E288-C288,E288-D288)</f>
        <v>0</v>
      </c>
      <c r="G288" s="40" t="str">
        <f aca="false">IF(ISNUMBER(E288)=FALSE(),"CHECK",IF(D288="",IF(ABS(E288-C288)&lt;=1,"reproduced",IF(ABS(E288-C288)&lt;=1*5,"rounding","CHECK")),IF(ABS(E288-D288)&lt;=1,"corrected","CHECK")))</f>
        <v>reproduced</v>
      </c>
      <c r="H288" s="44"/>
    </row>
    <row r="289" customFormat="false" ht="15" hidden="false" customHeight="false" outlineLevel="0" collapsed="false">
      <c r="A289" s="3" t="s">
        <v>880</v>
      </c>
      <c r="B289" s="5" t="s">
        <v>886</v>
      </c>
      <c r="C289" s="36" t="n">
        <v>5390784</v>
      </c>
      <c r="D289" s="36"/>
      <c r="E289" s="37" t="n">
        <f aca="false">'13. Spec or pre-let'!B42</f>
        <v>5390783.61075544</v>
      </c>
      <c r="F289" s="9" t="n">
        <f aca="false">IF(D289="",E289-C289,E289-D289)</f>
        <v>-0.389244556427002</v>
      </c>
      <c r="G289" s="5" t="str">
        <f aca="false">IF(ISNUMBER(E289)=FALSE(),"CHECK",IF(D289="",IF(ABS(E289-C289)&lt;=1,"reproduced",IF(ABS(E289-C289)&lt;=1*5,"rounding","CHECK")),IF(ABS(E289-D289)&lt;=1,"corrected","CHECK")))</f>
        <v>reproduced</v>
      </c>
      <c r="H289" s="38"/>
    </row>
    <row r="290" customFormat="false" ht="15" hidden="false" customHeight="false" outlineLevel="0" collapsed="false">
      <c r="A290" s="39" t="s">
        <v>880</v>
      </c>
      <c r="B290" s="40" t="s">
        <v>287</v>
      </c>
      <c r="C290" s="57" t="n">
        <v>0.17</v>
      </c>
      <c r="D290" s="57"/>
      <c r="E290" s="58" t="n">
        <f aca="false">'13. Spec or pre-let'!B43</f>
        <v>0.170416451514414</v>
      </c>
      <c r="F290" s="59" t="n">
        <f aca="false">IF(D290="",E290-C290,E290-D290)</f>
        <v>0.000416451514413524</v>
      </c>
      <c r="G290" s="40" t="str">
        <f aca="false">IF(ISNUMBER(E290)=FALSE(),"CHECK",IF(D290="",IF(ABS(E290-C290)&lt;=0.0005,"reproduced",IF(ABS(E290-C290)&lt;=0.0005*5,"rounding","CHECK")),IF(ABS(E290-D290)&lt;=0.0005,"corrected","CHECK")))</f>
        <v>reproduced</v>
      </c>
      <c r="H290" s="44"/>
    </row>
    <row r="291" customFormat="false" ht="15" hidden="false" customHeight="false" outlineLevel="0" collapsed="false">
      <c r="A291" s="3" t="s">
        <v>880</v>
      </c>
      <c r="B291" s="5" t="s">
        <v>798</v>
      </c>
      <c r="C291" s="36" t="n">
        <v>1498151</v>
      </c>
      <c r="D291" s="36"/>
      <c r="E291" s="37" t="n">
        <f aca="false">'13. Spec or pre-let'!B44</f>
        <v>1498150.81397475</v>
      </c>
      <c r="F291" s="9" t="n">
        <f aca="false">IF(D291="",E291-C291,E291-D291)</f>
        <v>-0.186025246977806</v>
      </c>
      <c r="G291" s="5" t="str">
        <f aca="false">IF(ISNUMBER(E291)=FALSE(),"CHECK",IF(D291="",IF(ABS(E291-C291)&lt;=1,"reproduced",IF(ABS(E291-C291)&lt;=1*5,"rounding","CHECK")),IF(ABS(E291-D291)&lt;=1,"corrected","CHECK")))</f>
        <v>reproduced</v>
      </c>
      <c r="H291" s="38"/>
    </row>
    <row r="292" customFormat="false" ht="15" hidden="false" customHeight="false" outlineLevel="0" collapsed="false">
      <c r="A292" s="39" t="s">
        <v>880</v>
      </c>
      <c r="B292" s="40" t="s">
        <v>889</v>
      </c>
      <c r="C292" s="47" t="n">
        <v>24.7</v>
      </c>
      <c r="D292" s="47"/>
      <c r="E292" s="48" t="n">
        <f aca="false">'13. Spec or pre-let'!B45</f>
        <v>24.6906119576585</v>
      </c>
      <c r="F292" s="49" t="n">
        <f aca="false">IF(D292="",E292-C292,E292-D292)</f>
        <v>-0.00938804234148094</v>
      </c>
      <c r="G292" s="40" t="str">
        <f aca="false">IF(ISNUMBER(E292)=FALSE(),"CHECK",IF(D292="",IF(ABS(E292-C292)&lt;=0.05,"reproduced",IF(ABS(E292-C292)&lt;=0.05*5,"rounding","CHECK")),IF(ABS(E292-D292)&lt;=0.05,"corrected","CHECK")))</f>
        <v>reproduced</v>
      </c>
      <c r="H292" s="44"/>
    </row>
    <row r="293" customFormat="false" ht="15" hidden="false" customHeight="false" outlineLevel="0" collapsed="false">
      <c r="A293" s="3" t="s">
        <v>880</v>
      </c>
      <c r="B293" s="5" t="s">
        <v>890</v>
      </c>
      <c r="C293" s="50" t="n">
        <v>6.9</v>
      </c>
      <c r="D293" s="50"/>
      <c r="E293" s="51" t="n">
        <f aca="false">'13. Spec or pre-let'!B46</f>
        <v>6.86175945331948</v>
      </c>
      <c r="F293" s="23" t="n">
        <f aca="false">IF(D293="",E293-C293,E293-D293)</f>
        <v>-0.0382405466805214</v>
      </c>
      <c r="G293" s="5" t="str">
        <f aca="false">IF(ISNUMBER(E293)=FALSE(),"CHECK",IF(D293="",IF(ABS(E293-C293)&lt;=0.05,"reproduced",IF(ABS(E293-C293)&lt;=0.05*5,"rounding","CHECK")),IF(ABS(E293-D293)&lt;=0.05,"corrected","CHECK")))</f>
        <v>reproduced</v>
      </c>
      <c r="H293" s="38"/>
    </row>
    <row r="294" customFormat="false" ht="15" hidden="false" customHeight="false" outlineLevel="0" collapsed="false">
      <c r="A294" s="39" t="s">
        <v>880</v>
      </c>
      <c r="B294" s="40" t="s">
        <v>891</v>
      </c>
      <c r="C294" s="41" t="n">
        <v>32943000</v>
      </c>
      <c r="D294" s="41"/>
      <c r="E294" s="42" t="n">
        <f aca="false">'13. Spec or pre-let'!B50</f>
        <v>32943000</v>
      </c>
      <c r="F294" s="43" t="n">
        <f aca="false">IF(D294="",E294-C294,E294-D294)</f>
        <v>0</v>
      </c>
      <c r="G294" s="40" t="str">
        <f aca="false">IF(ISNUMBER(E294)=FALSE(),"CHECK",IF(D294="",IF(ABS(E294-C294)&lt;=1,"reproduced",IF(ABS(E294-C294)&lt;=1*5,"rounding","CHECK")),IF(ABS(E294-D294)&lt;=1,"corrected","CHECK")))</f>
        <v>reproduced</v>
      </c>
      <c r="H294" s="44"/>
    </row>
    <row r="295" customFormat="false" ht="15" hidden="false" customHeight="false" outlineLevel="0" collapsed="false">
      <c r="A295" s="3" t="s">
        <v>880</v>
      </c>
      <c r="B295" s="5" t="s">
        <v>886</v>
      </c>
      <c r="C295" s="36" t="n">
        <v>4080784</v>
      </c>
      <c r="D295" s="36"/>
      <c r="E295" s="37" t="n">
        <f aca="false">'13. Spec or pre-let'!C50</f>
        <v>4080783.61075544</v>
      </c>
      <c r="F295" s="9" t="n">
        <f aca="false">IF(D295="",E295-C295,E295-D295)</f>
        <v>-0.389244556427002</v>
      </c>
      <c r="G295" s="5" t="str">
        <f aca="false">IF(ISNUMBER(E295)=FALSE(),"CHECK",IF(D295="",IF(ABS(E295-C295)&lt;=1,"reproduced",IF(ABS(E295-C295)&lt;=1*5,"rounding","CHECK")),IF(ABS(E295-D295)&lt;=1,"corrected","CHECK")))</f>
        <v>reproduced</v>
      </c>
      <c r="H295" s="38"/>
    </row>
    <row r="296" customFormat="false" ht="15" hidden="false" customHeight="false" outlineLevel="0" collapsed="false">
      <c r="A296" s="39" t="s">
        <v>880</v>
      </c>
      <c r="B296" s="40" t="s">
        <v>892</v>
      </c>
      <c r="C296" s="57" t="n">
        <v>0.124</v>
      </c>
      <c r="D296" s="57"/>
      <c r="E296" s="58" t="n">
        <f aca="false">'13. Spec or pre-let'!D50</f>
        <v>0.123874073725995</v>
      </c>
      <c r="F296" s="59" t="n">
        <f aca="false">IF(D296="",E296-C296,E296-D296)</f>
        <v>-0.000125926274005289</v>
      </c>
      <c r="G296" s="40" t="str">
        <f aca="false">IF(ISNUMBER(E296)=FALSE(),"CHECK",IF(D296="",IF(ABS(E296-C296)&lt;=0.0005,"reproduced",IF(ABS(E296-C296)&lt;=0.0005*5,"rounding","CHECK")),IF(ABS(E296-D296)&lt;=0.0005,"corrected","CHECK")))</f>
        <v>reproduced</v>
      </c>
      <c r="H296" s="44"/>
    </row>
    <row r="297" customFormat="false" ht="15" hidden="false" customHeight="false" outlineLevel="0" collapsed="false">
      <c r="A297" s="3" t="s">
        <v>880</v>
      </c>
      <c r="B297" s="5" t="s">
        <v>893</v>
      </c>
      <c r="C297" s="36" t="n">
        <v>34253000</v>
      </c>
      <c r="D297" s="36"/>
      <c r="E297" s="37" t="n">
        <f aca="false">'13. Spec or pre-let'!B51</f>
        <v>34253000</v>
      </c>
      <c r="F297" s="9" t="n">
        <f aca="false">IF(D297="",E297-C297,E297-D297)</f>
        <v>0</v>
      </c>
      <c r="G297" s="5" t="str">
        <f aca="false">IF(ISNUMBER(E297)=FALSE(),"CHECK",IF(D297="",IF(ABS(E297-C297)&lt;=1,"reproduced",IF(ABS(E297-C297)&lt;=1*5,"rounding","CHECK")),IF(ABS(E297-D297)&lt;=1,"corrected","CHECK")))</f>
        <v>reproduced</v>
      </c>
      <c r="H297" s="38"/>
    </row>
    <row r="298" customFormat="false" ht="15" hidden="false" customHeight="false" outlineLevel="0" collapsed="false">
      <c r="A298" s="39" t="s">
        <v>880</v>
      </c>
      <c r="B298" s="40" t="s">
        <v>886</v>
      </c>
      <c r="C298" s="41" t="n">
        <v>2770784</v>
      </c>
      <c r="D298" s="41"/>
      <c r="E298" s="42" t="n">
        <f aca="false">'13. Spec or pre-let'!C51</f>
        <v>2770783.61075544</v>
      </c>
      <c r="F298" s="43" t="n">
        <f aca="false">IF(D298="",E298-C298,E298-D298)</f>
        <v>-0.389244556427002</v>
      </c>
      <c r="G298" s="40" t="str">
        <f aca="false">IF(ISNUMBER(E298)=FALSE(),"CHECK",IF(D298="",IF(ABS(E298-C298)&lt;=1,"reproduced",IF(ABS(E298-C298)&lt;=1*5,"rounding","CHECK")),IF(ABS(E298-D298)&lt;=1,"corrected","CHECK")))</f>
        <v>reproduced</v>
      </c>
      <c r="H298" s="44"/>
    </row>
    <row r="299" customFormat="false" ht="15" hidden="false" customHeight="false" outlineLevel="0" collapsed="false">
      <c r="A299" s="3" t="s">
        <v>880</v>
      </c>
      <c r="B299" s="5" t="s">
        <v>892</v>
      </c>
      <c r="C299" s="45" t="n">
        <v>0.081</v>
      </c>
      <c r="D299" s="45"/>
      <c r="E299" s="46" t="n">
        <f aca="false">'13. Spec or pre-let'!D51</f>
        <v>0.0808917061499852</v>
      </c>
      <c r="F299" s="18" t="n">
        <f aca="false">IF(D299="",E299-C299,E299-D299)</f>
        <v>-0.00010829385001479</v>
      </c>
      <c r="G299" s="5" t="str">
        <f aca="false">IF(ISNUMBER(E299)=FALSE(),"CHECK",IF(D299="",IF(ABS(E299-C299)&lt;=0.0005,"reproduced",IF(ABS(E299-C299)&lt;=0.0005*5,"rounding","CHECK")),IF(ABS(E299-D299)&lt;=0.0005,"corrected","CHECK")))</f>
        <v>reproduced</v>
      </c>
      <c r="H299" s="38"/>
    </row>
    <row r="300" customFormat="false" ht="15" hidden="false" customHeight="false" outlineLevel="0" collapsed="false">
      <c r="A300" s="39" t="s">
        <v>880</v>
      </c>
      <c r="B300" s="40" t="s">
        <v>894</v>
      </c>
      <c r="C300" s="41" t="n">
        <v>35563000</v>
      </c>
      <c r="D300" s="41"/>
      <c r="E300" s="42" t="n">
        <f aca="false">'13. Spec or pre-let'!B52</f>
        <v>35563000</v>
      </c>
      <c r="F300" s="43" t="n">
        <f aca="false">IF(D300="",E300-C300,E300-D300)</f>
        <v>0</v>
      </c>
      <c r="G300" s="40" t="str">
        <f aca="false">IF(ISNUMBER(E300)=FALSE(),"CHECK",IF(D300="",IF(ABS(E300-C300)&lt;=1,"reproduced",IF(ABS(E300-C300)&lt;=1*5,"rounding","CHECK")),IF(ABS(E300-D300)&lt;=1,"corrected","CHECK")))</f>
        <v>reproduced</v>
      </c>
      <c r="H300" s="44"/>
    </row>
    <row r="301" customFormat="false" ht="15" hidden="false" customHeight="false" outlineLevel="0" collapsed="false">
      <c r="A301" s="3" t="s">
        <v>880</v>
      </c>
      <c r="B301" s="5" t="s">
        <v>886</v>
      </c>
      <c r="C301" s="36" t="n">
        <v>1460784</v>
      </c>
      <c r="D301" s="36"/>
      <c r="E301" s="37" t="n">
        <f aca="false">'13. Spec or pre-let'!C52</f>
        <v>1460783.61075544</v>
      </c>
      <c r="F301" s="9" t="n">
        <f aca="false">IF(D301="",E301-C301,E301-D301)</f>
        <v>-0.389244556427002</v>
      </c>
      <c r="G301" s="5" t="str">
        <f aca="false">IF(ISNUMBER(E301)=FALSE(),"CHECK",IF(D301="",IF(ABS(E301-C301)&lt;=1,"reproduced",IF(ABS(E301-C301)&lt;=1*5,"rounding","CHECK")),IF(ABS(E301-D301)&lt;=1,"corrected","CHECK")))</f>
        <v>reproduced</v>
      </c>
      <c r="H301" s="38"/>
    </row>
    <row r="302" customFormat="false" ht="15" hidden="false" customHeight="false" outlineLevel="0" collapsed="false">
      <c r="A302" s="39" t="s">
        <v>880</v>
      </c>
      <c r="B302" s="40" t="s">
        <v>892</v>
      </c>
      <c r="C302" s="57" t="n">
        <v>0.041</v>
      </c>
      <c r="D302" s="57"/>
      <c r="E302" s="58" t="n">
        <f aca="false">'13. Spec or pre-let'!D52</f>
        <v>0.0410759387778152</v>
      </c>
      <c r="F302" s="59" t="n">
        <f aca="false">IF(D302="",E302-C302,E302-D302)</f>
        <v>7.59387778152404E-005</v>
      </c>
      <c r="G302" s="40" t="str">
        <f aca="false">IF(ISNUMBER(E302)=FALSE(),"CHECK",IF(D302="",IF(ABS(E302-C302)&lt;=0.0005,"reproduced",IF(ABS(E302-C302)&lt;=0.0005*5,"rounding","CHECK")),IF(ABS(E302-D302)&lt;=0.0005,"corrected","CHECK")))</f>
        <v>reproduced</v>
      </c>
      <c r="H302" s="44"/>
    </row>
    <row r="303" customFormat="false" ht="15" hidden="false" customHeight="false" outlineLevel="0" collapsed="false">
      <c r="A303" s="3" t="s">
        <v>880</v>
      </c>
      <c r="B303" s="5" t="s">
        <v>895</v>
      </c>
      <c r="C303" s="36" t="n">
        <v>36873000</v>
      </c>
      <c r="D303" s="36"/>
      <c r="E303" s="37" t="n">
        <f aca="false">'13. Spec or pre-let'!B53</f>
        <v>36873000</v>
      </c>
      <c r="F303" s="9" t="n">
        <f aca="false">IF(D303="",E303-C303,E303-D303)</f>
        <v>0</v>
      </c>
      <c r="G303" s="5" t="str">
        <f aca="false">IF(ISNUMBER(E303)=FALSE(),"CHECK",IF(D303="",IF(ABS(E303-C303)&lt;=1,"reproduced",IF(ABS(E303-C303)&lt;=1*5,"rounding","CHECK")),IF(ABS(E303-D303)&lt;=1,"corrected","CHECK")))</f>
        <v>reproduced</v>
      </c>
      <c r="H303" s="38"/>
    </row>
    <row r="304" customFormat="false" ht="15" hidden="false" customHeight="false" outlineLevel="0" collapsed="false">
      <c r="A304" s="39" t="s">
        <v>880</v>
      </c>
      <c r="B304" s="40" t="s">
        <v>886</v>
      </c>
      <c r="C304" s="41" t="n">
        <v>150784</v>
      </c>
      <c r="D304" s="41"/>
      <c r="E304" s="42" t="n">
        <f aca="false">'13. Spec or pre-let'!C53</f>
        <v>150783.610755444</v>
      </c>
      <c r="F304" s="43" t="n">
        <f aca="false">IF(D304="",E304-C304,E304-D304)</f>
        <v>-0.389244556427002</v>
      </c>
      <c r="G304" s="40" t="str">
        <f aca="false">IF(ISNUMBER(E304)=FALSE(),"CHECK",IF(D304="",IF(ABS(E304-C304)&lt;=1,"reproduced",IF(ABS(E304-C304)&lt;=1*5,"rounding","CHECK")),IF(ABS(E304-D304)&lt;=1,"corrected","CHECK")))</f>
        <v>reproduced</v>
      </c>
      <c r="H304" s="44"/>
    </row>
    <row r="305" customFormat="false" ht="15" hidden="false" customHeight="false" outlineLevel="0" collapsed="false">
      <c r="A305" s="3" t="s">
        <v>880</v>
      </c>
      <c r="B305" s="5" t="s">
        <v>892</v>
      </c>
      <c r="C305" s="45" t="n">
        <v>0.004</v>
      </c>
      <c r="D305" s="45"/>
      <c r="E305" s="46" t="n">
        <f aca="false">'13. Spec or pre-let'!D53</f>
        <v>0.00408926886218761</v>
      </c>
      <c r="F305" s="18" t="n">
        <f aca="false">IF(D305="",E305-C305,E305-D305)</f>
        <v>8.92688621876052E-005</v>
      </c>
      <c r="G305" s="5" t="str">
        <f aca="false">IF(ISNUMBER(E305)=FALSE(),"CHECK",IF(D305="",IF(ABS(E305-C305)&lt;=0.0005,"reproduced",IF(ABS(E305-C305)&lt;=0.0005*5,"rounding","CHECK")),IF(ABS(E305-D305)&lt;=0.0005,"corrected","CHECK")))</f>
        <v>reproduced</v>
      </c>
      <c r="H305" s="38"/>
    </row>
    <row r="306" customFormat="false" ht="15" hidden="false" customHeight="false" outlineLevel="0" collapsed="false">
      <c r="A306" s="39" t="s">
        <v>880</v>
      </c>
      <c r="B306" s="40" t="s">
        <v>507</v>
      </c>
      <c r="C306" s="41" t="n">
        <v>3582984</v>
      </c>
      <c r="D306" s="41"/>
      <c r="E306" s="42" t="n">
        <f aca="false">'13. Spec or pre-let'!B55</f>
        <v>3582983.61075544</v>
      </c>
      <c r="F306" s="43" t="n">
        <f aca="false">IF(D306="",E306-C306,E306-D306)</f>
        <v>-0.389244556427002</v>
      </c>
      <c r="G306" s="40" t="str">
        <f aca="false">IF(ISNUMBER(E306)=FALSE(),"CHECK",IF(D306="",IF(ABS(E306-C306)&lt;=1,"reproduced",IF(ABS(E306-C306)&lt;=1*5,"rounding","CHECK")),IF(ABS(E306-D306)&lt;=1,"corrected","CHECK")))</f>
        <v>reproduced</v>
      </c>
      <c r="H306" s="44"/>
    </row>
    <row r="307" customFormat="false" ht="15" hidden="false" customHeight="false" outlineLevel="0" collapsed="false">
      <c r="A307" s="3" t="s">
        <v>880</v>
      </c>
      <c r="B307" s="5" t="s">
        <v>896</v>
      </c>
      <c r="C307" s="36" t="n">
        <v>4408284</v>
      </c>
      <c r="D307" s="36"/>
      <c r="E307" s="37" t="n">
        <f aca="false">'13. Spec or pre-let'!B57</f>
        <v>4408283.61075544</v>
      </c>
      <c r="F307" s="9" t="n">
        <f aca="false">IF(D307="",E307-C307,E307-D307)</f>
        <v>-0.389244556427002</v>
      </c>
      <c r="G307" s="5" t="str">
        <f aca="false">IF(ISNUMBER(E307)=FALSE(),"CHECK",IF(D307="",IF(ABS(E307-C307)&lt;=1,"reproduced",IF(ABS(E307-C307)&lt;=1*5,"rounding","CHECK")),IF(ABS(E307-D307)&lt;=1,"corrected","CHECK")))</f>
        <v>reproduced</v>
      </c>
      <c r="H307" s="38"/>
    </row>
    <row r="308" customFormat="false" ht="15" hidden="false" customHeight="false" outlineLevel="0" collapsed="false">
      <c r="A308" s="39" t="s">
        <v>880</v>
      </c>
      <c r="B308" s="40" t="s">
        <v>897</v>
      </c>
      <c r="C308" s="41" t="n">
        <v>515651</v>
      </c>
      <c r="D308" s="41"/>
      <c r="E308" s="42" t="n">
        <f aca="false">'13. Spec or pre-let'!B58</f>
        <v>515650.813974753</v>
      </c>
      <c r="F308" s="43" t="n">
        <f aca="false">IF(D308="",E308-C308,E308-D308)</f>
        <v>-0.186025246977806</v>
      </c>
      <c r="G308" s="40" t="str">
        <f aca="false">IF(ISNUMBER(E308)=FALSE(),"CHECK",IF(D308="",IF(ABS(E308-C308)&lt;=1,"reproduced",IF(ABS(E308-C308)&lt;=1*5,"rounding","CHECK")),IF(ABS(E308-D308)&lt;=1,"corrected","CHECK")))</f>
        <v>reproduced</v>
      </c>
      <c r="H308" s="44"/>
    </row>
    <row r="309" customFormat="false" ht="15" hidden="false" customHeight="false" outlineLevel="0" collapsed="false">
      <c r="A309" s="3" t="s">
        <v>880</v>
      </c>
      <c r="B309" s="5" t="s">
        <v>898</v>
      </c>
      <c r="C309" s="45" t="n">
        <v>0.13</v>
      </c>
      <c r="D309" s="45"/>
      <c r="E309" s="46" t="n">
        <f aca="false">'13. Spec or pre-let'!B59</f>
        <v>0.132468393731155</v>
      </c>
      <c r="F309" s="18" t="n">
        <f aca="false">IF(D309="",E309-C309,E309-D309)</f>
        <v>0.00246839373115537</v>
      </c>
      <c r="G309" s="5" t="str">
        <f aca="false">IF(ISNUMBER(E309)=FALSE(),"CHECK",IF(D309="",IF(ABS(E309-C309)&lt;=0.005,"reproduced",IF(ABS(E309-C309)&lt;=0.005*5,"rounding","CHECK")),IF(ABS(E309-D309)&lt;=0.005,"corrected","CHECK")))</f>
        <v>reproduced</v>
      </c>
      <c r="H309" s="38"/>
    </row>
    <row r="310" customFormat="false" ht="15" hidden="false" customHeight="false" outlineLevel="0" collapsed="false">
      <c r="A310" s="39" t="s">
        <v>899</v>
      </c>
      <c r="B310" s="40" t="s">
        <v>517</v>
      </c>
      <c r="C310" s="72" t="n">
        <v>2.7232</v>
      </c>
      <c r="D310" s="72"/>
      <c r="E310" s="73" t="n">
        <f aca="false">'14. Yields'!B11</f>
        <v>2.72324802937048</v>
      </c>
      <c r="F310" s="74" t="n">
        <f aca="false">IF(D310="",E310-C310,E310-D310)</f>
        <v>4.8029370479874E-005</v>
      </c>
      <c r="G310" s="40" t="str">
        <f aca="false">IF(ISNUMBER(E310)=FALSE(),"CHECK",IF(D310="",IF(ABS(E310-C310)&lt;=0.00006,"reproduced",IF(ABS(E310-C310)&lt;=0.00006*5,"rounding","CHECK")),IF(ABS(E310-D310)&lt;=0.00006,"corrected","CHECK")))</f>
        <v>reproduced</v>
      </c>
      <c r="H310" s="44"/>
    </row>
    <row r="311" customFormat="false" ht="15" hidden="false" customHeight="false" outlineLevel="0" collapsed="false">
      <c r="A311" s="3" t="s">
        <v>899</v>
      </c>
      <c r="B311" s="5" t="s">
        <v>518</v>
      </c>
      <c r="C311" s="36" t="n">
        <v>3812547</v>
      </c>
      <c r="D311" s="36"/>
      <c r="E311" s="37" t="n">
        <f aca="false">'14. Yields'!B12</f>
        <v>3812547.24111867</v>
      </c>
      <c r="F311" s="9" t="n">
        <f aca="false">IF(D311="",E311-C311,E311-D311)</f>
        <v>0.241118671372533</v>
      </c>
      <c r="G311" s="5" t="str">
        <f aca="false">IF(ISNUMBER(E311)=FALSE(),"CHECK",IF(D311="",IF(ABS(E311-C311)&lt;=1,"reproduced",IF(ABS(E311-C311)&lt;=1*5,"rounding","CHECK")),IF(ABS(E311-D311)&lt;=1,"corrected","CHECK")))</f>
        <v>reproduced</v>
      </c>
      <c r="H311" s="38"/>
    </row>
    <row r="312" customFormat="false" ht="15" hidden="false" customHeight="false" outlineLevel="0" collapsed="false">
      <c r="A312" s="39" t="s">
        <v>899</v>
      </c>
      <c r="B312" s="40" t="s">
        <v>900</v>
      </c>
      <c r="C312" s="41" t="n">
        <v>33333333</v>
      </c>
      <c r="D312" s="41"/>
      <c r="E312" s="42" t="n">
        <f aca="false">'14. Yields'!B13</f>
        <v>33333333.3333333</v>
      </c>
      <c r="F312" s="43" t="n">
        <f aca="false">IF(D312="",E312-C312,E312-D312)</f>
        <v>0.33333333581686</v>
      </c>
      <c r="G312" s="40" t="str">
        <f aca="false">IF(ISNUMBER(E312)=FALSE(),"CHECK",IF(D312="",IF(ABS(E312-C312)&lt;=1,"reproduced",IF(ABS(E312-C312)&lt;=1*5,"rounding","CHECK")),IF(ABS(E312-D312)&lt;=1,"corrected","CHECK")))</f>
        <v>reproduced</v>
      </c>
      <c r="H312" s="44"/>
    </row>
    <row r="313" customFormat="false" ht="15" hidden="false" customHeight="false" outlineLevel="0" collapsed="false">
      <c r="A313" s="3" t="s">
        <v>899</v>
      </c>
      <c r="B313" s="5" t="s">
        <v>520</v>
      </c>
      <c r="C313" s="31" t="n">
        <v>0.8577</v>
      </c>
      <c r="D313" s="31"/>
      <c r="E313" s="82" t="n">
        <f aca="false">'14. Yields'!B14</f>
        <v>0.857696596020655</v>
      </c>
      <c r="F313" s="27" t="n">
        <f aca="false">IF(D313="",E313-C313,E313-D313)</f>
        <v>-3.4039793449514E-006</v>
      </c>
      <c r="G313" s="5" t="str">
        <f aca="false">IF(ISNUMBER(E313)=FALSE(),"CHECK",IF(D313="",IF(ABS(E313-C313)&lt;=0.00006,"reproduced",IF(ABS(E313-C313)&lt;=0.00006*5,"rounding","CHECK")),IF(ABS(E313-D313)&lt;=0.00006,"corrected","CHECK")))</f>
        <v>reproduced</v>
      </c>
      <c r="H313" s="38"/>
    </row>
    <row r="314" customFormat="false" ht="15" hidden="false" customHeight="false" outlineLevel="0" collapsed="false">
      <c r="A314" s="39" t="s">
        <v>899</v>
      </c>
      <c r="B314" s="40" t="s">
        <v>687</v>
      </c>
      <c r="C314" s="41" t="n">
        <v>28589967</v>
      </c>
      <c r="D314" s="41"/>
      <c r="E314" s="42" t="n">
        <f aca="false">'14. Yields'!B15</f>
        <v>28589886.5340218</v>
      </c>
      <c r="F314" s="43" t="n">
        <f aca="false">IF(D314="",E314-C314,E314-D314)</f>
        <v>-80.4659781605005</v>
      </c>
      <c r="G314" s="40" t="str">
        <f aca="false">IF(ISNUMBER(E314)=FALSE(),"CHECK",IF(D314="",IF(ABS(E314-C314)&lt;=2000,"reproduced",IF(ABS(E314-C314)&lt;=2000*5,"rounding","CHECK")),IF(ABS(E314-D314)&lt;=2000,"corrected","CHECK")))</f>
        <v>reproduced</v>
      </c>
      <c r="H314" s="44"/>
    </row>
    <row r="315" customFormat="false" ht="15" hidden="false" customHeight="false" outlineLevel="0" collapsed="false">
      <c r="A315" s="3" t="s">
        <v>899</v>
      </c>
      <c r="B315" s="5" t="s">
        <v>331</v>
      </c>
      <c r="C315" s="36" t="n">
        <v>32402514</v>
      </c>
      <c r="D315" s="36"/>
      <c r="E315" s="37" t="n">
        <f aca="false">'14. Yields'!B16</f>
        <v>32402433.7751405</v>
      </c>
      <c r="F315" s="9" t="n">
        <f aca="false">IF(D315="",E315-C315,E315-D315)</f>
        <v>-80.2248594909906</v>
      </c>
      <c r="G315" s="5" t="str">
        <f aca="false">IF(ISNUMBER(E315)=FALSE(),"CHECK",IF(D315="",IF(ABS(E315-C315)&lt;=2000,"reproduced",IF(ABS(E315-C315)&lt;=2000*5,"rounding","CHECK")),IF(ABS(E315-D315)&lt;=2000,"corrected","CHECK")))</f>
        <v>reproduced</v>
      </c>
      <c r="H315" s="38"/>
    </row>
    <row r="316" customFormat="false" ht="15" hidden="false" customHeight="false" outlineLevel="0" collapsed="false">
      <c r="A316" s="39" t="s">
        <v>899</v>
      </c>
      <c r="B316" s="40" t="s">
        <v>523</v>
      </c>
      <c r="C316" s="69" t="n">
        <v>0.0432</v>
      </c>
      <c r="D316" s="69"/>
      <c r="E316" s="70" t="n">
        <f aca="false">'14. Yields'!B18</f>
        <v>0.0432098765432099</v>
      </c>
      <c r="F316" s="71" t="n">
        <f aca="false">IF(D316="",E316-C316,E316-D316)</f>
        <v>9.87654320987186E-006</v>
      </c>
      <c r="G316" s="40" t="str">
        <f aca="false">IF(ISNUMBER(E316)=FALSE(),"CHECK",IF(D316="",IF(ABS(E316-C316)&lt;=0.00005,"reproduced",IF(ABS(E316-C316)&lt;=0.00005*5,"rounding","CHECK")),IF(ABS(E316-D316)&lt;=0.00005,"corrected","CHECK")))</f>
        <v>reproduced</v>
      </c>
      <c r="H316" s="44"/>
    </row>
    <row r="317" customFormat="false" ht="15" hidden="false" customHeight="false" outlineLevel="0" collapsed="false">
      <c r="A317" s="3" t="s">
        <v>899</v>
      </c>
      <c r="B317" s="5" t="s">
        <v>524</v>
      </c>
      <c r="C317" s="67" t="n">
        <v>0.054</v>
      </c>
      <c r="D317" s="67"/>
      <c r="E317" s="68" t="n">
        <f aca="false">'14. Yields'!B19</f>
        <v>0.0540123456790123</v>
      </c>
      <c r="F317" s="25" t="n">
        <f aca="false">IF(D317="",E317-C317,E317-D317)</f>
        <v>1.23456790123433E-005</v>
      </c>
      <c r="G317" s="5" t="str">
        <f aca="false">IF(ISNUMBER(E317)=FALSE(),"CHECK",IF(D317="",IF(ABS(E317-C317)&lt;=0.00005,"reproduced",IF(ABS(E317-C317)&lt;=0.00005*5,"rounding","CHECK")),IF(ABS(E317-D317)&lt;=0.00005,"corrected","CHECK")))</f>
        <v>reproduced</v>
      </c>
      <c r="H317" s="38"/>
    </row>
    <row r="318" customFormat="false" ht="15" hidden="false" customHeight="false" outlineLevel="0" collapsed="false">
      <c r="A318" s="39" t="s">
        <v>899</v>
      </c>
      <c r="B318" s="40" t="s">
        <v>901</v>
      </c>
      <c r="C318" s="41" t="n">
        <v>44000000</v>
      </c>
      <c r="D318" s="41"/>
      <c r="E318" s="42" t="n">
        <f aca="false">'14. Yields'!B30</f>
        <v>44000000</v>
      </c>
      <c r="F318" s="43" t="n">
        <f aca="false">IF(D318="",E318-C318,E318-D318)</f>
        <v>0</v>
      </c>
      <c r="G318" s="40" t="str">
        <f aca="false">IF(ISNUMBER(E318)=FALSE(),"CHECK",IF(D318="",IF(ABS(E318-C318)&lt;=1,"reproduced",IF(ABS(E318-C318)&lt;=1*5,"rounding","CHECK")),IF(ABS(E318-D318)&lt;=1,"corrected","CHECK")))</f>
        <v>reproduced</v>
      </c>
      <c r="H318" s="44"/>
    </row>
    <row r="319" customFormat="false" ht="15" hidden="false" customHeight="false" outlineLevel="0" collapsed="false">
      <c r="A319" s="3" t="s">
        <v>899</v>
      </c>
      <c r="B319" s="5" t="s">
        <v>902</v>
      </c>
      <c r="C319" s="45" t="n">
        <v>0.04</v>
      </c>
      <c r="D319" s="45"/>
      <c r="E319" s="46" t="n">
        <f aca="false">'14. Yields'!B31</f>
        <v>0.0397727272727273</v>
      </c>
      <c r="F319" s="18" t="n">
        <f aca="false">IF(D319="",E319-C319,E319-D319)</f>
        <v>-0.000227272727272729</v>
      </c>
      <c r="G319" s="5" t="str">
        <f aca="false">IF(ISNUMBER(E319)=FALSE(),"CHECK",IF(D319="",IF(ABS(E319-C319)&lt;=0.0005,"reproduced",IF(ABS(E319-C319)&lt;=0.0005*5,"rounding","CHECK")),IF(ABS(E319-D319)&lt;=0.0005,"corrected","CHECK")))</f>
        <v>reproduced</v>
      </c>
      <c r="H319" s="38"/>
    </row>
    <row r="320" customFormat="false" ht="15" hidden="false" customHeight="false" outlineLevel="0" collapsed="false">
      <c r="A320" s="39" t="s">
        <v>899</v>
      </c>
      <c r="B320" s="40" t="s">
        <v>903</v>
      </c>
      <c r="C320" s="72" t="n">
        <v>1.4802</v>
      </c>
      <c r="D320" s="72"/>
      <c r="E320" s="73" t="n">
        <f aca="false">'14. Yields'!B32</f>
        <v>1.48024428491834</v>
      </c>
      <c r="F320" s="74" t="n">
        <f aca="false">IF(D320="",E320-C320,E320-D320)</f>
        <v>4.42849183444061E-005</v>
      </c>
      <c r="G320" s="40" t="str">
        <f aca="false">IF(ISNUMBER(E320)=FALSE(),"CHECK",IF(D320="",IF(ABS(E320-C320)&lt;=0.00006,"reproduced",IF(ABS(E320-C320)&lt;=0.00006*5,"rounding","CHECK")),IF(ABS(E320-D320)&lt;=0.00006,"corrected","CHECK")))</f>
        <v>reproduced</v>
      </c>
      <c r="H320" s="44"/>
    </row>
    <row r="321" customFormat="false" ht="15" hidden="false" customHeight="false" outlineLevel="0" collapsed="false">
      <c r="A321" s="3" t="s">
        <v>899</v>
      </c>
      <c r="B321" s="5" t="s">
        <v>535</v>
      </c>
      <c r="C321" s="36" t="n">
        <v>2590427</v>
      </c>
      <c r="D321" s="36"/>
      <c r="E321" s="37" t="n">
        <f aca="false">'14. Yields'!B33</f>
        <v>2590427.4986071</v>
      </c>
      <c r="F321" s="9" t="n">
        <f aca="false">IF(D321="",E321-C321,E321-D321)</f>
        <v>0.498607102781534</v>
      </c>
      <c r="G321" s="5" t="str">
        <f aca="false">IF(ISNUMBER(E321)=FALSE(),"CHECK",IF(D321="",IF(ABS(E321-C321)&lt;=1,"reproduced",IF(ABS(E321-C321)&lt;=1*5,"rounding","CHECK")),IF(ABS(E321-D321)&lt;=1,"corrected","CHECK")))</f>
        <v>reproduced</v>
      </c>
      <c r="H321" s="38"/>
    </row>
    <row r="322" customFormat="false" ht="15" hidden="false" customHeight="false" outlineLevel="0" collapsed="false">
      <c r="A322" s="39" t="s">
        <v>899</v>
      </c>
      <c r="B322" s="40" t="s">
        <v>904</v>
      </c>
      <c r="C322" s="72" t="n">
        <v>1.219</v>
      </c>
      <c r="D322" s="72"/>
      <c r="E322" s="73" t="n">
        <f aca="false">'14. Yields'!B34</f>
        <v>1.21899441999476</v>
      </c>
      <c r="F322" s="74" t="n">
        <f aca="false">IF(D322="",E322-C322,E322-D322)</f>
        <v>-5.5800052427557E-006</v>
      </c>
      <c r="G322" s="40" t="str">
        <f aca="false">IF(ISNUMBER(E322)=FALSE(),"CHECK",IF(D322="",IF(ABS(E322-C322)&lt;=0.00006,"reproduced",IF(ABS(E322-C322)&lt;=0.00006*5,"rounding","CHECK")),IF(ABS(E322-D322)&lt;=0.00006,"corrected","CHECK")))</f>
        <v>reproduced</v>
      </c>
      <c r="H322" s="44"/>
    </row>
    <row r="323" customFormat="false" ht="15" hidden="false" customHeight="false" outlineLevel="0" collapsed="false">
      <c r="A323" s="3" t="s">
        <v>899</v>
      </c>
      <c r="B323" s="5" t="s">
        <v>905</v>
      </c>
      <c r="C323" s="36" t="n">
        <v>51502497</v>
      </c>
      <c r="D323" s="36"/>
      <c r="E323" s="37" t="n">
        <f aca="false">'14. Yields'!B35</f>
        <v>51502514.2447785</v>
      </c>
      <c r="F323" s="9" t="n">
        <f aca="false">IF(D323="",E323-C323,E323-D323)</f>
        <v>17.2447784990072</v>
      </c>
      <c r="G323" s="5" t="str">
        <f aca="false">IF(ISNUMBER(E323)=FALSE(),"CHECK",IF(D323="",IF(ABS(E323-C323)&lt;=50,"reproduced",IF(ABS(E323-C323)&lt;=50*5,"rounding","CHECK")),IF(ABS(E323-D323)&lt;=50,"corrected","CHECK")))</f>
        <v>reproduced</v>
      </c>
      <c r="H323" s="38"/>
    </row>
    <row r="324" customFormat="false" ht="15" hidden="false" customHeight="false" outlineLevel="0" collapsed="false">
      <c r="A324" s="39" t="s">
        <v>899</v>
      </c>
      <c r="B324" s="40" t="s">
        <v>331</v>
      </c>
      <c r="C324" s="41" t="n">
        <v>54092924</v>
      </c>
      <c r="D324" s="41"/>
      <c r="E324" s="42" t="n">
        <f aca="false">'14. Yields'!B36</f>
        <v>54092941.7433856</v>
      </c>
      <c r="F324" s="43" t="n">
        <f aca="false">IF(D324="",E324-C324,E324-D324)</f>
        <v>17.7433855980635</v>
      </c>
      <c r="G324" s="40" t="str">
        <f aca="false">IF(ISNUMBER(E324)=FALSE(),"CHECK",IF(D324="",IF(ABS(E324-C324)&lt;=50,"reproduced",IF(ABS(E324-C324)&lt;=50*5,"rounding","CHECK")),IF(ABS(E324-D324)&lt;=50,"corrected","CHECK")))</f>
        <v>reproduced</v>
      </c>
      <c r="H324" s="44"/>
    </row>
    <row r="325" customFormat="false" ht="15" hidden="false" customHeight="false" outlineLevel="0" collapsed="false">
      <c r="A325" s="3" t="s">
        <v>899</v>
      </c>
      <c r="B325" s="5" t="s">
        <v>533</v>
      </c>
      <c r="C325" s="67" t="n">
        <v>0.0479</v>
      </c>
      <c r="D325" s="67"/>
      <c r="E325" s="68" t="n">
        <f aca="false">'14. Yields'!B37</f>
        <v>0.0478884567028351</v>
      </c>
      <c r="F325" s="25" t="n">
        <f aca="false">IF(D325="",E325-C325,E325-D325)</f>
        <v>-1.15432971648927E-005</v>
      </c>
      <c r="G325" s="5" t="str">
        <f aca="false">IF(ISNUMBER(E325)=FALSE(),"CHECK",IF(D325="",IF(ABS(E325-C325)&lt;=0.00005,"reproduced",IF(ABS(E325-C325)&lt;=0.00005*5,"rounding","CHECK")),IF(ABS(E325-D325)&lt;=0.00005,"corrected","CHECK")))</f>
        <v>reproduced</v>
      </c>
      <c r="H325" s="38"/>
    </row>
    <row r="326" customFormat="false" ht="15" hidden="false" customHeight="false" outlineLevel="0" collapsed="false">
      <c r="A326" s="39" t="s">
        <v>899</v>
      </c>
      <c r="B326" s="40" t="s">
        <v>906</v>
      </c>
      <c r="C326" s="41" t="n">
        <v>777128</v>
      </c>
      <c r="D326" s="41"/>
      <c r="E326" s="42" t="n">
        <f aca="false">'14. Yields'!B38</f>
        <v>777128.249582131</v>
      </c>
      <c r="F326" s="43" t="n">
        <f aca="false">IF(D326="",E326-C326,E326-D326)</f>
        <v>0.249582130811177</v>
      </c>
      <c r="G326" s="40" t="str">
        <f aca="false">IF(ISNUMBER(E326)=FALSE(),"CHECK",IF(D326="",IF(ABS(E326-C326)&lt;=1,"reproduced",IF(ABS(E326-C326)&lt;=1*5,"rounding","CHECK")),IF(ABS(E326-D326)&lt;=1,"corrected","CHECK")))</f>
        <v>reproduced</v>
      </c>
      <c r="H326" s="44"/>
    </row>
    <row r="327" customFormat="false" ht="15" hidden="false" customHeight="false" outlineLevel="0" collapsed="false">
      <c r="A327" s="3" t="s">
        <v>899</v>
      </c>
      <c r="B327" s="5" t="s">
        <v>907</v>
      </c>
      <c r="C327" s="36" t="n">
        <v>29255856</v>
      </c>
      <c r="D327" s="36"/>
      <c r="E327" s="37" t="n">
        <f aca="false">'14. Yields'!B39</f>
        <v>29255866.0798742</v>
      </c>
      <c r="F327" s="9" t="n">
        <f aca="false">IF(D327="",E327-C327,E327-D327)</f>
        <v>10.079874176532</v>
      </c>
      <c r="G327" s="5" t="str">
        <f aca="false">IF(ISNUMBER(E327)=FALSE(),"CHECK",IF(D327="",IF(ABS(E327-C327)&lt;=50,"reproduced",IF(ABS(E327-C327)&lt;=50*5,"rounding","CHECK")),IF(ABS(E327-D327)&lt;=50,"corrected","CHECK")))</f>
        <v>reproduced</v>
      </c>
      <c r="H327" s="38"/>
    </row>
    <row r="328" customFormat="false" ht="15" hidden="false" customHeight="false" outlineLevel="0" collapsed="false">
      <c r="A328" s="39" t="s">
        <v>899</v>
      </c>
      <c r="B328" s="40" t="s">
        <v>908</v>
      </c>
      <c r="C328" s="41" t="n">
        <v>877676</v>
      </c>
      <c r="D328" s="41"/>
      <c r="E328" s="42" t="n">
        <f aca="false">'14. Yields'!B40</f>
        <v>877675.982396225</v>
      </c>
      <c r="F328" s="43" t="n">
        <f aca="false">IF(D328="",E328-C328,E328-D328)</f>
        <v>-0.0176037747878581</v>
      </c>
      <c r="G328" s="40" t="str">
        <f aca="false">IF(ISNUMBER(E328)=FALSE(),"CHECK",IF(D328="",IF(ABS(E328-C328)&lt;=1,"reproduced",IF(ABS(E328-C328)&lt;=1*5,"rounding","CHECK")),IF(ABS(E328-D328)&lt;=1,"corrected","CHECK")))</f>
        <v>reproduced</v>
      </c>
      <c r="H328" s="44"/>
    </row>
    <row r="329" customFormat="false" ht="15" hidden="false" customHeight="false" outlineLevel="0" collapsed="false">
      <c r="A329" s="3" t="s">
        <v>899</v>
      </c>
      <c r="B329" s="5" t="s">
        <v>542</v>
      </c>
      <c r="C329" s="36" t="n">
        <v>2925587</v>
      </c>
      <c r="D329" s="36"/>
      <c r="E329" s="37" t="n">
        <f aca="false">'14. Yields'!B41</f>
        <v>2925586.60798742</v>
      </c>
      <c r="F329" s="9" t="n">
        <f aca="false">IF(D329="",E329-C329,E329-D329)</f>
        <v>-0.392012582626194</v>
      </c>
      <c r="G329" s="5" t="str">
        <f aca="false">IF(ISNUMBER(E329)=FALSE(),"CHECK",IF(D329="",IF(ABS(E329-C329)&lt;=1,"reproduced",IF(ABS(E329-C329)&lt;=1*5,"rounding","CHECK")),IF(ABS(E329-D329)&lt;=1,"corrected","CHECK")))</f>
        <v>reproduced</v>
      </c>
      <c r="H329" s="38"/>
    </row>
    <row r="330" customFormat="false" ht="15" hidden="false" customHeight="false" outlineLevel="0" collapsed="false">
      <c r="A330" s="39" t="s">
        <v>899</v>
      </c>
      <c r="B330" s="40" t="s">
        <v>838</v>
      </c>
      <c r="C330" s="60" t="n">
        <v>117</v>
      </c>
      <c r="D330" s="60"/>
      <c r="E330" s="61" t="n">
        <f aca="false">'14. Yields'!B42</f>
        <v>117.023464319497</v>
      </c>
      <c r="F330" s="62" t="n">
        <f aca="false">IF(D330="",E330-C330,E330-D330)</f>
        <v>0.0234643194966964</v>
      </c>
      <c r="G330" s="40" t="str">
        <f aca="false">IF(ISNUMBER(E330)=FALSE(),"CHECK",IF(D330="",IF(ABS(E330-C330)&lt;=0.5,"reproduced",IF(ABS(E330-C330)&lt;=0.5*5,"rounding","CHECK")),IF(ABS(E330-D330)&lt;=0.5,"corrected","CHECK")))</f>
        <v>reproduced</v>
      </c>
      <c r="H330" s="44"/>
    </row>
    <row r="331" customFormat="false" ht="15" hidden="false" customHeight="false" outlineLevel="0" collapsed="false">
      <c r="A331" s="3" t="s">
        <v>899</v>
      </c>
      <c r="B331" s="5" t="s">
        <v>909</v>
      </c>
      <c r="C331" s="75" t="n">
        <v>70</v>
      </c>
      <c r="D331" s="75"/>
      <c r="E331" s="76" t="n">
        <f aca="false">'14. Yields'!B43</f>
        <v>70</v>
      </c>
      <c r="F331" s="19" t="n">
        <f aca="false">IF(D331="",E331-C331,E331-D331)</f>
        <v>0</v>
      </c>
      <c r="G331" s="5" t="str">
        <f aca="false">IF(ISNUMBER(E331)=FALSE(),"CHECK",IF(D331="",IF(ABS(E331-C331)&lt;=0.5,"reproduced",IF(ABS(E331-C331)&lt;=0.5*5,"rounding","CHECK")),IF(ABS(E331-D331)&lt;=0.5,"corrected","CHECK")))</f>
        <v>reproduced</v>
      </c>
      <c r="H331" s="38"/>
    </row>
    <row r="332" customFormat="false" ht="15" hidden="false" customHeight="false" outlineLevel="0" collapsed="false">
      <c r="A332" s="39" t="s">
        <v>899</v>
      </c>
      <c r="B332" s="40" t="s">
        <v>910</v>
      </c>
      <c r="C332" s="41" t="n">
        <v>7950000</v>
      </c>
      <c r="D332" s="41"/>
      <c r="E332" s="42" t="n">
        <f aca="false">'14. Yields'!B48</f>
        <v>7950000</v>
      </c>
      <c r="F332" s="43" t="n">
        <f aca="false">IF(D332="",E332-C332,E332-D332)</f>
        <v>0</v>
      </c>
      <c r="G332" s="40" t="str">
        <f aca="false">IF(ISNUMBER(E332)=FALSE(),"CHECK",IF(D332="",IF(ABS(E332-C332)&lt;=1,"reproduced",IF(ABS(E332-C332)&lt;=1*5,"rounding","CHECK")),IF(ABS(E332-D332)&lt;=1,"corrected","CHECK")))</f>
        <v>reproduced</v>
      </c>
      <c r="H332" s="44"/>
    </row>
    <row r="333" customFormat="false" ht="15" hidden="false" customHeight="false" outlineLevel="0" collapsed="false">
      <c r="A333" s="3" t="s">
        <v>899</v>
      </c>
      <c r="B333" s="5" t="s">
        <v>911</v>
      </c>
      <c r="C333" s="45" t="n">
        <v>0.22</v>
      </c>
      <c r="D333" s="45"/>
      <c r="E333" s="46" t="n">
        <f aca="false">'14. Yields'!B49</f>
        <v>0.220125786163522</v>
      </c>
      <c r="F333" s="18" t="n">
        <f aca="false">IF(D333="",E333-C333,E333-D333)</f>
        <v>0.000125786163522018</v>
      </c>
      <c r="G333" s="5" t="str">
        <f aca="false">IF(ISNUMBER(E333)=FALSE(),"CHECK",IF(D333="",IF(ABS(E333-C333)&lt;=0.005,"reproduced",IF(ABS(E333-C333)&lt;=0.005*5,"rounding","CHECK")),IF(ABS(E333-D333)&lt;=0.005,"corrected","CHECK")))</f>
        <v>reproduced</v>
      </c>
      <c r="H333" s="38"/>
    </row>
    <row r="334" customFormat="false" ht="15" hidden="false" customHeight="false" outlineLevel="0" collapsed="false">
      <c r="A334" s="39" t="s">
        <v>899</v>
      </c>
      <c r="B334" s="40" t="s">
        <v>912</v>
      </c>
      <c r="C334" s="41" t="n">
        <v>700000</v>
      </c>
      <c r="D334" s="41"/>
      <c r="E334" s="42" t="n">
        <f aca="false">'14. Yields'!B50</f>
        <v>700000</v>
      </c>
      <c r="F334" s="43" t="n">
        <f aca="false">IF(D334="",E334-C334,E334-D334)</f>
        <v>0</v>
      </c>
      <c r="G334" s="40" t="str">
        <f aca="false">IF(ISNUMBER(E334)=FALSE(),"CHECK",IF(D334="",IF(ABS(E334-C334)&lt;=1,"reproduced",IF(ABS(E334-C334)&lt;=1*5,"rounding","CHECK")),IF(ABS(E334-D334)&lt;=1,"corrected","CHECK")))</f>
        <v>reproduced</v>
      </c>
      <c r="H334" s="44"/>
    </row>
    <row r="335" customFormat="false" ht="15" hidden="false" customHeight="false" outlineLevel="0" collapsed="false">
      <c r="A335" s="3" t="s">
        <v>899</v>
      </c>
      <c r="B335" s="5" t="s">
        <v>913</v>
      </c>
      <c r="C335" s="45" t="n">
        <v>0.09</v>
      </c>
      <c r="D335" s="45"/>
      <c r="E335" s="46" t="n">
        <f aca="false">'14. Yields'!B51</f>
        <v>0.0880503144654088</v>
      </c>
      <c r="F335" s="18" t="n">
        <f aca="false">IF(D335="",E335-C335,E335-D335)</f>
        <v>-0.0019496855345912</v>
      </c>
      <c r="G335" s="5" t="str">
        <f aca="false">IF(ISNUMBER(E335)=FALSE(),"CHECK",IF(D335="",IF(ABS(E335-C335)&lt;=0.005,"reproduced",IF(ABS(E335-C335)&lt;=0.005*5,"rounding","CHECK")),IF(ABS(E335-D335)&lt;=0.005,"corrected","CHECK")))</f>
        <v>reproduced</v>
      </c>
      <c r="H335" s="38"/>
    </row>
    <row r="336" customFormat="false" ht="15" hidden="false" customHeight="false" outlineLevel="0" collapsed="false">
      <c r="A336" s="39" t="s">
        <v>899</v>
      </c>
      <c r="B336" s="40" t="s">
        <v>914</v>
      </c>
      <c r="C336" s="72" t="n">
        <v>4.9173</v>
      </c>
      <c r="D336" s="72"/>
      <c r="E336" s="73" t="n">
        <f aca="false">'14. Yields'!B59</f>
        <v>4.91732432600539</v>
      </c>
      <c r="F336" s="74" t="n">
        <f aca="false">IF(D336="",E336-C336,E336-D336)</f>
        <v>2.43260053940375E-005</v>
      </c>
      <c r="G336" s="40" t="str">
        <f aca="false">IF(ISNUMBER(E336)=FALSE(),"CHECK",IF(D336="",IF(ABS(E336-C336)&lt;=0.00006,"reproduced",IF(ABS(E336-C336)&lt;=0.00006*5,"rounding","CHECK")),IF(ABS(E336-D336)&lt;=0.00006,"corrected","CHECK")))</f>
        <v>reproduced</v>
      </c>
      <c r="H336" s="44"/>
    </row>
    <row r="337" customFormat="false" ht="15" hidden="false" customHeight="false" outlineLevel="0" collapsed="false">
      <c r="A337" s="3" t="s">
        <v>899</v>
      </c>
      <c r="B337" s="5" t="s">
        <v>518</v>
      </c>
      <c r="C337" s="36" t="n">
        <v>9342870</v>
      </c>
      <c r="D337" s="36"/>
      <c r="E337" s="37" t="n">
        <f aca="false">'14. Yields'!B60</f>
        <v>9342916.21941025</v>
      </c>
      <c r="F337" s="9" t="n">
        <f aca="false">IF(D337="",E337-C337,E337-D337)</f>
        <v>46.2194102481008</v>
      </c>
      <c r="G337" s="5" t="str">
        <f aca="false">IF(ISNUMBER(E337)=FALSE(),"CHECK",IF(D337="",IF(ABS(E337-C337)&lt;=100,"reproduced",IF(ABS(E337-C337)&lt;=100*5,"rounding","CHECK")),IF(ABS(E337-D337)&lt;=100,"corrected","CHECK")))</f>
        <v>reproduced</v>
      </c>
      <c r="H337" s="38"/>
    </row>
    <row r="338" customFormat="false" ht="15" hidden="false" customHeight="false" outlineLevel="0" collapsed="false">
      <c r="A338" s="39" t="s">
        <v>899</v>
      </c>
      <c r="B338" s="40" t="s">
        <v>900</v>
      </c>
      <c r="C338" s="41" t="n">
        <v>24615385</v>
      </c>
      <c r="D338" s="41"/>
      <c r="E338" s="42" t="n">
        <f aca="false">'14. Yields'!B61</f>
        <v>24615384.6153846</v>
      </c>
      <c r="F338" s="43" t="n">
        <f aca="false">IF(D338="",E338-C338,E338-D338)</f>
        <v>-0.384615384042263</v>
      </c>
      <c r="G338" s="40" t="str">
        <f aca="false">IF(ISNUMBER(E338)=FALSE(),"CHECK",IF(D338="",IF(ABS(E338-C338)&lt;=1,"reproduced",IF(ABS(E338-C338)&lt;=1*5,"rounding","CHECK")),IF(ABS(E338-D338)&lt;=1,"corrected","CHECK")))</f>
        <v>reproduced</v>
      </c>
      <c r="H338" s="44"/>
    </row>
    <row r="339" customFormat="false" ht="15" hidden="false" customHeight="false" outlineLevel="0" collapsed="false">
      <c r="A339" s="3" t="s">
        <v>899</v>
      </c>
      <c r="B339" s="5" t="s">
        <v>915</v>
      </c>
      <c r="C339" s="31" t="n">
        <v>0.6853</v>
      </c>
      <c r="D339" s="31"/>
      <c r="E339" s="82" t="n">
        <f aca="false">'14. Yields'!B62</f>
        <v>0.685334118799019</v>
      </c>
      <c r="F339" s="27" t="n">
        <f aca="false">IF(D339="",E339-C339,E339-D339)</f>
        <v>3.41187990186009E-005</v>
      </c>
      <c r="G339" s="5" t="str">
        <f aca="false">IF(ISNUMBER(E339)=FALSE(),"CHECK",IF(D339="",IF(ABS(E339-C339)&lt;=0.00006,"reproduced",IF(ABS(E339-C339)&lt;=0.00006*5,"rounding","CHECK")),IF(ABS(E339-D339)&lt;=0.00006,"corrected","CHECK")))</f>
        <v>reproduced</v>
      </c>
      <c r="H339" s="38"/>
    </row>
    <row r="340" customFormat="false" ht="15" hidden="false" customHeight="false" outlineLevel="0" collapsed="false">
      <c r="A340" s="39" t="s">
        <v>899</v>
      </c>
      <c r="B340" s="40" t="s">
        <v>687</v>
      </c>
      <c r="C340" s="41" t="n">
        <v>16868922</v>
      </c>
      <c r="D340" s="41"/>
      <c r="E340" s="42" t="n">
        <f aca="false">'14. Yields'!B63</f>
        <v>16869762.9242835</v>
      </c>
      <c r="F340" s="43" t="n">
        <f aca="false">IF(D340="",E340-C340,E340-D340)</f>
        <v>840.924283534288</v>
      </c>
      <c r="G340" s="40" t="str">
        <f aca="false">IF(ISNUMBER(E340)=FALSE(),"CHECK",IF(D340="",IF(ABS(E340-C340)&lt;=1300,"reproduced",IF(ABS(E340-C340)&lt;=1300*5,"rounding","CHECK")),IF(ABS(E340-D340)&lt;=1300,"corrected","CHECK")))</f>
        <v>reproduced</v>
      </c>
      <c r="H340" s="44"/>
    </row>
    <row r="341" customFormat="false" ht="15" hidden="false" customHeight="false" outlineLevel="0" collapsed="false">
      <c r="A341" s="3" t="s">
        <v>899</v>
      </c>
      <c r="B341" s="5" t="s">
        <v>331</v>
      </c>
      <c r="C341" s="36" t="n">
        <v>26211792</v>
      </c>
      <c r="D341" s="36"/>
      <c r="E341" s="37" t="n">
        <f aca="false">'14. Yields'!B64</f>
        <v>26212679.1436938</v>
      </c>
      <c r="F341" s="9" t="n">
        <f aca="false">IF(D341="",E341-C341,E341-D341)</f>
        <v>887.143693782389</v>
      </c>
      <c r="G341" s="5" t="str">
        <f aca="false">IF(ISNUMBER(E341)=FALSE(),"CHECK",IF(D341="",IF(ABS(E341-C341)&lt;=1300,"reproduced",IF(ABS(E341-C341)&lt;=1300*5,"rounding","CHECK")),IF(ABS(E341-D341)&lt;=1300,"corrected","CHECK")))</f>
        <v>reproduced</v>
      </c>
      <c r="H341" s="38"/>
    </row>
    <row r="342" customFormat="false" ht="15" hidden="false" customHeight="false" outlineLevel="0" collapsed="false">
      <c r="A342" s="39" t="s">
        <v>899</v>
      </c>
      <c r="B342" s="40" t="s">
        <v>523</v>
      </c>
      <c r="C342" s="69" t="n">
        <v>0.0725</v>
      </c>
      <c r="D342" s="69"/>
      <c r="E342" s="70" t="n">
        <f aca="false">'14. Yields'!B65</f>
        <v>0.072484006292699</v>
      </c>
      <c r="F342" s="71" t="n">
        <f aca="false">IF(D342="",E342-C342,E342-D342)</f>
        <v>-1.59937073009875E-005</v>
      </c>
      <c r="G342" s="40" t="str">
        <f aca="false">IF(ISNUMBER(E342)=FALSE(),"CHECK",IF(D342="",IF(ABS(E342-C342)&lt;=0.00005,"reproduced",IF(ABS(E342-C342)&lt;=0.00005*5,"rounding","CHECK")),IF(ABS(E342-D342)&lt;=0.00005,"corrected","CHECK")))</f>
        <v>reproduced</v>
      </c>
      <c r="H342" s="44"/>
    </row>
    <row r="343" customFormat="false" ht="15" hidden="false" customHeight="false" outlineLevel="0" collapsed="false">
      <c r="A343" s="3" t="s">
        <v>899</v>
      </c>
      <c r="B343" s="5" t="s">
        <v>916</v>
      </c>
      <c r="C343" s="36" t="n">
        <v>40696000</v>
      </c>
      <c r="D343" s="36"/>
      <c r="E343" s="37" t="n">
        <f aca="false">'14. Yields'!B70</f>
        <v>40696604.6204128</v>
      </c>
      <c r="F343" s="9" t="n">
        <f aca="false">IF(D343="",E343-C343,E343-D343)</f>
        <v>604.620412796736</v>
      </c>
      <c r="G343" s="5" t="str">
        <f aca="false">IF(ISNUMBER(E343)=FALSE(),"CHECK",IF(D343="",IF(ABS(E343-C343)&lt;=500,"reproduced",IF(ABS(E343-C343)&lt;=500*5,"rounding","CHECK")),IF(ABS(E343-D343)&lt;=500,"corrected","CHECK")))</f>
        <v>rounding</v>
      </c>
      <c r="H343" s="38"/>
    </row>
    <row r="344" customFormat="false" ht="15" hidden="false" customHeight="false" outlineLevel="0" collapsed="false">
      <c r="A344" s="39" t="s">
        <v>899</v>
      </c>
      <c r="B344" s="40" t="s">
        <v>917</v>
      </c>
      <c r="C344" s="41" t="n">
        <v>36822000</v>
      </c>
      <c r="D344" s="41"/>
      <c r="E344" s="42" t="n">
        <f aca="false">'14. Yields'!C70</f>
        <v>36820737.5137068</v>
      </c>
      <c r="F344" s="43" t="n">
        <f aca="false">IF(D344="",E344-C344,E344-D344)</f>
        <v>-1262.48629318178</v>
      </c>
      <c r="G344" s="40" t="str">
        <f aca="false">IF(ISNUMBER(E344)=FALSE(),"CHECK",IF(D344="",IF(ABS(E344-C344)&lt;=500,"reproduced",IF(ABS(E344-C344)&lt;=500*5,"rounding","CHECK")),IF(ABS(E344-D344)&lt;=500,"corrected","CHECK")))</f>
        <v>rounding</v>
      </c>
      <c r="H344" s="44"/>
    </row>
    <row r="345" customFormat="false" ht="15" hidden="false" customHeight="false" outlineLevel="0" collapsed="false">
      <c r="A345" s="3" t="s">
        <v>899</v>
      </c>
      <c r="B345" s="5" t="s">
        <v>918</v>
      </c>
      <c r="C345" s="36" t="n">
        <v>33619000</v>
      </c>
      <c r="D345" s="36"/>
      <c r="E345" s="37" t="n">
        <f aca="false">'14. Yields'!D70</f>
        <v>33618934.2516454</v>
      </c>
      <c r="F345" s="9" t="n">
        <f aca="false">IF(D345="",E345-C345,E345-D345)</f>
        <v>-65.7483546510339</v>
      </c>
      <c r="G345" s="5" t="str">
        <f aca="false">IF(ISNUMBER(E345)=FALSE(),"CHECK",IF(D345="",IF(ABS(E345-C345)&lt;=500,"reproduced",IF(ABS(E345-C345)&lt;=500*5,"rounding","CHECK")),IF(ABS(E345-D345)&lt;=500,"corrected","CHECK")))</f>
        <v>reproduced</v>
      </c>
      <c r="H345" s="38"/>
    </row>
    <row r="346" customFormat="false" ht="15" hidden="false" customHeight="false" outlineLevel="0" collapsed="false">
      <c r="A346" s="39" t="s">
        <v>899</v>
      </c>
      <c r="B346" s="40" t="s">
        <v>919</v>
      </c>
      <c r="C346" s="41" t="n">
        <v>44910000</v>
      </c>
      <c r="D346" s="41"/>
      <c r="E346" s="42" t="n">
        <f aca="false">'14. Yields'!B71</f>
        <v>44910320.736649</v>
      </c>
      <c r="F346" s="43" t="n">
        <f aca="false">IF(D346="",E346-C346,E346-D346)</f>
        <v>320.736648954451</v>
      </c>
      <c r="G346" s="40" t="str">
        <f aca="false">IF(ISNUMBER(E346)=FALSE(),"CHECK",IF(D346="",IF(ABS(E346-C346)&lt;=500,"reproduced",IF(ABS(E346-C346)&lt;=500*5,"rounding","CHECK")),IF(ABS(E346-D346)&lt;=500,"corrected","CHECK")))</f>
        <v>reproduced</v>
      </c>
      <c r="H346" s="44"/>
    </row>
    <row r="347" customFormat="false" ht="15" hidden="false" customHeight="false" outlineLevel="0" collapsed="false">
      <c r="A347" s="3" t="s">
        <v>899</v>
      </c>
      <c r="B347" s="5" t="s">
        <v>920</v>
      </c>
      <c r="C347" s="36" t="n">
        <v>40633000</v>
      </c>
      <c r="D347" s="36"/>
      <c r="E347" s="37" t="n">
        <f aca="false">'14. Yields'!C71</f>
        <v>40633147.3331586</v>
      </c>
      <c r="F347" s="9" t="n">
        <f aca="false">IF(D347="",E347-C347,E347-D347)</f>
        <v>147.333158582449</v>
      </c>
      <c r="G347" s="5" t="str">
        <f aca="false">IF(ISNUMBER(E347)=FALSE(),"CHECK",IF(D347="",IF(ABS(E347-C347)&lt;=500,"reproduced",IF(ABS(E347-C347)&lt;=500*5,"rounding","CHECK")),IF(ABS(E347-D347)&lt;=500,"corrected","CHECK")))</f>
        <v>reproduced</v>
      </c>
      <c r="H347" s="38"/>
    </row>
    <row r="348" customFormat="false" ht="15" hidden="false" customHeight="false" outlineLevel="0" collapsed="false">
      <c r="A348" s="39" t="s">
        <v>899</v>
      </c>
      <c r="B348" s="40" t="s">
        <v>921</v>
      </c>
      <c r="C348" s="41" t="n">
        <v>37100000</v>
      </c>
      <c r="D348" s="41"/>
      <c r="E348" s="42" t="n">
        <f aca="false">'14. Yields'!D71</f>
        <v>37099830.1737535</v>
      </c>
      <c r="F348" s="43" t="n">
        <f aca="false">IF(D348="",E348-C348,E348-D348)</f>
        <v>-169.826246514916</v>
      </c>
      <c r="G348" s="40" t="str">
        <f aca="false">IF(ISNUMBER(E348)=FALSE(),"CHECK",IF(D348="",IF(ABS(E348-C348)&lt;=500,"reproduced",IF(ABS(E348-C348)&lt;=500*5,"rounding","CHECK")),IF(ABS(E348-D348)&lt;=500,"corrected","CHECK")))</f>
        <v>reproduced</v>
      </c>
      <c r="H348" s="44"/>
    </row>
    <row r="349" customFormat="false" ht="15" hidden="false" customHeight="false" outlineLevel="0" collapsed="false">
      <c r="A349" s="3" t="s">
        <v>899</v>
      </c>
      <c r="B349" s="5" t="s">
        <v>922</v>
      </c>
      <c r="C349" s="36" t="n">
        <v>49513000</v>
      </c>
      <c r="D349" s="36"/>
      <c r="E349" s="37" t="n">
        <f aca="false">'14. Yields'!B72</f>
        <v>49512708.7126782</v>
      </c>
      <c r="F349" s="9" t="n">
        <f aca="false">IF(D349="",E349-C349,E349-D349)</f>
        <v>-291.287321813405</v>
      </c>
      <c r="G349" s="5" t="str">
        <f aca="false">IF(ISNUMBER(E349)=FALSE(),"CHECK",IF(D349="",IF(ABS(E349-C349)&lt;=500,"reproduced",IF(ABS(E349-C349)&lt;=500*5,"rounding","CHECK")),IF(ABS(E349-D349)&lt;=500,"corrected","CHECK")))</f>
        <v>reproduced</v>
      </c>
      <c r="H349" s="38"/>
    </row>
    <row r="350" customFormat="false" ht="15" hidden="false" customHeight="false" outlineLevel="0" collapsed="false">
      <c r="A350" s="39" t="s">
        <v>899</v>
      </c>
      <c r="B350" s="40" t="s">
        <v>923</v>
      </c>
      <c r="C350" s="41" t="n">
        <v>44797000</v>
      </c>
      <c r="D350" s="41"/>
      <c r="E350" s="42" t="n">
        <f aca="false">'14. Yields'!C72</f>
        <v>44797212.6448041</v>
      </c>
      <c r="F350" s="43" t="n">
        <f aca="false">IF(D350="",E350-C350,E350-D350)</f>
        <v>212.64480407536</v>
      </c>
      <c r="G350" s="40" t="str">
        <f aca="false">IF(ISNUMBER(E350)=FALSE(),"CHECK",IF(D350="",IF(ABS(E350-C350)&lt;=500,"reproduced",IF(ABS(E350-C350)&lt;=500*5,"rounding","CHECK")),IF(ABS(E350-D350)&lt;=500,"corrected","CHECK")))</f>
        <v>reproduced</v>
      </c>
      <c r="H350" s="44"/>
    </row>
    <row r="351" customFormat="false" ht="15" hidden="false" customHeight="false" outlineLevel="0" collapsed="false">
      <c r="A351" s="3" t="s">
        <v>899</v>
      </c>
      <c r="B351" s="5" t="s">
        <v>924</v>
      </c>
      <c r="C351" s="36" t="n">
        <v>40902000</v>
      </c>
      <c r="D351" s="36"/>
      <c r="E351" s="37" t="n">
        <f aca="false">'14. Yields'!D72</f>
        <v>40901802.8496037</v>
      </c>
      <c r="F351" s="9" t="n">
        <f aca="false">IF(D351="",E351-C351,E351-D351)</f>
        <v>-197.150396279991</v>
      </c>
      <c r="G351" s="5" t="str">
        <f aca="false">IF(ISNUMBER(E351)=FALSE(),"CHECK",IF(D351="",IF(ABS(E351-C351)&lt;=500,"reproduced",IF(ABS(E351-C351)&lt;=500*5,"rounding","CHECK")),IF(ABS(E351-D351)&lt;=500,"corrected","CHECK")))</f>
        <v>reproduced</v>
      </c>
      <c r="H351" s="38"/>
    </row>
    <row r="352" customFormat="false" ht="15" hidden="false" customHeight="false" outlineLevel="0" collapsed="false">
      <c r="A352" s="39" t="s">
        <v>899</v>
      </c>
      <c r="B352" s="40" t="s">
        <v>925</v>
      </c>
      <c r="C352" s="41" t="n">
        <v>-3533000</v>
      </c>
      <c r="D352" s="41"/>
      <c r="E352" s="42" t="n">
        <f aca="false">'14. Yields'!B74</f>
        <v>-3533317.1594051</v>
      </c>
      <c r="F352" s="43" t="n">
        <f aca="false">IF(D352="",E352-C352,E352-D352)</f>
        <v>-317.159405097365</v>
      </c>
      <c r="G352" s="40" t="str">
        <f aca="false">IF(ISNUMBER(E352)=FALSE(),"CHECK",IF(D352="",IF(ABS(E352-C352)&lt;=500,"reproduced",IF(ABS(E352-C352)&lt;=500*5,"rounding","CHECK")),IF(ABS(E352-D352)&lt;=500,"corrected","CHECK")))</f>
        <v>reproduced</v>
      </c>
      <c r="H352" s="44"/>
    </row>
    <row r="353" customFormat="false" ht="15" hidden="false" customHeight="false" outlineLevel="0" collapsed="false">
      <c r="A353" s="3" t="s">
        <v>899</v>
      </c>
      <c r="B353" s="5" t="s">
        <v>926</v>
      </c>
      <c r="C353" s="45" t="n">
        <v>-0.087</v>
      </c>
      <c r="D353" s="45"/>
      <c r="E353" s="46" t="n">
        <f aca="false">'14. Yields'!B75</f>
        <v>-0.0869565217391305</v>
      </c>
      <c r="F353" s="18" t="n">
        <f aca="false">IF(D353="",E353-C353,E353-D353)</f>
        <v>4.34782608695061E-005</v>
      </c>
      <c r="G353" s="5" t="str">
        <f aca="false">IF(ISNUMBER(E353)=FALSE(),"CHECK",IF(D353="",IF(ABS(E353-C353)&lt;=0.0005,"reproduced",IF(ABS(E353-C353)&lt;=0.0005*5,"rounding","CHECK")),IF(ABS(E353-D353)&lt;=0.0005,"corrected","CHECK")))</f>
        <v>reproduced</v>
      </c>
      <c r="H353" s="38"/>
    </row>
    <row r="354" customFormat="false" ht="15" hidden="false" customHeight="false" outlineLevel="0" collapsed="false">
      <c r="A354" s="39" t="s">
        <v>899</v>
      </c>
      <c r="B354" s="40" t="s">
        <v>561</v>
      </c>
      <c r="C354" s="41" t="n">
        <v>-3811000</v>
      </c>
      <c r="D354" s="41"/>
      <c r="E354" s="42" t="n">
        <f aca="false">'14. Yields'!B76</f>
        <v>-3812409.81945176</v>
      </c>
      <c r="F354" s="43" t="n">
        <f aca="false">IF(D354="",E354-C354,E354-D354)</f>
        <v>-1409.81945176423</v>
      </c>
      <c r="G354" s="40" t="str">
        <f aca="false">IF(ISNUMBER(E354)=FALSE(),"CHECK",IF(D354="",IF(ABS(E354-C354)&lt;=500,"reproduced",IF(ABS(E354-C354)&lt;=500*5,"rounding","CHECK")),IF(ABS(E354-D354)&lt;=500,"corrected","CHECK")))</f>
        <v>rounding</v>
      </c>
      <c r="H354" s="44"/>
    </row>
    <row r="355" customFormat="false" ht="15" hidden="false" customHeight="false" outlineLevel="0" collapsed="false">
      <c r="A355" s="3" t="s">
        <v>899</v>
      </c>
      <c r="B355" s="5" t="s">
        <v>926</v>
      </c>
      <c r="C355" s="45" t="n">
        <v>-0.094</v>
      </c>
      <c r="D355" s="45"/>
      <c r="E355" s="46" t="n">
        <f aca="false">'14. Yields'!B77</f>
        <v>-0.093825117414438</v>
      </c>
      <c r="F355" s="18" t="n">
        <f aca="false">IF(D355="",E355-C355,E355-D355)</f>
        <v>0.000174882585562003</v>
      </c>
      <c r="G355" s="5" t="str">
        <f aca="false">IF(ISNUMBER(E355)=FALSE(),"CHECK",IF(D355="",IF(ABS(E355-C355)&lt;=0.0005,"reproduced",IF(ABS(E355-C355)&lt;=0.0005*5,"rounding","CHECK")),IF(ABS(E355-D355)&lt;=0.0005,"corrected","CHECK")))</f>
        <v>reproduced</v>
      </c>
      <c r="H355" s="38"/>
    </row>
    <row r="356" customFormat="false" ht="15" hidden="false" customHeight="false" outlineLevel="0" collapsed="false">
      <c r="A356" s="39" t="s">
        <v>899</v>
      </c>
      <c r="B356" s="40" t="s">
        <v>927</v>
      </c>
      <c r="C356" s="41" t="n">
        <v>1932142</v>
      </c>
      <c r="D356" s="41"/>
      <c r="E356" s="42" t="n">
        <f aca="false">'14. Yields'!B78</f>
        <v>1932141.4056</v>
      </c>
      <c r="F356" s="43" t="n">
        <f aca="false">IF(D356="",E356-C356,E356-D356)</f>
        <v>-0.594400000059977</v>
      </c>
      <c r="G356" s="40" t="str">
        <f aca="false">IF(ISNUMBER(E356)=FALSE(),"CHECK",IF(D356="",IF(ABS(E356-C356)&lt;=1,"reproduced",IF(ABS(E356-C356)&lt;=1*5,"rounding","CHECK")),IF(ABS(E356-D356)&lt;=1,"corrected","CHECK")))</f>
        <v>reproduced</v>
      </c>
      <c r="H356" s="44"/>
    </row>
    <row r="357" customFormat="false" ht="15" hidden="false" customHeight="false" outlineLevel="0" collapsed="false">
      <c r="A357" s="3" t="s">
        <v>899</v>
      </c>
      <c r="B357" s="5" t="s">
        <v>928</v>
      </c>
      <c r="C357" s="36" t="n">
        <v>1839268</v>
      </c>
      <c r="D357" s="36"/>
      <c r="E357" s="37" t="n">
        <f aca="false">'14. Yields'!B79</f>
        <v>1839267.587675</v>
      </c>
      <c r="F357" s="9" t="n">
        <f aca="false">IF(D357="",E357-C357,E357-D357)</f>
        <v>-0.412324999691919</v>
      </c>
      <c r="G357" s="5" t="str">
        <f aca="false">IF(ISNUMBER(E357)=FALSE(),"CHECK",IF(D357="",IF(ABS(E357-C357)&lt;=1,"reproduced",IF(ABS(E357-C357)&lt;=1*5,"rounding","CHECK")),IF(ABS(E357-D357)&lt;=1,"corrected","CHECK")))</f>
        <v>reproduced</v>
      </c>
      <c r="H357" s="38"/>
    </row>
    <row r="358" customFormat="false" ht="15" hidden="false" customHeight="false" outlineLevel="0" collapsed="false">
      <c r="A358" s="39" t="s">
        <v>899</v>
      </c>
      <c r="B358" s="40" t="s">
        <v>929</v>
      </c>
      <c r="C358" s="41" t="n">
        <v>36803000</v>
      </c>
      <c r="D358" s="41"/>
      <c r="E358" s="42" t="n">
        <f aca="false">'14. Yields'!B80</f>
        <v>36802693.44</v>
      </c>
      <c r="F358" s="43" t="n">
        <f aca="false">IF(D358="",E358-C358,E358-D358)</f>
        <v>-306.560000002384</v>
      </c>
      <c r="G358" s="40" t="str">
        <f aca="false">IF(ISNUMBER(E358)=FALSE(),"CHECK",IF(D358="",IF(ABS(E358-C358)&lt;=500,"reproduced",IF(ABS(E358-C358)&lt;=500*5,"rounding","CHECK")),IF(ABS(E358-D358)&lt;=500,"corrected","CHECK")))</f>
        <v>reproduced</v>
      </c>
      <c r="H358" s="44"/>
    </row>
    <row r="359" customFormat="false" ht="15" hidden="false" customHeight="false" outlineLevel="0" collapsed="false">
      <c r="A359" s="3" t="s">
        <v>899</v>
      </c>
      <c r="B359" s="5" t="s">
        <v>930</v>
      </c>
      <c r="C359" s="36" t="n">
        <v>35034000</v>
      </c>
      <c r="D359" s="36"/>
      <c r="E359" s="37" t="n">
        <f aca="false">'14. Yields'!B81</f>
        <v>35033668.3366667</v>
      </c>
      <c r="F359" s="9" t="n">
        <f aca="false">IF(D359="",E359-C359,E359-D359)</f>
        <v>-331.663333326578</v>
      </c>
      <c r="G359" s="5" t="str">
        <f aca="false">IF(ISNUMBER(E359)=FALSE(),"CHECK",IF(D359="",IF(ABS(E359-C359)&lt;=500,"reproduced",IF(ABS(E359-C359)&lt;=500*5,"rounding","CHECK")),IF(ABS(E359-D359)&lt;=500,"corrected","CHECK")))</f>
        <v>reproduced</v>
      </c>
      <c r="H359" s="38"/>
    </row>
    <row r="360" customFormat="false" ht="15" hidden="false" customHeight="false" outlineLevel="0" collapsed="false">
      <c r="A360" s="39" t="s">
        <v>899</v>
      </c>
      <c r="B360" s="40" t="s">
        <v>565</v>
      </c>
      <c r="C360" s="41" t="n">
        <v>1769000</v>
      </c>
      <c r="D360" s="41"/>
      <c r="E360" s="42" t="n">
        <f aca="false">'14. Yields'!B82</f>
        <v>1769025.10333332</v>
      </c>
      <c r="F360" s="43" t="n">
        <f aca="false">IF(D360="",E360-C360,E360-D360)</f>
        <v>25.103333324194</v>
      </c>
      <c r="G360" s="40" t="str">
        <f aca="false">IF(ISNUMBER(E360)=FALSE(),"CHECK",IF(D360="",IF(ABS(E360-C360)&lt;=500,"reproduced",IF(ABS(E360-C360)&lt;=500*5,"rounding","CHECK")),IF(ABS(E360-D360)&lt;=500,"corrected","CHECK")))</f>
        <v>reproduced</v>
      </c>
      <c r="H360" s="44"/>
    </row>
    <row r="361" customFormat="false" ht="15" hidden="false" customHeight="false" outlineLevel="0" collapsed="false">
      <c r="A361" s="3" t="s">
        <v>899</v>
      </c>
      <c r="B361" s="5" t="s">
        <v>926</v>
      </c>
      <c r="C361" s="45" t="n">
        <v>0.048</v>
      </c>
      <c r="D361" s="45"/>
      <c r="E361" s="46" t="n">
        <f aca="false">'14. Yields'!B83</f>
        <v>0.0480678161835463</v>
      </c>
      <c r="F361" s="18" t="n">
        <f aca="false">IF(D361="",E361-C361,E361-D361)</f>
        <v>6.78161835462737E-005</v>
      </c>
      <c r="G361" s="5" t="str">
        <f aca="false">IF(ISNUMBER(E361)=FALSE(),"CHECK",IF(D361="",IF(ABS(E361-C361)&lt;=0.0005,"reproduced",IF(ABS(E361-C361)&lt;=0.0005*5,"rounding","CHECK")),IF(ABS(E361-D361)&lt;=0.0005,"corrected","CHECK")))</f>
        <v>reproduced</v>
      </c>
      <c r="H361" s="38"/>
    </row>
    <row r="362" customFormat="false" ht="15" hidden="false" customHeight="false" outlineLevel="0" collapsed="false">
      <c r="A362" s="39" t="s">
        <v>899</v>
      </c>
      <c r="B362" s="40" t="s">
        <v>931</v>
      </c>
      <c r="C362" s="41" t="n">
        <v>33602000</v>
      </c>
      <c r="D362" s="41"/>
      <c r="E362" s="42" t="n">
        <f aca="false">'14. Yields'!B84</f>
        <v>33602459.2278261</v>
      </c>
      <c r="F362" s="43" t="n">
        <f aca="false">IF(D362="",E362-C362,E362-D362)</f>
        <v>459.227826081216</v>
      </c>
      <c r="G362" s="40" t="str">
        <f aca="false">IF(ISNUMBER(E362)=FALSE(),"CHECK",IF(D362="",IF(ABS(E362-C362)&lt;=500,"reproduced",IF(ABS(E362-C362)&lt;=500*5,"rounding","CHECK")),IF(ABS(E362-D362)&lt;=500,"corrected","CHECK")))</f>
        <v>reproduced</v>
      </c>
      <c r="H362" s="44"/>
    </row>
    <row r="363" customFormat="false" ht="15" hidden="false" customHeight="false" outlineLevel="0" collapsed="false">
      <c r="A363" s="3" t="s">
        <v>899</v>
      </c>
      <c r="B363" s="5" t="s">
        <v>567</v>
      </c>
      <c r="C363" s="36" t="n">
        <v>3201000</v>
      </c>
      <c r="D363" s="36"/>
      <c r="E363" s="37" t="n">
        <f aca="false">'14. Yields'!B85</f>
        <v>3200234.21217392</v>
      </c>
      <c r="F363" s="9" t="n">
        <f aca="false">IF(D363="",E363-C363,E363-D363)</f>
        <v>-765.787826083601</v>
      </c>
      <c r="G363" s="5" t="str">
        <f aca="false">IF(ISNUMBER(E363)=FALSE(),"CHECK",IF(D363="",IF(ABS(E363-C363)&lt;=500,"reproduced",IF(ABS(E363-C363)&lt;=500*5,"rounding","CHECK")),IF(ABS(E363-D363)&lt;=500,"corrected","CHECK")))</f>
        <v>rounding</v>
      </c>
      <c r="H363" s="38"/>
    </row>
    <row r="364" customFormat="false" ht="15" hidden="false" customHeight="false" outlineLevel="0" collapsed="false">
      <c r="A364" s="39" t="s">
        <v>899</v>
      </c>
      <c r="B364" s="40" t="s">
        <v>926</v>
      </c>
      <c r="C364" s="57" t="n">
        <v>0.087</v>
      </c>
      <c r="D364" s="57"/>
      <c r="E364" s="58" t="n">
        <f aca="false">'14. Yields'!B86</f>
        <v>0.0869565217391305</v>
      </c>
      <c r="F364" s="59" t="n">
        <f aca="false">IF(D364="",E364-C364,E364-D364)</f>
        <v>-4.34782608694645E-005</v>
      </c>
      <c r="G364" s="40" t="str">
        <f aca="false">IF(ISNUMBER(E364)=FALSE(),"CHECK",IF(D364="",IF(ABS(E364-C364)&lt;=0.0005,"reproduced",IF(ABS(E364-C364)&lt;=0.0005*5,"rounding","CHECK")),IF(ABS(E364-D364)&lt;=0.0005,"corrected","CHECK")))</f>
        <v>reproduced</v>
      </c>
      <c r="H364" s="44"/>
    </row>
    <row r="365" customFormat="false" ht="15" hidden="false" customHeight="false" outlineLevel="0" collapsed="false">
      <c r="A365" s="3" t="s">
        <v>932</v>
      </c>
      <c r="B365" s="5" t="s">
        <v>145</v>
      </c>
      <c r="C365" s="36" t="n">
        <v>1210000</v>
      </c>
      <c r="D365" s="36"/>
      <c r="E365" s="37" t="n">
        <f aca="false">'15. Ageing asset'!B8</f>
        <v>1210000</v>
      </c>
      <c r="F365" s="9" t="n">
        <f aca="false">IF(D365="",E365-C365,E365-D365)</f>
        <v>0</v>
      </c>
      <c r="G365" s="5" t="str">
        <f aca="false">IF(ISNUMBER(E365)=FALSE(),"CHECK",IF(D365="",IF(ABS(E365-C365)&lt;=1,"reproduced",IF(ABS(E365-C365)&lt;=1*5,"rounding","CHECK")),IF(ABS(E365-D365)&lt;=1,"corrected","CHECK")))</f>
        <v>reproduced</v>
      </c>
      <c r="H365" s="38"/>
    </row>
    <row r="366" customFormat="false" ht="15" hidden="false" customHeight="false" outlineLevel="0" collapsed="false">
      <c r="A366" s="39" t="s">
        <v>932</v>
      </c>
      <c r="B366" s="40" t="s">
        <v>491</v>
      </c>
      <c r="C366" s="41" t="n">
        <v>20166667</v>
      </c>
      <c r="D366" s="41"/>
      <c r="E366" s="42" t="n">
        <f aca="false">'15. Ageing asset'!B9</f>
        <v>20166666.6666667</v>
      </c>
      <c r="F366" s="43" t="n">
        <f aca="false">IF(D366="",E366-C366,E366-D366)</f>
        <v>-0.33333333209157</v>
      </c>
      <c r="G366" s="40" t="str">
        <f aca="false">IF(ISNUMBER(E366)=FALSE(),"CHECK",IF(D366="",IF(ABS(E366-C366)&lt;=1,"reproduced",IF(ABS(E366-C366)&lt;=1*5,"rounding","CHECK")),IF(ABS(E366-D366)&lt;=1,"corrected","CHECK")))</f>
        <v>reproduced</v>
      </c>
      <c r="H366" s="44"/>
    </row>
    <row r="367" customFormat="false" ht="15" hidden="false" customHeight="false" outlineLevel="0" collapsed="false">
      <c r="A367" s="3" t="s">
        <v>932</v>
      </c>
      <c r="B367" s="5" t="s">
        <v>707</v>
      </c>
      <c r="C367" s="36" t="n">
        <v>18935838</v>
      </c>
      <c r="D367" s="36"/>
      <c r="E367" s="37" t="n">
        <f aca="false">'15. Ageing asset'!B10</f>
        <v>18935837.2456964</v>
      </c>
      <c r="F367" s="9" t="n">
        <f aca="false">IF(D367="",E367-C367,E367-D367)</f>
        <v>-0.754303596913815</v>
      </c>
      <c r="G367" s="5" t="str">
        <f aca="false">IF(ISNUMBER(E367)=FALSE(),"CHECK",IF(D367="",IF(ABS(E367-C367)&lt;=1,"reproduced",IF(ABS(E367-C367)&lt;=1*5,"rounding","CHECK")),IF(ABS(E367-D367)&lt;=1,"corrected","CHECK")))</f>
        <v>reproduced</v>
      </c>
      <c r="H367" s="38"/>
    </row>
    <row r="368" customFormat="false" ht="15" hidden="false" customHeight="false" outlineLevel="0" collapsed="false">
      <c r="A368" s="39" t="s">
        <v>932</v>
      </c>
      <c r="B368" s="40" t="s">
        <v>933</v>
      </c>
      <c r="C368" s="41" t="n">
        <v>18940000</v>
      </c>
      <c r="D368" s="41"/>
      <c r="E368" s="42" t="n">
        <f aca="false">'15. Ageing asset'!B11</f>
        <v>18940000</v>
      </c>
      <c r="F368" s="43" t="n">
        <f aca="false">IF(D368="",E368-C368,E368-D368)</f>
        <v>0</v>
      </c>
      <c r="G368" s="40" t="str">
        <f aca="false">IF(ISNUMBER(E368)=FALSE(),"CHECK",IF(D368="",IF(ABS(E368-C368)&lt;=1,"reproduced",IF(ABS(E368-C368)&lt;=1*5,"rounding","CHECK")),IF(ABS(E368-D368)&lt;=1,"corrected","CHECK")))</f>
        <v>reproduced</v>
      </c>
      <c r="H368" s="44"/>
    </row>
    <row r="369" customFormat="false" ht="15" hidden="false" customHeight="false" outlineLevel="0" collapsed="false">
      <c r="A369" s="3" t="s">
        <v>932</v>
      </c>
      <c r="B369" s="5" t="s">
        <v>934</v>
      </c>
      <c r="C369" s="36" t="n">
        <v>3755000</v>
      </c>
      <c r="D369" s="36"/>
      <c r="E369" s="37" t="n">
        <f aca="false">'15. Ageing asset'!B24</f>
        <v>3755000</v>
      </c>
      <c r="F369" s="9" t="n">
        <f aca="false">IF(D369="",E369-C369,E369-D369)</f>
        <v>0</v>
      </c>
      <c r="G369" s="5" t="str">
        <f aca="false">IF(ISNUMBER(E369)=FALSE(),"CHECK",IF(D369="",IF(ABS(E369-C369)&lt;=1,"reproduced",IF(ABS(E369-C369)&lt;=1*5,"rounding","CHECK")),IF(ABS(E369-D369)&lt;=1,"corrected","CHECK")))</f>
        <v>reproduced</v>
      </c>
      <c r="H369" s="38"/>
    </row>
    <row r="370" customFormat="false" ht="15" hidden="false" customHeight="false" outlineLevel="0" collapsed="false">
      <c r="A370" s="39" t="s">
        <v>932</v>
      </c>
      <c r="B370" s="40" t="s">
        <v>583</v>
      </c>
      <c r="C370" s="41" t="n">
        <v>-4005000</v>
      </c>
      <c r="D370" s="41"/>
      <c r="E370" s="42" t="n">
        <f aca="false">'15. Ageing asset'!B25</f>
        <v>-4005000</v>
      </c>
      <c r="F370" s="43" t="n">
        <f aca="false">IF(D370="",E370-C370,E370-D370)</f>
        <v>0</v>
      </c>
      <c r="G370" s="40" t="str">
        <f aca="false">IF(ISNUMBER(E370)=FALSE(),"CHECK",IF(D370="",IF(ABS(E370-C370)&lt;=1,"reproduced",IF(ABS(E370-C370)&lt;=1*5,"rounding","CHECK")),IF(ABS(E370-D370)&lt;=1,"corrected","CHECK")))</f>
        <v>reproduced</v>
      </c>
      <c r="H370" s="44"/>
    </row>
    <row r="371" customFormat="false" ht="15" hidden="false" customHeight="false" outlineLevel="0" collapsed="false">
      <c r="A371" s="3" t="s">
        <v>932</v>
      </c>
      <c r="B371" s="5" t="s">
        <v>584</v>
      </c>
      <c r="C371" s="36" t="n">
        <v>1276000</v>
      </c>
      <c r="D371" s="36"/>
      <c r="E371" s="37" t="n">
        <f aca="false">'15. Ageing asset'!B26</f>
        <v>1276000</v>
      </c>
      <c r="F371" s="9" t="n">
        <f aca="false">IF(D371="",E371-C371,E371-D371)</f>
        <v>0</v>
      </c>
      <c r="G371" s="5" t="str">
        <f aca="false">IF(ISNUMBER(E371)=FALSE(),"CHECK",IF(D371="",IF(ABS(E371-C371)&lt;=1,"reproduced",IF(ABS(E371-C371)&lt;=1*5,"rounding","CHECK")),IF(ABS(E371-D371)&lt;=1,"corrected","CHECK")))</f>
        <v>reproduced</v>
      </c>
      <c r="H371" s="38"/>
    </row>
    <row r="372" customFormat="false" ht="15" hidden="false" customHeight="false" outlineLevel="0" collapsed="false">
      <c r="A372" s="39" t="s">
        <v>932</v>
      </c>
      <c r="B372" s="40" t="s">
        <v>935</v>
      </c>
      <c r="C372" s="41" t="n">
        <v>-127600</v>
      </c>
      <c r="D372" s="41"/>
      <c r="E372" s="42" t="n">
        <f aca="false">'15. Ageing asset'!B27</f>
        <v>-127600</v>
      </c>
      <c r="F372" s="43" t="n">
        <f aca="false">IF(D372="",E372-C372,E372-D372)</f>
        <v>0</v>
      </c>
      <c r="G372" s="40" t="str">
        <f aca="false">IF(ISNUMBER(E372)=FALSE(),"CHECK",IF(D372="",IF(ABS(E372-C372)&lt;=1,"reproduced",IF(ABS(E372-C372)&lt;=1*5,"rounding","CHECK")),IF(ABS(E372-D372)&lt;=1,"corrected","CHECK")))</f>
        <v>reproduced</v>
      </c>
      <c r="H372" s="44"/>
    </row>
    <row r="373" customFormat="false" ht="15" hidden="false" customHeight="false" outlineLevel="0" collapsed="false">
      <c r="A373" s="3" t="s">
        <v>932</v>
      </c>
      <c r="B373" s="5" t="s">
        <v>936</v>
      </c>
      <c r="C373" s="36" t="n">
        <v>18903704</v>
      </c>
      <c r="D373" s="36"/>
      <c r="E373" s="37" t="n">
        <f aca="false">'15. Ageing asset'!B28</f>
        <v>18903703.7037037</v>
      </c>
      <c r="F373" s="9" t="n">
        <f aca="false">IF(D373="",E373-C373,E373-D373)</f>
        <v>-0.296296298503876</v>
      </c>
      <c r="G373" s="5" t="str">
        <f aca="false">IF(ISNUMBER(E373)=FALSE(),"CHECK",IF(D373="",IF(ABS(E373-C373)&lt;=1,"reproduced",IF(ABS(E373-C373)&lt;=1*5,"rounding","CHECK")),IF(ABS(E373-D373)&lt;=1,"corrected","CHECK")))</f>
        <v>reproduced</v>
      </c>
      <c r="H373" s="38"/>
    </row>
    <row r="374" customFormat="false" ht="15" hidden="false" customHeight="false" outlineLevel="0" collapsed="false">
      <c r="A374" s="39" t="s">
        <v>932</v>
      </c>
      <c r="B374" s="40" t="s">
        <v>937</v>
      </c>
      <c r="C374" s="41" t="n">
        <v>18714667</v>
      </c>
      <c r="D374" s="41"/>
      <c r="E374" s="42" t="n">
        <f aca="false">'15. Ageing asset'!B29</f>
        <v>18714666.6666667</v>
      </c>
      <c r="F374" s="43" t="n">
        <f aca="false">IF(D374="",E374-C374,E374-D374)</f>
        <v>-0.33333333581686</v>
      </c>
      <c r="G374" s="40" t="str">
        <f aca="false">IF(ISNUMBER(E374)=FALSE(),"CHECK",IF(D374="",IF(ABS(E374-C374)&lt;=1,"reproduced",IF(ABS(E374-C374)&lt;=1*5,"rounding","CHECK")),IF(ABS(E374-D374)&lt;=1,"corrected","CHECK")))</f>
        <v>reproduced</v>
      </c>
      <c r="H374" s="44"/>
    </row>
    <row r="375" customFormat="false" ht="15" hidden="false" customHeight="false" outlineLevel="0" collapsed="false">
      <c r="A375" s="3" t="s">
        <v>932</v>
      </c>
      <c r="B375" s="5" t="s">
        <v>938</v>
      </c>
      <c r="C375" s="31" t="n">
        <v>3.3121</v>
      </c>
      <c r="D375" s="31"/>
      <c r="E375" s="82" t="n">
        <f aca="false">'15. Ageing asset'!B30</f>
        <v>3.31212684004433</v>
      </c>
      <c r="F375" s="27" t="n">
        <f aca="false">IF(D375="",E375-C375,E375-D375)</f>
        <v>2.6840044331955E-005</v>
      </c>
      <c r="G375" s="5" t="str">
        <f aca="false">IF(ISNUMBER(E375)=FALSE(),"CHECK",IF(D375="",IF(ABS(E375-C375)&lt;=0.00006,"reproduced",IF(ABS(E375-C375)&lt;=0.00006*5,"rounding","CHECK")),IF(ABS(E375-D375)&lt;=0.00006,"corrected","CHECK")))</f>
        <v>reproduced</v>
      </c>
      <c r="H375" s="38"/>
    </row>
    <row r="376" customFormat="false" ht="15" hidden="false" customHeight="false" outlineLevel="0" collapsed="false">
      <c r="A376" s="39" t="s">
        <v>932</v>
      </c>
      <c r="B376" s="40" t="s">
        <v>939</v>
      </c>
      <c r="C376" s="41" t="n">
        <v>4007674</v>
      </c>
      <c r="D376" s="41"/>
      <c r="E376" s="42" t="n">
        <f aca="false">'15. Ageing asset'!B32</f>
        <v>4007673.47645364</v>
      </c>
      <c r="F376" s="43" t="n">
        <f aca="false">IF(D376="",E376-C376,E376-D376)</f>
        <v>-0.523546358104795</v>
      </c>
      <c r="G376" s="40" t="str">
        <f aca="false">IF(ISNUMBER(E376)=FALSE(),"CHECK",IF(D376="",IF(ABS(E376-C376)&lt;=1,"reproduced",IF(ABS(E376-C376)&lt;=1*5,"rounding","CHECK")),IF(ABS(E376-D376)&lt;=1,"corrected","CHECK")))</f>
        <v>reproduced</v>
      </c>
      <c r="H376" s="44"/>
    </row>
    <row r="377" customFormat="false" ht="15" hidden="false" customHeight="false" outlineLevel="0" collapsed="false">
      <c r="A377" s="3" t="s">
        <v>932</v>
      </c>
      <c r="B377" s="5" t="s">
        <v>940</v>
      </c>
      <c r="C377" s="36" t="n">
        <v>-2725735</v>
      </c>
      <c r="D377" s="36"/>
      <c r="E377" s="37" t="n">
        <f aca="false">'15. Ageing asset'!B33</f>
        <v>-2725735.70412018</v>
      </c>
      <c r="F377" s="9" t="n">
        <f aca="false">IF(D377="",E377-C377,E377-D377)</f>
        <v>-0.704120180569589</v>
      </c>
      <c r="G377" s="5" t="str">
        <f aca="false">IF(ISNUMBER(E377)=FALSE(),"CHECK",IF(D377="",IF(ABS(E377-C377)&lt;=1,"reproduced",IF(ABS(E377-C377)&lt;=1*5,"rounding","CHECK")),IF(ABS(E377-D377)&lt;=1,"corrected","CHECK")))</f>
        <v>reproduced</v>
      </c>
      <c r="H377" s="38"/>
    </row>
    <row r="378" customFormat="false" ht="15" hidden="false" customHeight="false" outlineLevel="0" collapsed="false">
      <c r="A378" s="39" t="s">
        <v>932</v>
      </c>
      <c r="B378" s="40" t="s">
        <v>941</v>
      </c>
      <c r="C378" s="41" t="n">
        <v>-80410</v>
      </c>
      <c r="D378" s="41"/>
      <c r="E378" s="42" t="n">
        <f aca="false">'15. Ageing asset'!B34</f>
        <v>-80409.6443902841</v>
      </c>
      <c r="F378" s="43" t="n">
        <f aca="false">IF(D378="",E378-C378,E378-D378)</f>
        <v>0.355609715858009</v>
      </c>
      <c r="G378" s="40" t="str">
        <f aca="false">IF(ISNUMBER(E378)=FALSE(),"CHECK",IF(D378="",IF(ABS(E378-C378)&lt;=1,"reproduced",IF(ABS(E378-C378)&lt;=1*5,"rounding","CHECK")),IF(ABS(E378-D378)&lt;=1,"corrected","CHECK")))</f>
        <v>reproduced</v>
      </c>
      <c r="H378" s="44"/>
    </row>
    <row r="379" customFormat="false" ht="15" hidden="false" customHeight="false" outlineLevel="0" collapsed="false">
      <c r="A379" s="3" t="s">
        <v>932</v>
      </c>
      <c r="B379" s="5" t="s">
        <v>942</v>
      </c>
      <c r="C379" s="31" t="n">
        <v>2.0872</v>
      </c>
      <c r="D379" s="31"/>
      <c r="E379" s="82" t="n">
        <f aca="false">'15. Ageing asset'!B31</f>
        <v>2.08720173498025</v>
      </c>
      <c r="F379" s="27" t="n">
        <f aca="false">IF(D379="",E379-C379,E379-D379)</f>
        <v>1.73498025235475E-006</v>
      </c>
      <c r="G379" s="5" t="str">
        <f aca="false">IF(ISNUMBER(E379)=FALSE(),"CHECK",IF(D379="",IF(ABS(E379-C379)&lt;=0.00006,"reproduced",IF(ABS(E379-C379)&lt;=0.00006*5,"rounding","CHECK")),IF(ABS(E379-D379)&lt;=0.00006,"corrected","CHECK")))</f>
        <v>reproduced</v>
      </c>
      <c r="H379" s="38"/>
    </row>
    <row r="380" customFormat="false" ht="15" hidden="false" customHeight="false" outlineLevel="0" collapsed="false">
      <c r="A380" s="39" t="s">
        <v>932</v>
      </c>
      <c r="B380" s="40" t="s">
        <v>943</v>
      </c>
      <c r="C380" s="41" t="n">
        <v>2663268</v>
      </c>
      <c r="D380" s="41"/>
      <c r="E380" s="42" t="n">
        <f aca="false">'15. Ageing asset'!B35</f>
        <v>2663269.4138348</v>
      </c>
      <c r="F380" s="43" t="n">
        <f aca="false">IF(D380="",E380-C380,E380-D380)</f>
        <v>1.41383480234072</v>
      </c>
      <c r="G380" s="40" t="str">
        <f aca="false">IF(ISNUMBER(E380)=FALSE(),"CHECK",IF(D380="",IF(ABS(E380-C380)&lt;=2,"reproduced",IF(ABS(E380-C380)&lt;=2*5,"rounding","CHECK")),IF(ABS(E380-D380)&lt;=2,"corrected","CHECK")))</f>
        <v>reproduced</v>
      </c>
      <c r="H380" s="44"/>
    </row>
    <row r="381" customFormat="false" ht="15" hidden="false" customHeight="false" outlineLevel="0" collapsed="false">
      <c r="A381" s="3" t="s">
        <v>932</v>
      </c>
      <c r="B381" s="5" t="s">
        <v>593</v>
      </c>
      <c r="C381" s="36" t="n">
        <v>8668451</v>
      </c>
      <c r="D381" s="36"/>
      <c r="E381" s="37" t="n">
        <f aca="false">'15. Ageing asset'!B36</f>
        <v>8668511.7316755</v>
      </c>
      <c r="F381" s="9" t="n">
        <f aca="false">IF(D381="",E381-C381,E381-D381)</f>
        <v>60.7316755019128</v>
      </c>
      <c r="G381" s="5" t="str">
        <f aca="false">IF(ISNUMBER(E381)=FALSE(),"CHECK",IF(D381="",IF(ABS(E381-C381)&lt;=100,"reproduced",IF(ABS(E381-C381)&lt;=100*5,"rounding","CHECK")),IF(ABS(E381-D381)&lt;=100,"corrected","CHECK")))</f>
        <v>reproduced</v>
      </c>
      <c r="H381" s="38"/>
    </row>
    <row r="382" customFormat="false" ht="15" hidden="false" customHeight="false" outlineLevel="0" collapsed="false">
      <c r="A382" s="39" t="s">
        <v>932</v>
      </c>
      <c r="B382" s="40" t="s">
        <v>594</v>
      </c>
      <c r="C382" s="41" t="n">
        <v>12533248</v>
      </c>
      <c r="D382" s="41"/>
      <c r="E382" s="42" t="n">
        <f aca="false">'15. Ageing asset'!B37</f>
        <v>12533309.2734535</v>
      </c>
      <c r="F382" s="43" t="n">
        <f aca="false">IF(D382="",E382-C382,E382-D382)</f>
        <v>61.2734534814954</v>
      </c>
      <c r="G382" s="40" t="str">
        <f aca="false">IF(ISNUMBER(E382)=FALSE(),"CHECK",IF(D382="",IF(ABS(E382-C382)&lt;=100,"reproduced",IF(ABS(E382-C382)&lt;=100*5,"rounding","CHECK")),IF(ABS(E382-D382)&lt;=100,"corrected","CHECK")))</f>
        <v>reproduced</v>
      </c>
      <c r="H382" s="44"/>
    </row>
    <row r="383" customFormat="false" ht="15" hidden="false" customHeight="false" outlineLevel="0" collapsed="false">
      <c r="A383" s="3" t="s">
        <v>932</v>
      </c>
      <c r="B383" s="5" t="s">
        <v>933</v>
      </c>
      <c r="C383" s="36" t="n">
        <v>12530000</v>
      </c>
      <c r="D383" s="36"/>
      <c r="E383" s="37" t="n">
        <f aca="false">'15. Ageing asset'!B38</f>
        <v>12530000</v>
      </c>
      <c r="F383" s="9" t="n">
        <f aca="false">IF(D383="",E383-C383,E383-D383)</f>
        <v>0</v>
      </c>
      <c r="G383" s="5" t="str">
        <f aca="false">IF(ISNUMBER(E383)=FALSE(),"CHECK",IF(D383="",IF(ABS(E383-C383)&lt;=1,"reproduced",IF(ABS(E383-C383)&lt;=1*5,"rounding","CHECK")),IF(ABS(E383-D383)&lt;=1,"corrected","CHECK")))</f>
        <v>reproduced</v>
      </c>
      <c r="H383" s="38"/>
    </row>
    <row r="384" customFormat="false" ht="15" hidden="false" customHeight="false" outlineLevel="0" collapsed="false">
      <c r="A384" s="39" t="s">
        <v>932</v>
      </c>
      <c r="B384" s="40" t="s">
        <v>595</v>
      </c>
      <c r="C384" s="41" t="n">
        <v>6410000</v>
      </c>
      <c r="D384" s="41"/>
      <c r="E384" s="42" t="n">
        <f aca="false">'15. Ageing asset'!B39</f>
        <v>6410000</v>
      </c>
      <c r="F384" s="43" t="n">
        <f aca="false">IF(D384="",E384-C384,E384-D384)</f>
        <v>0</v>
      </c>
      <c r="G384" s="40" t="str">
        <f aca="false">IF(ISNUMBER(E384)=FALSE(),"CHECK",IF(D384="",IF(ABS(E384-C384)&lt;=1,"reproduced",IF(ABS(E384-C384)&lt;=1*5,"rounding","CHECK")),IF(ABS(E384-D384)&lt;=1,"corrected","CHECK")))</f>
        <v>reproduced</v>
      </c>
      <c r="H384" s="44"/>
    </row>
    <row r="385" customFormat="false" ht="15" hidden="false" customHeight="false" outlineLevel="0" collapsed="false">
      <c r="A385" s="3" t="s">
        <v>932</v>
      </c>
      <c r="B385" s="5" t="s">
        <v>926</v>
      </c>
      <c r="C385" s="45" t="n">
        <v>0.34</v>
      </c>
      <c r="D385" s="45"/>
      <c r="E385" s="46" t="n">
        <f aca="false">'15. Ageing asset'!B40</f>
        <v>0.33843717001056</v>
      </c>
      <c r="F385" s="18" t="n">
        <f aca="false">IF(D385="",E385-C385,E385-D385)</f>
        <v>-0.00156282998944035</v>
      </c>
      <c r="G385" s="5" t="str">
        <f aca="false">IF(ISNUMBER(E385)=FALSE(),"CHECK",IF(D385="",IF(ABS(E385-C385)&lt;=0.005,"reproduced",IF(ABS(E385-C385)&lt;=0.005*5,"rounding","CHECK")),IF(ABS(E385-D385)&lt;=0.005,"corrected","CHECK")))</f>
        <v>reproduced</v>
      </c>
      <c r="H385" s="38"/>
    </row>
    <row r="386" customFormat="false" ht="15" hidden="false" customHeight="false" outlineLevel="0" collapsed="false">
      <c r="A386" s="39" t="s">
        <v>932</v>
      </c>
      <c r="B386" s="40" t="s">
        <v>273</v>
      </c>
      <c r="C386" s="41" t="n">
        <v>4950000</v>
      </c>
      <c r="D386" s="41"/>
      <c r="E386" s="42" t="n">
        <f aca="false">'15. Ageing asset'!B45</f>
        <v>4950000</v>
      </c>
      <c r="F386" s="43" t="n">
        <f aca="false">IF(D386="",E386-C386,E386-D386)</f>
        <v>0</v>
      </c>
      <c r="G386" s="40" t="str">
        <f aca="false">IF(ISNUMBER(E386)=FALSE(),"CHECK",IF(D386="",IF(ABS(E386-C386)&lt;=1,"reproduced",IF(ABS(E386-C386)&lt;=1*5,"rounding","CHECK")),IF(ABS(E386-D386)&lt;=1,"corrected","CHECK")))</f>
        <v>reproduced</v>
      </c>
      <c r="H386" s="44"/>
    </row>
    <row r="387" customFormat="false" ht="15" hidden="false" customHeight="false" outlineLevel="0" collapsed="false">
      <c r="A387" s="3" t="s">
        <v>932</v>
      </c>
      <c r="B387" s="5" t="s">
        <v>601</v>
      </c>
      <c r="C387" s="36" t="n">
        <v>990000</v>
      </c>
      <c r="D387" s="36"/>
      <c r="E387" s="37" t="n">
        <f aca="false">'15. Ageing asset'!B46</f>
        <v>990000</v>
      </c>
      <c r="F387" s="9" t="n">
        <f aca="false">IF(D387="",E387-C387,E387-D387)</f>
        <v>0</v>
      </c>
      <c r="G387" s="5" t="str">
        <f aca="false">IF(ISNUMBER(E387)=FALSE(),"CHECK",IF(D387="",IF(ABS(E387-C387)&lt;=1,"reproduced",IF(ABS(E387-C387)&lt;=1*5,"rounding","CHECK")),IF(ABS(E387-D387)&lt;=1,"corrected","CHECK")))</f>
        <v>reproduced</v>
      </c>
      <c r="H387" s="38"/>
    </row>
    <row r="388" customFormat="false" ht="15" hidden="false" customHeight="false" outlineLevel="0" collapsed="false">
      <c r="A388" s="39" t="s">
        <v>932</v>
      </c>
      <c r="B388" s="40" t="s">
        <v>944</v>
      </c>
      <c r="C388" s="41" t="n">
        <v>3960000</v>
      </c>
      <c r="D388" s="41"/>
      <c r="E388" s="42" t="n">
        <f aca="false">'15. Ageing asset'!B47</f>
        <v>3960000</v>
      </c>
      <c r="F388" s="43" t="n">
        <f aca="false">IF(D388="",E388-C388,E388-D388)</f>
        <v>0</v>
      </c>
      <c r="G388" s="40" t="str">
        <f aca="false">IF(ISNUMBER(E388)=FALSE(),"CHECK",IF(D388="",IF(ABS(E388-C388)&lt;=1,"reproduced",IF(ABS(E388-C388)&lt;=1*5,"rounding","CHECK")),IF(ABS(E388-D388)&lt;=1,"corrected","CHECK")))</f>
        <v>reproduced</v>
      </c>
      <c r="H388" s="44"/>
    </row>
    <row r="389" customFormat="false" ht="15" hidden="false" customHeight="false" outlineLevel="0" collapsed="false">
      <c r="A389" s="3" t="s">
        <v>932</v>
      </c>
      <c r="B389" s="5" t="s">
        <v>603</v>
      </c>
      <c r="C389" s="45" t="n">
        <v>0.32</v>
      </c>
      <c r="D389" s="45"/>
      <c r="E389" s="46" t="n">
        <f aca="false">'15. Ageing asset'!B48</f>
        <v>0.316041500399042</v>
      </c>
      <c r="F389" s="18" t="n">
        <f aca="false">IF(D389="",E389-C389,E389-D389)</f>
        <v>-0.00395849960095773</v>
      </c>
      <c r="G389" s="5" t="str">
        <f aca="false">IF(ISNUMBER(E389)=FALSE(),"CHECK",IF(D389="",IF(ABS(E389-C389)&lt;=0.005,"reproduced",IF(ABS(E389-C389)&lt;=0.005*5,"rounding","CHECK")),IF(ABS(E389-D389)&lt;=0.005,"corrected","CHECK")))</f>
        <v>reproduced</v>
      </c>
      <c r="H389" s="38"/>
    </row>
    <row r="390" customFormat="false" ht="15" hidden="false" customHeight="false" outlineLevel="0" collapsed="false">
      <c r="A390" s="39" t="s">
        <v>932</v>
      </c>
      <c r="B390" s="40" t="s">
        <v>604</v>
      </c>
      <c r="C390" s="41" t="n">
        <v>8570000</v>
      </c>
      <c r="D390" s="41"/>
      <c r="E390" s="42" t="n">
        <f aca="false">'15. Ageing asset'!B49</f>
        <v>8570000</v>
      </c>
      <c r="F390" s="43" t="n">
        <f aca="false">IF(D390="",E390-C390,E390-D390)</f>
        <v>0</v>
      </c>
      <c r="G390" s="40" t="str">
        <f aca="false">IF(ISNUMBER(E390)=FALSE(),"CHECK",IF(D390="",IF(ABS(E390-C390)&lt;=1,"reproduced",IF(ABS(E390-C390)&lt;=1*5,"rounding","CHECK")),IF(ABS(E390-D390)&lt;=1,"corrected","CHECK")))</f>
        <v>reproduced</v>
      </c>
      <c r="H390" s="44"/>
    </row>
    <row r="391" customFormat="false" ht="15" hidden="false" customHeight="false" outlineLevel="0" collapsed="false">
      <c r="A391" s="3" t="s">
        <v>932</v>
      </c>
      <c r="B391" s="5" t="s">
        <v>945</v>
      </c>
      <c r="C391" s="36" t="n">
        <v>571333</v>
      </c>
      <c r="D391" s="36"/>
      <c r="E391" s="37" t="n">
        <f aca="false">'15. Ageing asset'!B50</f>
        <v>571333.333333333</v>
      </c>
      <c r="F391" s="9" t="n">
        <f aca="false">IF(D391="",E391-C391,E391-D391)</f>
        <v>0.333333333372138</v>
      </c>
      <c r="G391" s="5" t="str">
        <f aca="false">IF(ISNUMBER(E391)=FALSE(),"CHECK",IF(D391="",IF(ABS(E391-C391)&lt;=1,"reproduced",IF(ABS(E391-C391)&lt;=1*5,"rounding","CHECK")),IF(ABS(E391-D391)&lt;=1,"corrected","CHECK")))</f>
        <v>reproduced</v>
      </c>
      <c r="H391" s="38"/>
    </row>
    <row r="392" customFormat="false" ht="15" hidden="false" customHeight="false" outlineLevel="0" collapsed="false">
      <c r="A392" s="39" t="s">
        <v>932</v>
      </c>
      <c r="B392" s="40" t="s">
        <v>946</v>
      </c>
      <c r="C392" s="57" t="n">
        <v>0.47</v>
      </c>
      <c r="D392" s="57"/>
      <c r="E392" s="58" t="n">
        <f aca="false">'15. Ageing asset'!B51</f>
        <v>0.472176308539945</v>
      </c>
      <c r="F392" s="59" t="n">
        <f aca="false">IF(D392="",E392-C392,E392-D392)</f>
        <v>0.00217630853994494</v>
      </c>
      <c r="G392" s="40" t="str">
        <f aca="false">IF(ISNUMBER(E392)=FALSE(),"CHECK",IF(D392="",IF(ABS(E392-C392)&lt;=0.005,"reproduced",IF(ABS(E392-C392)&lt;=0.005*5,"rounding","CHECK")),IF(ABS(E392-D392)&lt;=0.005,"corrected","CHECK")))</f>
        <v>reproduced</v>
      </c>
      <c r="H392" s="44"/>
    </row>
    <row r="393" customFormat="false" ht="15" hidden="false" customHeight="false" outlineLevel="0" collapsed="false">
      <c r="A393" s="3" t="s">
        <v>932</v>
      </c>
      <c r="B393" s="5" t="s">
        <v>607</v>
      </c>
      <c r="C393" s="45" t="n">
        <v>0.21</v>
      </c>
      <c r="D393" s="45"/>
      <c r="E393" s="46" t="n">
        <f aca="false">'15. Ageing asset'!B52</f>
        <v>0.209081309398099</v>
      </c>
      <c r="F393" s="18" t="n">
        <f aca="false">IF(D393="",E393-C393,E393-D393)</f>
        <v>-0.000918690601900724</v>
      </c>
      <c r="G393" s="5" t="str">
        <f aca="false">IF(ISNUMBER(E393)=FALSE(),"CHECK",IF(D393="",IF(ABS(E393-C393)&lt;=0.005,"reproduced",IF(ABS(E393-C393)&lt;=0.005*5,"rounding","CHECK")),IF(ABS(E393-D393)&lt;=0.005,"corrected","CHECK")))</f>
        <v>reproduced</v>
      </c>
      <c r="H393" s="38"/>
    </row>
    <row r="394" customFormat="false" ht="15" hidden="false" customHeight="false" outlineLevel="0" collapsed="false">
      <c r="A394" s="39" t="s">
        <v>932</v>
      </c>
      <c r="B394" s="40" t="s">
        <v>608</v>
      </c>
      <c r="C394" s="41" t="n">
        <v>14980000</v>
      </c>
      <c r="D394" s="41"/>
      <c r="E394" s="42" t="n">
        <f aca="false">'15. Ageing asset'!B53</f>
        <v>14980000</v>
      </c>
      <c r="F394" s="43" t="n">
        <f aca="false">IF(D394="",E394-C394,E394-D394)</f>
        <v>0</v>
      </c>
      <c r="G394" s="40" t="str">
        <f aca="false">IF(ISNUMBER(E394)=FALSE(),"CHECK",IF(D394="",IF(ABS(E394-C394)&lt;=1,"reproduced",IF(ABS(E394-C394)&lt;=1*5,"rounding","CHECK")),IF(ABS(E394-D394)&lt;=1,"corrected","CHECK")))</f>
        <v>reproduced</v>
      </c>
      <c r="H394" s="44"/>
    </row>
    <row r="395" customFormat="false" ht="15" hidden="false" customHeight="false" outlineLevel="0" collapsed="false">
      <c r="A395" s="3" t="s">
        <v>932</v>
      </c>
      <c r="B395" s="5" t="s">
        <v>838</v>
      </c>
      <c r="C395" s="36" t="n">
        <v>681</v>
      </c>
      <c r="D395" s="36"/>
      <c r="E395" s="37" t="n">
        <f aca="false">'15. Ageing asset'!B54</f>
        <v>680.909090909091</v>
      </c>
      <c r="F395" s="9" t="n">
        <f aca="false">IF(D395="",E395-C395,E395-D395)</f>
        <v>-0.0909090909091219</v>
      </c>
      <c r="G395" s="5" t="str">
        <f aca="false">IF(ISNUMBER(E395)=FALSE(),"CHECK",IF(D395="",IF(ABS(E395-C395)&lt;=0.5,"reproduced",IF(ABS(E395-C395)&lt;=0.5*5,"rounding","CHECK")),IF(ABS(E395-D395)&lt;=0.5,"corrected","CHECK")))</f>
        <v>reproduced</v>
      </c>
      <c r="H395" s="38"/>
    </row>
    <row r="396" customFormat="false" ht="15" hidden="false" customHeight="false" outlineLevel="0" collapsed="false">
      <c r="A396" s="39" t="s">
        <v>947</v>
      </c>
      <c r="B396" s="40" t="s">
        <v>619</v>
      </c>
      <c r="C396" s="41" t="n">
        <v>160000</v>
      </c>
      <c r="D396" s="41"/>
      <c r="E396" s="42" t="n">
        <f aca="false">'16. Roof'!B14</f>
        <v>160000</v>
      </c>
      <c r="F396" s="43" t="n">
        <f aca="false">IF(D396="",E396-C396,E396-D396)</f>
        <v>0</v>
      </c>
      <c r="G396" s="40" t="str">
        <f aca="false">IF(ISNUMBER(E396)=FALSE(),"CHECK",IF(D396="",IF(ABS(E396-C396)&lt;=1,"reproduced",IF(ABS(E396-C396)&lt;=1*5,"rounding","CHECK")),IF(ABS(E396-D396)&lt;=1,"corrected","CHECK")))</f>
        <v>reproduced</v>
      </c>
      <c r="H396" s="44"/>
    </row>
    <row r="397" customFormat="false" ht="15" hidden="false" customHeight="false" outlineLevel="0" collapsed="false">
      <c r="A397" s="3" t="s">
        <v>947</v>
      </c>
      <c r="B397" s="5" t="s">
        <v>620</v>
      </c>
      <c r="C397" s="36" t="n">
        <v>500000</v>
      </c>
      <c r="D397" s="36"/>
      <c r="E397" s="37" t="n">
        <f aca="false">'16. Roof'!B15</f>
        <v>500000</v>
      </c>
      <c r="F397" s="9" t="n">
        <f aca="false">IF(D397="",E397-C397,E397-D397)</f>
        <v>0</v>
      </c>
      <c r="G397" s="5" t="str">
        <f aca="false">IF(ISNUMBER(E397)=FALSE(),"CHECK",IF(D397="",IF(ABS(E397-C397)&lt;=1,"reproduced",IF(ABS(E397-C397)&lt;=1*5,"rounding","CHECK")),IF(ABS(E397-D397)&lt;=1,"corrected","CHECK")))</f>
        <v>reproduced</v>
      </c>
      <c r="H397" s="38"/>
    </row>
    <row r="398" customFormat="false" ht="15" hidden="false" customHeight="false" outlineLevel="0" collapsed="false">
      <c r="A398" s="39" t="s">
        <v>947</v>
      </c>
      <c r="B398" s="40" t="s">
        <v>621</v>
      </c>
      <c r="C398" s="41" t="n">
        <v>1700000</v>
      </c>
      <c r="D398" s="41"/>
      <c r="E398" s="42" t="n">
        <f aca="false">'16. Roof'!B16</f>
        <v>1700000</v>
      </c>
      <c r="F398" s="43" t="n">
        <f aca="false">IF(D398="",E398-C398,E398-D398)</f>
        <v>0</v>
      </c>
      <c r="G398" s="40" t="str">
        <f aca="false">IF(ISNUMBER(E398)=FALSE(),"CHECK",IF(D398="",IF(ABS(E398-C398)&lt;=1,"reproduced",IF(ABS(E398-C398)&lt;=1*5,"rounding","CHECK")),IF(ABS(E398-D398)&lt;=1,"corrected","CHECK")))</f>
        <v>reproduced</v>
      </c>
      <c r="H398" s="44"/>
    </row>
    <row r="399" customFormat="false" ht="15" hidden="false" customHeight="false" outlineLevel="0" collapsed="false">
      <c r="A399" s="3" t="s">
        <v>947</v>
      </c>
      <c r="B399" s="5" t="s">
        <v>948</v>
      </c>
      <c r="C399" s="36" t="n">
        <v>2200000</v>
      </c>
      <c r="D399" s="36"/>
      <c r="E399" s="37" t="n">
        <f aca="false">'16. Roof'!B17</f>
        <v>2200000</v>
      </c>
      <c r="F399" s="9" t="n">
        <f aca="false">IF(D399="",E399-C399,E399-D399)</f>
        <v>0</v>
      </c>
      <c r="G399" s="5" t="str">
        <f aca="false">IF(ISNUMBER(E399)=FALSE(),"CHECK",IF(D399="",IF(ABS(E399-C399)&lt;=1,"reproduced",IF(ABS(E399-C399)&lt;=1*5,"rounding","CHECK")),IF(ABS(E399-D399)&lt;=1,"corrected","CHECK")))</f>
        <v>reproduced</v>
      </c>
      <c r="H399" s="38"/>
    </row>
    <row r="400" customFormat="false" ht="15" hidden="false" customHeight="false" outlineLevel="0" collapsed="false">
      <c r="A400" s="39" t="s">
        <v>947</v>
      </c>
      <c r="B400" s="40" t="s">
        <v>949</v>
      </c>
      <c r="C400" s="72" t="n">
        <v>11.6536</v>
      </c>
      <c r="D400" s="72"/>
      <c r="E400" s="73" t="n">
        <f aca="false">'16. Roof'!B18</f>
        <v>11.6535831782537</v>
      </c>
      <c r="F400" s="74" t="n">
        <f aca="false">IF(D400="",E400-C400,E400-D400)</f>
        <v>-1.68217462785947E-005</v>
      </c>
      <c r="G400" s="40" t="str">
        <f aca="false">IF(ISNUMBER(E400)=FALSE(),"CHECK",IF(D400="",IF(ABS(E400-C400)&lt;=0.00006,"reproduced",IF(ABS(E400-C400)&lt;=0.00006*5,"rounding","CHECK")),IF(ABS(E400-D400)&lt;=0.00006,"corrected","CHECK")))</f>
        <v>reproduced</v>
      </c>
      <c r="H400" s="44"/>
    </row>
    <row r="401" customFormat="false" ht="15" hidden="false" customHeight="false" outlineLevel="0" collapsed="false">
      <c r="A401" s="3" t="s">
        <v>947</v>
      </c>
      <c r="B401" s="5" t="s">
        <v>950</v>
      </c>
      <c r="C401" s="36" t="n">
        <v>1864574</v>
      </c>
      <c r="D401" s="36"/>
      <c r="E401" s="37" t="n">
        <f aca="false">'16. Roof'!B19</f>
        <v>1864573.3085206</v>
      </c>
      <c r="F401" s="9" t="n">
        <f aca="false">IF(D401="",E401-C401,E401-D401)</f>
        <v>-0.691479404456914</v>
      </c>
      <c r="G401" s="5" t="str">
        <f aca="false">IF(ISNUMBER(E401)=FALSE(),"CHECK",IF(D401="",IF(ABS(E401-C401)&lt;=1,"reproduced",IF(ABS(E401-C401)&lt;=1*5,"rounding","CHECK")),IF(ABS(E401-D401)&lt;=1,"corrected","CHECK")))</f>
        <v>reproduced</v>
      </c>
      <c r="H401" s="38"/>
    </row>
    <row r="402" customFormat="false" ht="15" hidden="false" customHeight="false" outlineLevel="0" collapsed="false">
      <c r="A402" s="39" t="s">
        <v>947</v>
      </c>
      <c r="B402" s="40" t="s">
        <v>951</v>
      </c>
      <c r="C402" s="72" t="n">
        <v>0.444</v>
      </c>
      <c r="D402" s="72"/>
      <c r="E402" s="73" t="n">
        <f aca="false">'16. Roof'!B20</f>
        <v>0.444011959240735</v>
      </c>
      <c r="F402" s="74" t="n">
        <f aca="false">IF(D402="",E402-C402,E402-D402)</f>
        <v>1.19592407349933E-005</v>
      </c>
      <c r="G402" s="40" t="str">
        <f aca="false">IF(ISNUMBER(E402)=FALSE(),"CHECK",IF(D402="",IF(ABS(E402-C402)&lt;=0.00006,"reproduced",IF(ABS(E402-C402)&lt;=0.00006*5,"rounding","CHECK")),IF(ABS(E402-D402)&lt;=0.00006,"corrected","CHECK")))</f>
        <v>reproduced</v>
      </c>
      <c r="H402" s="44"/>
    </row>
    <row r="403" customFormat="false" ht="15" hidden="false" customHeight="false" outlineLevel="0" collapsed="false">
      <c r="A403" s="3" t="s">
        <v>947</v>
      </c>
      <c r="B403" s="5" t="s">
        <v>952</v>
      </c>
      <c r="C403" s="36" t="n">
        <v>976826</v>
      </c>
      <c r="D403" s="36"/>
      <c r="E403" s="37" t="n">
        <f aca="false">'16. Roof'!B21</f>
        <v>976826.310329617</v>
      </c>
      <c r="F403" s="9" t="n">
        <f aca="false">IF(D403="",E403-C403,E403-D403)</f>
        <v>0.310329617001116</v>
      </c>
      <c r="G403" s="5" t="str">
        <f aca="false">IF(ISNUMBER(E403)=FALSE(),"CHECK",IF(D403="",IF(ABS(E403-C403)&lt;=1,"reproduced",IF(ABS(E403-C403)&lt;=1*5,"rounding","CHECK")),IF(ABS(E403-D403)&lt;=1,"corrected","CHECK")))</f>
        <v>reproduced</v>
      </c>
      <c r="H403" s="38"/>
    </row>
    <row r="404" customFormat="false" ht="15" hidden="false" customHeight="false" outlineLevel="0" collapsed="false">
      <c r="A404" s="39" t="s">
        <v>947</v>
      </c>
      <c r="B404" s="40" t="s">
        <v>953</v>
      </c>
      <c r="C404" s="41" t="n">
        <v>887748</v>
      </c>
      <c r="D404" s="41"/>
      <c r="E404" s="42" t="n">
        <f aca="false">'16. Roof'!B22</f>
        <v>887746.998190979</v>
      </c>
      <c r="F404" s="43" t="n">
        <f aca="false">IF(D404="",E404-C404,E404-D404)</f>
        <v>-1.00180902145803</v>
      </c>
      <c r="G404" s="40" t="str">
        <f aca="false">IF(ISNUMBER(E404)=FALSE(),"CHECK",IF(D404="",IF(ABS(E404-C404)&lt;=2,"reproduced",IF(ABS(E404-C404)&lt;=2*5,"rounding","CHECK")),IF(ABS(E404-D404)&lt;=2,"corrected","CHECK")))</f>
        <v>reproduced</v>
      </c>
      <c r="H404" s="44"/>
    </row>
    <row r="405" customFormat="false" ht="15" hidden="false" customHeight="false" outlineLevel="0" collapsed="false">
      <c r="A405" s="3" t="s">
        <v>947</v>
      </c>
      <c r="B405" s="5" t="s">
        <v>954</v>
      </c>
      <c r="C405" s="31" t="n">
        <v>0.582</v>
      </c>
      <c r="D405" s="31"/>
      <c r="E405" s="82" t="n">
        <f aca="false">'16. Roof'!B23</f>
        <v>0.582009104565038</v>
      </c>
      <c r="F405" s="27" t="n">
        <f aca="false">IF(D405="",E405-C405,E405-D405)</f>
        <v>9.10456503822044E-006</v>
      </c>
      <c r="G405" s="5" t="str">
        <f aca="false">IF(ISNUMBER(E405)=FALSE(),"CHECK",IF(D405="",IF(ABS(E405-C405)&lt;=0.00006,"reproduced",IF(ABS(E405-C405)&lt;=0.00006*5,"rounding","CHECK")),IF(ABS(E405-D405)&lt;=0.00006,"corrected","CHECK")))</f>
        <v>reproduced</v>
      </c>
      <c r="H405" s="38"/>
    </row>
    <row r="406" customFormat="false" ht="15" hidden="false" customHeight="false" outlineLevel="0" collapsed="false">
      <c r="A406" s="39" t="s">
        <v>947</v>
      </c>
      <c r="B406" s="40" t="s">
        <v>955</v>
      </c>
      <c r="C406" s="41" t="n">
        <v>1280400</v>
      </c>
      <c r="D406" s="41"/>
      <c r="E406" s="42" t="n">
        <f aca="false">'16. Roof'!B24</f>
        <v>1280420.03004308</v>
      </c>
      <c r="F406" s="43" t="n">
        <f aca="false">IF(D406="",E406-C406,E406-D406)</f>
        <v>20.0300430839416</v>
      </c>
      <c r="G406" s="40" t="str">
        <f aca="false">IF(ISNUMBER(E406)=FALSE(),"CHECK",IF(D406="",IF(ABS(E406-C406)&lt;=50,"reproduced",IF(ABS(E406-C406)&lt;=50*5,"rounding","CHECK")),IF(ABS(E406-D406)&lt;=50,"corrected","CHECK")))</f>
        <v>reproduced</v>
      </c>
      <c r="H406" s="44"/>
    </row>
    <row r="407" customFormat="false" ht="15" hidden="false" customHeight="false" outlineLevel="0" collapsed="false">
      <c r="A407" s="3" t="s">
        <v>947</v>
      </c>
      <c r="B407" s="5" t="s">
        <v>571</v>
      </c>
      <c r="C407" s="36" t="n">
        <v>584174</v>
      </c>
      <c r="D407" s="36"/>
      <c r="E407" s="37" t="n">
        <f aca="false">'16. Roof'!B25</f>
        <v>584153.278477512</v>
      </c>
      <c r="F407" s="9" t="n">
        <f aca="false">IF(D407="",E407-C407,E407-D407)</f>
        <v>-20.7215224883985</v>
      </c>
      <c r="G407" s="5" t="str">
        <f aca="false">IF(ISNUMBER(E407)=FALSE(),"CHECK",IF(D407="",IF(ABS(E407-C407)&lt;=50,"reproduced",IF(ABS(E407-C407)&lt;=50*5,"rounding","CHECK")),IF(ABS(E407-D407)&lt;=50,"corrected","CHECK")))</f>
        <v>reproduced</v>
      </c>
      <c r="H407" s="38"/>
    </row>
    <row r="408" customFormat="false" ht="15" hidden="false" customHeight="false" outlineLevel="0" collapsed="false">
      <c r="A408" s="39" t="s">
        <v>947</v>
      </c>
      <c r="B408" s="40" t="s">
        <v>617</v>
      </c>
      <c r="C408" s="41" t="n">
        <v>2909091</v>
      </c>
      <c r="D408" s="41"/>
      <c r="E408" s="42" t="n">
        <f aca="false">'16. Roof'!B26</f>
        <v>2909090.90909091</v>
      </c>
      <c r="F408" s="43" t="n">
        <f aca="false">IF(D408="",E408-C408,E408-D408)</f>
        <v>-0.0909090908244252</v>
      </c>
      <c r="G408" s="40" t="str">
        <f aca="false">IF(ISNUMBER(E408)=FALSE(),"CHECK",IF(D408="",IF(ABS(E408-C408)&lt;=1,"reproduced",IF(ABS(E408-C408)&lt;=1*5,"rounding","CHECK")),IF(ABS(E408-D408)&lt;=1,"corrected","CHECK")))</f>
        <v>reproduced</v>
      </c>
      <c r="H408" s="44"/>
    </row>
    <row r="409" customFormat="false" ht="15" hidden="false" customHeight="false" outlineLevel="0" collapsed="false">
      <c r="A409" s="3" t="s">
        <v>947</v>
      </c>
      <c r="B409" s="5" t="s">
        <v>618</v>
      </c>
      <c r="C409" s="36" t="n">
        <v>2000000</v>
      </c>
      <c r="D409" s="36"/>
      <c r="E409" s="37" t="n">
        <f aca="false">'16. Roof'!B27</f>
        <v>2000000</v>
      </c>
      <c r="F409" s="9" t="n">
        <f aca="false">IF(D409="",E409-C409,E409-D409)</f>
        <v>0</v>
      </c>
      <c r="G409" s="5" t="str">
        <f aca="false">IF(ISNUMBER(E409)=FALSE(),"CHECK",IF(D409="",IF(ABS(E409-C409)&lt;=1,"reproduced",IF(ABS(E409-C409)&lt;=1*5,"rounding","CHECK")),IF(ABS(E409-D409)&lt;=1,"corrected","CHECK")))</f>
        <v>reproduced</v>
      </c>
      <c r="H409" s="38"/>
    </row>
    <row r="410" customFormat="false" ht="15" hidden="false" customHeight="false" outlineLevel="0" collapsed="false">
      <c r="A410" s="39" t="s">
        <v>947</v>
      </c>
      <c r="B410" s="40" t="s">
        <v>956</v>
      </c>
      <c r="C410" s="41" t="n">
        <v>1000000</v>
      </c>
      <c r="D410" s="41"/>
      <c r="E410" s="42" t="n">
        <f aca="false">'16. Roof'!B28</f>
        <v>1044517.60057031</v>
      </c>
      <c r="F410" s="43" t="n">
        <f aca="false">IF(D410="",E410-C410,E410-D410)</f>
        <v>44517.6005703136</v>
      </c>
      <c r="G410" s="40" t="str">
        <f aca="false">IF(ISNUMBER(E410)=FALSE(),"CHECK",IF(D410="",IF(ABS(E410-C410)&lt;=50000,"reproduced",IF(ABS(E410-C410)&lt;=50000*5,"rounding","CHECK")),IF(ABS(E410-D410)&lt;=50000,"corrected","CHECK")))</f>
        <v>reproduced</v>
      </c>
      <c r="H410" s="44"/>
    </row>
    <row r="411" customFormat="false" ht="15" hidden="false" customHeight="false" outlineLevel="0" collapsed="false">
      <c r="A411" s="3" t="s">
        <v>947</v>
      </c>
      <c r="B411" s="5" t="s">
        <v>635</v>
      </c>
      <c r="C411" s="36" t="n">
        <v>887748</v>
      </c>
      <c r="D411" s="36" t="n">
        <v>1642567</v>
      </c>
      <c r="E411" s="37" t="n">
        <f aca="false">'16. Roof'!B32</f>
        <v>1642567.32890023</v>
      </c>
      <c r="F411" s="9" t="n">
        <f aca="false">IF(D411="",E411-C411,E411-D411)</f>
        <v>0.328900228021666</v>
      </c>
      <c r="G411" s="5" t="str">
        <f aca="false">IF(ISNUMBER(E411)=FALSE(),"CHECK",IF(D411="",IF(ABS(E411-C411)&lt;=1,"reproduced",IF(ABS(E411-C411)&lt;=1*5,"rounding","CHECK")),IF(ABS(E411-D411)&lt;=1,"corrected","CHECK")))</f>
        <v>corrected</v>
      </c>
      <c r="H411" s="38" t="s">
        <v>957</v>
      </c>
    </row>
    <row r="412" customFormat="false" ht="15" hidden="false" customHeight="false" outlineLevel="0" collapsed="false">
      <c r="A412" s="39" t="s">
        <v>947</v>
      </c>
      <c r="B412" s="40" t="s">
        <v>958</v>
      </c>
      <c r="C412" s="57" t="n">
        <v>0.5</v>
      </c>
      <c r="D412" s="57" t="n">
        <v>0.12</v>
      </c>
      <c r="E412" s="58" t="n">
        <f aca="false">'16. Roof'!B33</f>
        <v>0.119065299608152</v>
      </c>
      <c r="F412" s="59" t="n">
        <f aca="false">IF(D412="",E412-C412,E412-D412)</f>
        <v>-0.000934700391848231</v>
      </c>
      <c r="G412" s="40" t="str">
        <f aca="false">IF(ISNUMBER(E412)=FALSE(),"CHECK",IF(D412="",IF(ABS(E412-C412)&lt;=0.005,"reproduced",IF(ABS(E412-C412)&lt;=0.005*5,"rounding","CHECK")),IF(ABS(E412-D412)&lt;=0.005,"corrected","CHECK")))</f>
        <v>corrected</v>
      </c>
      <c r="H412" s="44" t="s">
        <v>959</v>
      </c>
    </row>
    <row r="413" customFormat="false" ht="15" hidden="false" customHeight="false" outlineLevel="0" collapsed="false">
      <c r="A413" s="3" t="s">
        <v>947</v>
      </c>
      <c r="B413" s="5" t="s">
        <v>960</v>
      </c>
      <c r="C413" s="36" t="n">
        <v>584174</v>
      </c>
      <c r="D413" s="36" t="n">
        <v>1573569</v>
      </c>
      <c r="E413" s="37" t="n">
        <f aca="false">'16. Roof'!B34</f>
        <v>1573568.75623808</v>
      </c>
      <c r="F413" s="9" t="n">
        <f aca="false">IF(D413="",E413-C413,E413-D413)</f>
        <v>-0.243761923629791</v>
      </c>
      <c r="G413" s="5" t="str">
        <f aca="false">IF(ISNUMBER(E413)=FALSE(),"CHECK",IF(D413="",IF(ABS(E413-C413)&lt;=1,"reproduced",IF(ABS(E413-C413)&lt;=1*5,"rounding","CHECK")),IF(ABS(E413-D413)&lt;=1,"corrected","CHECK")))</f>
        <v>corrected</v>
      </c>
      <c r="H413" s="38"/>
    </row>
    <row r="414" customFormat="false" ht="15" hidden="false" customHeight="false" outlineLevel="0" collapsed="false">
      <c r="A414" s="39" t="s">
        <v>961</v>
      </c>
      <c r="B414" s="40" t="s">
        <v>935</v>
      </c>
      <c r="C414" s="41" t="n">
        <v>9000</v>
      </c>
      <c r="D414" s="41"/>
      <c r="E414" s="42" t="n">
        <f aca="false">'17. Net income'!B11</f>
        <v>9000</v>
      </c>
      <c r="F414" s="43" t="n">
        <f aca="false">IF(D414="",E414-C414,E414-D414)</f>
        <v>0</v>
      </c>
      <c r="G414" s="40" t="str">
        <f aca="false">IF(ISNUMBER(E414)=FALSE(),"CHECK",IF(D414="",IF(ABS(E414-C414)&lt;=1,"reproduced",IF(ABS(E414-C414)&lt;=1*5,"rounding","CHECK")),IF(ABS(E414-D414)&lt;=1,"corrected","CHECK")))</f>
        <v>reproduced</v>
      </c>
      <c r="H414" s="44"/>
    </row>
    <row r="415" customFormat="false" ht="15" hidden="false" customHeight="false" outlineLevel="0" collapsed="false">
      <c r="A415" s="3" t="s">
        <v>961</v>
      </c>
      <c r="B415" s="5" t="s">
        <v>962</v>
      </c>
      <c r="C415" s="36" t="n">
        <v>1791000</v>
      </c>
      <c r="D415" s="36"/>
      <c r="E415" s="37" t="n">
        <f aca="false">'17. Net income'!B12</f>
        <v>1791000</v>
      </c>
      <c r="F415" s="9" t="n">
        <f aca="false">IF(D415="",E415-C415,E415-D415)</f>
        <v>0</v>
      </c>
      <c r="G415" s="5" t="str">
        <f aca="false">IF(ISNUMBER(E415)=FALSE(),"CHECK",IF(D415="",IF(ABS(E415-C415)&lt;=1,"reproduced",IF(ABS(E415-C415)&lt;=1*5,"rounding","CHECK")),IF(ABS(E415-D415)&lt;=1,"corrected","CHECK")))</f>
        <v>reproduced</v>
      </c>
      <c r="H415" s="38"/>
    </row>
    <row r="416" customFormat="false" ht="15" hidden="false" customHeight="false" outlineLevel="0" collapsed="false">
      <c r="A416" s="39" t="s">
        <v>961</v>
      </c>
      <c r="B416" s="40" t="s">
        <v>963</v>
      </c>
      <c r="C416" s="57" t="n">
        <v>0.995</v>
      </c>
      <c r="D416" s="57"/>
      <c r="E416" s="58" t="n">
        <f aca="false">'17. Net income'!B13</f>
        <v>0.995</v>
      </c>
      <c r="F416" s="59" t="n">
        <f aca="false">IF(D416="",E416-C416,E416-D416)</f>
        <v>0</v>
      </c>
      <c r="G416" s="40" t="str">
        <f aca="false">IF(ISNUMBER(E416)=FALSE(),"CHECK",IF(D416="",IF(ABS(E416-C416)&lt;=0.0005,"reproduced",IF(ABS(E416-C416)&lt;=0.0005*5,"rounding","CHECK")),IF(ABS(E416-D416)&lt;=0.0005,"corrected","CHECK")))</f>
        <v>reproduced</v>
      </c>
      <c r="H416" s="44"/>
    </row>
    <row r="417" customFormat="false" ht="15" hidden="false" customHeight="false" outlineLevel="0" collapsed="false">
      <c r="A417" s="3" t="s">
        <v>961</v>
      </c>
      <c r="B417" s="5" t="s">
        <v>649</v>
      </c>
      <c r="C417" s="36" t="n">
        <v>1350000</v>
      </c>
      <c r="D417" s="36"/>
      <c r="E417" s="37" t="n">
        <f aca="false">'17. Net income'!B14</f>
        <v>1350000</v>
      </c>
      <c r="F417" s="9" t="n">
        <f aca="false">IF(D417="",E417-C417,E417-D417)</f>
        <v>0</v>
      </c>
      <c r="G417" s="5" t="str">
        <f aca="false">IF(ISNUMBER(E417)=FALSE(),"CHECK",IF(D417="",IF(ABS(E417-C417)&lt;=1,"reproduced",IF(ABS(E417-C417)&lt;=1*5,"rounding","CHECK")),IF(ABS(E417-D417)&lt;=1,"corrected","CHECK")))</f>
        <v>reproduced</v>
      </c>
      <c r="H417" s="38"/>
    </row>
    <row r="418" customFormat="false" ht="15" hidden="false" customHeight="false" outlineLevel="0" collapsed="false">
      <c r="A418" s="39" t="s">
        <v>961</v>
      </c>
      <c r="B418" s="40" t="s">
        <v>650</v>
      </c>
      <c r="C418" s="41" t="n">
        <v>1800000</v>
      </c>
      <c r="D418" s="41"/>
      <c r="E418" s="42" t="n">
        <f aca="false">'17. Net income'!B15</f>
        <v>1800000</v>
      </c>
      <c r="F418" s="43" t="n">
        <f aca="false">IF(D418="",E418-C418,E418-D418)</f>
        <v>0</v>
      </c>
      <c r="G418" s="40" t="str">
        <f aca="false">IF(ISNUMBER(E418)=FALSE(),"CHECK",IF(D418="",IF(ABS(E418-C418)&lt;=1,"reproduced",IF(ABS(E418-C418)&lt;=1*5,"rounding","CHECK")),IF(ABS(E418-D418)&lt;=1,"corrected","CHECK")))</f>
        <v>reproduced</v>
      </c>
      <c r="H418" s="44"/>
    </row>
    <row r="419" customFormat="false" ht="15" hidden="false" customHeight="false" outlineLevel="0" collapsed="false">
      <c r="A419" s="3" t="s">
        <v>961</v>
      </c>
      <c r="B419" s="5" t="s">
        <v>964</v>
      </c>
      <c r="C419" s="36" t="n">
        <v>4530000</v>
      </c>
      <c r="D419" s="36"/>
      <c r="E419" s="37" t="n">
        <f aca="false">'17. Net income'!B16</f>
        <v>4530000</v>
      </c>
      <c r="F419" s="9" t="n">
        <f aca="false">IF(D419="",E419-C419,E419-D419)</f>
        <v>0</v>
      </c>
      <c r="G419" s="5" t="str">
        <f aca="false">IF(ISNUMBER(E419)=FALSE(),"CHECK",IF(D419="",IF(ABS(E419-C419)&lt;=1,"reproduced",IF(ABS(E419-C419)&lt;=1*5,"rounding","CHECK")),IF(ABS(E419-D419)&lt;=1,"corrected","CHECK")))</f>
        <v>reproduced</v>
      </c>
      <c r="H419" s="38"/>
    </row>
    <row r="420" customFormat="false" ht="15" hidden="false" customHeight="false" outlineLevel="0" collapsed="false">
      <c r="A420" s="39" t="s">
        <v>961</v>
      </c>
      <c r="B420" s="40" t="s">
        <v>26</v>
      </c>
      <c r="C420" s="41" t="n">
        <v>377500</v>
      </c>
      <c r="D420" s="41"/>
      <c r="E420" s="42" t="n">
        <f aca="false">'17. Net income'!B17</f>
        <v>377500</v>
      </c>
      <c r="F420" s="43" t="n">
        <f aca="false">IF(D420="",E420-C420,E420-D420)</f>
        <v>0</v>
      </c>
      <c r="G420" s="40" t="str">
        <f aca="false">IF(ISNUMBER(E420)=FALSE(),"CHECK",IF(D420="",IF(ABS(E420-C420)&lt;=1,"reproduced",IF(ABS(E420-C420)&lt;=1*5,"rounding","CHECK")),IF(ABS(E420-D420)&lt;=1,"corrected","CHECK")))</f>
        <v>reproduced</v>
      </c>
      <c r="H420" s="44"/>
    </row>
    <row r="421" customFormat="false" ht="15" hidden="false" customHeight="false" outlineLevel="0" collapsed="false">
      <c r="A421" s="3" t="s">
        <v>961</v>
      </c>
      <c r="B421" s="5" t="s">
        <v>965</v>
      </c>
      <c r="C421" s="36" t="n">
        <v>1413500</v>
      </c>
      <c r="D421" s="36"/>
      <c r="E421" s="37" t="n">
        <f aca="false">'17. Net income'!B18</f>
        <v>1413500</v>
      </c>
      <c r="F421" s="9" t="n">
        <f aca="false">IF(D421="",E421-C421,E421-D421)</f>
        <v>0</v>
      </c>
      <c r="G421" s="5" t="str">
        <f aca="false">IF(ISNUMBER(E421)=FALSE(),"CHECK",IF(D421="",IF(ABS(E421-C421)&lt;=1,"reproduced",IF(ABS(E421-C421)&lt;=1*5,"rounding","CHECK")),IF(ABS(E421-D421)&lt;=1,"corrected","CHECK")))</f>
        <v>reproduced</v>
      </c>
      <c r="H421" s="38"/>
    </row>
    <row r="422" customFormat="false" ht="15" hidden="false" customHeight="false" outlineLevel="0" collapsed="false">
      <c r="A422" s="39" t="s">
        <v>961</v>
      </c>
      <c r="B422" s="40" t="s">
        <v>963</v>
      </c>
      <c r="C422" s="57" t="n">
        <v>0.785</v>
      </c>
      <c r="D422" s="57"/>
      <c r="E422" s="58" t="n">
        <f aca="false">'17. Net income'!B19</f>
        <v>0.785277777777778</v>
      </c>
      <c r="F422" s="59" t="n">
        <f aca="false">IF(D422="",E422-C422,E422-D422)</f>
        <v>0.00027777777777771</v>
      </c>
      <c r="G422" s="40" t="str">
        <f aca="false">IF(ISNUMBER(E422)=FALSE(),"CHECK",IF(D422="",IF(ABS(E422-C422)&lt;=0.0005,"reproduced",IF(ABS(E422-C422)&lt;=0.0005*5,"rounding","CHECK")),IF(ABS(E422-D422)&lt;=0.0005,"corrected","CHECK")))</f>
        <v>reproduced</v>
      </c>
      <c r="H422" s="44"/>
    </row>
    <row r="423" customFormat="false" ht="15" hidden="false" customHeight="false" outlineLevel="0" collapsed="false">
      <c r="A423" s="3" t="s">
        <v>961</v>
      </c>
      <c r="B423" s="5" t="s">
        <v>662</v>
      </c>
      <c r="C423" s="36" t="n">
        <v>1389</v>
      </c>
      <c r="D423" s="36"/>
      <c r="E423" s="37" t="n">
        <f aca="false">'17. Net income'!B31</f>
        <v>1388.88888888889</v>
      </c>
      <c r="F423" s="9" t="n">
        <f aca="false">IF(D423="",E423-C423,E423-D423)</f>
        <v>-0.111111111111086</v>
      </c>
      <c r="G423" s="5" t="str">
        <f aca="false">IF(ISNUMBER(E423)=FALSE(),"CHECK",IF(D423="",IF(ABS(E423-C423)&lt;=0.5,"reproduced",IF(ABS(E423-C423)&lt;=0.5*5,"rounding","CHECK")),IF(ABS(E423-D423)&lt;=0.5,"corrected","CHECK")))</f>
        <v>reproduced</v>
      </c>
      <c r="H423" s="38"/>
    </row>
    <row r="424" customFormat="false" ht="15" hidden="false" customHeight="false" outlineLevel="0" collapsed="false">
      <c r="A424" s="39" t="s">
        <v>961</v>
      </c>
      <c r="B424" s="40" t="s">
        <v>251</v>
      </c>
      <c r="C424" s="41" t="n">
        <v>144000</v>
      </c>
      <c r="D424" s="41"/>
      <c r="E424" s="42" t="n">
        <f aca="false">'17. Net income'!B32</f>
        <v>144000</v>
      </c>
      <c r="F424" s="43" t="n">
        <f aca="false">IF(D424="",E424-C424,E424-D424)</f>
        <v>0</v>
      </c>
      <c r="G424" s="40" t="str">
        <f aca="false">IF(ISNUMBER(E424)=FALSE(),"CHECK",IF(D424="",IF(ABS(E424-C424)&lt;=1,"reproduced",IF(ABS(E424-C424)&lt;=1*5,"rounding","CHECK")),IF(ABS(E424-D424)&lt;=1,"corrected","CHECK")))</f>
        <v>reproduced</v>
      </c>
      <c r="H424" s="44"/>
    </row>
    <row r="425" customFormat="false" ht="15" hidden="false" customHeight="false" outlineLevel="0" collapsed="false">
      <c r="A425" s="3" t="s">
        <v>961</v>
      </c>
      <c r="B425" s="5" t="s">
        <v>966</v>
      </c>
      <c r="C425" s="36" t="n">
        <v>39000</v>
      </c>
      <c r="D425" s="36"/>
      <c r="E425" s="37" t="n">
        <f aca="false">'17. Net income'!B33</f>
        <v>39000</v>
      </c>
      <c r="F425" s="9" t="n">
        <f aca="false">IF(D425="",E425-C425,E425-D425)</f>
        <v>0</v>
      </c>
      <c r="G425" s="5" t="str">
        <f aca="false">IF(ISNUMBER(E425)=FALSE(),"CHECK",IF(D425="",IF(ABS(E425-C425)&lt;=1,"reproduced",IF(ABS(E425-C425)&lt;=1*5,"rounding","CHECK")),IF(ABS(E425-D425)&lt;=1,"corrected","CHECK")))</f>
        <v>reproduced</v>
      </c>
      <c r="H425" s="38"/>
    </row>
    <row r="426" customFormat="false" ht="15" hidden="false" customHeight="false" outlineLevel="0" collapsed="false">
      <c r="A426" s="39" t="s">
        <v>961</v>
      </c>
      <c r="B426" s="40" t="s">
        <v>967</v>
      </c>
      <c r="C426" s="41" t="n">
        <v>1656000</v>
      </c>
      <c r="D426" s="41"/>
      <c r="E426" s="42" t="n">
        <f aca="false">'17. Net income'!B34</f>
        <v>1656000</v>
      </c>
      <c r="F426" s="43" t="n">
        <f aca="false">IF(D426="",E426-C426,E426-D426)</f>
        <v>0</v>
      </c>
      <c r="G426" s="40" t="str">
        <f aca="false">IF(ISNUMBER(E426)=FALSE(),"CHECK",IF(D426="",IF(ABS(E426-C426)&lt;=1,"reproduced",IF(ABS(E426-C426)&lt;=1*5,"rounding","CHECK")),IF(ABS(E426-D426)&lt;=1,"corrected","CHECK")))</f>
        <v>reproduced</v>
      </c>
      <c r="H426" s="44"/>
    </row>
    <row r="427" customFormat="false" ht="15" hidden="false" customHeight="false" outlineLevel="0" collapsed="false">
      <c r="A427" s="3" t="s">
        <v>961</v>
      </c>
      <c r="B427" s="5" t="s">
        <v>665</v>
      </c>
      <c r="C427" s="36" t="n">
        <v>49680</v>
      </c>
      <c r="D427" s="36"/>
      <c r="E427" s="37" t="n">
        <f aca="false">'17. Net income'!B35</f>
        <v>49680</v>
      </c>
      <c r="F427" s="9" t="n">
        <f aca="false">IF(D427="",E427-C427,E427-D427)</f>
        <v>0</v>
      </c>
      <c r="G427" s="5" t="str">
        <f aca="false">IF(ISNUMBER(E427)=FALSE(),"CHECK",IF(D427="",IF(ABS(E427-C427)&lt;=1,"reproduced",IF(ABS(E427-C427)&lt;=1*5,"rounding","CHECK")),IF(ABS(E427-D427)&lt;=1,"corrected","CHECK")))</f>
        <v>reproduced</v>
      </c>
      <c r="H427" s="38"/>
    </row>
    <row r="428" customFormat="false" ht="15" hidden="false" customHeight="false" outlineLevel="0" collapsed="false">
      <c r="A428" s="39" t="s">
        <v>961</v>
      </c>
      <c r="B428" s="40" t="s">
        <v>256</v>
      </c>
      <c r="C428" s="41" t="n">
        <v>24840</v>
      </c>
      <c r="D428" s="41"/>
      <c r="E428" s="42" t="n">
        <f aca="false">'17. Net income'!B36</f>
        <v>24840</v>
      </c>
      <c r="F428" s="43" t="n">
        <f aca="false">IF(D428="",E428-C428,E428-D428)</f>
        <v>0</v>
      </c>
      <c r="G428" s="40" t="str">
        <f aca="false">IF(ISNUMBER(E428)=FALSE(),"CHECK",IF(D428="",IF(ABS(E428-C428)&lt;=1,"reproduced",IF(ABS(E428-C428)&lt;=1*5,"rounding","CHECK")),IF(ABS(E428-D428)&lt;=1,"corrected","CHECK")))</f>
        <v>reproduced</v>
      </c>
      <c r="H428" s="44"/>
    </row>
    <row r="429" customFormat="false" ht="15" hidden="false" customHeight="false" outlineLevel="0" collapsed="false">
      <c r="A429" s="3" t="s">
        <v>961</v>
      </c>
      <c r="B429" s="5" t="s">
        <v>666</v>
      </c>
      <c r="C429" s="36" t="n">
        <v>125000</v>
      </c>
      <c r="D429" s="36"/>
      <c r="E429" s="37" t="n">
        <f aca="false">'17. Net income'!B37</f>
        <v>125000</v>
      </c>
      <c r="F429" s="9" t="n">
        <f aca="false">IF(D429="",E429-C429,E429-D429)</f>
        <v>0</v>
      </c>
      <c r="G429" s="5" t="str">
        <f aca="false">IF(ISNUMBER(E429)=FALSE(),"CHECK",IF(D429="",IF(ABS(E429-C429)&lt;=1,"reproduced",IF(ABS(E429-C429)&lt;=1*5,"rounding","CHECK")),IF(ABS(E429-D429)&lt;=1,"corrected","CHECK")))</f>
        <v>reproduced</v>
      </c>
      <c r="H429" s="38"/>
    </row>
    <row r="430" customFormat="false" ht="15" hidden="false" customHeight="false" outlineLevel="0" collapsed="false">
      <c r="A430" s="39" t="s">
        <v>961</v>
      </c>
      <c r="B430" s="40" t="s">
        <v>968</v>
      </c>
      <c r="C430" s="41" t="n">
        <v>502520</v>
      </c>
      <c r="D430" s="41"/>
      <c r="E430" s="42" t="n">
        <f aca="false">'17. Net income'!B38</f>
        <v>502520</v>
      </c>
      <c r="F430" s="43" t="n">
        <f aca="false">IF(D430="",E430-C430,E430-D430)</f>
        <v>0</v>
      </c>
      <c r="G430" s="40" t="str">
        <f aca="false">IF(ISNUMBER(E430)=FALSE(),"CHECK",IF(D430="",IF(ABS(E430-C430)&lt;=1,"reproduced",IF(ABS(E430-C430)&lt;=1*5,"rounding","CHECK")),IF(ABS(E430-D430)&lt;=1,"corrected","CHECK")))</f>
        <v>reproduced</v>
      </c>
      <c r="H430" s="44"/>
    </row>
    <row r="431" customFormat="false" ht="15" hidden="false" customHeight="false" outlineLevel="0" collapsed="false">
      <c r="A431" s="3" t="s">
        <v>961</v>
      </c>
      <c r="B431" s="5" t="s">
        <v>707</v>
      </c>
      <c r="C431" s="36" t="n">
        <v>1297480</v>
      </c>
      <c r="D431" s="36"/>
      <c r="E431" s="37" t="n">
        <f aca="false">'17. Net income'!B39</f>
        <v>1297480</v>
      </c>
      <c r="F431" s="9" t="n">
        <f aca="false">IF(D431="",E431-C431,E431-D431)</f>
        <v>0</v>
      </c>
      <c r="G431" s="5" t="str">
        <f aca="false">IF(ISNUMBER(E431)=FALSE(),"CHECK",IF(D431="",IF(ABS(E431-C431)&lt;=1,"reproduced",IF(ABS(E431-C431)&lt;=1*5,"rounding","CHECK")),IF(ABS(E431-D431)&lt;=1,"corrected","CHECK")))</f>
        <v>reproduced</v>
      </c>
      <c r="H431" s="38"/>
    </row>
    <row r="432" customFormat="false" ht="15" hidden="false" customHeight="false" outlineLevel="0" collapsed="false">
      <c r="A432" s="39" t="s">
        <v>961</v>
      </c>
      <c r="B432" s="40" t="s">
        <v>963</v>
      </c>
      <c r="C432" s="57" t="n">
        <v>0.721</v>
      </c>
      <c r="D432" s="57"/>
      <c r="E432" s="58" t="n">
        <f aca="false">'17. Net income'!B40</f>
        <v>0.720822222222222</v>
      </c>
      <c r="F432" s="59" t="n">
        <f aca="false">IF(D432="",E432-C432,E432-D432)</f>
        <v>-0.000177777777777721</v>
      </c>
      <c r="G432" s="40" t="str">
        <f aca="false">IF(ISNUMBER(E432)=FALSE(),"CHECK",IF(D432="",IF(ABS(E432-C432)&lt;=0.0005,"reproduced",IF(ABS(E432-C432)&lt;=0.0005*5,"rounding","CHECK")),IF(ABS(E432-D432)&lt;=0.0005,"corrected","CHECK")))</f>
        <v>reproduced</v>
      </c>
      <c r="H432" s="44"/>
    </row>
    <row r="433" customFormat="false" ht="15" hidden="false" customHeight="false" outlineLevel="0" collapsed="false">
      <c r="A433" s="3" t="s">
        <v>961</v>
      </c>
      <c r="B433" s="5" t="s">
        <v>969</v>
      </c>
      <c r="C433" s="36" t="n">
        <v>244000</v>
      </c>
      <c r="D433" s="36"/>
      <c r="E433" s="37" t="n">
        <f aca="false">'17. Net income'!B41</f>
        <v>244000</v>
      </c>
      <c r="F433" s="9" t="n">
        <f aca="false">IF(D433="",E433-C433,E433-D433)</f>
        <v>0</v>
      </c>
      <c r="G433" s="5" t="str">
        <f aca="false">IF(ISNUMBER(E433)=FALSE(),"CHECK",IF(D433="",IF(ABS(E433-C433)&lt;=1,"reproduced",IF(ABS(E433-C433)&lt;=1*5,"rounding","CHECK")),IF(ABS(E433-D433)&lt;=1,"corrected","CHECK")))</f>
        <v>reproduced</v>
      </c>
      <c r="H433" s="38"/>
    </row>
    <row r="434" customFormat="false" ht="15" hidden="false" customHeight="false" outlineLevel="0" collapsed="false">
      <c r="A434" s="39" t="s">
        <v>961</v>
      </c>
      <c r="B434" s="40" t="s">
        <v>970</v>
      </c>
      <c r="C434" s="41" t="n">
        <v>59000</v>
      </c>
      <c r="D434" s="41"/>
      <c r="E434" s="42" t="n">
        <f aca="false">'17. Net income'!B42</f>
        <v>59000</v>
      </c>
      <c r="F434" s="43" t="n">
        <f aca="false">IF(D434="",E434-C434,E434-D434)</f>
        <v>0</v>
      </c>
      <c r="G434" s="40" t="str">
        <f aca="false">IF(ISNUMBER(E434)=FALSE(),"CHECK",IF(D434="",IF(ABS(E434-C434)&lt;=1,"reproduced",IF(ABS(E434-C434)&lt;=1*5,"rounding","CHECK")),IF(ABS(E434-D434)&lt;=1,"corrected","CHECK")))</f>
        <v>reproduced</v>
      </c>
      <c r="H434" s="44"/>
    </row>
    <row r="435" customFormat="false" ht="15" hidden="false" customHeight="false" outlineLevel="0" collapsed="false">
      <c r="A435" s="3" t="s">
        <v>961</v>
      </c>
      <c r="B435" s="5" t="s">
        <v>971</v>
      </c>
      <c r="C435" s="36" t="n">
        <v>199520</v>
      </c>
      <c r="D435" s="36"/>
      <c r="E435" s="37" t="n">
        <f aca="false">'17. Net income'!B43</f>
        <v>199520</v>
      </c>
      <c r="F435" s="9" t="n">
        <f aca="false">IF(D435="",E435-C435,E435-D435)</f>
        <v>0</v>
      </c>
      <c r="G435" s="5" t="str">
        <f aca="false">IF(ISNUMBER(E435)=FALSE(),"CHECK",IF(D435="",IF(ABS(E435-C435)&lt;=1,"reproduced",IF(ABS(E435-C435)&lt;=1*5,"rounding","CHECK")),IF(ABS(E435-D435)&lt;=1,"corrected","CHECK")))</f>
        <v>reproduced</v>
      </c>
      <c r="H435" s="38"/>
    </row>
    <row r="436" customFormat="false" ht="15" hidden="false" customHeight="false" outlineLevel="0" collapsed="false">
      <c r="A436" s="39" t="s">
        <v>961</v>
      </c>
      <c r="B436" s="40" t="s">
        <v>565</v>
      </c>
      <c r="C436" s="41" t="n">
        <v>116020</v>
      </c>
      <c r="D436" s="41"/>
      <c r="E436" s="42" t="n">
        <f aca="false">'17. Net income'!B44</f>
        <v>116020</v>
      </c>
      <c r="F436" s="43" t="n">
        <f aca="false">IF(D436="",E436-C436,E436-D436)</f>
        <v>0</v>
      </c>
      <c r="G436" s="40" t="str">
        <f aca="false">IF(ISNUMBER(E436)=FALSE(),"CHECK",IF(D436="",IF(ABS(E436-C436)&lt;=1,"reproduced",IF(ABS(E436-C436)&lt;=1*5,"rounding","CHECK")),IF(ABS(E436-D436)&lt;=1,"corrected","CHECK")))</f>
        <v>reproduced</v>
      </c>
      <c r="H436" s="44"/>
    </row>
    <row r="437" customFormat="false" ht="15" hidden="false" customHeight="false" outlineLevel="0" collapsed="false">
      <c r="A437" s="3" t="s">
        <v>961</v>
      </c>
      <c r="B437" s="5" t="s">
        <v>926</v>
      </c>
      <c r="C437" s="45" t="n">
        <v>0.082</v>
      </c>
      <c r="D437" s="45"/>
      <c r="E437" s="46" t="n">
        <f aca="false">'17. Net income'!B45</f>
        <v>0.0820799434029006</v>
      </c>
      <c r="F437" s="18" t="n">
        <f aca="false">IF(D437="",E437-C437,E437-D437)</f>
        <v>7.99434029006008E-005</v>
      </c>
      <c r="G437" s="5" t="str">
        <f aca="false">IF(ISNUMBER(E437)=FALSE(),"CHECK",IF(D437="",IF(ABS(E437-C437)&lt;=0.0005,"reproduced",IF(ABS(E437-C437)&lt;=0.0005*5,"rounding","CHECK")),IF(ABS(E437-D437)&lt;=0.0005,"corrected","CHECK")))</f>
        <v>reproduced</v>
      </c>
      <c r="H437" s="38"/>
    </row>
    <row r="438" customFormat="false" ht="15" hidden="false" customHeight="false" outlineLevel="0" collapsed="false">
      <c r="A438" s="39" t="s">
        <v>961</v>
      </c>
      <c r="B438" s="40" t="s">
        <v>972</v>
      </c>
      <c r="C438" s="69" t="n">
        <v>0.0572</v>
      </c>
      <c r="D438" s="69"/>
      <c r="E438" s="70" t="n">
        <f aca="false">'17. Net income'!B46</f>
        <v>0.0571945232296452</v>
      </c>
      <c r="F438" s="71" t="n">
        <f aca="false">IF(D438="",E438-C438,E438-D438)</f>
        <v>-5.47677035484667E-006</v>
      </c>
      <c r="G438" s="40" t="str">
        <f aca="false">IF(ISNUMBER(E438)=FALSE(),"CHECK",IF(D438="",IF(ABS(E438-C438)&lt;=0.00005,"reproduced",IF(ABS(E438-C438)&lt;=0.00005*5,"rounding","CHECK")),IF(ABS(E438-D438)&lt;=0.00005,"corrected","CHECK")))</f>
        <v>reproduced</v>
      </c>
      <c r="H438" s="44"/>
    </row>
    <row r="439" customFormat="false" ht="15" hidden="false" customHeight="false" outlineLevel="0" collapsed="false">
      <c r="A439" s="3" t="s">
        <v>961</v>
      </c>
      <c r="B439" s="5" t="s">
        <v>973</v>
      </c>
      <c r="C439" s="36" t="n">
        <v>25000000</v>
      </c>
      <c r="D439" s="36"/>
      <c r="E439" s="37" t="n">
        <f aca="false">'17. Net income'!B52</f>
        <v>25000000</v>
      </c>
      <c r="F439" s="9" t="n">
        <f aca="false">IF(D439="",E439-C439,E439-D439)</f>
        <v>0</v>
      </c>
      <c r="G439" s="5" t="str">
        <f aca="false">IF(ISNUMBER(E439)=FALSE(),"CHECK",IF(D439="",IF(ABS(E439-C439)&lt;=1,"reproduced",IF(ABS(E439-C439)&lt;=1*5,"rounding","CHECK")),IF(ABS(E439-D439)&lt;=1,"corrected","CHECK")))</f>
        <v>reproduced</v>
      </c>
      <c r="H439" s="38"/>
    </row>
    <row r="440" customFormat="false" ht="15" hidden="false" customHeight="false" outlineLevel="0" collapsed="false">
      <c r="A440" s="39" t="s">
        <v>961</v>
      </c>
      <c r="B440" s="40" t="s">
        <v>974</v>
      </c>
      <c r="C440" s="57" t="n">
        <v>0.025</v>
      </c>
      <c r="D440" s="57"/>
      <c r="E440" s="58" t="n">
        <f aca="false">'17. Net income'!B49</f>
        <v>0.025</v>
      </c>
      <c r="F440" s="59" t="n">
        <f aca="false">IF(D440="",E440-C440,E440-D440)</f>
        <v>0</v>
      </c>
      <c r="G440" s="40" t="str">
        <f aca="false">IF(ISNUMBER(E440)=FALSE(),"CHECK",IF(D440="",IF(ABS(E440-C440)&lt;=0.0005,"reproduced",IF(ABS(E440-C440)&lt;=0.0005*5,"rounding","CHECK")),IF(ABS(E440-D440)&lt;=0.0005,"corrected","CHECK")))</f>
        <v>reproduced</v>
      </c>
      <c r="H440" s="44"/>
    </row>
    <row r="441" customFormat="false" ht="15" hidden="false" customHeight="false" outlineLevel="0" collapsed="false">
      <c r="A441" s="3" t="s">
        <v>961</v>
      </c>
      <c r="B441" s="5" t="s">
        <v>975</v>
      </c>
      <c r="C441" s="45" t="n">
        <v>0.05</v>
      </c>
      <c r="D441" s="45"/>
      <c r="E441" s="46" t="n">
        <f aca="false">'17. Net income'!B50</f>
        <v>0.05</v>
      </c>
      <c r="F441" s="18" t="n">
        <f aca="false">IF(D441="",E441-C441,E441-D441)</f>
        <v>0</v>
      </c>
      <c r="G441" s="5" t="str">
        <f aca="false">IF(ISNUMBER(E441)=FALSE(),"CHECK",IF(D441="",IF(ABS(E441-C441)&lt;=0.0005,"reproduced",IF(ABS(E441-C441)&lt;=0.0005*5,"rounding","CHECK")),IF(ABS(E441-D441)&lt;=0.0005,"corrected","CHECK")))</f>
        <v>reproduced</v>
      </c>
      <c r="H441" s="38"/>
    </row>
    <row r="442" customFormat="false" ht="15" hidden="false" customHeight="false" outlineLevel="0" collapsed="false">
      <c r="A442" s="39" t="s">
        <v>961</v>
      </c>
      <c r="B442" s="40" t="s">
        <v>976</v>
      </c>
      <c r="C442" s="57" t="n">
        <v>0.075</v>
      </c>
      <c r="D442" s="57"/>
      <c r="E442" s="58" t="n">
        <f aca="false">'17. Net income'!B51</f>
        <v>0.075</v>
      </c>
      <c r="F442" s="59" t="n">
        <f aca="false">IF(D442="",E442-C442,E442-D442)</f>
        <v>0</v>
      </c>
      <c r="G442" s="40" t="str">
        <f aca="false">IF(ISNUMBER(E442)=FALSE(),"CHECK",IF(D442="",IF(ABS(E442-C442)&lt;=0.0005,"reproduced",IF(ABS(E442-C442)&lt;=0.0005*5,"rounding","CHECK")),IF(ABS(E442-D442)&lt;=0.0005,"corrected","CHECK")))</f>
        <v>reproduced</v>
      </c>
      <c r="H442" s="44"/>
    </row>
    <row r="443" customFormat="false" ht="15" hidden="false" customHeight="false" outlineLevel="0" collapsed="false">
      <c r="A443" s="3" t="s">
        <v>977</v>
      </c>
      <c r="B443" s="5" t="s">
        <v>684</v>
      </c>
      <c r="C443" s="36" t="n">
        <v>1962616</v>
      </c>
      <c r="D443" s="36"/>
      <c r="E443" s="37" t="n">
        <f aca="false">'18. Exit timing'!B13</f>
        <v>1962616.82242991</v>
      </c>
      <c r="F443" s="9" t="n">
        <f aca="false">IF(D443="",E443-C443,E443-D443)</f>
        <v>0.822429906576872</v>
      </c>
      <c r="G443" s="5" t="str">
        <f aca="false">IF(ISNUMBER(E443)=FALSE(),"CHECK",IF(D443="",IF(ABS(E443-C443)&lt;=50,"reproduced",IF(ABS(E443-C443)&lt;=50*5,"rounding","CHECK")),IF(ABS(E443-D443)&lt;=50,"corrected","CHECK")))</f>
        <v>reproduced</v>
      </c>
      <c r="H443" s="38"/>
    </row>
    <row r="444" customFormat="false" ht="15" hidden="false" customHeight="false" outlineLevel="0" collapsed="false">
      <c r="A444" s="39" t="s">
        <v>977</v>
      </c>
      <c r="B444" s="40" t="s">
        <v>374</v>
      </c>
      <c r="C444" s="41" t="n">
        <v>-1152000</v>
      </c>
      <c r="D444" s="41"/>
      <c r="E444" s="42" t="n">
        <f aca="false">'18. Exit timing'!B14</f>
        <v>-1152000</v>
      </c>
      <c r="F444" s="43" t="n">
        <f aca="false">IF(D444="",E444-C444,E444-D444)</f>
        <v>0</v>
      </c>
      <c r="G444" s="40" t="str">
        <f aca="false">IF(ISNUMBER(E444)=FALSE(),"CHECK",IF(D444="",IF(ABS(E444-C444)&lt;=1,"reproduced",IF(ABS(E444-C444)&lt;=1*5,"rounding","CHECK")),IF(ABS(E444-D444)&lt;=1,"corrected","CHECK")))</f>
        <v>reproduced</v>
      </c>
      <c r="H444" s="44"/>
    </row>
    <row r="445" customFormat="false" ht="15" hidden="false" customHeight="false" outlineLevel="0" collapsed="false">
      <c r="A445" s="3" t="s">
        <v>977</v>
      </c>
      <c r="B445" s="5" t="s">
        <v>685</v>
      </c>
      <c r="C445" s="36" t="n">
        <v>-1006202</v>
      </c>
      <c r="D445" s="36"/>
      <c r="E445" s="37" t="n">
        <f aca="false">'18. Exit timing'!B15</f>
        <v>-1006201.41497074</v>
      </c>
      <c r="F445" s="9" t="n">
        <f aca="false">IF(D445="",E445-C445,E445-D445)</f>
        <v>0.585029260255396</v>
      </c>
      <c r="G445" s="5" t="str">
        <f aca="false">IF(ISNUMBER(E445)=FALSE(),"CHECK",IF(D445="",IF(ABS(E445-C445)&lt;=50,"reproduced",IF(ABS(E445-C445)&lt;=50*5,"rounding","CHECK")),IF(ABS(E445-D445)&lt;=50,"corrected","CHECK")))</f>
        <v>reproduced</v>
      </c>
      <c r="H445" s="38"/>
    </row>
    <row r="446" customFormat="false" ht="15" hidden="false" customHeight="false" outlineLevel="0" collapsed="false">
      <c r="A446" s="39" t="s">
        <v>977</v>
      </c>
      <c r="B446" s="40" t="s">
        <v>978</v>
      </c>
      <c r="C446" s="41" t="n">
        <v>555000</v>
      </c>
      <c r="D446" s="41"/>
      <c r="E446" s="42" t="n">
        <f aca="false">'18. Exit timing'!B16</f>
        <v>555000</v>
      </c>
      <c r="F446" s="43" t="n">
        <f aca="false">IF(D446="",E446-C446,E446-D446)</f>
        <v>0</v>
      </c>
      <c r="G446" s="40" t="str">
        <f aca="false">IF(ISNUMBER(E446)=FALSE(),"CHECK",IF(D446="",IF(ABS(E446-C446)&lt;=1,"reproduced",IF(ABS(E446-C446)&lt;=1*5,"rounding","CHECK")),IF(ABS(E446-D446)&lt;=1,"corrected","CHECK")))</f>
        <v>reproduced</v>
      </c>
      <c r="H446" s="44"/>
    </row>
    <row r="447" customFormat="false" ht="15" hidden="false" customHeight="false" outlineLevel="0" collapsed="false">
      <c r="A447" s="3" t="s">
        <v>977</v>
      </c>
      <c r="B447" s="5" t="s">
        <v>685</v>
      </c>
      <c r="C447" s="36" t="n">
        <v>453045</v>
      </c>
      <c r="D447" s="36"/>
      <c r="E447" s="37" t="n">
        <f aca="false">'18. Exit timing'!B17</f>
        <v>453045.321674423</v>
      </c>
      <c r="F447" s="9" t="n">
        <f aca="false">IF(D447="",E447-C447,E447-D447)</f>
        <v>0.32167442276841</v>
      </c>
      <c r="G447" s="5" t="str">
        <f aca="false">IF(ISNUMBER(E447)=FALSE(),"CHECK",IF(D447="",IF(ABS(E447-C447)&lt;=50,"reproduced",IF(ABS(E447-C447)&lt;=50*5,"rounding","CHECK")),IF(ABS(E447-D447)&lt;=50,"corrected","CHECK")))</f>
        <v>reproduced</v>
      </c>
      <c r="H447" s="38"/>
    </row>
    <row r="448" customFormat="false" ht="15" hidden="false" customHeight="false" outlineLevel="0" collapsed="false">
      <c r="A448" s="39" t="s">
        <v>977</v>
      </c>
      <c r="B448" s="40" t="s">
        <v>687</v>
      </c>
      <c r="C448" s="41" t="n">
        <v>40363636</v>
      </c>
      <c r="D448" s="41"/>
      <c r="E448" s="42" t="n">
        <f aca="false">'18. Exit timing'!B18</f>
        <v>40363636.3636364</v>
      </c>
      <c r="F448" s="43" t="n">
        <f aca="false">IF(D448="",E448-C448,E448-D448)</f>
        <v>0.363636367022991</v>
      </c>
      <c r="G448" s="40" t="str">
        <f aca="false">IF(ISNUMBER(E448)=FALSE(),"CHECK",IF(D448="",IF(ABS(E448-C448)&lt;=1,"reproduced",IF(ABS(E448-C448)&lt;=1*5,"rounding","CHECK")),IF(ABS(E448-D448)&lt;=1,"corrected","CHECK")))</f>
        <v>reproduced</v>
      </c>
      <c r="H448" s="44"/>
    </row>
    <row r="449" customFormat="false" ht="15" hidden="false" customHeight="false" outlineLevel="0" collapsed="false">
      <c r="A449" s="3" t="s">
        <v>977</v>
      </c>
      <c r="B449" s="5" t="s">
        <v>685</v>
      </c>
      <c r="C449" s="36" t="n">
        <v>32948762</v>
      </c>
      <c r="D449" s="36"/>
      <c r="E449" s="37" t="n">
        <f aca="false">'18. Exit timing'!B19</f>
        <v>32948750.6672308</v>
      </c>
      <c r="F449" s="9" t="n">
        <f aca="false">IF(D449="",E449-C449,E449-D449)</f>
        <v>-11.3327692486346</v>
      </c>
      <c r="G449" s="5" t="str">
        <f aca="false">IF(ISNUMBER(E449)=FALSE(),"CHECK",IF(D449="",IF(ABS(E449-C449)&lt;=50,"reproduced",IF(ABS(E449-C449)&lt;=50*5,"rounding","CHECK")),IF(ABS(E449-D449)&lt;=50,"corrected","CHECK")))</f>
        <v>reproduced</v>
      </c>
      <c r="H449" s="38"/>
    </row>
    <row r="450" customFormat="false" ht="15" hidden="false" customHeight="false" outlineLevel="0" collapsed="false">
      <c r="A450" s="39" t="s">
        <v>977</v>
      </c>
      <c r="B450" s="40" t="s">
        <v>491</v>
      </c>
      <c r="C450" s="41" t="n">
        <v>34358221</v>
      </c>
      <c r="D450" s="41"/>
      <c r="E450" s="42" t="n">
        <f aca="false">'18. Exit timing'!B20</f>
        <v>34358211.3963643</v>
      </c>
      <c r="F450" s="43" t="n">
        <f aca="false">IF(D450="",E450-C450,E450-D450)</f>
        <v>-9.603635661304</v>
      </c>
      <c r="G450" s="40" t="str">
        <f aca="false">IF(ISNUMBER(E450)=FALSE(),"CHECK",IF(D450="",IF(ABS(E450-C450)&lt;=50,"reproduced",IF(ABS(E450-C450)&lt;=50*5,"rounding","CHECK")),IF(ABS(E450-D450)&lt;=50,"corrected","CHECK")))</f>
        <v>reproduced</v>
      </c>
      <c r="H450" s="44"/>
    </row>
    <row r="451" customFormat="false" ht="15" hidden="false" customHeight="false" outlineLevel="0" collapsed="false">
      <c r="A451" s="3" t="s">
        <v>977</v>
      </c>
      <c r="B451" s="5" t="s">
        <v>689</v>
      </c>
      <c r="C451" s="36" t="n">
        <v>32261241</v>
      </c>
      <c r="D451" s="36"/>
      <c r="E451" s="37" t="n">
        <f aca="false">'18. Exit timing'!B21</f>
        <v>32261231.3580886</v>
      </c>
      <c r="F451" s="9" t="n">
        <f aca="false">IF(D451="",E451-C451,E451-D451)</f>
        <v>-9.64191141724587</v>
      </c>
      <c r="G451" s="5" t="str">
        <f aca="false">IF(ISNUMBER(E451)=FALSE(),"CHECK",IF(D451="",IF(ABS(E451-C451)&lt;=50,"reproduced",IF(ABS(E451-C451)&lt;=50*5,"rounding","CHECK")),IF(ABS(E451-D451)&lt;=50,"corrected","CHECK")))</f>
        <v>reproduced</v>
      </c>
      <c r="H451" s="38"/>
    </row>
    <row r="452" customFormat="false" ht="15" hidden="false" customHeight="false" outlineLevel="0" collapsed="false">
      <c r="A452" s="39" t="s">
        <v>977</v>
      </c>
      <c r="B452" s="40" t="s">
        <v>979</v>
      </c>
      <c r="C452" s="41" t="n">
        <v>36933913</v>
      </c>
      <c r="D452" s="41" t="n">
        <v>36935884</v>
      </c>
      <c r="E452" s="42" t="n">
        <f aca="false">'18. Exit timing'!B22</f>
        <v>36935883.7818756</v>
      </c>
      <c r="F452" s="43" t="n">
        <f aca="false">IF(D452="",E452-C452,E452-D452)</f>
        <v>-0.218124382197857</v>
      </c>
      <c r="G452" s="40" t="str">
        <f aca="false">IF(ISNUMBER(E452)=FALSE(),"CHECK",IF(D452="",IF(ABS(E452-C452)&lt;=50,"reproduced",IF(ABS(E452-C452)&lt;=50*5,"rounding","CHECK")),IF(ABS(E452-D452)&lt;=50,"corrected","CHECK")))</f>
        <v>corrected</v>
      </c>
      <c r="H452" s="44" t="s">
        <v>980</v>
      </c>
    </row>
    <row r="453" customFormat="false" ht="15" hidden="false" customHeight="false" outlineLevel="0" collapsed="false">
      <c r="A453" s="3" t="s">
        <v>977</v>
      </c>
      <c r="B453" s="5" t="s">
        <v>696</v>
      </c>
      <c r="C453" s="36" t="n">
        <v>44400000</v>
      </c>
      <c r="D453" s="36"/>
      <c r="E453" s="37" t="n">
        <f aca="false">'18. Exit timing'!B29</f>
        <v>44400000</v>
      </c>
      <c r="F453" s="9" t="n">
        <f aca="false">IF(D453="",E453-C453,E453-D453)</f>
        <v>0</v>
      </c>
      <c r="G453" s="5" t="str">
        <f aca="false">IF(ISNUMBER(E453)=FALSE(),"CHECK",IF(D453="",IF(ABS(E453-C453)&lt;=1,"reproduced",IF(ABS(E453-C453)&lt;=1*5,"rounding","CHECK")),IF(ABS(E453-D453)&lt;=1,"corrected","CHECK")))</f>
        <v>reproduced</v>
      </c>
      <c r="H453" s="38"/>
    </row>
    <row r="454" customFormat="false" ht="15" hidden="false" customHeight="false" outlineLevel="0" collapsed="false">
      <c r="A454" s="39" t="s">
        <v>977</v>
      </c>
      <c r="B454" s="40" t="s">
        <v>697</v>
      </c>
      <c r="C454" s="41" t="n">
        <v>41690141</v>
      </c>
      <c r="D454" s="41"/>
      <c r="E454" s="42" t="n">
        <f aca="false">'18. Exit timing'!B30</f>
        <v>41690140.8450704</v>
      </c>
      <c r="F454" s="43" t="n">
        <f aca="false">IF(D454="",E454-C454,E454-D454)</f>
        <v>-0.154929578304291</v>
      </c>
      <c r="G454" s="40" t="str">
        <f aca="false">IF(ISNUMBER(E454)=FALSE(),"CHECK",IF(D454="",IF(ABS(E454-C454)&lt;=1,"reproduced",IF(ABS(E454-C454)&lt;=1*5,"rounding","CHECK")),IF(ABS(E454-D454)&lt;=1,"corrected","CHECK")))</f>
        <v>reproduced</v>
      </c>
      <c r="H454" s="44"/>
    </row>
    <row r="455" customFormat="false" ht="15" hidden="false" customHeight="false" outlineLevel="0" collapsed="false">
      <c r="A455" s="3" t="s">
        <v>977</v>
      </c>
      <c r="B455" s="5" t="s">
        <v>981</v>
      </c>
      <c r="C455" s="36" t="n">
        <v>2247000</v>
      </c>
      <c r="D455" s="36"/>
      <c r="E455" s="37" t="n">
        <f aca="false">'18. Exit timing'!B31</f>
        <v>2247000</v>
      </c>
      <c r="F455" s="9" t="n">
        <f aca="false">IF(D455="",E455-C455,E455-D455)</f>
        <v>0</v>
      </c>
      <c r="G455" s="5" t="str">
        <f aca="false">IF(ISNUMBER(E455)=FALSE(),"CHECK",IF(D455="",IF(ABS(E455-C455)&lt;=1,"reproduced",IF(ABS(E455-C455)&lt;=1*5,"rounding","CHECK")),IF(ABS(E455-D455)&lt;=1,"corrected","CHECK")))</f>
        <v>reproduced</v>
      </c>
      <c r="H455" s="38"/>
    </row>
    <row r="456" customFormat="false" ht="15" hidden="false" customHeight="false" outlineLevel="0" collapsed="false">
      <c r="A456" s="39" t="s">
        <v>977</v>
      </c>
      <c r="B456" s="40" t="s">
        <v>982</v>
      </c>
      <c r="C456" s="41" t="n">
        <v>1621000</v>
      </c>
      <c r="D456" s="41"/>
      <c r="E456" s="42" t="n">
        <f aca="false">'18. Exit timing'!B33</f>
        <v>1621000</v>
      </c>
      <c r="F456" s="43" t="n">
        <f aca="false">IF(D456="",E456-C456,E456-D456)</f>
        <v>0</v>
      </c>
      <c r="G456" s="40" t="str">
        <f aca="false">IF(ISNUMBER(E456)=FALSE(),"CHECK",IF(D456="",IF(ABS(E456-C456)&lt;=1,"reproduced",IF(ABS(E456-C456)&lt;=1*5,"rounding","CHECK")),IF(ABS(E456-D456)&lt;=1,"corrected","CHECK")))</f>
        <v>reproduced</v>
      </c>
      <c r="H456" s="44"/>
    </row>
    <row r="457" customFormat="false" ht="15" hidden="false" customHeight="false" outlineLevel="0" collapsed="false">
      <c r="A457" s="3" t="s">
        <v>977</v>
      </c>
      <c r="B457" s="5" t="s">
        <v>701</v>
      </c>
      <c r="C457" s="36" t="n">
        <v>1734470</v>
      </c>
      <c r="D457" s="36"/>
      <c r="E457" s="37" t="n">
        <f aca="false">'18. Exit timing'!B34</f>
        <v>1734470</v>
      </c>
      <c r="F457" s="9" t="n">
        <f aca="false">IF(D457="",E457-C457,E457-D457)</f>
        <v>0</v>
      </c>
      <c r="G457" s="5" t="str">
        <f aca="false">IF(ISNUMBER(E457)=FALSE(),"CHECK",IF(D457="",IF(ABS(E457-C457)&lt;=1,"reproduced",IF(ABS(E457-C457)&lt;=1*5,"rounding","CHECK")),IF(ABS(E457-D457)&lt;=1,"corrected","CHECK")))</f>
        <v>reproduced</v>
      </c>
      <c r="H457" s="38"/>
    </row>
    <row r="458" customFormat="false" ht="15" hidden="false" customHeight="false" outlineLevel="0" collapsed="false">
      <c r="A458" s="39" t="s">
        <v>977</v>
      </c>
      <c r="B458" s="40" t="s">
        <v>983</v>
      </c>
      <c r="C458" s="41" t="n">
        <v>1110000</v>
      </c>
      <c r="D458" s="41"/>
      <c r="E458" s="42" t="n">
        <f aca="false">'18. Exit timing'!B32</f>
        <v>1110000</v>
      </c>
      <c r="F458" s="43" t="n">
        <f aca="false">IF(D458="",E458-C458,E458-D458)</f>
        <v>0</v>
      </c>
      <c r="G458" s="40" t="str">
        <f aca="false">IF(ISNUMBER(E458)=FALSE(),"CHECK",IF(D458="",IF(ABS(E458-C458)&lt;=1,"reproduced",IF(ABS(E458-C458)&lt;=1*5,"rounding","CHECK")),IF(ABS(E458-D458)&lt;=1,"corrected","CHECK")))</f>
        <v>reproduced</v>
      </c>
      <c r="H458" s="44"/>
    </row>
    <row r="459" customFormat="false" ht="15" hidden="false" customHeight="false" outlineLevel="0" collapsed="false">
      <c r="A459" s="3" t="s">
        <v>977</v>
      </c>
      <c r="B459" s="5" t="s">
        <v>984</v>
      </c>
      <c r="C459" s="36" t="n">
        <v>43312671</v>
      </c>
      <c r="D459" s="36"/>
      <c r="E459" s="37" t="n">
        <f aca="false">'18. Exit timing'!B35</f>
        <v>43312670.8450704</v>
      </c>
      <c r="F459" s="9" t="n">
        <f aca="false">IF(D459="",E459-C459,E459-D459)</f>
        <v>-0.154929578304291</v>
      </c>
      <c r="G459" s="5" t="str">
        <f aca="false">IF(ISNUMBER(E459)=FALSE(),"CHECK",IF(D459="",IF(ABS(E459-C459)&lt;=1,"reproduced",IF(ABS(E459-C459)&lt;=1*5,"rounding","CHECK")),IF(ABS(E459-D459)&lt;=1,"corrected","CHECK")))</f>
        <v>reproduced</v>
      </c>
      <c r="H459" s="38"/>
    </row>
    <row r="460" customFormat="false" ht="15" hidden="false" customHeight="false" outlineLevel="0" collapsed="false">
      <c r="A460" s="39" t="s">
        <v>977</v>
      </c>
      <c r="B460" s="40" t="s">
        <v>985</v>
      </c>
      <c r="C460" s="41" t="n">
        <v>27000000</v>
      </c>
      <c r="D460" s="41"/>
      <c r="E460" s="42" t="n">
        <f aca="false">'18. Exit timing'!B42</f>
        <v>27000000</v>
      </c>
      <c r="F460" s="43" t="n">
        <f aca="false">IF(D460="",E460-C460,E460-D460)</f>
        <v>0</v>
      </c>
      <c r="G460" s="40" t="str">
        <f aca="false">IF(ISNUMBER(E460)=FALSE(),"CHECK",IF(D460="",IF(ABS(E460-C460)&lt;=1,"reproduced",IF(ABS(E460-C460)&lt;=1*5,"rounding","CHECK")),IF(ABS(E460-D460)&lt;=1,"corrected","CHECK")))</f>
        <v>reproduced</v>
      </c>
      <c r="H460" s="44"/>
    </row>
    <row r="461" customFormat="false" ht="15" hidden="false" customHeight="false" outlineLevel="0" collapsed="false">
      <c r="A461" s="3" t="s">
        <v>977</v>
      </c>
      <c r="B461" s="5" t="s">
        <v>571</v>
      </c>
      <c r="C461" s="36" t="n">
        <v>25352113</v>
      </c>
      <c r="D461" s="36"/>
      <c r="E461" s="37" t="n">
        <f aca="false">'18. Exit timing'!B43</f>
        <v>25352112.6760563</v>
      </c>
      <c r="F461" s="9" t="n">
        <f aca="false">IF(D461="",E461-C461,E461-D461)</f>
        <v>-0.3239436596632</v>
      </c>
      <c r="G461" s="5" t="str">
        <f aca="false">IF(ISNUMBER(E461)=FALSE(),"CHECK",IF(D461="",IF(ABS(E461-C461)&lt;=1,"reproduced",IF(ABS(E461-C461)&lt;=1*5,"rounding","CHECK")),IF(ABS(E461-D461)&lt;=1,"corrected","CHECK")))</f>
        <v>reproduced</v>
      </c>
      <c r="H461" s="38"/>
    </row>
    <row r="462" customFormat="false" ht="15" hidden="false" customHeight="false" outlineLevel="0" collapsed="false">
      <c r="A462" s="39" t="s">
        <v>977</v>
      </c>
      <c r="B462" s="40" t="s">
        <v>986</v>
      </c>
      <c r="C462" s="41" t="n">
        <v>2067000</v>
      </c>
      <c r="D462" s="41"/>
      <c r="E462" s="42" t="n">
        <f aca="false">'18. Exit timing'!B44</f>
        <v>2067000</v>
      </c>
      <c r="F462" s="43" t="n">
        <f aca="false">IF(D462="",E462-C462,E462-D462)</f>
        <v>0</v>
      </c>
      <c r="G462" s="40" t="str">
        <f aca="false">IF(ISNUMBER(E462)=FALSE(),"CHECK",IF(D462="",IF(ABS(E462-C462)&lt;=1,"reproduced",IF(ABS(E462-C462)&lt;=1*5,"rounding","CHECK")),IF(ABS(E462-D462)&lt;=1,"corrected","CHECK")))</f>
        <v>reproduced</v>
      </c>
      <c r="H462" s="44"/>
    </row>
    <row r="463" customFormat="false" ht="15" hidden="false" customHeight="false" outlineLevel="0" collapsed="false">
      <c r="A463" s="3" t="s">
        <v>977</v>
      </c>
      <c r="B463" s="5" t="s">
        <v>709</v>
      </c>
      <c r="C463" s="36" t="n">
        <v>27419113</v>
      </c>
      <c r="D463" s="36"/>
      <c r="E463" s="37" t="n">
        <f aca="false">'18. Exit timing'!B45</f>
        <v>27419112.6760563</v>
      </c>
      <c r="F463" s="9" t="n">
        <f aca="false">IF(D463="",E463-C463,E463-D463)</f>
        <v>-0.3239436596632</v>
      </c>
      <c r="G463" s="5" t="str">
        <f aca="false">IF(ISNUMBER(E463)=FALSE(),"CHECK",IF(D463="",IF(ABS(E463-C463)&lt;=1,"reproduced",IF(ABS(E463-C463)&lt;=1*5,"rounding","CHECK")),IF(ABS(E463-D463)&lt;=1,"corrected","CHECK")))</f>
        <v>reproduced</v>
      </c>
      <c r="H463" s="38"/>
    </row>
    <row r="464" customFormat="false" ht="15" hidden="false" customHeight="false" outlineLevel="0" collapsed="false">
      <c r="A464" s="39" t="s">
        <v>977</v>
      </c>
      <c r="B464" s="40" t="s">
        <v>716</v>
      </c>
      <c r="C464" s="41" t="n">
        <v>43312671</v>
      </c>
      <c r="D464" s="41" t="n">
        <v>44500371</v>
      </c>
      <c r="E464" s="42" t="n">
        <f aca="false">'18. Exit timing'!B53</f>
        <v>44500370.8450704</v>
      </c>
      <c r="F464" s="43" t="n">
        <f aca="false">IF(D464="",E464-C464,E464-D464)</f>
        <v>-0.154929578304291</v>
      </c>
      <c r="G464" s="40" t="str">
        <f aca="false">IF(ISNUMBER(E464)=FALSE(),"CHECK",IF(D464="",IF(ABS(E464-C464)&lt;=1,"reproduced",IF(ABS(E464-C464)&lt;=1*5,"rounding","CHECK")),IF(ABS(E464-D464)&lt;=1,"corrected","CHECK")))</f>
        <v>corrected</v>
      </c>
      <c r="H464" s="44" t="s">
        <v>987</v>
      </c>
    </row>
    <row r="465" customFormat="false" ht="15" hidden="false" customHeight="false" outlineLevel="0" collapsed="false">
      <c r="A465" s="3" t="s">
        <v>977</v>
      </c>
      <c r="B465" s="5" t="s">
        <v>988</v>
      </c>
      <c r="C465" s="36" t="n">
        <v>6378758</v>
      </c>
      <c r="D465" s="36" t="n">
        <v>7564487</v>
      </c>
      <c r="E465" s="37" t="n">
        <f aca="false">'18. Exit timing'!B54</f>
        <v>7564487.0631948</v>
      </c>
      <c r="F465" s="9" t="n">
        <f aca="false">IF(D465="",E465-C465,E465-D465)</f>
        <v>0.0631948038935661</v>
      </c>
      <c r="G465" s="5" t="str">
        <f aca="false">IF(ISNUMBER(E465)=FALSE(),"CHECK",IF(D465="",IF(ABS(E465-C465)&lt;=50,"reproduced",IF(ABS(E465-C465)&lt;=50*5,"rounding","CHECK")),IF(ABS(E465-D465)&lt;=50,"corrected","CHECK")))</f>
        <v>corrected</v>
      </c>
      <c r="H465" s="38"/>
    </row>
    <row r="466" customFormat="false" ht="15" hidden="false" customHeight="false" outlineLevel="0" collapsed="false">
      <c r="A466" s="39" t="s">
        <v>977</v>
      </c>
      <c r="B466" s="40" t="s">
        <v>989</v>
      </c>
      <c r="C466" s="57" t="n">
        <v>0.17</v>
      </c>
      <c r="D466" s="57" t="n">
        <v>0.205</v>
      </c>
      <c r="E466" s="58" t="n">
        <f aca="false">'18. Exit timing'!B55</f>
        <v>0.20480048908175</v>
      </c>
      <c r="F466" s="59" t="n">
        <f aca="false">IF(D466="",E466-C466,E466-D466)</f>
        <v>-0.00019951091824999</v>
      </c>
      <c r="G466" s="40" t="str">
        <f aca="false">IF(ISNUMBER(E466)=FALSE(),"CHECK",IF(D466="",IF(ABS(E466-C466)&lt;=0.0005,"reproduced",IF(ABS(E466-C466)&lt;=0.0005*5,"rounding","CHECK")),IF(ABS(E466-D466)&lt;=0.0005,"corrected","CHECK")))</f>
        <v>corrected</v>
      </c>
      <c r="H466" s="44"/>
    </row>
    <row r="467" customFormat="false" ht="15" hidden="false" customHeight="false" outlineLevel="0" collapsed="false">
      <c r="A467" s="3" t="s">
        <v>977</v>
      </c>
      <c r="B467" s="5" t="s">
        <v>718</v>
      </c>
      <c r="C467" s="36" t="n">
        <v>37749926</v>
      </c>
      <c r="D467" s="36" t="n">
        <v>38521930</v>
      </c>
      <c r="E467" s="37" t="n">
        <f aca="false">'18. Exit timing'!B56</f>
        <v>38521930.4859155</v>
      </c>
      <c r="F467" s="9" t="n">
        <f aca="false">IF(D467="",E467-C467,E467-D467)</f>
        <v>0.485915496945381</v>
      </c>
      <c r="G467" s="5" t="str">
        <f aca="false">IF(ISNUMBER(E467)=FALSE(),"CHECK",IF(D467="",IF(ABS(E467-C467)&lt;=50,"reproduced",IF(ABS(E467-C467)&lt;=50*5,"rounding","CHECK")),IF(ABS(E467-D467)&lt;=50,"corrected","CHECK")))</f>
        <v>corrected</v>
      </c>
      <c r="H467" s="38"/>
    </row>
    <row r="468" customFormat="false" ht="15" hidden="false" customHeight="false" outlineLevel="0" collapsed="false">
      <c r="A468" s="39" t="s">
        <v>977</v>
      </c>
      <c r="B468" s="40" t="s">
        <v>712</v>
      </c>
      <c r="C468" s="41" t="n">
        <v>816013</v>
      </c>
      <c r="D468" s="41" t="n">
        <v>1586047</v>
      </c>
      <c r="E468" s="42" t="n">
        <f aca="false">'18. Exit timing'!B57</f>
        <v>1586046.70403988</v>
      </c>
      <c r="F468" s="43" t="n">
        <f aca="false">IF(D468="",E468-C468,E468-D468)</f>
        <v>-0.295960120856762</v>
      </c>
      <c r="G468" s="40" t="str">
        <f aca="false">IF(ISNUMBER(E468)=FALSE(),"CHECK",IF(D468="",IF(ABS(E468-C468)&lt;=50,"reproduced",IF(ABS(E468-C468)&lt;=50*5,"rounding","CHECK")),IF(ABS(E468-D468)&lt;=50,"corrected","CHECK")))</f>
        <v>corrected</v>
      </c>
      <c r="H468" s="44" t="s">
        <v>990</v>
      </c>
    </row>
    <row r="469" customFormat="false" ht="15" hidden="false" customHeight="false" outlineLevel="0" collapsed="false">
      <c r="A469" s="3" t="s">
        <v>977</v>
      </c>
      <c r="B469" s="5" t="s">
        <v>989</v>
      </c>
      <c r="C469" s="45" t="n">
        <v>0.022</v>
      </c>
      <c r="D469" s="45" t="n">
        <v>0.043</v>
      </c>
      <c r="E469" s="46" t="n">
        <f aca="false">'18. Exit timing'!B58</f>
        <v>0.0429405375381366</v>
      </c>
      <c r="F469" s="18" t="n">
        <f aca="false">IF(D469="",E469-C469,E469-D469)</f>
        <v>-5.94624618634396E-005</v>
      </c>
      <c r="G469" s="5" t="str">
        <f aca="false">IF(ISNUMBER(E469)=FALSE(),"CHECK",IF(D469="",IF(ABS(E469-C469)&lt;=0.0005,"reproduced",IF(ABS(E469-C469)&lt;=0.0005*5,"rounding","CHECK")),IF(ABS(E469-D469)&lt;=0.0005,"corrected","CHECK")))</f>
        <v>corrected</v>
      </c>
      <c r="H469" s="38"/>
    </row>
    <row r="470" customFormat="false" ht="15" hidden="false" customHeight="false" outlineLevel="0" collapsed="false">
      <c r="A470" s="39" t="s">
        <v>977</v>
      </c>
      <c r="B470" s="40" t="s">
        <v>991</v>
      </c>
      <c r="C470" s="41" t="n">
        <v>15893558</v>
      </c>
      <c r="D470" s="41" t="n">
        <v>17081258</v>
      </c>
      <c r="E470" s="42" t="n">
        <f aca="false">'18. Exit timing'!B59</f>
        <v>17081258.1690141</v>
      </c>
      <c r="F470" s="43" t="n">
        <f aca="false">IF(D470="",E470-C470,E470-D470)</f>
        <v>0.16901408135891</v>
      </c>
      <c r="G470" s="40" t="str">
        <f aca="false">IF(ISNUMBER(E470)=FALSE(),"CHECK",IF(D470="",IF(ABS(E470-C470)&lt;=1,"reproduced",IF(ABS(E470-C470)&lt;=1*5,"rounding","CHECK")),IF(ABS(E470-D470)&lt;=1,"corrected","CHECK")))</f>
        <v>corrected</v>
      </c>
      <c r="H470" s="44"/>
    </row>
    <row r="472" customFormat="false" ht="15" hidden="false" customHeight="false" outlineLevel="0" collapsed="false">
      <c r="B472" s="5" t="s">
        <v>992</v>
      </c>
      <c r="E472" s="10" t="n">
        <f aca="false">COUNTIF(G5:G470,"reproduced")</f>
        <v>444</v>
      </c>
    </row>
    <row r="473" customFormat="false" ht="15" hidden="false" customHeight="false" outlineLevel="0" collapsed="false">
      <c r="B473" s="5" t="s">
        <v>993</v>
      </c>
      <c r="E473" s="10" t="n">
        <f aca="false">COUNTIF(G5:G470,"rounding")</f>
        <v>7</v>
      </c>
    </row>
    <row r="474" customFormat="false" ht="15" hidden="false" customHeight="false" outlineLevel="0" collapsed="false">
      <c r="B474" s="5" t="s">
        <v>994</v>
      </c>
      <c r="E474" s="10" t="n">
        <f aca="false">COUNTIF(G5:G470,"corrected")</f>
        <v>15</v>
      </c>
    </row>
    <row r="475" customFormat="false" ht="15" hidden="false" customHeight="false" outlineLevel="0" collapsed="false">
      <c r="B475" s="5" t="s">
        <v>995</v>
      </c>
      <c r="E475" s="10" t="n">
        <f aca="false">COUNTIF(G5:G470,"CHECK")</f>
        <v>0</v>
      </c>
    </row>
    <row r="477" customFormat="false" ht="15" hidden="false" customHeight="false" outlineLevel="0" collapsed="false">
      <c r="B477" s="10" t="s">
        <v>996</v>
      </c>
      <c r="E477" s="10" t="str">
        <f aca="false">IF(E475=0,"ALL OK","SOME TO CHECK")</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2026-09-23T23:32:13Z</dcterms:created>
  <dc:creator>openpyxl</dc:creator>
  <dc:description/>
  <dc:language>en-US</dc:language>
  <cp:lastModifiedBy/>
  <dcterms:modified xsi:type="dcterms:W3CDTF">2026-09-23T23:32:13Z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