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Rent and cube" sheetId="2" state="visible" r:id="rId4"/>
    <sheet name="Net effective rent" sheetId="3" state="visible" r:id="rId5"/>
    <sheet name="Uplifts" sheetId="4" state="visible" r:id="rId6"/>
    <sheet name="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<sst xmlns="http://schemas.openxmlformats.org/spreadsheetml/2006/main" count="230" uniqueCount="186">
  <si>
    <t xml:space="preserve">Logistics and Industrial Real Estate — Workbook 1 of 5</t>
  </si>
  <si>
    <t xml:space="preserve">Rent: per square meter, per cubic meter, net effective, and what an uplift really delivers</t>
  </si>
  <si>
    <t xml:space="preserve">Julian R. Sterling · julianrsterling.com/logistics</t>
  </si>
  <si>
    <t xml:space="preserve">The measure that decides the argument</t>
  </si>
  <si>
    <t xml:space="preserve">An occupier stores goods in a volume and pays rent on a plan. Every disagreement about what a tall building is worth comes from that mismatch, and the cube sheet resolves it in four cells. Two buildings of identical footprint, one at 8.0 metres of clear height and one at 12.5, are not comparable on a rent per square meter and the comparison is not close.</t>
  </si>
  <si>
    <t xml:space="preserve">Net effective rent, done three ways</t>
  </si>
  <si>
    <t xml:space="preserve">Straight-line, discounted, and — the step routinely skipped — with the capital contribution split between what permanently improves the building and what is purely occupier-specific. On the book's own figures those three methods give 80.58, 75.05 and 86.94 per square meter for the same lease. Only the third is evidence of market rent, and the gap between it and the headline is what a neighbouring owner is about to get wrong.</t>
  </si>
  <si>
    <t xml:space="preserve">The commitment period is the break, not the expiry</t>
  </si>
  <si>
    <t xml:space="preserve">The single most common error in a net effective calculation is spreading an incentive over the full term when the tenant can walk at year five. The sheet asks for both dates and uses the right one, and shows what the wrong one would have produced.</t>
  </si>
  <si>
    <t xml:space="preserve">Uplifts</t>
  </si>
  <si>
    <t xml:space="preserve">A lease with fixed uplifts delivers the average, not the final rent, and the average is what you are buying. An indexed lease with a cap is a fixed uplift lease whenever inflation is high — which is precisely when you wanted the protection. Both sheets show the path and the average beside the headline.</t>
  </si>
  <si>
    <t xml:space="preserve">Conventions</t>
  </si>
  <si>
    <t xml:space="preserve">Blue is an input. Black is a formula. Yellow fill marks the assumptions that carry the answer. Income is taken annually in arrears throughout, which slightly understates value against quarterly-in-advance receipt and is the conservative choice.</t>
  </si>
  <si>
    <t xml:space="preserve">Provided for education. Not investment advice.</t>
  </si>
  <si>
    <t xml:space="preserve">Rent per square meter, and rent per cubic meter</t>
  </si>
  <si>
    <t xml:space="preserve">Appendix D. The whole point of the cubic measure is that the occupier pays rent on a plan and stores goods in a volume.</t>
  </si>
  <si>
    <t xml:space="preserve">TWO BUILDINGS</t>
  </si>
  <si>
    <t xml:space="preserve">The answer is a band, not a point</t>
  </si>
  <si>
    <t xml:space="preserve">Building A</t>
  </si>
  <si>
    <t xml:space="preserve">Building B</t>
  </si>
  <si>
    <t xml:space="preserve">An agent quotes 132 on the basis that the taller building holds proportionately more goods. That figure is arithmetically correct and commercially wrong: it hands the landlord the entire benefit of the height and asks the occupier to fund the equipment that makes the height usable.
Deduct the occupier's cost, and the true surplus is 616,300 rather than 810,000. Split it and the defensible band is roughly 88 to 103 per square meter. 132 is not in it.
The sanity check is what makes the deal defensible to both sides. At 94.50 the occupier pays 21 per cent more per square meter and 18.6 per cent less per unit of stored goods. Both parties are better off, which is the only durable basis for a rent.
Note what none of this depends on: no market evidence, no comparables, no agent. Only the occupier's own arithmetic — which is also the arithmetic the occupier will do before signing.</t>
  </si>
  <si>
    <t xml:space="preserve">Gross internal area, square meters</t>
  </si>
  <si>
    <t xml:space="preserve">Clear internal height, meters</t>
  </si>
  <si>
    <t xml:space="preserve">Sprinkler and services clearance, meters</t>
  </si>
  <si>
    <t xml:space="preserve">Contracted annual rent</t>
  </si>
  <si>
    <t xml:space="preserve">Usable height, meters</t>
  </si>
  <si>
    <t xml:space="preserve">Usable cube, cubic meters</t>
  </si>
  <si>
    <t xml:space="preserve">B holds more cube than A, by</t>
  </si>
  <si>
    <t xml:space="preserve">Rent per square meter</t>
  </si>
  <si>
    <t xml:space="preserve">Rent per cubic meter</t>
  </si>
  <si>
    <t xml:space="preserve">CUBE PARITY — THE THEORETICAL CEILING</t>
  </si>
  <si>
    <t xml:space="preserve">B's rent at A's rent per cubic meter</t>
  </si>
  <si>
    <t xml:space="preserve">which is, per square meter</t>
  </si>
  <si>
    <t xml:space="preserve">It assumes the landlord captures the entire benefit of the height. It is a ceiling, not an answer.</t>
  </si>
  <si>
    <t xml:space="preserve">WHAT THE OCCUPIER MUST SPEND TO USE THE HEIGHT</t>
  </si>
  <si>
    <t xml:space="preserve">Incremental capital cost of taller racking and handling</t>
  </si>
  <si>
    <t xml:space="preserve">Amortisation period, years</t>
  </si>
  <si>
    <t xml:space="preserve">Amortisation rate</t>
  </si>
  <si>
    <t xml:space="preserve">Annuity factor</t>
  </si>
  <si>
    <t xml:space="preserve">Annual equivalent of the occupier's equipment cost</t>
  </si>
  <si>
    <t xml:space="preserve">THE SURPLUS, AND HOW IT SPLITS</t>
  </si>
  <si>
    <t xml:space="preserve">Gross surplus created by the height</t>
  </si>
  <si>
    <t xml:space="preserve">Net of the occupier's equipment cost</t>
  </si>
  <si>
    <t xml:space="preserve">The surplus is divided by negotiation, not by arithmetic.</t>
  </si>
  <si>
    <t xml:space="preserve">Landlord's share of the surplus</t>
  </si>
  <si>
    <t xml:space="preserve">B's annual rent</t>
  </si>
  <si>
    <t xml:space="preserve">per square meter</t>
  </si>
  <si>
    <t xml:space="preserve">THE OCCUPIER'S SANITY CHECK</t>
  </si>
  <si>
    <t xml:space="preserve">Test a rent per square meter of</t>
  </si>
  <si>
    <t xml:space="preserve">Annual rent</t>
  </si>
  <si>
    <t xml:space="preserve">plus the annualised equipment cost</t>
  </si>
  <si>
    <t xml:space="preserve">per cubic meter</t>
  </si>
  <si>
    <t xml:space="preserve">against Building A, per cubic meter</t>
  </si>
  <si>
    <t xml:space="preserve">The occupier's saving per unit of stored goods</t>
  </si>
  <si>
    <t xml:space="preserve">while paying more per square meter</t>
  </si>
  <si>
    <t xml:space="preserve">WHAT THE HEIGHT COST TO BUILD</t>
  </si>
  <si>
    <t xml:space="preserve">Extra cladding, square meters</t>
  </si>
  <si>
    <t xml:space="preserve">Cladding rate</t>
  </si>
  <si>
    <t xml:space="preserve">Frame uplift</t>
  </si>
  <si>
    <t xml:space="preserve">Foundations</t>
  </si>
  <si>
    <t xml:space="preserve">Enhanced suppression system</t>
  </si>
  <si>
    <t xml:space="preserve">Total incremental cost</t>
  </si>
  <si>
    <t xml:space="preserve">Additional rent at the tested figure</t>
  </si>
  <si>
    <t xml:space="preserve">Return on the incremental cost</t>
  </si>
  <si>
    <t xml:space="preserve">Exit yield</t>
  </si>
  <si>
    <t xml:space="preserve">Value created by the additional rent</t>
  </si>
  <si>
    <t xml:space="preserve">Net effective rent — three methods, and the one that is evidence</t>
  </si>
  <si>
    <t xml:space="preserve">Appendix D. The commitment period is the term to the first break, not to expiry.</t>
  </si>
  <si>
    <t xml:space="preserve">THE LEASE</t>
  </si>
  <si>
    <t xml:space="preserve">The step that is routinely skipped</t>
  </si>
  <si>
    <t xml:space="preserve">Floor area, square meters</t>
  </si>
  <si>
    <t xml:space="preserve">Landlord works and a rent-free period of the same amount are not the same thing, and the difference goes straight into the reversion.
The dock levellers and the yard resurfacing are permanent improvements to the building; they will still be there at re-letting and a successor occupier will pay for them. The office refit and the specialist power are occupier-specific and have no residual value at all. Only the second group is an incentive.
On these numbers the three methods give 80.58, 75.05 and 86.94 per square meter. The first ignores timing, the second treats a permanent improvement as though it bought nothing, and the third is the figure an adjacent owner should be using as evidence of market rent. It is neither 96 nor 75.
The lesson is not that landlord works are a trick. It is that on this lease 1,050,000 of the spend bought the building something permanent and 800,000 bought nothing but a headline. Separate the two before you use the rent as evidence — and separate them before you spend the money.
Rows 37 to 41 price the other common error: spreading an incentive over a ten-year term when the tenant can break at five. Set the break to 5 and read row 41.</t>
  </si>
  <si>
    <t xml:space="preserve">Headline rent per square meter</t>
  </si>
  <si>
    <t xml:space="preserve">Term, years</t>
  </si>
  <si>
    <t xml:space="preserve">Years to the first break (leave equal to the term if none)</t>
  </si>
  <si>
    <t xml:space="preserve">Discount rate</t>
  </si>
  <si>
    <t xml:space="preserve">Rent-free months</t>
  </si>
  <si>
    <t xml:space="preserve">Headline annual rent</t>
  </si>
  <si>
    <t xml:space="preserve">Commitment period used</t>
  </si>
  <si>
    <t xml:space="preserve">Annuity factor over the commitment period</t>
  </si>
  <si>
    <t xml:space="preserve">THE LANDLORD'S CONTRIBUTION</t>
  </si>
  <si>
    <t xml:space="preserve">Item</t>
  </si>
  <si>
    <t xml:space="preserve">Amount</t>
  </si>
  <si>
    <t xml:space="preserve">Permanent improvement?</t>
  </si>
  <si>
    <t xml:space="preserve">Dock levellers</t>
  </si>
  <si>
    <t xml:space="preserve">yes</t>
  </si>
  <si>
    <t xml:space="preserve">Yard resurfacing</t>
  </si>
  <si>
    <t xml:space="preserve">Office refit to the tenant's specification</t>
  </si>
  <si>
    <t xml:space="preserve">no</t>
  </si>
  <si>
    <t xml:space="preserve">Specialist power and floor coatings for the tenant's equipment</t>
  </si>
  <si>
    <t xml:space="preserve">Total contribution</t>
  </si>
  <si>
    <t xml:space="preserve">of which permanent improvement</t>
  </si>
  <si>
    <t xml:space="preserve">of which a true incentive</t>
  </si>
  <si>
    <t xml:space="preserve">Rent-free, valued</t>
  </si>
  <si>
    <t xml:space="preserve">Total incentive to spread</t>
  </si>
  <si>
    <t xml:space="preserve">THE THREE ANSWERS</t>
  </si>
  <si>
    <t xml:space="preserve">Method</t>
  </si>
  <si>
    <t xml:space="preserve">Annual</t>
  </si>
  <si>
    <t xml:space="preserve">Per square meter</t>
  </si>
  <si>
    <t xml:space="preserve">Headline</t>
  </si>
  <si>
    <t xml:space="preserve">Straight-line, whole contribution</t>
  </si>
  <si>
    <t xml:space="preserve">Discounted, whole contribution</t>
  </si>
  <si>
    <t xml:space="preserve">Discounted, incentive only — the evidence figure</t>
  </si>
  <si>
    <t xml:space="preserve">The evidence figure, against the headline</t>
  </si>
  <si>
    <t xml:space="preserve">The discounted whole-contribution figure, against the headline</t>
  </si>
  <si>
    <t xml:space="preserve">WHAT THE WRONG DENOMINATOR WOULD PRODUCE</t>
  </si>
  <si>
    <t xml:space="preserve">Annuity factor over the full term</t>
  </si>
  <si>
    <t xml:space="preserve">Evidence rent spread over the term instead of the break</t>
  </si>
  <si>
    <t xml:space="preserve">Overstatement</t>
  </si>
  <si>
    <t xml:space="preserve">Fixed uplifts and indexed uplifts with a cap</t>
  </si>
  <si>
    <t xml:space="preserve">Appendix D. A lease with fixed uplifts delivers the average, and the average is what you are buying.</t>
  </si>
  <si>
    <t xml:space="preserve">FIXED COMPOUNDED UPLIFT</t>
  </si>
  <si>
    <t xml:space="preserve">Both bounds bite</t>
  </si>
  <si>
    <t xml:space="preserve">Starting rent</t>
  </si>
  <si>
    <t xml:space="preserve">A collar protects income in a falling market; a cap surrenders income in a rising one, and that is the half that gets forgotten during the negotiation.
The common error is modelling an indexed lease as inflation protection without inputting the cap. A capped indexed lease is a fixed uplift lease whenever inflation is high — which is precisely when you wanted the protection. Row 24 prices that year by year and row 26 sums it.
On the fixed uplift above: quoting the final rent as though it were the income is the corresponding error. A lease rising 2.5 per cent a year from 1,000,000 pays 1,131,408 in year six and averages 1,051,266 over the first five. You are buying the average.
Both effects compound with the term, and both are invisible in a headline rent.</t>
  </si>
  <si>
    <t xml:space="preserve">Annual uplift</t>
  </si>
  <si>
    <t xml:space="preserve">Year</t>
  </si>
  <si>
    <t xml:space="preserve">1</t>
  </si>
  <si>
    <t xml:space="preserve">2</t>
  </si>
  <si>
    <t xml:space="preserve">3</t>
  </si>
  <si>
    <t xml:space="preserve">4</t>
  </si>
  <si>
    <t xml:space="preserve">5</t>
  </si>
  <si>
    <t xml:space="preserve">Rent</t>
  </si>
  <si>
    <t xml:space="preserve">Rent in year six</t>
  </si>
  <si>
    <t xml:space="preserve">Average over the first five years</t>
  </si>
  <si>
    <t xml:space="preserve">The average, against the final rent</t>
  </si>
  <si>
    <t xml:space="preserve">INDEXED UPLIFT WITH A CAP AND A COLLAR</t>
  </si>
  <si>
    <t xml:space="preserve">Cap</t>
  </si>
  <si>
    <t xml:space="preserve">Collar</t>
  </si>
  <si>
    <t xml:space="preserve">Review</t>
  </si>
  <si>
    <t xml:space="preserve">Index movement</t>
  </si>
  <si>
    <t xml:space="preserve">Movement applied, after cap and collar</t>
  </si>
  <si>
    <t xml:space="preserve">Rent after review</t>
  </si>
  <si>
    <t xml:space="preserve">Rent if the cap had not applied</t>
  </si>
  <si>
    <t xml:space="preserve">Income surrendered to the cap</t>
  </si>
  <si>
    <t xml:space="preserve">Cumulative income surrendered over the five reviews</t>
  </si>
  <si>
    <t xml:space="preserve">Final rent, capped, against uncapped</t>
  </si>
  <si>
    <t xml:space="preserve">Every figure these appendices print, against what this workbook computes</t>
  </si>
  <si>
    <t xml:space="preserve">Appendix D, and Cases 1 and 2 of Appendix C.</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</si>
  <si>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</si>
  <si>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</si>
  <si>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</si>
  <si>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</si>
  <si>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</si>
  <si>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</si>
  <si>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</si>
  <si>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App. D</t>
  </si>
  <si>
    <t xml:space="preserve">Rent per square meter: 1,340,000 on 16,000 sq m</t>
  </si>
  <si>
    <t xml:space="preserve">Each line carries its own tolerance, set to the precision the book actually prints. A figure printed to two decimals is checked to six thousandths; a percentage printed to one decimal to five hundredths of a point; a percentage printed as a whole number to half a point; an annuity factor printed to four decimals to six hundred-thousandths.
That is stricter than a single blanket band, and it is the honest way round: a check whose tolerance is loose enough for its worst line is not checking its best ones.
Where a line reads 'rounding', the book rounded an intermediate figure and carried it forward — spreading 1,850,000 over an annuity factor printed as 7.3601 rather than 7.36008705, for instance. This workbook carries full precision and rounds only for display.
Column D is a link into the model, not a number typed beside the book's. Change any input and this page moves with it.</t>
  </si>
  <si>
    <t xml:space="preserve">Rent per cubic meter, 10.5 m clear less 1.5 m</t>
  </si>
  <si>
    <t xml:space="preserve">Ten-year annuity factor at 6 per cent</t>
  </si>
  <si>
    <t xml:space="preserve">Incentive of 1,500,000 spread over that factor</t>
  </si>
  <si>
    <t xml:space="preserve">Net effective rent on a 1,000,000 headline</t>
  </si>
  <si>
    <t xml:space="preserve">Contribution of 1,850,000 spread whole</t>
  </si>
  <si>
    <t xml:space="preserve">the occupier-specific 800,000 spread instead</t>
  </si>
  <si>
    <t xml:space="preserve">1,000,000 rising 2.5 per cent, year six</t>
  </si>
  <si>
    <t xml:space="preserve">the average of the first five years</t>
  </si>
  <si>
    <t xml:space="preserve">1,000,000 with a 6.2 per cent index and a 4 per cent cap</t>
  </si>
  <si>
    <t xml:space="preserve">Case 1</t>
  </si>
  <si>
    <t xml:space="preserve">Usable cube, Building A</t>
  </si>
  <si>
    <t xml:space="preserve">Usable cube, Building B</t>
  </si>
  <si>
    <t xml:space="preserve">B holds more cube than A  (printed to one decimal)</t>
  </si>
  <si>
    <t xml:space="preserve">Building A, rent per cubic meter</t>
  </si>
  <si>
    <t xml:space="preserve">Cube-parity rent for B</t>
  </si>
  <si>
    <t xml:space="preserve">the same, per square meter</t>
  </si>
  <si>
    <t xml:space="preserve">Ten-year annuity factor at 8 per cent</t>
  </si>
  <si>
    <t xml:space="preserve">Surplus net of the occupier's cost</t>
  </si>
  <si>
    <t xml:space="preserve">Rent at a 25 per cent landlord share, per sq m</t>
  </si>
  <si>
    <t xml:space="preserve">at 40 per cent</t>
  </si>
  <si>
    <t xml:space="preserve">at 60 per cent</t>
  </si>
  <si>
    <t xml:space="preserve">Occupier's total cost per cubic meter at 94.50</t>
  </si>
  <si>
    <t xml:space="preserve">Occupier's saving per unit of stored goods  (one decimal)</t>
  </si>
  <si>
    <t xml:space="preserve">while paying more per square meter  (printed whole)</t>
  </si>
  <si>
    <t xml:space="preserve">Total incremental cost of the height</t>
  </si>
  <si>
    <t xml:space="preserve">Return on the incremental cost  (one decimal)</t>
  </si>
  <si>
    <t xml:space="preserve">Value created, capitalised at 5.75 per cent</t>
  </si>
  <si>
    <t xml:space="preserve">Case 2</t>
  </si>
  <si>
    <t xml:space="preserve">Straight-line net effective rent, per square meter</t>
  </si>
  <si>
    <t xml:space="preserve">Discounted, whole contribution, per square meter</t>
  </si>
  <si>
    <t xml:space="preserve">that figure against the headline  (one decimal)</t>
  </si>
  <si>
    <t xml:space="preserve">True incentive, after the permanence split</t>
  </si>
  <si>
    <t xml:space="preserve">Annual equivalent of the true incentive</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</si>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</sst>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7">
    <numFmt numFmtId="164" formatCode="General"/>
    <numFmt numFmtId="165" formatCode="#,##0;\(#,##0\);\-"/>
    <numFmt numFmtId="166" formatCode="0.0"/>
    <numFmt numFmtId="167" formatCode="0.00%"/>
    <numFmt numFmtId="168" formatCode="#,##0.00;\(#,##0.00\);\-"/>
    <numFmt numFmtId="169" formatCode="0"/>
    <numFmt numFmtId="170" formatCode="0.0000"/>
  </numFmts>
  <fonts count="18">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b val="true"/>
      <sz val="10"/>
      <color rgb="FFFFFFFF"/>
      <name val="Arial"/>
      <family val="0"/>
      <charset val="1"/>
    </font>
    <font>
      <sz val="10"/>
      <color rgb="FF0000FF"/>
      <name val="Arial"/>
      <family val="0"/>
      <charset val="1"/>
    </font>
    <font>
      <b val="true"/>
      <sz val="10"/>
      <name val="Arial"/>
      <family val="0"/>
      <charset val="1"/>
    </font>
    <font>
      <sz val="9"/>
      <color rgb="FF8C5A00"/>
      <name val="Arial"/>
      <family val="0"/>
      <charset val="1"/>
    </font>
    <font>
      <sz val="9"/>
      <name val="Arial"/>
      <family val="0"/>
      <charset val="1"/>
    </font>
    <font>
      <sz val="9"/>
      <color rgb="FF0000FF"/>
      <name val="Arial"/>
      <family val="0"/>
      <charset val="1"/>
    </font>
    <font>
      <sz val="9"/>
      <color rgb="FF008000"/>
      <name val="Arial"/>
      <family val="0"/>
      <charset val="1"/>
    </font>
    <font>
      <b val="true"/>
      <sz val="9"/>
      <name val="Arial"/>
      <family val="0"/>
      <charset val="1"/>
    </font>
  </fonts>
  <fills count="5">
    <fill>
      <patternFill patternType="none"/>
    </fill>
    <fill>
      <patternFill patternType="gray125"/>
    </fill>
    <fill>
      <patternFill patternType="solid">
        <fgColor rgb="FF14171D"/>
        <bgColor rgb="FF000000"/>
      </patternFill>
    </fill>
    <fill>
      <patternFill patternType="solid">
        <fgColor rgb="FFFFFF00"/>
        <bgColor rgb="FFFFFF00"/>
      </patternFill>
    </fill>
    <fill>
      <patternFill patternType="solid">
        <fgColor rgb="FFF2F2F2"/>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left" vertical="center" textRotation="0" wrapText="true" indent="0" shrinkToFit="false"/>
      <protection locked="true" hidden="false"/>
    </xf>
    <xf numFmtId="164" fontId="10" fillId="2"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1" fillId="3" borderId="0" xfId="0" applyFont="true" applyBorder="false" applyAlignment="true" applyProtection="false">
      <alignment horizontal="general" vertical="bottom" textRotation="0" wrapText="false" indent="0" shrinkToFit="false"/>
      <protection locked="true" hidden="false"/>
    </xf>
    <xf numFmtId="166" fontId="11" fillId="3"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8" fontId="12"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9" fontId="11" fillId="3" borderId="0" xfId="0" applyFont="true" applyBorder="false" applyAlignment="true" applyProtection="false">
      <alignment horizontal="general" vertical="bottom" textRotation="0" wrapText="false" indent="0" shrinkToFit="false"/>
      <protection locked="true" hidden="false"/>
    </xf>
    <xf numFmtId="167" fontId="11" fillId="3" borderId="0" xfId="0" applyFont="true" applyBorder="false" applyAlignment="true" applyProtection="false">
      <alignment horizontal="general" vertical="bottom" textRotation="0" wrapText="false" indent="0" shrinkToFit="false"/>
      <protection locked="true" hidden="false"/>
    </xf>
    <xf numFmtId="170" fontId="8" fillId="0" borderId="0" xfId="0" applyFont="true" applyBorder="false" applyAlignment="true" applyProtection="false">
      <alignment horizontal="general" vertical="bottom" textRotation="0" wrapText="false" indent="0" shrinkToFit="false"/>
      <protection locked="true" hidden="false"/>
    </xf>
    <xf numFmtId="165" fontId="12" fillId="0" borderId="0" xfId="0" applyFont="true" applyBorder="false" applyAlignment="true" applyProtection="false">
      <alignment horizontal="general" vertical="bottom" textRotation="0" wrapText="false" indent="0" shrinkToFit="false"/>
      <protection locked="true" hidden="false"/>
    </xf>
    <xf numFmtId="167" fontId="11" fillId="0" borderId="0" xfId="0" applyFont="true" applyBorder="false" applyAlignment="true" applyProtection="false">
      <alignment horizontal="general" vertical="bottom" textRotation="0" wrapText="false" indent="0" shrinkToFit="false"/>
      <protection locked="true" hidden="false"/>
    </xf>
    <xf numFmtId="168" fontId="11" fillId="3" borderId="0" xfId="0" applyFont="true" applyBorder="false" applyAlignment="true" applyProtection="false">
      <alignment horizontal="general" vertical="bottom" textRotation="0" wrapText="false" indent="0" shrinkToFit="false"/>
      <protection locked="true" hidden="false"/>
    </xf>
    <xf numFmtId="167" fontId="12" fillId="0" borderId="0" xfId="0" applyFont="true" applyBorder="false" applyAlignment="true" applyProtection="false">
      <alignment horizontal="general" vertical="bottom" textRotation="0" wrapText="false" indent="0" shrinkToFit="false"/>
      <protection locked="true" hidden="false"/>
    </xf>
    <xf numFmtId="169" fontId="12" fillId="0" borderId="0" xfId="0" applyFont="true" applyBorder="false" applyAlignment="tru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8" fontId="15" fillId="0" borderId="0" xfId="0" applyFont="true" applyBorder="false" applyAlignment="true" applyProtection="false">
      <alignment horizontal="general" vertical="bottom" textRotation="0" wrapText="false" indent="0" shrinkToFit="false"/>
      <protection locked="true" hidden="false"/>
    </xf>
    <xf numFmtId="168" fontId="16" fillId="0" borderId="0" xfId="0" applyFont="true" applyBorder="false" applyAlignment="true" applyProtection="false">
      <alignment horizontal="general" vertical="bottom" textRotation="0" wrapText="false" indent="0" shrinkToFit="false"/>
      <protection locked="true" hidden="false"/>
    </xf>
    <xf numFmtId="168" fontId="14"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general" vertical="bottom" textRotation="0" wrapText="false" indent="0" shrinkToFit="false"/>
      <protection locked="true" hidden="false"/>
    </xf>
    <xf numFmtId="168" fontId="15" fillId="4" borderId="0" xfId="0" applyFont="true" applyBorder="false" applyAlignment="true" applyProtection="false">
      <alignment horizontal="general" vertical="bottom" textRotation="0" wrapText="false" indent="0" shrinkToFit="false"/>
      <protection locked="true" hidden="false"/>
    </xf>
    <xf numFmtId="168" fontId="16" fillId="4" borderId="0" xfId="0" applyFont="true" applyBorder="false" applyAlignment="true" applyProtection="false">
      <alignment horizontal="general" vertical="bottom" textRotation="0" wrapText="false" indent="0" shrinkToFit="false"/>
      <protection locked="true" hidden="false"/>
    </xf>
    <xf numFmtId="168" fontId="14" fillId="4" borderId="0" xfId="0" applyFont="true" applyBorder="false" applyAlignment="true" applyProtection="false">
      <alignment horizontal="general" vertical="bottom" textRotation="0" wrapText="false" indent="0" shrinkToFit="false"/>
      <protection locked="true" hidden="false"/>
    </xf>
    <xf numFmtId="164" fontId="17" fillId="4" borderId="0" xfId="0" applyFont="true" applyBorder="false" applyAlignment="true" applyProtection="false">
      <alignment horizontal="general" vertical="bottom" textRotation="0" wrapText="false" indent="0" shrinkToFit="false"/>
      <protection locked="true" hidden="false"/>
    </xf>
    <xf numFmtId="170" fontId="15" fillId="0" borderId="0" xfId="0" applyFont="true" applyBorder="false" applyAlignment="true" applyProtection="false">
      <alignment horizontal="general" vertical="bottom" textRotation="0" wrapText="false" indent="0" shrinkToFit="false"/>
      <protection locked="true" hidden="false"/>
    </xf>
    <xf numFmtId="170" fontId="16" fillId="0" borderId="0" xfId="0" applyFont="true" applyBorder="false" applyAlignment="true" applyProtection="false">
      <alignment horizontal="general" vertical="bottom" textRotation="0" wrapText="false" indent="0" shrinkToFit="false"/>
      <protection locked="true" hidden="false"/>
    </xf>
    <xf numFmtId="170" fontId="14" fillId="0" borderId="0" xfId="0" applyFont="true" applyBorder="false" applyAlignment="true" applyProtection="false">
      <alignment horizontal="general" vertical="bottom" textRotation="0" wrapText="false" indent="0" shrinkToFit="false"/>
      <protection locked="true" hidden="false"/>
    </xf>
    <xf numFmtId="165" fontId="15" fillId="4" borderId="0" xfId="0" applyFont="true" applyBorder="false" applyAlignment="true" applyProtection="false">
      <alignment horizontal="general" vertical="bottom" textRotation="0" wrapText="false" indent="0" shrinkToFit="false"/>
      <protection locked="true" hidden="false"/>
    </xf>
    <xf numFmtId="165" fontId="16" fillId="4" borderId="0" xfId="0" applyFont="true" applyBorder="false" applyAlignment="true" applyProtection="false">
      <alignment horizontal="general" vertical="bottom" textRotation="0" wrapText="false" indent="0" shrinkToFit="false"/>
      <protection locked="true" hidden="false"/>
    </xf>
    <xf numFmtId="165" fontId="14" fillId="4" borderId="0" xfId="0" applyFont="true" applyBorder="false" applyAlignment="true" applyProtection="false">
      <alignment horizontal="general" vertical="bottom" textRotation="0" wrapText="false" indent="0" shrinkToFit="false"/>
      <protection locked="true" hidden="false"/>
    </xf>
    <xf numFmtId="165" fontId="15" fillId="0" borderId="0" xfId="0" applyFont="true" applyBorder="false" applyAlignment="true" applyProtection="false">
      <alignment horizontal="general" vertical="bottom" textRotation="0" wrapText="false" indent="0" shrinkToFit="false"/>
      <protection locked="true" hidden="false"/>
    </xf>
    <xf numFmtId="165" fontId="16" fillId="0" borderId="0" xfId="0" applyFont="true" applyBorder="false" applyAlignment="true" applyProtection="false">
      <alignment horizontal="general" vertical="bottom" textRotation="0" wrapText="false" indent="0" shrinkToFit="false"/>
      <protection locked="true" hidden="false"/>
    </xf>
    <xf numFmtId="165" fontId="14" fillId="0" borderId="0" xfId="0" applyFont="true" applyBorder="false" applyAlignment="tru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general" vertical="bottom" textRotation="0" wrapText="false" indent="0" shrinkToFit="false"/>
      <protection locked="true" hidden="false"/>
    </xf>
    <xf numFmtId="167" fontId="16" fillId="0" borderId="0" xfId="0" applyFont="true" applyBorder="false" applyAlignment="true" applyProtection="false">
      <alignment horizontal="general" vertical="bottom" textRotation="0" wrapText="false" indent="0" shrinkToFit="false"/>
      <protection locked="true" hidden="false"/>
    </xf>
    <xf numFmtId="167" fontId="14" fillId="0" borderId="0" xfId="0" applyFont="true" applyBorder="false" applyAlignment="true" applyProtection="false">
      <alignment horizontal="general" vertical="bottom" textRotation="0" wrapText="false" indent="0" shrinkToFit="false"/>
      <protection locked="true" hidden="false"/>
    </xf>
    <xf numFmtId="167" fontId="15" fillId="4" borderId="0" xfId="0" applyFont="true" applyBorder="false" applyAlignment="true" applyProtection="false">
      <alignment horizontal="general" vertical="bottom" textRotation="0" wrapText="false" indent="0" shrinkToFit="false"/>
      <protection locked="true" hidden="false"/>
    </xf>
    <xf numFmtId="167" fontId="16" fillId="4" borderId="0" xfId="0" applyFont="true" applyBorder="false" applyAlignment="true" applyProtection="false">
      <alignment horizontal="general" vertical="bottom" textRotation="0" wrapText="false" indent="0" shrinkToFit="false"/>
      <protection locked="true" hidden="false"/>
    </xf>
    <xf numFmtId="167" fontId="14" fillId="4"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73.5" hidden="false" customHeight="true" outlineLevel="0" collapsed="false">
      <c r="B7" s="6" t="s">
        <v>4</v>
      </c>
    </row>
    <row r="9" customFormat="false" ht="15" hidden="false" customHeight="true" outlineLevel="0" collapsed="false">
      <c r="B9" s="5" t="s">
        <v>5</v>
      </c>
    </row>
    <row r="10" customFormat="false" ht="88.5" hidden="false" customHeight="true" outlineLevel="0" collapsed="false">
      <c r="B10" s="6" t="s">
        <v>6</v>
      </c>
    </row>
    <row r="12" customFormat="false" ht="15" hidden="false" customHeight="true" outlineLevel="0" collapsed="false">
      <c r="B12" s="5" t="s">
        <v>7</v>
      </c>
    </row>
    <row r="13" customFormat="false" ht="58.5" hidden="false" customHeight="true" outlineLevel="0" collapsed="false">
      <c r="B13" s="6" t="s">
        <v>8</v>
      </c>
    </row>
    <row r="15" customFormat="false" ht="15" hidden="false" customHeight="true" outlineLevel="0" collapsed="false">
      <c r="B15" s="5" t="s">
        <v>9</v>
      </c>
    </row>
    <row r="16" customFormat="false" ht="73.5" hidden="false" customHeight="true" outlineLevel="0" collapsed="false">
      <c r="B16" s="6" t="s">
        <v>10</v>
      </c>
    </row>
    <row r="18" customFormat="false" ht="15" hidden="false" customHeight="true" outlineLevel="0" collapsed="false">
      <c r="B18" s="5" t="s">
        <v>11</v>
      </c>
    </row>
    <row r="19" customFormat="false" ht="58.5" hidden="false" customHeight="true" outlineLevel="0" collapsed="false">
      <c r="B19" s="6" t="s">
        <v>12</v>
      </c>
    </row>
    <row r="22" customFormat="false" ht="15" hidden="false" customHeight="true" outlineLevel="0" collapsed="false">
      <c r="B22"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0"/>
    <col collapsed="false" customWidth="true" hidden="false" outlineLevel="0" max="3" min="2" style="1" width="18"/>
    <col collapsed="false" customWidth="true" hidden="false" outlineLevel="0" max="4" min="4" style="1" width="3"/>
    <col collapsed="false" customWidth="true" hidden="false" outlineLevel="0" max="5" min="5" style="1" width="52"/>
  </cols>
  <sheetData>
    <row r="1" customFormat="false" ht="17.25" hidden="false" customHeight="true" outlineLevel="0" collapsed="false">
      <c r="A1" s="7" t="s">
        <v>14</v>
      </c>
    </row>
    <row r="2" customFormat="false" ht="15" hidden="false" customHeight="true" outlineLevel="0" collapsed="false">
      <c r="A2" s="4" t="s">
        <v>15</v>
      </c>
    </row>
    <row r="4" customFormat="false" ht="15" hidden="false" customHeight="true" outlineLevel="0" collapsed="false">
      <c r="A4" s="5" t="s">
        <v>16</v>
      </c>
      <c r="E4" s="5" t="s">
        <v>17</v>
      </c>
    </row>
    <row r="5" customFormat="false" ht="27.75" hidden="false" customHeight="true" outlineLevel="0" collapsed="false">
      <c r="A5" s="8"/>
      <c r="B5" s="9" t="s">
        <v>18</v>
      </c>
      <c r="C5" s="9" t="s">
        <v>19</v>
      </c>
      <c r="E5" s="10" t="s">
        <v>20</v>
      </c>
    </row>
    <row r="6" customFormat="false" ht="15" hidden="false" customHeight="true" outlineLevel="0" collapsed="false">
      <c r="A6" s="11" t="s">
        <v>21</v>
      </c>
      <c r="B6" s="12" t="n">
        <v>15000</v>
      </c>
      <c r="C6" s="12" t="n">
        <v>15000</v>
      </c>
      <c r="E6" s="10"/>
    </row>
    <row r="7" customFormat="false" ht="15" hidden="false" customHeight="true" outlineLevel="0" collapsed="false">
      <c r="A7" s="11" t="s">
        <v>22</v>
      </c>
      <c r="B7" s="13" t="n">
        <v>8</v>
      </c>
      <c r="C7" s="13" t="n">
        <v>12.5</v>
      </c>
      <c r="E7" s="10"/>
    </row>
    <row r="8" customFormat="false" ht="15" hidden="false" customHeight="true" outlineLevel="0" collapsed="false">
      <c r="A8" s="11" t="s">
        <v>23</v>
      </c>
      <c r="B8" s="13" t="n">
        <v>1.5</v>
      </c>
      <c r="C8" s="13" t="n">
        <v>1.5</v>
      </c>
      <c r="E8" s="10"/>
    </row>
    <row r="9" customFormat="false" ht="15" hidden="false" customHeight="true" outlineLevel="0" collapsed="false">
      <c r="A9" s="11" t="s">
        <v>24</v>
      </c>
      <c r="B9" s="12" t="n">
        <v>1170000</v>
      </c>
      <c r="E9" s="10"/>
    </row>
    <row r="10" customFormat="false" ht="15" hidden="false" customHeight="true" outlineLevel="0" collapsed="false">
      <c r="A10" s="11" t="s">
        <v>25</v>
      </c>
      <c r="B10" s="14" t="n">
        <f aca="false">B7-B8</f>
        <v>6.5</v>
      </c>
      <c r="C10" s="14" t="n">
        <f aca="false">C7-C8</f>
        <v>11</v>
      </c>
      <c r="E10" s="10"/>
    </row>
    <row r="11" customFormat="false" ht="15" hidden="false" customHeight="true" outlineLevel="0" collapsed="false">
      <c r="A11" s="11" t="s">
        <v>26</v>
      </c>
      <c r="B11" s="15" t="n">
        <f aca="false">B6*B10</f>
        <v>97500</v>
      </c>
      <c r="C11" s="15" t="n">
        <f aca="false">C6*C10</f>
        <v>165000</v>
      </c>
      <c r="E11" s="10"/>
    </row>
    <row r="12" customFormat="false" ht="15" hidden="false" customHeight="true" outlineLevel="0" collapsed="false">
      <c r="A12" s="11" t="s">
        <v>27</v>
      </c>
      <c r="B12" s="16" t="n">
        <f aca="false">C11/B11-1</f>
        <v>0.692307692307692</v>
      </c>
      <c r="E12" s="10"/>
    </row>
    <row r="13" customFormat="false" ht="15" hidden="false" customHeight="true" outlineLevel="0" collapsed="false">
      <c r="E13" s="10"/>
    </row>
    <row r="14" customFormat="false" ht="15" hidden="false" customHeight="true" outlineLevel="0" collapsed="false">
      <c r="A14" s="11" t="s">
        <v>28</v>
      </c>
      <c r="B14" s="17" t="n">
        <f aca="false">B9/B6</f>
        <v>78</v>
      </c>
      <c r="E14" s="10"/>
    </row>
    <row r="15" customFormat="false" ht="15" hidden="false" customHeight="true" outlineLevel="0" collapsed="false">
      <c r="A15" s="18" t="s">
        <v>29</v>
      </c>
      <c r="B15" s="19" t="n">
        <f aca="false">B9/B11</f>
        <v>12</v>
      </c>
      <c r="E15" s="10"/>
    </row>
    <row r="16" customFormat="false" ht="15" hidden="false" customHeight="true" outlineLevel="0" collapsed="false">
      <c r="E16" s="10"/>
    </row>
    <row r="17" customFormat="false" ht="15" hidden="false" customHeight="true" outlineLevel="0" collapsed="false">
      <c r="A17" s="5" t="s">
        <v>30</v>
      </c>
      <c r="E17" s="10"/>
    </row>
    <row r="18" customFormat="false" ht="15" hidden="false" customHeight="true" outlineLevel="0" collapsed="false">
      <c r="A18" s="11" t="s">
        <v>31</v>
      </c>
      <c r="C18" s="15" t="n">
        <f aca="false">C11*B15</f>
        <v>1980000</v>
      </c>
      <c r="E18" s="10"/>
    </row>
    <row r="19" customFormat="false" ht="15" hidden="false" customHeight="true" outlineLevel="0" collapsed="false">
      <c r="A19" s="11" t="s">
        <v>32</v>
      </c>
      <c r="C19" s="17" t="n">
        <f aca="false">C18/C6</f>
        <v>132</v>
      </c>
      <c r="E19" s="10"/>
    </row>
    <row r="20" customFormat="false" ht="15" hidden="false" customHeight="true" outlineLevel="0" collapsed="false">
      <c r="A20" s="20" t="s">
        <v>33</v>
      </c>
      <c r="B20" s="20"/>
      <c r="C20" s="20"/>
      <c r="E20" s="10"/>
    </row>
    <row r="21" customFormat="false" ht="15" hidden="false" customHeight="true" outlineLevel="0" collapsed="false">
      <c r="E21" s="10"/>
    </row>
    <row r="22" customFormat="false" ht="15" hidden="false" customHeight="true" outlineLevel="0" collapsed="false">
      <c r="A22" s="5" t="s">
        <v>34</v>
      </c>
      <c r="E22" s="10"/>
    </row>
    <row r="23" customFormat="false" ht="15" hidden="false" customHeight="true" outlineLevel="0" collapsed="false">
      <c r="A23" s="11" t="s">
        <v>35</v>
      </c>
      <c r="C23" s="12" t="n">
        <v>1300000</v>
      </c>
      <c r="E23" s="10"/>
    </row>
    <row r="24" customFormat="false" ht="15" hidden="false" customHeight="true" outlineLevel="0" collapsed="false">
      <c r="A24" s="11" t="s">
        <v>36</v>
      </c>
      <c r="C24" s="21" t="n">
        <v>10</v>
      </c>
      <c r="E24" s="10"/>
    </row>
    <row r="25" customFormat="false" ht="15" hidden="false" customHeight="true" outlineLevel="0" collapsed="false">
      <c r="A25" s="11" t="s">
        <v>37</v>
      </c>
      <c r="C25" s="22" t="n">
        <v>0.08</v>
      </c>
      <c r="E25" s="10"/>
    </row>
    <row r="26" customFormat="false" ht="15" hidden="false" customHeight="true" outlineLevel="0" collapsed="false">
      <c r="A26" s="11" t="s">
        <v>38</v>
      </c>
      <c r="C26" s="23" t="n">
        <f aca="false">(1-(1+C25)^-C24)/C25</f>
        <v>6.71008139894145</v>
      </c>
      <c r="E26" s="10"/>
    </row>
    <row r="27" customFormat="false" ht="15" hidden="false" customHeight="true" outlineLevel="0" collapsed="false">
      <c r="A27" s="11" t="s">
        <v>39</v>
      </c>
      <c r="C27" s="15" t="n">
        <f aca="false">C23/C26</f>
        <v>193738.335306198</v>
      </c>
      <c r="E27" s="10"/>
    </row>
    <row r="28" customFormat="false" ht="15" hidden="false" customHeight="true" outlineLevel="0" collapsed="false">
      <c r="E28" s="10"/>
    </row>
    <row r="29" customFormat="false" ht="15" hidden="false" customHeight="true" outlineLevel="0" collapsed="false">
      <c r="A29" s="5" t="s">
        <v>40</v>
      </c>
      <c r="E29" s="10"/>
    </row>
    <row r="30" customFormat="false" ht="15" hidden="false" customHeight="true" outlineLevel="0" collapsed="false">
      <c r="A30" s="11" t="s">
        <v>41</v>
      </c>
      <c r="C30" s="15" t="n">
        <f aca="false">C18-B9</f>
        <v>810000</v>
      </c>
      <c r="E30" s="10"/>
    </row>
    <row r="31" customFormat="false" ht="15" hidden="false" customHeight="true" outlineLevel="0" collapsed="false">
      <c r="A31" s="18" t="s">
        <v>42</v>
      </c>
      <c r="C31" s="24" t="n">
        <f aca="false">C30-C27</f>
        <v>616261.664693802</v>
      </c>
      <c r="E31" s="10"/>
    </row>
    <row r="32" customFormat="false" ht="15" hidden="false" customHeight="true" outlineLevel="0" collapsed="false">
      <c r="A32" s="4" t="s">
        <v>43</v>
      </c>
      <c r="E32" s="10"/>
    </row>
    <row r="33" customFormat="false" ht="27.75" hidden="false" customHeight="true" outlineLevel="0" collapsed="false">
      <c r="A33" s="8" t="s">
        <v>44</v>
      </c>
      <c r="B33" s="9" t="s">
        <v>45</v>
      </c>
      <c r="C33" s="9" t="s">
        <v>46</v>
      </c>
    </row>
    <row r="34" customFormat="false" ht="15" hidden="false" customHeight="true" outlineLevel="0" collapsed="false">
      <c r="A34" s="25" t="n">
        <v>0.25</v>
      </c>
      <c r="B34" s="15" t="n">
        <f aca="false">$B$9+$C$31*A34</f>
        <v>1324065.41617345</v>
      </c>
      <c r="C34" s="17" t="n">
        <f aca="false">B34/$C$6</f>
        <v>88.2710277448967</v>
      </c>
    </row>
    <row r="35" customFormat="false" ht="15" hidden="false" customHeight="true" outlineLevel="0" collapsed="false">
      <c r="A35" s="25" t="n">
        <v>0.4</v>
      </c>
      <c r="B35" s="15" t="n">
        <f aca="false">$B$9+$C$31*A35</f>
        <v>1416504.66587752</v>
      </c>
      <c r="C35" s="17" t="n">
        <f aca="false">B35/$C$6</f>
        <v>94.4336443918347</v>
      </c>
    </row>
    <row r="36" customFormat="false" ht="15" hidden="false" customHeight="true" outlineLevel="0" collapsed="false">
      <c r="A36" s="25" t="n">
        <v>0.6</v>
      </c>
      <c r="B36" s="15" t="n">
        <f aca="false">$B$9+$C$31*A36</f>
        <v>1539756.99881628</v>
      </c>
      <c r="C36" s="17" t="n">
        <f aca="false">B36/$C$6</f>
        <v>102.650466587752</v>
      </c>
    </row>
    <row r="38" customFormat="false" ht="15" hidden="false" customHeight="true" outlineLevel="0" collapsed="false">
      <c r="A38" s="5" t="s">
        <v>47</v>
      </c>
    </row>
    <row r="39" customFormat="false" ht="15" hidden="false" customHeight="true" outlineLevel="0" collapsed="false">
      <c r="A39" s="11" t="s">
        <v>48</v>
      </c>
      <c r="C39" s="26" t="n">
        <v>94.5</v>
      </c>
    </row>
    <row r="40" customFormat="false" ht="15" hidden="false" customHeight="true" outlineLevel="0" collapsed="false">
      <c r="A40" s="11" t="s">
        <v>49</v>
      </c>
      <c r="C40" s="15" t="n">
        <f aca="false">C39*C6</f>
        <v>1417500</v>
      </c>
    </row>
    <row r="41" customFormat="false" ht="15" hidden="false" customHeight="true" outlineLevel="0" collapsed="false">
      <c r="A41" s="11" t="s">
        <v>50</v>
      </c>
      <c r="C41" s="15" t="n">
        <f aca="false">C40+C27</f>
        <v>1611238.3353062</v>
      </c>
    </row>
    <row r="42" customFormat="false" ht="15" hidden="false" customHeight="true" outlineLevel="0" collapsed="false">
      <c r="A42" s="18" t="s">
        <v>51</v>
      </c>
      <c r="C42" s="19" t="n">
        <f aca="false">C41/C11</f>
        <v>9.76508082003756</v>
      </c>
    </row>
    <row r="43" customFormat="false" ht="15" hidden="false" customHeight="true" outlineLevel="0" collapsed="false">
      <c r="A43" s="11" t="s">
        <v>52</v>
      </c>
      <c r="C43" s="17" t="n">
        <f aca="false">B15</f>
        <v>12</v>
      </c>
    </row>
    <row r="44" customFormat="false" ht="15" hidden="false" customHeight="true" outlineLevel="0" collapsed="false">
      <c r="A44" s="18" t="s">
        <v>53</v>
      </c>
      <c r="C44" s="27" t="n">
        <f aca="false">C42/C43-1</f>
        <v>-0.18624326499687</v>
      </c>
    </row>
    <row r="45" customFormat="false" ht="15" hidden="false" customHeight="true" outlineLevel="0" collapsed="false">
      <c r="A45" s="11" t="s">
        <v>54</v>
      </c>
      <c r="C45" s="16" t="n">
        <f aca="false">C39/B14-1</f>
        <v>0.211538461538461</v>
      </c>
    </row>
    <row r="47" customFormat="false" ht="15" hidden="false" customHeight="true" outlineLevel="0" collapsed="false">
      <c r="A47" s="5" t="s">
        <v>55</v>
      </c>
    </row>
    <row r="48" customFormat="false" ht="15" hidden="false" customHeight="true" outlineLevel="0" collapsed="false">
      <c r="A48" s="11" t="s">
        <v>56</v>
      </c>
      <c r="C48" s="12" t="n">
        <v>2250</v>
      </c>
    </row>
    <row r="49" customFormat="false" ht="15" hidden="false" customHeight="true" outlineLevel="0" collapsed="false">
      <c r="A49" s="11" t="s">
        <v>57</v>
      </c>
      <c r="C49" s="12" t="n">
        <v>90</v>
      </c>
    </row>
    <row r="50" customFormat="false" ht="15" hidden="false" customHeight="true" outlineLevel="0" collapsed="false">
      <c r="A50" s="11" t="s">
        <v>58</v>
      </c>
      <c r="C50" s="12" t="n">
        <v>300000</v>
      </c>
    </row>
    <row r="51" customFormat="false" ht="15" hidden="false" customHeight="true" outlineLevel="0" collapsed="false">
      <c r="A51" s="11" t="s">
        <v>59</v>
      </c>
      <c r="C51" s="12" t="n">
        <v>120000</v>
      </c>
    </row>
    <row r="52" customFormat="false" ht="15" hidden="false" customHeight="true" outlineLevel="0" collapsed="false">
      <c r="A52" s="11" t="s">
        <v>60</v>
      </c>
      <c r="C52" s="12" t="n">
        <v>400000</v>
      </c>
    </row>
    <row r="53" customFormat="false" ht="15" hidden="false" customHeight="true" outlineLevel="0" collapsed="false">
      <c r="A53" s="18" t="s">
        <v>61</v>
      </c>
      <c r="C53" s="24" t="n">
        <f aca="false">C48*C49+C50+C51+C52</f>
        <v>1022500</v>
      </c>
    </row>
    <row r="54" customFormat="false" ht="15" hidden="false" customHeight="true" outlineLevel="0" collapsed="false">
      <c r="A54" s="11" t="s">
        <v>62</v>
      </c>
      <c r="C54" s="15" t="n">
        <f aca="false">C40-B9</f>
        <v>247500</v>
      </c>
    </row>
    <row r="55" customFormat="false" ht="15" hidden="false" customHeight="true" outlineLevel="0" collapsed="false">
      <c r="A55" s="18" t="s">
        <v>63</v>
      </c>
      <c r="C55" s="27" t="n">
        <f aca="false">C54/C53</f>
        <v>0.242053789731051</v>
      </c>
    </row>
    <row r="56" customFormat="false" ht="15" hidden="false" customHeight="true" outlineLevel="0" collapsed="false">
      <c r="A56" s="11" t="s">
        <v>64</v>
      </c>
      <c r="C56" s="22" t="n">
        <v>0.0575</v>
      </c>
    </row>
    <row r="57" customFormat="false" ht="15" hidden="false" customHeight="true" outlineLevel="0" collapsed="false">
      <c r="A57" s="18" t="s">
        <v>65</v>
      </c>
      <c r="C57" s="24" t="n">
        <f aca="false">C54/C56</f>
        <v>4304347.82608696</v>
      </c>
    </row>
  </sheetData>
  <mergeCells count="2">
    <mergeCell ref="E5:E32"/>
    <mergeCell ref="A20:C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4"/>
    <col collapsed="false" customWidth="true" hidden="false" outlineLevel="0" max="3" min="2" style="1" width="18"/>
    <col collapsed="false" customWidth="true" hidden="false" outlineLevel="0" max="4" min="4" style="1" width="3"/>
    <col collapsed="false" customWidth="true" hidden="false" outlineLevel="0" max="5" min="5" style="1" width="52"/>
  </cols>
  <sheetData>
    <row r="1" customFormat="false" ht="17.25" hidden="false" customHeight="true" outlineLevel="0" collapsed="false">
      <c r="A1" s="7" t="s">
        <v>66</v>
      </c>
    </row>
    <row r="2" customFormat="false" ht="15" hidden="false" customHeight="true" outlineLevel="0" collapsed="false">
      <c r="A2" s="4" t="s">
        <v>67</v>
      </c>
    </row>
    <row r="4" customFormat="false" ht="15" hidden="false" customHeight="true" outlineLevel="0" collapsed="false">
      <c r="A4" s="5" t="s">
        <v>68</v>
      </c>
      <c r="E4" s="5" t="s">
        <v>69</v>
      </c>
    </row>
    <row r="5" customFormat="false" ht="15" hidden="false" customHeight="true" outlineLevel="0" collapsed="false">
      <c r="A5" s="11" t="s">
        <v>70</v>
      </c>
      <c r="B5" s="12" t="n">
        <v>12000</v>
      </c>
      <c r="E5" s="10" t="s">
        <v>71</v>
      </c>
    </row>
    <row r="6" customFormat="false" ht="15" hidden="false" customHeight="true" outlineLevel="0" collapsed="false">
      <c r="A6" s="11" t="s">
        <v>72</v>
      </c>
      <c r="B6" s="26" t="n">
        <v>96</v>
      </c>
      <c r="E6" s="10"/>
    </row>
    <row r="7" customFormat="false" ht="15" hidden="false" customHeight="true" outlineLevel="0" collapsed="false">
      <c r="A7" s="11" t="s">
        <v>73</v>
      </c>
      <c r="B7" s="21" t="n">
        <v>10</v>
      </c>
      <c r="E7" s="10"/>
    </row>
    <row r="8" customFormat="false" ht="15" hidden="false" customHeight="true" outlineLevel="0" collapsed="false">
      <c r="A8" s="11" t="s">
        <v>74</v>
      </c>
      <c r="B8" s="21" t="n">
        <v>10</v>
      </c>
      <c r="E8" s="10"/>
    </row>
    <row r="9" customFormat="false" ht="15" hidden="false" customHeight="true" outlineLevel="0" collapsed="false">
      <c r="A9" s="11" t="s">
        <v>75</v>
      </c>
      <c r="B9" s="22" t="n">
        <v>0.06</v>
      </c>
      <c r="E9" s="10"/>
    </row>
    <row r="10" customFormat="false" ht="15" hidden="false" customHeight="true" outlineLevel="0" collapsed="false">
      <c r="A10" s="11" t="s">
        <v>76</v>
      </c>
      <c r="B10" s="21" t="n">
        <v>0</v>
      </c>
      <c r="E10" s="10"/>
    </row>
    <row r="11" customFormat="false" ht="15" hidden="false" customHeight="true" outlineLevel="0" collapsed="false">
      <c r="A11" s="11" t="s">
        <v>77</v>
      </c>
      <c r="B11" s="15" t="n">
        <f aca="false">B5*B6</f>
        <v>1152000</v>
      </c>
      <c r="E11" s="10"/>
    </row>
    <row r="12" customFormat="false" ht="15" hidden="false" customHeight="true" outlineLevel="0" collapsed="false">
      <c r="A12" s="18" t="s">
        <v>78</v>
      </c>
      <c r="B12" s="28" t="n">
        <f aca="false">MIN(B7,B8)</f>
        <v>10</v>
      </c>
      <c r="E12" s="10"/>
    </row>
    <row r="13" customFormat="false" ht="15" hidden="false" customHeight="true" outlineLevel="0" collapsed="false">
      <c r="A13" s="11" t="s">
        <v>79</v>
      </c>
      <c r="B13" s="23" t="n">
        <f aca="false">(1-(1+B9)^-B12)/B9</f>
        <v>7.3600870514147</v>
      </c>
      <c r="E13" s="10"/>
    </row>
    <row r="14" customFormat="false" ht="15" hidden="false" customHeight="true" outlineLevel="0" collapsed="false">
      <c r="E14" s="10"/>
    </row>
    <row r="15" customFormat="false" ht="15" hidden="false" customHeight="true" outlineLevel="0" collapsed="false">
      <c r="A15" s="5" t="s">
        <v>80</v>
      </c>
      <c r="E15" s="10"/>
    </row>
    <row r="16" customFormat="false" ht="27.75" hidden="false" customHeight="true" outlineLevel="0" collapsed="false">
      <c r="A16" s="8" t="s">
        <v>81</v>
      </c>
      <c r="B16" s="9" t="s">
        <v>82</v>
      </c>
      <c r="C16" s="9" t="s">
        <v>83</v>
      </c>
      <c r="E16" s="10"/>
    </row>
    <row r="17" customFormat="false" ht="15" hidden="false" customHeight="true" outlineLevel="0" collapsed="false">
      <c r="A17" s="11" t="s">
        <v>84</v>
      </c>
      <c r="B17" s="29" t="n">
        <v>620000</v>
      </c>
      <c r="C17" s="30" t="s">
        <v>85</v>
      </c>
      <c r="E17" s="10"/>
    </row>
    <row r="18" customFormat="false" ht="15" hidden="false" customHeight="true" outlineLevel="0" collapsed="false">
      <c r="A18" s="11" t="s">
        <v>86</v>
      </c>
      <c r="B18" s="29" t="n">
        <v>430000</v>
      </c>
      <c r="C18" s="30" t="s">
        <v>85</v>
      </c>
      <c r="E18" s="10"/>
    </row>
    <row r="19" customFormat="false" ht="15" hidden="false" customHeight="true" outlineLevel="0" collapsed="false">
      <c r="A19" s="11" t="s">
        <v>87</v>
      </c>
      <c r="B19" s="29" t="n">
        <v>520000</v>
      </c>
      <c r="C19" s="30" t="s">
        <v>88</v>
      </c>
      <c r="E19" s="10"/>
    </row>
    <row r="20" customFormat="false" ht="15" hidden="false" customHeight="true" outlineLevel="0" collapsed="false">
      <c r="A20" s="11" t="s">
        <v>89</v>
      </c>
      <c r="B20" s="29" t="n">
        <v>280000</v>
      </c>
      <c r="C20" s="30" t="s">
        <v>88</v>
      </c>
      <c r="E20" s="10"/>
    </row>
    <row r="21" customFormat="false" ht="15" hidden="false" customHeight="true" outlineLevel="0" collapsed="false">
      <c r="A21" s="18" t="s">
        <v>90</v>
      </c>
      <c r="B21" s="24" t="n">
        <f aca="false">SUM(B17:B20)</f>
        <v>1850000</v>
      </c>
      <c r="E21" s="10"/>
    </row>
    <row r="22" customFormat="false" ht="15" hidden="false" customHeight="true" outlineLevel="0" collapsed="false">
      <c r="A22" s="11" t="s">
        <v>91</v>
      </c>
      <c r="B22" s="15" t="n">
        <f aca="false">SUMIF(C17:C20,"yes",B17:B20)</f>
        <v>1050000</v>
      </c>
      <c r="E22" s="10"/>
    </row>
    <row r="23" customFormat="false" ht="15" hidden="false" customHeight="true" outlineLevel="0" collapsed="false">
      <c r="A23" s="18" t="s">
        <v>92</v>
      </c>
      <c r="B23" s="24" t="n">
        <f aca="false">B21-B22</f>
        <v>800000</v>
      </c>
      <c r="E23" s="10"/>
    </row>
    <row r="24" customFormat="false" ht="15" hidden="false" customHeight="true" outlineLevel="0" collapsed="false">
      <c r="A24" s="11" t="s">
        <v>93</v>
      </c>
      <c r="B24" s="15" t="n">
        <f aca="false">B10/12*B11</f>
        <v>0</v>
      </c>
      <c r="E24" s="10"/>
    </row>
    <row r="25" customFormat="false" ht="15" hidden="false" customHeight="true" outlineLevel="0" collapsed="false">
      <c r="A25" s="18" t="s">
        <v>94</v>
      </c>
      <c r="B25" s="24" t="n">
        <f aca="false">B23+B24</f>
        <v>800000</v>
      </c>
      <c r="E25" s="10"/>
    </row>
    <row r="26" customFormat="false" ht="15" hidden="false" customHeight="true" outlineLevel="0" collapsed="false">
      <c r="E26" s="10"/>
    </row>
    <row r="27" customFormat="false" ht="15" hidden="false" customHeight="true" outlineLevel="0" collapsed="false">
      <c r="A27" s="5" t="s">
        <v>95</v>
      </c>
      <c r="E27" s="10"/>
    </row>
    <row r="28" customFormat="false" ht="27.75" hidden="false" customHeight="true" outlineLevel="0" collapsed="false">
      <c r="A28" s="8" t="s">
        <v>96</v>
      </c>
      <c r="B28" s="9" t="s">
        <v>97</v>
      </c>
      <c r="C28" s="9" t="s">
        <v>98</v>
      </c>
      <c r="E28" s="10"/>
    </row>
    <row r="29" customFormat="false" ht="15" hidden="false" customHeight="true" outlineLevel="0" collapsed="false">
      <c r="A29" s="11" t="s">
        <v>99</v>
      </c>
      <c r="B29" s="15" t="n">
        <f aca="false">B11</f>
        <v>1152000</v>
      </c>
      <c r="C29" s="17" t="n">
        <f aca="false">B29/$B$5</f>
        <v>96</v>
      </c>
      <c r="E29" s="10"/>
    </row>
    <row r="30" customFormat="false" ht="15" hidden="false" customHeight="true" outlineLevel="0" collapsed="false">
      <c r="A30" s="11" t="s">
        <v>100</v>
      </c>
      <c r="B30" s="15" t="n">
        <f aca="false">(B11*B12-B21-B24)/B12</f>
        <v>967000</v>
      </c>
      <c r="C30" s="17" t="n">
        <f aca="false">B30/$B$5</f>
        <v>80.5833333333333</v>
      </c>
      <c r="E30" s="10"/>
    </row>
    <row r="31" customFormat="false" ht="15" hidden="false" customHeight="true" outlineLevel="0" collapsed="false">
      <c r="A31" s="11" t="s">
        <v>101</v>
      </c>
      <c r="B31" s="15" t="n">
        <f aca="false">B11-(B21+B24)/B13</f>
        <v>900644.27729229</v>
      </c>
      <c r="C31" s="17" t="n">
        <f aca="false">B31/$B$5</f>
        <v>75.0536897743575</v>
      </c>
    </row>
    <row r="32" customFormat="false" ht="15" hidden="false" customHeight="true" outlineLevel="0" collapsed="false">
      <c r="A32" s="18" t="s">
        <v>102</v>
      </c>
      <c r="B32" s="24" t="n">
        <f aca="false">B11-B25/B13</f>
        <v>1043305.63342369</v>
      </c>
      <c r="C32" s="19" t="n">
        <f aca="false">B32/$B$5</f>
        <v>86.9421361186411</v>
      </c>
    </row>
    <row r="34" customFormat="false" ht="15" hidden="false" customHeight="true" outlineLevel="0" collapsed="false">
      <c r="A34" s="11" t="s">
        <v>103</v>
      </c>
      <c r="B34" s="16" t="n">
        <f aca="false">C32/C29-1</f>
        <v>-0.0943527487641553</v>
      </c>
    </row>
    <row r="35" customFormat="false" ht="15" hidden="false" customHeight="true" outlineLevel="0" collapsed="false">
      <c r="A35" s="11" t="s">
        <v>104</v>
      </c>
      <c r="B35" s="16" t="n">
        <f aca="false">C31/C29-1</f>
        <v>-0.218190731517109</v>
      </c>
    </row>
    <row r="37" customFormat="false" ht="15" hidden="false" customHeight="true" outlineLevel="0" collapsed="false">
      <c r="A37" s="5" t="s">
        <v>105</v>
      </c>
    </row>
    <row r="38" customFormat="false" ht="15" hidden="false" customHeight="true" outlineLevel="0" collapsed="false">
      <c r="A38" s="11" t="s">
        <v>106</v>
      </c>
      <c r="B38" s="23" t="n">
        <f aca="false">(1-(1+B9)^-B7)/B9</f>
        <v>7.3600870514147</v>
      </c>
    </row>
    <row r="39" customFormat="false" ht="15" hidden="false" customHeight="true" outlineLevel="0" collapsed="false">
      <c r="A39" s="11" t="s">
        <v>107</v>
      </c>
      <c r="B39" s="15" t="n">
        <f aca="false">B11-B25/B38</f>
        <v>1043305.63342369</v>
      </c>
    </row>
    <row r="40" customFormat="false" ht="15" hidden="false" customHeight="true" outlineLevel="0" collapsed="false">
      <c r="A40" s="11" t="s">
        <v>46</v>
      </c>
      <c r="B40" s="17" t="n">
        <f aca="false">B39/B5</f>
        <v>86.9421361186411</v>
      </c>
    </row>
    <row r="41" customFormat="false" ht="15" hidden="false" customHeight="true" outlineLevel="0" collapsed="false">
      <c r="A41" s="18" t="s">
        <v>108</v>
      </c>
      <c r="B41" s="19" t="n">
        <f aca="false">B40-C32</f>
        <v>0</v>
      </c>
    </row>
  </sheetData>
  <mergeCells count="1">
    <mergeCell ref="E5:E3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6" min="2" style="1" width="16"/>
    <col collapsed="false" customWidth="true" hidden="false" outlineLevel="0" max="7" min="7" style="1" width="3"/>
    <col collapsed="false" customWidth="true" hidden="false" outlineLevel="0" max="8" min="8" style="1" width="52"/>
  </cols>
  <sheetData>
    <row r="1" customFormat="false" ht="17.25" hidden="false" customHeight="true" outlineLevel="0" collapsed="false">
      <c r="A1" s="7" t="s">
        <v>109</v>
      </c>
    </row>
    <row r="2" customFormat="false" ht="15" hidden="false" customHeight="true" outlineLevel="0" collapsed="false">
      <c r="A2" s="4" t="s">
        <v>110</v>
      </c>
    </row>
    <row r="4" customFormat="false" ht="15" hidden="false" customHeight="true" outlineLevel="0" collapsed="false">
      <c r="A4" s="5" t="s">
        <v>111</v>
      </c>
      <c r="H4" s="5" t="s">
        <v>112</v>
      </c>
    </row>
    <row r="5" customFormat="false" ht="15" hidden="false" customHeight="true" outlineLevel="0" collapsed="false">
      <c r="A5" s="11" t="s">
        <v>113</v>
      </c>
      <c r="B5" s="12" t="n">
        <v>1000000</v>
      </c>
      <c r="H5" s="10" t="s">
        <v>114</v>
      </c>
    </row>
    <row r="6" customFormat="false" ht="15" hidden="false" customHeight="true" outlineLevel="0" collapsed="false">
      <c r="A6" s="11" t="s">
        <v>115</v>
      </c>
      <c r="B6" s="22" t="n">
        <v>0.025</v>
      </c>
      <c r="H6" s="10"/>
    </row>
    <row r="7" customFormat="false" ht="15" hidden="false" customHeight="true" outlineLevel="0" collapsed="false">
      <c r="H7" s="10"/>
    </row>
    <row r="8" customFormat="false" ht="27.75" hidden="false" customHeight="true" outlineLevel="0" collapsed="false">
      <c r="A8" s="8" t="s">
        <v>116</v>
      </c>
      <c r="B8" s="9" t="s">
        <v>117</v>
      </c>
      <c r="C8" s="9" t="s">
        <v>118</v>
      </c>
      <c r="D8" s="9" t="s">
        <v>119</v>
      </c>
      <c r="E8" s="9" t="s">
        <v>120</v>
      </c>
      <c r="F8" s="9" t="s">
        <v>121</v>
      </c>
      <c r="H8" s="10"/>
    </row>
    <row r="9" customFormat="false" ht="15" hidden="false" customHeight="true" outlineLevel="0" collapsed="false">
      <c r="A9" s="11" t="s">
        <v>122</v>
      </c>
      <c r="B9" s="15" t="n">
        <f aca="false">$B$5*(1+$B$6)^0</f>
        <v>1000000</v>
      </c>
      <c r="C9" s="15" t="n">
        <f aca="false">$B$5*(1+$B$6)^1</f>
        <v>1025000</v>
      </c>
      <c r="D9" s="15" t="n">
        <f aca="false">$B$5*(1+$B$6)^2</f>
        <v>1050625</v>
      </c>
      <c r="E9" s="15" t="n">
        <f aca="false">$B$5*(1+$B$6)^3</f>
        <v>1076890.625</v>
      </c>
      <c r="F9" s="15" t="n">
        <f aca="false">$B$5*(1+$B$6)^4</f>
        <v>1103812.890625</v>
      </c>
      <c r="H9" s="10"/>
    </row>
    <row r="10" customFormat="false" ht="15" hidden="false" customHeight="true" outlineLevel="0" collapsed="false">
      <c r="A10" s="11" t="s">
        <v>123</v>
      </c>
      <c r="B10" s="15" t="n">
        <f aca="false">$B$5*(1+$B$6)^5</f>
        <v>1131408.21289062</v>
      </c>
      <c r="H10" s="10"/>
    </row>
    <row r="11" customFormat="false" ht="15" hidden="false" customHeight="true" outlineLevel="0" collapsed="false">
      <c r="A11" s="18" t="s">
        <v>124</v>
      </c>
      <c r="B11" s="24" t="n">
        <f aca="false">AVERAGE(B9:F9)</f>
        <v>1051265.703125</v>
      </c>
      <c r="H11" s="10"/>
    </row>
    <row r="12" customFormat="false" ht="15" hidden="false" customHeight="true" outlineLevel="0" collapsed="false">
      <c r="A12" s="11" t="s">
        <v>125</v>
      </c>
      <c r="B12" s="16" t="n">
        <f aca="false">B11/F9-1</f>
        <v>-0.0476051583980385</v>
      </c>
      <c r="H12" s="10"/>
    </row>
    <row r="13" customFormat="false" ht="15" hidden="false" customHeight="true" outlineLevel="0" collapsed="false">
      <c r="H13" s="10"/>
    </row>
    <row r="14" customFormat="false" ht="15" hidden="false" customHeight="true" outlineLevel="0" collapsed="false">
      <c r="A14" s="5" t="s">
        <v>126</v>
      </c>
      <c r="H14" s="10"/>
    </row>
    <row r="15" customFormat="false" ht="15" hidden="false" customHeight="true" outlineLevel="0" collapsed="false">
      <c r="A15" s="11" t="s">
        <v>113</v>
      </c>
      <c r="B15" s="12" t="n">
        <v>1000000</v>
      </c>
      <c r="H15" s="10"/>
    </row>
    <row r="16" customFormat="false" ht="15" hidden="false" customHeight="true" outlineLevel="0" collapsed="false">
      <c r="A16" s="11" t="s">
        <v>127</v>
      </c>
      <c r="B16" s="22" t="n">
        <v>0.04</v>
      </c>
      <c r="H16" s="10"/>
    </row>
    <row r="17" customFormat="false" ht="15" hidden="false" customHeight="true" outlineLevel="0" collapsed="false">
      <c r="A17" s="11" t="s">
        <v>128</v>
      </c>
      <c r="B17" s="22" t="n">
        <v>0</v>
      </c>
      <c r="H17" s="10"/>
    </row>
    <row r="18" customFormat="false" ht="15" hidden="false" customHeight="true" outlineLevel="0" collapsed="false">
      <c r="H18" s="10"/>
    </row>
    <row r="19" customFormat="false" ht="27.75" hidden="false" customHeight="true" outlineLevel="0" collapsed="false">
      <c r="A19" s="8" t="s">
        <v>129</v>
      </c>
      <c r="B19" s="9" t="s">
        <v>117</v>
      </c>
      <c r="C19" s="9" t="s">
        <v>118</v>
      </c>
      <c r="D19" s="9" t="s">
        <v>119</v>
      </c>
      <c r="E19" s="9" t="s">
        <v>120</v>
      </c>
      <c r="F19" s="9" t="s">
        <v>121</v>
      </c>
      <c r="H19" s="10"/>
    </row>
    <row r="20" customFormat="false" ht="15" hidden="false" customHeight="true" outlineLevel="0" collapsed="false">
      <c r="A20" s="11" t="s">
        <v>130</v>
      </c>
      <c r="B20" s="25" t="n">
        <v>0.062</v>
      </c>
      <c r="C20" s="25" t="n">
        <v>0.055</v>
      </c>
      <c r="D20" s="25" t="n">
        <v>0.031</v>
      </c>
      <c r="E20" s="25" t="n">
        <v>0.018</v>
      </c>
      <c r="F20" s="25" t="n">
        <v>0.045</v>
      </c>
      <c r="H20" s="10"/>
    </row>
    <row r="21" customFormat="false" ht="15" hidden="false" customHeight="true" outlineLevel="0" collapsed="false">
      <c r="A21" s="11" t="s">
        <v>131</v>
      </c>
      <c r="B21" s="16" t="n">
        <f aca="false">MIN($B$16,MAX($B$17,B20))</f>
        <v>0.04</v>
      </c>
      <c r="C21" s="16" t="n">
        <f aca="false">MIN($B$16,MAX($B$17,C20))</f>
        <v>0.04</v>
      </c>
      <c r="D21" s="16" t="n">
        <f aca="false">MIN($B$16,MAX($B$17,D20))</f>
        <v>0.031</v>
      </c>
      <c r="E21" s="16" t="n">
        <f aca="false">MIN($B$16,MAX($B$17,E20))</f>
        <v>0.018</v>
      </c>
      <c r="F21" s="16" t="n">
        <f aca="false">MIN($B$16,MAX($B$17,F20))</f>
        <v>0.04</v>
      </c>
      <c r="H21" s="10"/>
    </row>
    <row r="22" customFormat="false" ht="15" hidden="false" customHeight="true" outlineLevel="0" collapsed="false">
      <c r="A22" s="11" t="s">
        <v>132</v>
      </c>
      <c r="B22" s="15" t="n">
        <f aca="false">$B$15*(1+B21)</f>
        <v>1040000</v>
      </c>
      <c r="C22" s="15" t="n">
        <f aca="false">B22*(1+C21)</f>
        <v>1081600</v>
      </c>
      <c r="D22" s="15" t="n">
        <f aca="false">C22*(1+D21)</f>
        <v>1115129.6</v>
      </c>
      <c r="E22" s="15" t="n">
        <f aca="false">D22*(1+E21)</f>
        <v>1135201.9328</v>
      </c>
      <c r="F22" s="15" t="n">
        <f aca="false">E22*(1+F21)</f>
        <v>1180610.010112</v>
      </c>
      <c r="H22" s="10"/>
    </row>
    <row r="23" customFormat="false" ht="15" hidden="false" customHeight="true" outlineLevel="0" collapsed="false">
      <c r="A23" s="11" t="s">
        <v>133</v>
      </c>
      <c r="B23" s="15" t="n">
        <f aca="false">$B$15*(1+MAX($B$17,B20))</f>
        <v>1062000</v>
      </c>
      <c r="C23" s="15" t="n">
        <f aca="false">B23*(1+MAX($B$17,C20))</f>
        <v>1120410</v>
      </c>
      <c r="D23" s="15" t="n">
        <f aca="false">C23*(1+MAX($B$17,D20))</f>
        <v>1155142.71</v>
      </c>
      <c r="E23" s="15" t="n">
        <f aca="false">D23*(1+MAX($B$17,E20))</f>
        <v>1175935.27878</v>
      </c>
      <c r="F23" s="15" t="n">
        <f aca="false">E23*(1+MAX($B$17,F20))</f>
        <v>1228852.3663251</v>
      </c>
      <c r="H23" s="10"/>
    </row>
    <row r="24" customFormat="false" ht="15" hidden="false" customHeight="true" outlineLevel="0" collapsed="false">
      <c r="A24" s="18" t="s">
        <v>134</v>
      </c>
      <c r="B24" s="24" t="n">
        <f aca="false">B23-B22</f>
        <v>22000</v>
      </c>
      <c r="C24" s="24" t="n">
        <f aca="false">C23-C22</f>
        <v>38810</v>
      </c>
      <c r="D24" s="24" t="n">
        <f aca="false">D23-D22</f>
        <v>40013.1100000001</v>
      </c>
      <c r="E24" s="24" t="n">
        <f aca="false">E23-E22</f>
        <v>40733.3459800002</v>
      </c>
      <c r="F24" s="24" t="n">
        <f aca="false">F23-F22</f>
        <v>48242.3562131</v>
      </c>
      <c r="H24" s="10"/>
    </row>
    <row r="25" customFormat="false" ht="15" hidden="false" customHeight="true" outlineLevel="0" collapsed="false">
      <c r="H25" s="10"/>
    </row>
    <row r="26" customFormat="false" ht="15" hidden="false" customHeight="true" outlineLevel="0" collapsed="false">
      <c r="A26" s="18" t="s">
        <v>135</v>
      </c>
      <c r="B26" s="24" t="n">
        <f aca="false">SUM(B24:F24)</f>
        <v>189798.8121931</v>
      </c>
      <c r="H26" s="10"/>
    </row>
    <row r="27" customFormat="false" ht="15" hidden="false" customHeight="true" outlineLevel="0" collapsed="false">
      <c r="A27" s="11" t="s">
        <v>136</v>
      </c>
      <c r="B27" s="16" t="n">
        <f aca="false">F22/F23-1</f>
        <v>-0.0392580569766647</v>
      </c>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3"/>
    <col collapsed="false" customWidth="true" hidden="false" outlineLevel="0" max="2" min="2" style="1" width="56"/>
    <col collapsed="false" customWidth="true" hidden="false" outlineLevel="0" max="4" min="3" style="1" width="16"/>
    <col collapsed="false" customWidth="true" hidden="false" outlineLevel="0" max="6" min="5" style="1" width="13"/>
    <col collapsed="false" customWidth="true" hidden="false" outlineLevel="0" max="7" min="7" style="1" width="3"/>
    <col collapsed="false" customWidth="true" hidden="false" outlineLevel="0" max="8" min="8" style="1" width="46"/>
  </cols>
  <sheetData>
    <row r="1" customFormat="false" ht="17.25" hidden="false" customHeight="true" outlineLevel="0" collapsed="false">
      <c r="A1" s="7" t="s">
        <v>137</v>
      </c>
    </row>
    <row r="2" customFormat="false" ht="15" hidden="false" customHeight="true" outlineLevel="0" collapsed="false">
      <c r="A2" s="4" t="s">
        <v>138</v>
      </c>
    </row>
    <row r="4" customFormat="false" ht="27.75" hidden="false" customHeight="true" outlineLevel="0" collapsed="false">
      <c r="A4" s="8" t="s">
        <v>139</v>
      </c>
      <c r="B4" s="9" t="s">
        <v>140</v>
      </c>
      <c r="C4" s="9" t="s">
        <v>141</v>
      </c>
      <c r="D4" s="9" t="s">
        <v>142</v>
      </c>
      <c r="E4" s="9" t="s">
        <v>143</v>
      </c>
      <c r="F4" s="9" t="s">
        <v>144</v>
      </c>
      <c r="H4" s="5" t="s">
        <v>145</v>
      </c>
    </row>
    <row r="5" customFormat="false" ht="15" hidden="false" customHeight="true" outlineLevel="0" collapsed="false">
      <c r="A5" s="31" t="s">
        <v>146</v>
      </c>
      <c r="B5" s="32" t="s">
        <v>147</v>
      </c>
      <c r="C5" s="33" t="n">
        <v>83.75</v>
      </c>
      <c r="D5" s="34" t="n">
        <f aca="false">1340000/16000</f>
        <v>83.75</v>
      </c>
      <c r="E5" s="35" t="n">
        <f aca="false">D5-C5</f>
        <v>0</v>
      </c>
      <c r="F5" s="36" t="str">
        <f aca="false">IF(ABS(E5)&lt;=0.006,"reproduced",IF(ABS(E5)&lt;=0.006*5,"rounding","CHECK"))</f>
        <v>reproduced</v>
      </c>
      <c r="H5" s="10" t="s">
        <v>148</v>
      </c>
    </row>
    <row r="6" customFormat="false" ht="15" hidden="false" customHeight="true" outlineLevel="0" collapsed="false">
      <c r="A6" s="37" t="s">
        <v>146</v>
      </c>
      <c r="B6" s="38" t="s">
        <v>149</v>
      </c>
      <c r="C6" s="39" t="n">
        <v>9.31</v>
      </c>
      <c r="D6" s="40" t="n">
        <f aca="false">1340000/(16000*(10.5-1.5))</f>
        <v>9.30555555555556</v>
      </c>
      <c r="E6" s="41" t="n">
        <f aca="false">D6-C6</f>
        <v>-0.00444444444444514</v>
      </c>
      <c r="F6" s="42" t="str">
        <f aca="false">IF(ABS(E6)&lt;=0.006,"reproduced",IF(ABS(E6)&lt;=0.006*5,"rounding","CHECK"))</f>
        <v>reproduced</v>
      </c>
      <c r="H6" s="10"/>
    </row>
    <row r="7" customFormat="false" ht="15" hidden="false" customHeight="true" outlineLevel="0" collapsed="false">
      <c r="A7" s="31" t="s">
        <v>146</v>
      </c>
      <c r="B7" s="32" t="s">
        <v>150</v>
      </c>
      <c r="C7" s="43" t="n">
        <v>7.3601</v>
      </c>
      <c r="D7" s="44" t="n">
        <f aca="false">(1-1.06^-10)/0.06</f>
        <v>7.3600870514147</v>
      </c>
      <c r="E7" s="45" t="n">
        <f aca="false">D7-C7</f>
        <v>-1.29485852973232E-005</v>
      </c>
      <c r="F7" s="36" t="str">
        <f aca="false">IF(ABS(E7)&lt;=0.00006,"reproduced",IF(ABS(E7)&lt;=0.00006*5,"rounding","CHECK"))</f>
        <v>reproduced</v>
      </c>
      <c r="H7" s="10"/>
    </row>
    <row r="8" customFormat="false" ht="15" hidden="false" customHeight="true" outlineLevel="0" collapsed="false">
      <c r="A8" s="37" t="s">
        <v>146</v>
      </c>
      <c r="B8" s="38" t="s">
        <v>151</v>
      </c>
      <c r="C8" s="46" t="n">
        <v>203800</v>
      </c>
      <c r="D8" s="47" t="n">
        <f aca="false">1500000/((1-1.06^-10)/0.06)</f>
        <v>203801.937330576</v>
      </c>
      <c r="E8" s="48" t="n">
        <f aca="false">D8-C8</f>
        <v>1.93733057557256</v>
      </c>
      <c r="F8" s="42" t="str">
        <f aca="false">IF(ABS(E8)&lt;=50,"reproduced",IF(ABS(E8)&lt;=50*5,"rounding","CHECK"))</f>
        <v>reproduced</v>
      </c>
      <c r="H8" s="10"/>
    </row>
    <row r="9" customFormat="false" ht="15" hidden="false" customHeight="true" outlineLevel="0" collapsed="false">
      <c r="A9" s="31" t="s">
        <v>146</v>
      </c>
      <c r="B9" s="32" t="s">
        <v>152</v>
      </c>
      <c r="C9" s="49" t="n">
        <v>796200</v>
      </c>
      <c r="D9" s="50" t="n">
        <f aca="false">1000000-1500000/((1-1.06^-10)/0.06)</f>
        <v>796198.062669425</v>
      </c>
      <c r="E9" s="51" t="n">
        <f aca="false">D9-C9</f>
        <v>-1.93733057554346</v>
      </c>
      <c r="F9" s="36" t="str">
        <f aca="false">IF(ABS(E9)&lt;=50,"reproduced",IF(ABS(E9)&lt;=50*5,"rounding","CHECK"))</f>
        <v>reproduced</v>
      </c>
      <c r="H9" s="10"/>
    </row>
    <row r="10" customFormat="false" ht="15" hidden="false" customHeight="true" outlineLevel="0" collapsed="false">
      <c r="A10" s="37" t="s">
        <v>146</v>
      </c>
      <c r="B10" s="38" t="s">
        <v>153</v>
      </c>
      <c r="C10" s="46" t="n">
        <v>251400</v>
      </c>
      <c r="D10" s="47" t="n">
        <f aca="false">1850000/((1-1.06^-10)/0.06)</f>
        <v>251355.72270771</v>
      </c>
      <c r="E10" s="48" t="n">
        <f aca="false">D10-C10</f>
        <v>-44.2772922901204</v>
      </c>
      <c r="F10" s="42" t="str">
        <f aca="false">IF(ABS(E10)&lt;=50,"reproduced",IF(ABS(E10)&lt;=50*5,"rounding","CHECK"))</f>
        <v>reproduced</v>
      </c>
      <c r="H10" s="10"/>
    </row>
    <row r="11" customFormat="false" ht="15" hidden="false" customHeight="true" outlineLevel="0" collapsed="false">
      <c r="A11" s="31" t="s">
        <v>146</v>
      </c>
      <c r="B11" s="32" t="s">
        <v>154</v>
      </c>
      <c r="C11" s="49" t="n">
        <v>108700</v>
      </c>
      <c r="D11" s="50" t="n">
        <f aca="false">800000/((1-1.06^-10)/0.06)</f>
        <v>108694.366576307</v>
      </c>
      <c r="E11" s="51" t="n">
        <f aca="false">D11-C11</f>
        <v>-5.633423693027</v>
      </c>
      <c r="F11" s="36" t="str">
        <f aca="false">IF(ABS(E11)&lt;=50,"reproduced",IF(ABS(E11)&lt;=50*5,"rounding","CHECK"))</f>
        <v>reproduced</v>
      </c>
      <c r="H11" s="10"/>
    </row>
    <row r="12" customFormat="false" ht="15" hidden="false" customHeight="true" outlineLevel="0" collapsed="false">
      <c r="A12" s="37" t="s">
        <v>146</v>
      </c>
      <c r="B12" s="38" t="s">
        <v>155</v>
      </c>
      <c r="C12" s="46" t="n">
        <v>1131408</v>
      </c>
      <c r="D12" s="47" t="n">
        <f aca="false">Uplifts!B10</f>
        <v>1131408.21289062</v>
      </c>
      <c r="E12" s="48" t="n">
        <f aca="false">D12-C12</f>
        <v>0.212890624534339</v>
      </c>
      <c r="F12" s="42" t="str">
        <f aca="false">IF(ABS(E12)&lt;=1,"reproduced",IF(ABS(E12)&lt;=1*5,"rounding","CHECK"))</f>
        <v>reproduced</v>
      </c>
      <c r="H12" s="10"/>
    </row>
    <row r="13" customFormat="false" ht="15" hidden="false" customHeight="true" outlineLevel="0" collapsed="false">
      <c r="A13" s="31" t="s">
        <v>146</v>
      </c>
      <c r="B13" s="32" t="s">
        <v>156</v>
      </c>
      <c r="C13" s="49" t="n">
        <v>1051266</v>
      </c>
      <c r="D13" s="50" t="n">
        <f aca="false">Uplifts!B11</f>
        <v>1051265.703125</v>
      </c>
      <c r="E13" s="51" t="n">
        <f aca="false">D13-C13</f>
        <v>-0.296875000232831</v>
      </c>
      <c r="F13" s="36" t="str">
        <f aca="false">IF(ABS(E13)&lt;=1,"reproduced",IF(ABS(E13)&lt;=1*5,"rounding","CHECK"))</f>
        <v>reproduced</v>
      </c>
      <c r="H13" s="10"/>
    </row>
    <row r="14" customFormat="false" ht="15" hidden="false" customHeight="true" outlineLevel="0" collapsed="false">
      <c r="A14" s="37" t="s">
        <v>146</v>
      </c>
      <c r="B14" s="38" t="s">
        <v>157</v>
      </c>
      <c r="C14" s="46" t="n">
        <v>1040000</v>
      </c>
      <c r="D14" s="47" t="n">
        <f aca="false">Uplifts!B22</f>
        <v>1040000</v>
      </c>
      <c r="E14" s="48" t="n">
        <f aca="false">D14-C14</f>
        <v>0</v>
      </c>
      <c r="F14" s="42" t="str">
        <f aca="false">IF(ABS(E14)&lt;=1,"reproduced",IF(ABS(E14)&lt;=1*5,"rounding","CHECK"))</f>
        <v>reproduced</v>
      </c>
      <c r="H14" s="10"/>
    </row>
    <row r="15" customFormat="false" ht="15" hidden="false" customHeight="true" outlineLevel="0" collapsed="false">
      <c r="A15" s="31" t="s">
        <v>158</v>
      </c>
      <c r="B15" s="32" t="s">
        <v>159</v>
      </c>
      <c r="C15" s="49" t="n">
        <v>97500</v>
      </c>
      <c r="D15" s="50" t="n">
        <f aca="false">'Rent and cube'!B11</f>
        <v>97500</v>
      </c>
      <c r="E15" s="51" t="n">
        <f aca="false">D15-C15</f>
        <v>0</v>
      </c>
      <c r="F15" s="36" t="str">
        <f aca="false">IF(ABS(E15)&lt;=1,"reproduced",IF(ABS(E15)&lt;=1*5,"rounding","CHECK"))</f>
        <v>reproduced</v>
      </c>
      <c r="H15" s="10"/>
    </row>
    <row r="16" customFormat="false" ht="15" hidden="false" customHeight="true" outlineLevel="0" collapsed="false">
      <c r="A16" s="37" t="s">
        <v>158</v>
      </c>
      <c r="B16" s="38" t="s">
        <v>160</v>
      </c>
      <c r="C16" s="46" t="n">
        <v>165000</v>
      </c>
      <c r="D16" s="47" t="n">
        <f aca="false">'Rent and cube'!C11</f>
        <v>165000</v>
      </c>
      <c r="E16" s="48" t="n">
        <f aca="false">D16-C16</f>
        <v>0</v>
      </c>
      <c r="F16" s="42" t="str">
        <f aca="false">IF(ABS(E16)&lt;=1,"reproduced",IF(ABS(E16)&lt;=1*5,"rounding","CHECK"))</f>
        <v>reproduced</v>
      </c>
      <c r="H16" s="10"/>
    </row>
    <row r="17" customFormat="false" ht="15" hidden="false" customHeight="true" outlineLevel="0" collapsed="false">
      <c r="A17" s="31" t="s">
        <v>158</v>
      </c>
      <c r="B17" s="32" t="s">
        <v>161</v>
      </c>
      <c r="C17" s="52" t="n">
        <v>0.692</v>
      </c>
      <c r="D17" s="53" t="n">
        <f aca="false">'Rent and cube'!B12</f>
        <v>0.692307692307692</v>
      </c>
      <c r="E17" s="54" t="n">
        <f aca="false">D17-C17</f>
        <v>0.000307692307692342</v>
      </c>
      <c r="F17" s="36" t="str">
        <f aca="false">IF(ABS(E17)&lt;=0.0005,"reproduced",IF(ABS(E17)&lt;=0.0005*5,"rounding","CHECK"))</f>
        <v>reproduced</v>
      </c>
      <c r="H17" s="10"/>
    </row>
    <row r="18" customFormat="false" ht="15" hidden="false" customHeight="true" outlineLevel="0" collapsed="false">
      <c r="A18" s="37" t="s">
        <v>158</v>
      </c>
      <c r="B18" s="38" t="s">
        <v>162</v>
      </c>
      <c r="C18" s="39" t="n">
        <v>12</v>
      </c>
      <c r="D18" s="40" t="n">
        <f aca="false">'Rent and cube'!B15</f>
        <v>12</v>
      </c>
      <c r="E18" s="41" t="n">
        <f aca="false">D18-C18</f>
        <v>0</v>
      </c>
      <c r="F18" s="42" t="str">
        <f aca="false">IF(ABS(E18)&lt;=0.006,"reproduced",IF(ABS(E18)&lt;=0.006*5,"rounding","CHECK"))</f>
        <v>reproduced</v>
      </c>
      <c r="H18" s="10"/>
    </row>
    <row r="19" customFormat="false" ht="15" hidden="false" customHeight="true" outlineLevel="0" collapsed="false">
      <c r="A19" s="31" t="s">
        <v>158</v>
      </c>
      <c r="B19" s="32" t="s">
        <v>163</v>
      </c>
      <c r="C19" s="49" t="n">
        <v>1980000</v>
      </c>
      <c r="D19" s="50" t="n">
        <f aca="false">'Rent and cube'!C18</f>
        <v>1980000</v>
      </c>
      <c r="E19" s="51" t="n">
        <f aca="false">D19-C19</f>
        <v>0</v>
      </c>
      <c r="F19" s="36" t="str">
        <f aca="false">IF(ABS(E19)&lt;=1,"reproduced",IF(ABS(E19)&lt;=1*5,"rounding","CHECK"))</f>
        <v>reproduced</v>
      </c>
      <c r="H19" s="10"/>
    </row>
    <row r="20" customFormat="false" ht="15" hidden="false" customHeight="true" outlineLevel="0" collapsed="false">
      <c r="A20" s="37" t="s">
        <v>158</v>
      </c>
      <c r="B20" s="38" t="s">
        <v>164</v>
      </c>
      <c r="C20" s="39" t="n">
        <v>132</v>
      </c>
      <c r="D20" s="40" t="n">
        <f aca="false">'Rent and cube'!C19</f>
        <v>132</v>
      </c>
      <c r="E20" s="41" t="n">
        <f aca="false">D20-C20</f>
        <v>0</v>
      </c>
      <c r="F20" s="42" t="str">
        <f aca="false">IF(ABS(E20)&lt;=0.006,"reproduced",IF(ABS(E20)&lt;=0.006*5,"rounding","CHECK"))</f>
        <v>reproduced</v>
      </c>
      <c r="H20" s="10"/>
    </row>
    <row r="21" customFormat="false" ht="15" hidden="false" customHeight="true" outlineLevel="0" collapsed="false">
      <c r="A21" s="31" t="s">
        <v>158</v>
      </c>
      <c r="B21" s="32" t="s">
        <v>165</v>
      </c>
      <c r="C21" s="43" t="n">
        <v>6.7101</v>
      </c>
      <c r="D21" s="44" t="n">
        <f aca="false">'Rent and cube'!C26</f>
        <v>6.71008139894145</v>
      </c>
      <c r="E21" s="45" t="n">
        <f aca="false">D21-C21</f>
        <v>-1.86010585521146E-005</v>
      </c>
      <c r="F21" s="36" t="str">
        <f aca="false">IF(ABS(E21)&lt;=0.00006,"reproduced",IF(ABS(E21)&lt;=0.00006*5,"rounding","CHECK"))</f>
        <v>reproduced</v>
      </c>
      <c r="H21" s="10"/>
    </row>
    <row r="22" customFormat="false" ht="15" hidden="false" customHeight="true" outlineLevel="0" collapsed="false">
      <c r="A22" s="37" t="s">
        <v>158</v>
      </c>
      <c r="B22" s="38" t="s">
        <v>39</v>
      </c>
      <c r="C22" s="46" t="n">
        <v>193700</v>
      </c>
      <c r="D22" s="47" t="n">
        <f aca="false">'Rent and cube'!C27</f>
        <v>193738.335306198</v>
      </c>
      <c r="E22" s="48" t="n">
        <f aca="false">D22-C22</f>
        <v>38.3353061979578</v>
      </c>
      <c r="F22" s="42" t="str">
        <f aca="false">IF(ABS(E22)&lt;=50,"reproduced",IF(ABS(E22)&lt;=50*5,"rounding","CHECK"))</f>
        <v>reproduced</v>
      </c>
      <c r="H22" s="10"/>
    </row>
    <row r="23" customFormat="false" ht="15" hidden="false" customHeight="true" outlineLevel="0" collapsed="false">
      <c r="A23" s="31" t="s">
        <v>158</v>
      </c>
      <c r="B23" s="32" t="s">
        <v>41</v>
      </c>
      <c r="C23" s="49" t="n">
        <v>810000</v>
      </c>
      <c r="D23" s="50" t="n">
        <f aca="false">'Rent and cube'!C30</f>
        <v>810000</v>
      </c>
      <c r="E23" s="51" t="n">
        <f aca="false">D23-C23</f>
        <v>0</v>
      </c>
      <c r="F23" s="36" t="str">
        <f aca="false">IF(ABS(E23)&lt;=1,"reproduced",IF(ABS(E23)&lt;=1*5,"rounding","CHECK"))</f>
        <v>reproduced</v>
      </c>
      <c r="H23" s="10"/>
    </row>
    <row r="24" customFormat="false" ht="15" hidden="false" customHeight="true" outlineLevel="0" collapsed="false">
      <c r="A24" s="37" t="s">
        <v>158</v>
      </c>
      <c r="B24" s="38" t="s">
        <v>166</v>
      </c>
      <c r="C24" s="46" t="n">
        <v>616300</v>
      </c>
      <c r="D24" s="47" t="n">
        <f aca="false">'Rent and cube'!C31</f>
        <v>616261.664693802</v>
      </c>
      <c r="E24" s="48" t="n">
        <f aca="false">D24-C24</f>
        <v>-38.3353061979869</v>
      </c>
      <c r="F24" s="42" t="str">
        <f aca="false">IF(ABS(E24)&lt;=50,"reproduced",IF(ABS(E24)&lt;=50*5,"rounding","CHECK"))</f>
        <v>reproduced</v>
      </c>
      <c r="H24" s="10"/>
    </row>
    <row r="25" customFormat="false" ht="15" hidden="false" customHeight="true" outlineLevel="0" collapsed="false">
      <c r="A25" s="31" t="s">
        <v>158</v>
      </c>
      <c r="B25" s="32" t="s">
        <v>167</v>
      </c>
      <c r="C25" s="33" t="n">
        <v>88.27</v>
      </c>
      <c r="D25" s="34" t="n">
        <f aca="false">'Rent and cube'!C34</f>
        <v>88.2710277448967</v>
      </c>
      <c r="E25" s="35" t="n">
        <f aca="false">D25-C25</f>
        <v>0.0010277448967031</v>
      </c>
      <c r="F25" s="36" t="str">
        <f aca="false">IF(ABS(E25)&lt;=0.006,"reproduced",IF(ABS(E25)&lt;=0.006*5,"rounding","CHECK"))</f>
        <v>reproduced</v>
      </c>
      <c r="H25" s="10"/>
    </row>
    <row r="26" customFormat="false" ht="15" hidden="false" customHeight="true" outlineLevel="0" collapsed="false">
      <c r="A26" s="37" t="s">
        <v>158</v>
      </c>
      <c r="B26" s="38" t="s">
        <v>168</v>
      </c>
      <c r="C26" s="39" t="n">
        <v>94.43</v>
      </c>
      <c r="D26" s="40" t="n">
        <f aca="false">'Rent and cube'!C35</f>
        <v>94.4336443918347</v>
      </c>
      <c r="E26" s="41" t="n">
        <f aca="false">D26-C26</f>
        <v>0.00364439183471177</v>
      </c>
      <c r="F26" s="42" t="str">
        <f aca="false">IF(ABS(E26)&lt;=0.006,"reproduced",IF(ABS(E26)&lt;=0.006*5,"rounding","CHECK"))</f>
        <v>reproduced</v>
      </c>
      <c r="H26" s="10"/>
    </row>
    <row r="27" customFormat="false" ht="15" hidden="false" customHeight="true" outlineLevel="0" collapsed="false">
      <c r="A27" s="31" t="s">
        <v>158</v>
      </c>
      <c r="B27" s="32" t="s">
        <v>169</v>
      </c>
      <c r="C27" s="33" t="n">
        <v>102.65</v>
      </c>
      <c r="D27" s="34" t="n">
        <f aca="false">'Rent and cube'!C36</f>
        <v>102.650466587752</v>
      </c>
      <c r="E27" s="35" t="n">
        <f aca="false">D27-C27</f>
        <v>0.000466587752072201</v>
      </c>
      <c r="F27" s="36" t="str">
        <f aca="false">IF(ABS(E27)&lt;=0.006,"reproduced",IF(ABS(E27)&lt;=0.006*5,"rounding","CHECK"))</f>
        <v>reproduced</v>
      </c>
    </row>
    <row r="28" customFormat="false" ht="15" hidden="false" customHeight="true" outlineLevel="0" collapsed="false">
      <c r="A28" s="37" t="s">
        <v>158</v>
      </c>
      <c r="B28" s="38" t="s">
        <v>170</v>
      </c>
      <c r="C28" s="39" t="n">
        <v>9.77</v>
      </c>
      <c r="D28" s="40" t="n">
        <f aca="false">'Rent and cube'!C42</f>
        <v>9.76508082003756</v>
      </c>
      <c r="E28" s="41" t="n">
        <f aca="false">D28-C28</f>
        <v>-0.00491917996243707</v>
      </c>
      <c r="F28" s="42" t="str">
        <f aca="false">IF(ABS(E28)&lt;=0.006,"reproduced",IF(ABS(E28)&lt;=0.006*5,"rounding","CHECK"))</f>
        <v>reproduced</v>
      </c>
    </row>
    <row r="29" customFormat="false" ht="15" hidden="false" customHeight="true" outlineLevel="0" collapsed="false">
      <c r="A29" s="31" t="s">
        <v>158</v>
      </c>
      <c r="B29" s="32" t="s">
        <v>171</v>
      </c>
      <c r="C29" s="52" t="n">
        <v>-0.186</v>
      </c>
      <c r="D29" s="53" t="n">
        <f aca="false">'Rent and cube'!C44</f>
        <v>-0.18624326499687</v>
      </c>
      <c r="E29" s="54" t="n">
        <f aca="false">D29-C29</f>
        <v>-0.00024326499686983</v>
      </c>
      <c r="F29" s="36" t="str">
        <f aca="false">IF(ABS(E29)&lt;=0.0005,"reproduced",IF(ABS(E29)&lt;=0.0005*5,"rounding","CHECK"))</f>
        <v>reproduced</v>
      </c>
    </row>
    <row r="30" customFormat="false" ht="15" hidden="false" customHeight="true" outlineLevel="0" collapsed="false">
      <c r="A30" s="37" t="s">
        <v>158</v>
      </c>
      <c r="B30" s="38" t="s">
        <v>172</v>
      </c>
      <c r="C30" s="55" t="n">
        <v>0.21</v>
      </c>
      <c r="D30" s="56" t="n">
        <f aca="false">'Rent and cube'!C45</f>
        <v>0.211538461538461</v>
      </c>
      <c r="E30" s="57" t="n">
        <f aca="false">D30-C30</f>
        <v>0.00153846153846146</v>
      </c>
      <c r="F30" s="42" t="str">
        <f aca="false">IF(ABS(E30)&lt;=0.005,"reproduced",IF(ABS(E30)&lt;=0.005*5,"rounding","CHECK"))</f>
        <v>reproduced</v>
      </c>
    </row>
    <row r="31" customFormat="false" ht="15" hidden="false" customHeight="true" outlineLevel="0" collapsed="false">
      <c r="A31" s="31" t="s">
        <v>158</v>
      </c>
      <c r="B31" s="32" t="s">
        <v>173</v>
      </c>
      <c r="C31" s="49" t="n">
        <v>1022500</v>
      </c>
      <c r="D31" s="50" t="n">
        <f aca="false">'Rent and cube'!C53</f>
        <v>1022500</v>
      </c>
      <c r="E31" s="51" t="n">
        <f aca="false">D31-C31</f>
        <v>0</v>
      </c>
      <c r="F31" s="36" t="str">
        <f aca="false">IF(ABS(E31)&lt;=1,"reproduced",IF(ABS(E31)&lt;=1*5,"rounding","CHECK"))</f>
        <v>reproduced</v>
      </c>
    </row>
    <row r="32" customFormat="false" ht="15" hidden="false" customHeight="true" outlineLevel="0" collapsed="false">
      <c r="A32" s="37" t="s">
        <v>158</v>
      </c>
      <c r="B32" s="38" t="s">
        <v>174</v>
      </c>
      <c r="C32" s="55" t="n">
        <v>0.242</v>
      </c>
      <c r="D32" s="56" t="n">
        <f aca="false">'Rent and cube'!C55</f>
        <v>0.242053789731051</v>
      </c>
      <c r="E32" s="57" t="n">
        <f aca="false">D32-C32</f>
        <v>5.37897310513569E-005</v>
      </c>
      <c r="F32" s="42" t="str">
        <f aca="false">IF(ABS(E32)&lt;=0.0005,"reproduced",IF(ABS(E32)&lt;=0.0005*5,"rounding","CHECK"))</f>
        <v>reproduced</v>
      </c>
    </row>
    <row r="33" customFormat="false" ht="15" hidden="false" customHeight="true" outlineLevel="0" collapsed="false">
      <c r="A33" s="31" t="s">
        <v>158</v>
      </c>
      <c r="B33" s="32" t="s">
        <v>175</v>
      </c>
      <c r="C33" s="49" t="n">
        <v>4304000</v>
      </c>
      <c r="D33" s="50" t="n">
        <f aca="false">'Rent and cube'!C57</f>
        <v>4304347.82608696</v>
      </c>
      <c r="E33" s="51" t="n">
        <f aca="false">D33-C33</f>
        <v>347.826086956076</v>
      </c>
      <c r="F33" s="36" t="str">
        <f aca="false">IF(ABS(E33)&lt;=500,"reproduced",IF(ABS(E33)&lt;=500*5,"rounding","CHECK"))</f>
        <v>reproduced</v>
      </c>
    </row>
    <row r="34" customFormat="false" ht="15" hidden="false" customHeight="true" outlineLevel="0" collapsed="false">
      <c r="A34" s="37" t="s">
        <v>176</v>
      </c>
      <c r="B34" s="38" t="s">
        <v>177</v>
      </c>
      <c r="C34" s="39" t="n">
        <v>80.58</v>
      </c>
      <c r="D34" s="40" t="n">
        <f aca="false">'Net effective rent'!C30</f>
        <v>80.5833333333333</v>
      </c>
      <c r="E34" s="41" t="n">
        <f aca="false">D34-C34</f>
        <v>0.0033333333333303</v>
      </c>
      <c r="F34" s="42" t="str">
        <f aca="false">IF(ABS(E34)&lt;=0.006,"reproduced",IF(ABS(E34)&lt;=0.006*5,"rounding","CHECK"))</f>
        <v>reproduced</v>
      </c>
    </row>
    <row r="35" customFormat="false" ht="15" hidden="false" customHeight="true" outlineLevel="0" collapsed="false">
      <c r="A35" s="31" t="s">
        <v>176</v>
      </c>
      <c r="B35" s="32" t="s">
        <v>178</v>
      </c>
      <c r="C35" s="33" t="n">
        <v>75.05</v>
      </c>
      <c r="D35" s="34" t="n">
        <f aca="false">'Net effective rent'!C31</f>
        <v>75.0536897743575</v>
      </c>
      <c r="E35" s="35" t="n">
        <f aca="false">D35-C35</f>
        <v>0.00368977435751106</v>
      </c>
      <c r="F35" s="36" t="str">
        <f aca="false">IF(ABS(E35)&lt;=0.006,"reproduced",IF(ABS(E35)&lt;=0.006*5,"rounding","CHECK"))</f>
        <v>reproduced</v>
      </c>
    </row>
    <row r="36" customFormat="false" ht="15" hidden="false" customHeight="true" outlineLevel="0" collapsed="false">
      <c r="A36" s="37" t="s">
        <v>176</v>
      </c>
      <c r="B36" s="38" t="s">
        <v>102</v>
      </c>
      <c r="C36" s="39" t="n">
        <v>86.94</v>
      </c>
      <c r="D36" s="40" t="n">
        <f aca="false">'Net effective rent'!C32</f>
        <v>86.9421361186411</v>
      </c>
      <c r="E36" s="41" t="n">
        <f aca="false">D36-C36</f>
        <v>0.00213611864108998</v>
      </c>
      <c r="F36" s="42" t="str">
        <f aca="false">IF(ABS(E36)&lt;=0.006,"reproduced",IF(ABS(E36)&lt;=0.006*5,"rounding","CHECK"))</f>
        <v>reproduced</v>
      </c>
    </row>
    <row r="37" customFormat="false" ht="15" hidden="false" customHeight="true" outlineLevel="0" collapsed="false">
      <c r="A37" s="31" t="s">
        <v>176</v>
      </c>
      <c r="B37" s="32" t="s">
        <v>179</v>
      </c>
      <c r="C37" s="52" t="n">
        <v>-0.218</v>
      </c>
      <c r="D37" s="53" t="n">
        <f aca="false">'Net effective rent'!B35</f>
        <v>-0.218190731517109</v>
      </c>
      <c r="E37" s="54" t="n">
        <f aca="false">D37-C37</f>
        <v>-0.000190731517109327</v>
      </c>
      <c r="F37" s="36" t="str">
        <f aca="false">IF(ABS(E37)&lt;=0.0005,"reproduced",IF(ABS(E37)&lt;=0.0005*5,"rounding","CHECK"))</f>
        <v>reproduced</v>
      </c>
    </row>
    <row r="38" customFormat="false" ht="15" hidden="false" customHeight="true" outlineLevel="0" collapsed="false">
      <c r="A38" s="37" t="s">
        <v>176</v>
      </c>
      <c r="B38" s="38" t="s">
        <v>180</v>
      </c>
      <c r="C38" s="46" t="n">
        <v>800000</v>
      </c>
      <c r="D38" s="47" t="n">
        <f aca="false">'Net effective rent'!B23</f>
        <v>800000</v>
      </c>
      <c r="E38" s="48" t="n">
        <f aca="false">D38-C38</f>
        <v>0</v>
      </c>
      <c r="F38" s="42" t="str">
        <f aca="false">IF(ABS(E38)&lt;=1,"reproduced",IF(ABS(E38)&lt;=1*5,"rounding","CHECK"))</f>
        <v>reproduced</v>
      </c>
    </row>
    <row r="39" customFormat="false" ht="15" hidden="false" customHeight="true" outlineLevel="0" collapsed="false">
      <c r="A39" s="31" t="s">
        <v>176</v>
      </c>
      <c r="B39" s="32" t="s">
        <v>181</v>
      </c>
      <c r="C39" s="49" t="n">
        <v>108700</v>
      </c>
      <c r="D39" s="50" t="n">
        <f aca="false">'Net effective rent'!B25/'Net effective rent'!B13</f>
        <v>108694.366576307</v>
      </c>
      <c r="E39" s="51" t="n">
        <f aca="false">D39-C39</f>
        <v>-5.633423693027</v>
      </c>
      <c r="F39" s="36" t="str">
        <f aca="false">IF(ABS(E39)&lt;=50,"reproduced",IF(ABS(E39)&lt;=50*5,"rounding","CHECK"))</f>
        <v>reproduced</v>
      </c>
    </row>
    <row r="41" customFormat="false" ht="15" hidden="false" customHeight="true" outlineLevel="0" collapsed="false">
      <c r="A41" s="11" t="s">
        <v>182</v>
      </c>
      <c r="C41" s="28" t="n">
        <f aca="false">COUNTIF(F5:F39,"reproduced")</f>
        <v>35</v>
      </c>
    </row>
    <row r="42" customFormat="false" ht="15" hidden="false" customHeight="true" outlineLevel="0" collapsed="false">
      <c r="A42" s="11" t="s">
        <v>183</v>
      </c>
      <c r="C42" s="28" t="n">
        <f aca="false">COUNTIF(F5:F39,"rounding")</f>
        <v>0</v>
      </c>
    </row>
    <row r="43" customFormat="false" ht="15" hidden="false" customHeight="true" outlineLevel="0" collapsed="false">
      <c r="A43" s="11" t="s">
        <v>184</v>
      </c>
      <c r="C43" s="28" t="n">
        <f aca="false">COUNTIF(F5:F39,"CHECK")</f>
        <v>0</v>
      </c>
    </row>
    <row r="45" customFormat="false" ht="15" hidden="false" customHeight="false" outlineLevel="0" collapsed="false">
      <c r="A45" s="58" t="s">
        <v>185</v>
      </c>
      <c r="C45" s="58" t="str">
        <f aca="false">IF(C43=0,"ALL OK","SOME TO CHECK")</f>
        <v>ALL OK</v>
      </c>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2026-08-20T04:45:56Z</dcterms:created>
  <dc:creator>openpyxl</dc:creator>
  <dc:description/>
  <dc:language>en-US</dc:language>
  <cp:lastModifiedBy/>
  <dcterms:modified xsi:type="dcterms:W3CDTF">2026-09-23T23:32:12Z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