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Read me" sheetId="1" state="visible" r:id="rId3"/>
    <sheet name="Inputs" sheetId="2" state="visible" r:id="rId4"/>
    <sheet name="Curves" sheetId="3" state="visible" r:id="rId5"/>
    <sheet name="Forward points" sheetId="4" state="visible" r:id="rId6"/>
    <sheet name="The real cost" sheetId="5" state="visible" r:id="rId7"/>
    <sheet name="The swap" sheetId="6" state="visible" r:id="rId8"/>
    <sheet name="Hedge accounting" sheetId="7" state="visible" r:id="rId9"/>
    <sheet name="Checks" sheetId="8" state="visible" r:id="rId10"/>
  </sheets>
  <definedNames>
    <definedName function="false" hidden="false" name="Ann" vbProcedure="false">Curves!$B$17</definedName>
    <definedName function="false" hidden="false" name="AnnCsa" vbProcedure="false">Curves!$B$18</definedName>
    <definedName function="false" hidden="false" name="BoFx" vbProcedure="false">Inputs!$B$31</definedName>
    <definedName function="false" hidden="false" name="BoIrs" vbProcedure="false">Inputs!$B$30</definedName>
    <definedName function="false" hidden="false" name="CapK" vbProcedure="false">Inputs!$B$41</definedName>
    <definedName function="false" hidden="false" name="Cash" vbProcedure="false">Inputs!$B$12</definedName>
    <definedName function="false" hidden="false" name="ComP" vbProcedure="false">Inputs!$D$48:$D$53</definedName>
    <definedName function="false" hidden="false" name="Cover" vbProcedure="false">Inputs!$B$29</definedName>
    <definedName function="false" hidden="false" name="CRf" vbProcedure="false">Inputs!$B$39</definedName>
    <definedName function="false" hidden="false" name="CsaSp" vbProcedure="false">Inputs!$B$33</definedName>
    <definedName function="false" hidden="false" name="CSpot" vbProcedure="false">Inputs!$B$38</definedName>
    <definedName function="false" hidden="false" name="Cva" vbProcedure="false">Inputs!$B$32</definedName>
    <definedName function="false" hidden="false" name="CVol" vbProcedure="false">Inputs!$B$40</definedName>
    <definedName function="false" hidden="false" name="Debt" vbProcedure="false">Inputs!$B$10</definedName>
    <definedName function="false" hidden="false" name="DFCSA" vbProcedure="false">Curves!$H$8:$H$12</definedName>
    <definedName function="false" hidden="false" name="DFG" vbProcedure="false">Curves!$D$8:$D$12</definedName>
    <definedName function="false" hidden="false" name="DFU" vbProcedure="false">Curves!$E$8:$E$12</definedName>
    <definedName function="false" hidden="false" name="Diff1" vbProcedure="false">Curves!$B$21</definedName>
    <definedName function="false" hidden="false" name="Ebitda" vbProcedure="false">Inputs!$B$8</definedName>
    <definedName function="false" hidden="false" name="Facility" vbProcedure="false">Inputs!$B$13</definedName>
    <definedName function="false" hidden="false" name="FloK" vbProcedure="false">Inputs!$B$42</definedName>
    <definedName function="false" hidden="false" name="Fwd1" vbProcedure="false">Curves!$B$22</definedName>
    <definedName function="false" hidden="false" name="FWDFX" vbProcedure="false">Curves!$F$8:$F$12</definedName>
    <definedName function="false" hidden="false" name="FWDIMP" vbProcedure="false">Curves!$G$8:$G$12</definedName>
    <definedName function="false" hidden="false" name="Headroom" vbProcedure="false">Curves!$B$25</definedName>
    <definedName function="false" hidden="false" name="Hedged" vbProcedure="false">Curves!$B$23</definedName>
    <definedName function="false" hidden="false" name="LibP" vbProcedure="false">Inputs!$C$48:$C$53</definedName>
    <definedName function="false" hidden="false" name="Notional" vbProcedure="false">Inputs!$B$11</definedName>
    <definedName function="false" hidden="false" name="Opened" vbProcedure="false">Curves!$B$24</definedName>
    <definedName function="false" hidden="false" name="ParG" vbProcedure="false">Inputs!$B$20:$B$24</definedName>
    <definedName function="false" hidden="false" name="ParU" vbProcedure="false">Inputs!$C$20:$C$24</definedName>
    <definedName function="false" hidden="false" name="Rev" vbProcedure="false">Inputs!$B$7</definedName>
    <definedName function="false" hidden="false" name="Spot" vbProcedure="false">Inputs!$B$18</definedName>
    <definedName function="false" hidden="false" name="SpotP" vbProcedure="false">Inputs!$B$48:$B$53</definedName>
    <definedName function="false" hidden="false" name="SwapMid" vbProcedure="false">Curves!$B$19</definedName>
    <definedName function="false" hidden="false" name="SwapPaid" vbProcedure="false">Curves!$B$20</definedName>
    <definedName function="false" hidden="false" name="Tonnes" vbProcedure="false">Inputs!$B$37</definedName>
    <definedName function="false" hidden="false" name="UsdSales" vbProcedure="false">Inputs!$B$9</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<sst xmlns="http://schemas.openxmlformats.org/spreadsheetml/2006/main" count="294" uniqueCount="232">
  <si>
    <t xml:space="preserve">Derivatives - The Cost of the Hedge</t>
  </si>
  <si>
    <t xml:space="preserve">Companion workbook 1, by Julian R. Sterling</t>
  </si>
  <si>
    <t xml:space="preserve">What this workbook does</t>
  </si>
  <si>
    <t xml:space="preserve">It separates the three things a treasury report calls the cost of a hedge. The forward points, which are not a cost at all and are shown not to be by an identity that closes to eight decimals. The three lines that are a cost - two execution spreads and a credit charge - in present value over the five years of the programme. And the swap, year by year, at the declared path and at the curve's own implied forwards beside it.</t>
  </si>
  <si>
    <t xml:space="preserve">The first experiment to run</t>
  </si>
  <si>
    <t xml:space="preserve">On the Inputs sheet, move the credit charge from 11 basis points to nought. The total real cost falls from 1,542,782 to 438,577 and the reported cost becomes thirteen times the real one rather than 3.70. The single largest line of the real cost is the one that is never invoiced.</t>
  </si>
  <si>
    <t xml:space="preserve">The second</t>
  </si>
  <si>
    <t xml:space="preserve">On the Inputs sheet, raise every floating rate on the path by one point. The swap flows move, and so does the combined charge - but the fixed-on-the-hedged-part column moves only by the quarter of the debt the swap does not cover. That column is what the hedge was bought to produce.</t>
  </si>
  <si>
    <t xml:space="preserve">The one number to keep an eye on</t>
  </si>
  <si>
    <t xml:space="preserve">The swap at the curve's own implied forwards, in the last column of the Swap sheet. It comes to minus 132,801, which is exactly the dealer's spread. A swap dealt at mid is worth nought; that is the definition of the swap rate, and the Curves sheet checks it.</t>
  </si>
  <si>
    <t xml:space="preserve">On the checks</t>
  </si>
  <si>
    <t xml:space="preserve">The Checks sheet reproduces by formula each figure printed in chapters 1, 2, 3, 9 and 10. Column C is typed from the page; column D is computed here. If a check reads FAIL, the workbook is wrong, not the book.</t>
  </si>
  <si>
    <t xml:space="preserve">Revised 24 September 2026</t>
  </si>
  <si>
    <t xml:space="preserve">Six checks added to chapter 2 and two to chapters 9 and 10, forty-six in all. The bid and offer in level annual terms is 69,076, not the 69,083 the first edition printed (305,777 over the annuity of 4.426684). The credit charge is 3.61 times the larger spread and 8.31 times the smaller, not "nearly four times the size of either". The real cost sheet also shows the other reading of the 8 pips that chapter 2 invites - four pips either side of the middle - on which the bid and offer is 152,937; every figure in the book uses the whole 8.</t>
  </si>
  <si>
    <t xml:space="preserve">Inputs - the Kilmartin Industrial fact pattern</t>
  </si>
  <si>
    <t xml:space="preserve">Blue on pale yellow is an input, and you may edit it. Everything else in this file is a formula over these cells.</t>
  </si>
  <si>
    <t xml:space="preserve">The company</t>
  </si>
  <si>
    <t xml:space="preserve">Revenue, sterling</t>
  </si>
  <si>
    <t xml:space="preserve">EBITDA</t>
  </si>
  <si>
    <t xml:space="preserve">Of which invoiced in dollars, in dollars</t>
  </si>
  <si>
    <t xml:space="preserve">Floating-rate debt</t>
  </si>
  <si>
    <t xml:space="preserve">Swap notional, five years, pays fixed</t>
  </si>
  <si>
    <t xml:space="preserve">Cash</t>
  </si>
  <si>
    <t xml:space="preserve">Committed undrawn facility</t>
  </si>
  <si>
    <t xml:space="preserve">The committed undrawn facility is treated as drawable overnight to post variation margin. That is the assumption that decides every break-even in this file, and it depends on the facility agreement.</t>
  </si>
  <si>
    <t xml:space="preserve">The two markets, on the day of the decision</t>
  </si>
  <si>
    <t xml:space="preserve">Spot, dollars per pound</t>
  </si>
  <si>
    <t xml:space="preserve">year</t>
  </si>
  <si>
    <t xml:space="preserve">GBP par rate</t>
  </si>
  <si>
    <t xml:space="preserve">USD par rate</t>
  </si>
  <si>
    <t xml:space="preserve">1 year</t>
  </si>
  <si>
    <t xml:space="preserve">2 years</t>
  </si>
  <si>
    <t xml:space="preserve">3 years</t>
  </si>
  <si>
    <t xml:space="preserve">4 years</t>
  </si>
  <si>
    <t xml:space="preserve">5 years</t>
  </si>
  <si>
    <t xml:space="preserve">Every discount factor in this file is bootstrapped from these ten rates on the Curves sheet, and the ten par bonds are re-priced to 1 there.</t>
  </si>
  <si>
    <t xml:space="preserve">The hedging programme, as decided</t>
  </si>
  <si>
    <t xml:space="preserve">Share of dollar sales sold forward</t>
  </si>
  <si>
    <t xml:space="preserve">Dealer spread on the swap fixed rate</t>
  </si>
  <si>
    <t xml:space="preserve">Currency bid and offer, on 1.2500</t>
  </si>
  <si>
    <t xml:space="preserve">Credit charge embedded in the rate</t>
  </si>
  <si>
    <t xml:space="preserve">Collateral rate, below the unsecured curve</t>
  </si>
  <si>
    <t xml:space="preserve">The commodity collar - Kilmartin consumes, so it buys the cap</t>
  </si>
  <si>
    <t xml:space="preserve">Tonnes consumed a year</t>
  </si>
  <si>
    <t xml:space="preserve">Spot, per tonne</t>
  </si>
  <si>
    <t xml:space="preserve">Rate used for the carry to one year</t>
  </si>
  <si>
    <t xml:space="preserve">Volatility</t>
  </si>
  <si>
    <t xml:space="preserve">Cap bought at</t>
  </si>
  <si>
    <t xml:space="preserve">Floor sold at</t>
  </si>
  <si>
    <t xml:space="preserve">The floor is not Kilmartin's protection; it is the leg it gives away. Its protection is the cap. Swap the two and the chapter reverses.</t>
  </si>
  <si>
    <t xml:space="preserve">The three declared paths - named scenarios, not simulations</t>
  </si>
  <si>
    <t xml:space="preserve">at the end of year</t>
  </si>
  <si>
    <t xml:space="preserve">spot USD/GBP</t>
  </si>
  <si>
    <t xml:space="preserve">floating rate</t>
  </si>
  <si>
    <t xml:space="preserve">commodity, per tonne</t>
  </si>
  <si>
    <t xml:space="preserve">t = 0</t>
  </si>
  <si>
    <t xml:space="preserve">t = 1</t>
  </si>
  <si>
    <t xml:space="preserve">t = 2</t>
  </si>
  <si>
    <t xml:space="preserve">t = 3</t>
  </si>
  <si>
    <t xml:space="preserve">t = 4</t>
  </si>
  <si>
    <t xml:space="preserve">t = 5</t>
  </si>
  <si>
    <t xml:space="preserve">These are choices, not facts about the markets. Replace them and every figure in the file is re-run on the path you prefer.</t>
  </si>
  <si>
    <t xml:space="preserve">Curves, bootstrapped</t>
  </si>
  <si>
    <t xml:space="preserve">Discount factors from par rates, and everything the rest of the file reads off them.</t>
  </si>
  <si>
    <t xml:space="preserve">The two curves</t>
  </si>
  <si>
    <t xml:space="preserve">GBP par</t>
  </si>
  <si>
    <t xml:space="preserve">USD par</t>
  </si>
  <si>
    <t xml:space="preserve">DF GBP</t>
  </si>
  <si>
    <t xml:space="preserve">DF USD</t>
  </si>
  <si>
    <t xml:space="preserve">forward USD/GBP</t>
  </si>
  <si>
    <t xml:space="preserve">implied forward rate</t>
  </si>
  <si>
    <t xml:space="preserve">DF at the collateral rate</t>
  </si>
  <si>
    <t xml:space="preserve">GBP par bond re-priced</t>
  </si>
  <si>
    <t xml:space="preserve">USD par bond re-priced</t>
  </si>
  <si>
    <t xml:space="preserve">The forwards rise with maturity because dollar rates are higher than sterling rates. A forward curve that fell would mean the reverse, and is the first thing to check.</t>
  </si>
  <si>
    <t xml:space="preserve">What the curves give the rest of the file</t>
  </si>
  <si>
    <t xml:space="preserve">Annuity, the five sterling discount factors</t>
  </si>
  <si>
    <t xml:space="preserve">The same annuity on the collateral curve</t>
  </si>
  <si>
    <t xml:space="preserve">Five-year swap rate, mid market</t>
  </si>
  <si>
    <t xml:space="preserve">Fixed rate paid, mid plus the dealer spread</t>
  </si>
  <si>
    <t xml:space="preserve">One-year rate differential, dollars over sterling</t>
  </si>
  <si>
    <t xml:space="preserve">Forward at one year</t>
  </si>
  <si>
    <t xml:space="preserve">Dollars sold forward each year</t>
  </si>
  <si>
    <t xml:space="preserve">Dollars left open each year</t>
  </si>
  <si>
    <t xml:space="preserve">Available liquidity</t>
  </si>
  <si>
    <t xml:space="preserve">The guards this sheet carries</t>
  </si>
  <si>
    <t xml:space="preserve">Every one of the ten par bonds re-priced, worst error against 1</t>
  </si>
  <si>
    <t xml:space="preserve">Five-year par rate less the mid swap rate</t>
  </si>
  <si>
    <t xml:space="preserve">Spot times the rate differential, less the one-year forward</t>
  </si>
  <si>
    <t xml:space="preserve">The floating leg, less 1 minus the five-year discount factor</t>
  </si>
  <si>
    <t xml:space="preserve">Four identities, each computed by a path that has nothing in common with the one that built the numbers. If any of them stops reading zero, the curve is wrong and so is everything downstream.</t>
  </si>
  <si>
    <t xml:space="preserve">The number that is not a cost</t>
  </si>
  <si>
    <t xml:space="preserve">The forward points, and the covered-interest identity that closes to eight decimals.</t>
  </si>
  <si>
    <t xml:space="preserve">The forward, and what the treasury report calls the cost</t>
  </si>
  <si>
    <t xml:space="preserve">Forward points</t>
  </si>
  <si>
    <t xml:space="preserve">The points, as a share of spot</t>
  </si>
  <si>
    <t xml:space="preserve">Dollars sold forward</t>
  </si>
  <si>
    <t xml:space="preserve">What the treasury report calls the cost, over one year</t>
  </si>
  <si>
    <t xml:space="preserve">Why it is not a cost: the same dollars, two routes, one answer</t>
  </si>
  <si>
    <t xml:space="preserve">Sterling in one year, sold forward</t>
  </si>
  <si>
    <t xml:space="preserve">Sterling in one year, sold spot and financed</t>
  </si>
  <si>
    <t xml:space="preserve">The difference between the two routes</t>
  </si>
  <si>
    <t xml:space="preserve">If that difference were not nought there would be a riskless arbitrage. The forward points are the interest rate differential and nothing else.</t>
  </si>
  <si>
    <t xml:space="preserve">And the exposure they are quoted against</t>
  </si>
  <si>
    <t xml:space="preserve">Dollar sales converted at spot</t>
  </si>
  <si>
    <t xml:space="preserve">Dollar sales as a share of revenue</t>
  </si>
  <si>
    <t xml:space="preserve">The same comparison without converting, which is wrong</t>
  </si>
  <si>
    <t xml:space="preserve">EBITDA margin</t>
  </si>
  <si>
    <t xml:space="preserve">Comparing 180,000,000 of dollars with 340,000,000 of sterling without converting them gives 52.94 per cent. It is wrong, and it is common.</t>
  </si>
  <si>
    <t xml:space="preserve">What the hedge actually cost</t>
  </si>
  <si>
    <t xml:space="preserve">Three lines, all in present value, all over the five years of the programme.</t>
  </si>
  <si>
    <t xml:space="preserve">The three costs, one year at a time</t>
  </si>
  <si>
    <t xml:space="preserve">Bid and offer on the currency, one year</t>
  </si>
  <si>
    <t xml:space="preserve">Credit charge carried in the currency rate, one year</t>
  </si>
  <si>
    <t xml:space="preserve">Credit charge carried in the swap rate, one year</t>
  </si>
  <si>
    <t xml:space="preserve">Dealer spread on the swap fixed rate, one year</t>
  </si>
  <si>
    <t xml:space="preserve">The same three, in present value over five years</t>
  </si>
  <si>
    <t xml:space="preserve">Execution - dealer spread on the swap</t>
  </si>
  <si>
    <t xml:space="preserve">Execution - bid and offer on the currency</t>
  </si>
  <si>
    <t xml:space="preserve">Credit - the charge carried in the rate</t>
  </si>
  <si>
    <t xml:space="preserve">Execution, the two spreads together</t>
  </si>
  <si>
    <t xml:space="preserve">Total real cost</t>
  </si>
  <si>
    <t xml:space="preserve">The spread is carried in the rate dealt, so it is borne at settlement in years one to five and not on the day of dealing. Paid up front it would be 319,109.</t>
  </si>
  <si>
    <t xml:space="preserve">The reported cost, brought to the same horizon and the same basis</t>
  </si>
  <si>
    <t xml:space="preserve">spot when the year is struck</t>
  </si>
  <si>
    <t xml:space="preserve">the year's reported cost</t>
  </si>
  <si>
    <t xml:space="preserve">discount factor</t>
  </si>
  <si>
    <t xml:space="preserve">in present value</t>
  </si>
  <si>
    <t xml:space="preserve">year 1</t>
  </si>
  <si>
    <t xml:space="preserve">year 2</t>
  </si>
  <si>
    <t xml:space="preserve">year 3</t>
  </si>
  <si>
    <t xml:space="preserve">year 4</t>
  </si>
  <si>
    <t xml:space="preserve">year 5</t>
  </si>
  <si>
    <t xml:space="preserve">The reported cost, five years, in present value</t>
  </si>
  <si>
    <t xml:space="preserve">The reported cost as a multiple of the real one</t>
  </si>
  <si>
    <t xml:space="preserve">The report grows when sterling falls, so repeating the first year five times understates it. Notice which of the three real lines is the largest: the credit charge, the only one that is never invoiced.</t>
  </si>
  <si>
    <t xml:space="preserve">Reading the three lines back</t>
  </si>
  <si>
    <t xml:space="preserve">Bid and offer in level annual terms: the present value over the annuity</t>
  </si>
  <si>
    <t xml:space="preserve">  as a share of the first year's sterling proceeds</t>
  </si>
  <si>
    <t xml:space="preserve">Credit charge in level annual terms</t>
  </si>
  <si>
    <t xml:space="preserve">Credit charge as a share of the total real cost</t>
  </si>
  <si>
    <t xml:space="preserve">Credit charge over the larger of the two spreads</t>
  </si>
  <si>
    <t xml:space="preserve">Credit charge over the smaller of the two spreads</t>
  </si>
  <si>
    <t xml:space="preserve">Total real cost as a share of one year's EBITDA</t>
  </si>
  <si>
    <t xml:space="preserve">The other reading of 8 pips</t>
  </si>
  <si>
    <t xml:space="preserve">Bid and offer if Kilmartin paid half the spread, 4 pips from the middle</t>
  </si>
  <si>
    <t xml:space="preserve">Total real cost on that reading</t>
  </si>
  <si>
    <t xml:space="preserve">Credit charge as a share of it</t>
  </si>
  <si>
    <t xml:space="preserve">Chapter 2 describes the 8 pips as four either side of the middle; the model, and every figure the book prints, charges Kilmartin the whole 8. On the half-spread reading the line halves and the credit charge becomes an even larger share.</t>
  </si>
  <si>
    <t xml:space="preserve">The swap, and why what it earned is not a result</t>
  </si>
  <si>
    <t xml:space="preserve">The declared path in one column, the curve's own implied forwards in the next.</t>
  </si>
  <si>
    <t xml:space="preserve">Notional 120,000,000, pays fixed</t>
  </si>
  <si>
    <t xml:space="preserve">floating, as set</t>
  </si>
  <si>
    <t xml:space="preserve">implied forward</t>
  </si>
  <si>
    <t xml:space="preserve">gap</t>
  </si>
  <si>
    <t xml:space="preserve">swap flow</t>
  </si>
  <si>
    <t xml:space="preserve">interest on the debt</t>
  </si>
  <si>
    <t xml:space="preserve">debt and swap combined</t>
  </si>
  <si>
    <t xml:space="preserve">fixed on the hedged part</t>
  </si>
  <si>
    <t xml:space="preserve">the swap at the implied forwards, in present value</t>
  </si>
  <si>
    <t xml:space="preserve">five years</t>
  </si>
  <si>
    <t xml:space="preserve">Fixed rate paid</t>
  </si>
  <si>
    <t xml:space="preserve">Debt and swap, less fixed on the hedged part and floating on the rest</t>
  </si>
  <si>
    <t xml:space="preserve">What the swap earned is a path, not a result. Had the floating rate simply followed the curve's own implied forwards - the one forecast a market gives away - the swap would have returned the dealer's spread, in negative.</t>
  </si>
  <si>
    <t xml:space="preserve">Hedge accounting decides where, not whether</t>
  </si>
  <si>
    <t xml:space="preserve">The hypothetical derivative at mid, and the quarter of sales it never looks at.</t>
  </si>
  <si>
    <t xml:space="preserve">The base on which ineffectiveness will be measured</t>
  </si>
  <si>
    <t xml:space="preserve">The hypothetical derivative deals at mid market</t>
  </si>
  <si>
    <t xml:space="preserve">The company dealt at</t>
  </si>
  <si>
    <t xml:space="preserve">The difference, one year</t>
  </si>
  <si>
    <t xml:space="preserve">The difference, in present value over five years</t>
  </si>
  <si>
    <t xml:space="preserve">The same figure by an independent path: two swap valuations</t>
  </si>
  <si>
    <t xml:space="preserve">The swap as dealt, valued on the curve's own forwards</t>
  </si>
  <si>
    <t xml:space="preserve">The hypothetical derivative at mid, valued the same way</t>
  </si>
  <si>
    <t xml:space="preserve">The base, one valuation less the other</t>
  </si>
  <si>
    <t xml:space="preserve">The two paths, against each other</t>
  </si>
  <si>
    <t xml:space="preserve">IFRS 9 measures the change in fair value, not its level. A constant level difference produces no ineffectiveness while rates stand still. What the dealer's spread builds is the base the measurement will sit on, and it never goes away.</t>
  </si>
  <si>
    <t xml:space="preserve">And where the risk actually is, the accounts are silent</t>
  </si>
  <si>
    <t xml:space="preserve">Dollar sales in no hedging relationship at all</t>
  </si>
  <si>
    <t xml:space="preserve">What they are worth at the strongest spot on the path</t>
  </si>
  <si>
    <t xml:space="preserve">What they are worth at the weakest</t>
  </si>
  <si>
    <t xml:space="preserve">The swing, on which no line of the accounts reports</t>
  </si>
  <si>
    <t xml:space="preserve">Checks</t>
  </si>
  <si>
    <t xml:space="preserve">Each line sets a figure printed in the book beside the figure this workbook computes.</t>
  </si>
  <si>
    <t xml:space="preserve">Column C is typed from the page. Column D is a live formula over the inputs. If they disagree the check says FAIL, and it is the workbook that is wrong.</t>
  </si>
  <si>
    <t xml:space="preserve">Ch.</t>
  </si>
  <si>
    <t xml:space="preserve">Figure</t>
  </si>
  <si>
    <t xml:space="preserve">Printed</t>
  </si>
  <si>
    <t xml:space="preserve">Workbook</t>
  </si>
  <si>
    <t xml:space="preserve">Difference</t>
  </si>
  <si>
    <t xml:space="preserve">Result</t>
  </si>
  <si>
    <t xml:space="preserve">1</t>
  </si>
  <si>
    <t xml:space="preserve">Discount factor, sterling, one year</t>
  </si>
  <si>
    <t xml:space="preserve">Discount factor, sterling, five years</t>
  </si>
  <si>
    <t xml:space="preserve">Forward USD/GBP at one year</t>
  </si>
  <si>
    <t xml:space="preserve">Forward USD/GBP at five years</t>
  </si>
  <si>
    <t xml:space="preserve">Implied forward rate, year two</t>
  </si>
  <si>
    <t xml:space="preserve">Implied forward rate, year five</t>
  </si>
  <si>
    <t xml:space="preserve">The points as a share of spot</t>
  </si>
  <si>
    <t xml:space="preserve">What the report calls the cost, one year</t>
  </si>
  <si>
    <t xml:space="preserve">2</t>
  </si>
  <si>
    <t xml:space="preserve">Execution - dealer spread on the swap, present value</t>
  </si>
  <si>
    <t xml:space="preserve">Execution - bid and offer on the currency, present value</t>
  </si>
  <si>
    <t xml:space="preserve">Credit - the charge carried in the rate, present value</t>
  </si>
  <si>
    <t xml:space="preserve">The two execution spreads together</t>
  </si>
  <si>
    <t xml:space="preserve">The reported cost on the same five-year basis</t>
  </si>
  <si>
    <t xml:space="preserve">3</t>
  </si>
  <si>
    <t xml:space="preserve">Swap flow, year one</t>
  </si>
  <si>
    <t xml:space="preserve">Swap flow, year three</t>
  </si>
  <si>
    <t xml:space="preserve">Swap flows, five years</t>
  </si>
  <si>
    <t xml:space="preserve">Debt and swap combined, year one</t>
  </si>
  <si>
    <t xml:space="preserve">Debt and swap combined, five years</t>
  </si>
  <si>
    <t xml:space="preserve">Path above the implied forward, year two</t>
  </si>
  <si>
    <t xml:space="preserve">Path above the implied forward, year three</t>
  </si>
  <si>
    <t xml:space="preserve">Path below the implied forward, year five</t>
  </si>
  <si>
    <t xml:space="preserve">The swap at the curve's own forwards, present value</t>
  </si>
  <si>
    <t xml:space="preserve">9</t>
  </si>
  <si>
    <t xml:space="preserve">The hypothetical derivative deals at mid</t>
  </si>
  <si>
    <t xml:space="preserve">The base for ineffectiveness, in present value</t>
  </si>
  <si>
    <t xml:space="preserve">10</t>
  </si>
  <si>
    <t xml:space="preserve">Dollar sales in no hedging relationship</t>
  </si>
  <si>
    <t xml:space="preserve">What they are worth at 1.2600</t>
  </si>
  <si>
    <t xml:space="preserve">What they are worth at 1.1400</t>
  </si>
  <si>
    <t xml:space="preserve">The swing no line of the accounts reports</t>
  </si>
  <si>
    <t xml:space="preserve">Bid and offer, level annual terms (revised: the first edition printed 69,083)</t>
  </si>
  <si>
    <t xml:space="preserve">Bid and offer, as a share of the first year's proceeds</t>
  </si>
  <si>
    <t xml:space="preserve">Credit charge, level annual terms</t>
  </si>
  <si>
    <t xml:space="preserve">Credit charge over the larger spread (revised: "nearly four times either"; it is 8.3 times the smaller)</t>
  </si>
  <si>
    <t xml:space="preserve">The base once the first coupon is paid: 30,000 on the last four factors</t>
  </si>
  <si>
    <t xml:space="preserve">The unhedged swing as a share of EBITDA</t>
  </si>
  <si>
    <t xml:space="preserve">Checks that pass</t>
  </si>
  <si>
    <t xml:space="preserve">Checks that fail</t>
  </si>
</sst>
</file>

<file path=xl/styles.xml><?xml version="1.0" encoding="utf-8"?>
<styleSheet xmlns="http://schemas.openxmlformats.org/spreadsheetml/2006/main">
  <numFmts count="18">
    <numFmt numFmtId="164" formatCode="General"/>
    <numFmt numFmtId="165" formatCode="#,##0;\-#,##0"/>
    <numFmt numFmtId="166" formatCode="0.0000"/>
    <numFmt numFmtId="167" formatCode="0.0000%;\-0.0000%"/>
    <numFmt numFmtId="168" formatCode="0.00%;\-0.00%"/>
    <numFmt numFmtId="169" formatCode="#,##0"/>
    <numFmt numFmtId="170" formatCode="#,##0.00;\-#,##0.00"/>
    <numFmt numFmtId="171" formatCode="0.000000"/>
    <numFmt numFmtId="172" formatCode="0.0000000000"/>
    <numFmt numFmtId="173" formatCode="0.00000000"/>
    <numFmt numFmtId="174" formatCode="0.00\x"/>
    <numFmt numFmtId="175" formatCode="0.0000%"/>
    <numFmt numFmtId="176" formatCode="0.0%"/>
    <numFmt numFmtId="177" formatCode="0.00"/>
    <numFmt numFmtId="178" formatCode="0.00%"/>
    <numFmt numFmtId="179" formatCode="0.0&quot; bp&quot;"/>
    <numFmt numFmtId="180" formatCode="@"/>
    <numFmt numFmtId="181" formatCode="0"/>
  </numFmts>
  <fonts count="12">
    <font>
      <sz val="11"/>
      <color theme="1"/>
      <name val="Calibri"/>
      <family val="2"/>
      <charset val="1"/>
    </font>
    <font>
      <sz val="10"/>
      <name val="Arial"/>
      <family val="0"/>
    </font>
    <font>
      <sz val="10"/>
      <name val="Arial"/>
      <family val="0"/>
    </font>
    <font>
      <sz val="10"/>
      <name val="Arial"/>
      <family val="0"/>
    </font>
    <font>
      <b val="true"/>
      <sz val="16"/>
      <color rgb="FF1F4E5F"/>
      <name val="Calibri"/>
      <family val="0"/>
      <charset val="1"/>
    </font>
    <font>
      <i val="true"/>
      <sz val="10"/>
      <color rgb="FF5A6A70"/>
      <name val="Calibri"/>
      <family val="0"/>
      <charset val="1"/>
    </font>
    <font>
      <b val="true"/>
      <sz val="12"/>
      <color rgb="FF1F4E5F"/>
      <name val="Calibri"/>
      <family val="0"/>
      <charset val="1"/>
    </font>
    <font>
      <sz val="11"/>
      <color rgb="FF1A1A1A"/>
      <name val="Calibri"/>
      <family val="0"/>
      <charset val="1"/>
    </font>
    <font>
      <b val="true"/>
      <sz val="11"/>
      <color rgb="FF0B4FA0"/>
      <name val="Calibri"/>
      <family val="0"/>
      <charset val="1"/>
    </font>
    <font>
      <i val="true"/>
      <sz val="9"/>
      <color rgb="FF5A6A70"/>
      <name val="Calibri"/>
      <family val="0"/>
      <charset val="1"/>
    </font>
    <font>
      <b val="true"/>
      <sz val="10"/>
      <color rgb="FFFFFFFF"/>
      <name val="Calibri"/>
      <family val="0"/>
      <charset val="1"/>
    </font>
    <font>
      <b val="true"/>
      <sz val="11"/>
      <color rgb="FF1A1A1A"/>
      <name val="Calibri"/>
      <family val="0"/>
      <charset val="1"/>
    </font>
  </fonts>
  <fills count="5">
    <fill>
      <patternFill patternType="none"/>
    </fill>
    <fill>
      <patternFill patternType="gray125"/>
    </fill>
    <fill>
      <patternFill patternType="solid">
        <fgColor rgb="FFFFF6D8"/>
        <bgColor rgb="FFF2F5F7"/>
      </patternFill>
    </fill>
    <fill>
      <patternFill patternType="solid">
        <fgColor rgb="FF1F4E5F"/>
        <bgColor rgb="FF0B4FA0"/>
      </patternFill>
    </fill>
    <fill>
      <patternFill patternType="solid">
        <fgColor rgb="FFF2F5F7"/>
        <bgColor rgb="FFFFFFFF"/>
      </patternFill>
    </fill>
  </fills>
  <borders count="4">
    <border diagonalUp="false" diagonalDown="false">
      <left/>
      <right/>
      <top/>
      <bottom/>
      <diagonal/>
    </border>
    <border diagonalUp="false" diagonalDown="false">
      <left/>
      <right/>
      <top/>
      <bottom style="medium">
        <color rgb="FF1F4E5F"/>
      </bottom>
      <diagonal/>
    </border>
    <border diagonalUp="false" diagonalDown="false">
      <left/>
      <right/>
      <top/>
      <bottom style="thin">
        <color rgb="FFBFC8CC"/>
      </bottom>
      <diagonal/>
    </border>
    <border diagonalUp="false" diagonalDown="false">
      <left style="thin">
        <color rgb="FFBFC8CC"/>
      </left>
      <right style="thin">
        <color rgb="FFBFC8CC"/>
      </right>
      <top style="thin">
        <color rgb="FFBFC8CC"/>
      </top>
      <bottom style="thin">
        <color rgb="FFBFC8C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center"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6" fillId="0" borderId="2"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0" fillId="0" borderId="2" xfId="0" applyFont="fals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8" fillId="2" borderId="3" xfId="0" applyFont="true" applyBorder="tru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6" fontId="8" fillId="2" borderId="3" xfId="0" applyFont="true" applyBorder="true" applyAlignment="false" applyProtection="false">
      <alignment horizontal="general" vertical="bottom" textRotation="0" wrapText="false" indent="0" shrinkToFit="false"/>
      <protection locked="true" hidden="false"/>
    </xf>
    <xf numFmtId="164" fontId="10" fillId="3" borderId="3" xfId="0" applyFont="true" applyBorder="true" applyAlignment="true" applyProtection="false">
      <alignment horizontal="left" vertical="center" textRotation="0" wrapText="true" indent="0" shrinkToFit="false"/>
      <protection locked="true" hidden="false"/>
    </xf>
    <xf numFmtId="164" fontId="10" fillId="3" borderId="3" xfId="0" applyFont="true" applyBorder="true" applyAlignment="true" applyProtection="false">
      <alignment horizontal="right" vertical="center" textRotation="0" wrapText="true" indent="0" shrinkToFit="false"/>
      <protection locked="true" hidden="false"/>
    </xf>
    <xf numFmtId="167" fontId="8" fillId="2" borderId="3" xfId="0" applyFont="true" applyBorder="true" applyAlignment="false" applyProtection="false">
      <alignment horizontal="general" vertical="bottom" textRotation="0" wrapText="false" indent="0" shrinkToFit="false"/>
      <protection locked="true" hidden="false"/>
    </xf>
    <xf numFmtId="168" fontId="8" fillId="2" borderId="3" xfId="0" applyFont="true" applyBorder="true" applyAlignment="false" applyProtection="false">
      <alignment horizontal="general" vertical="bottom" textRotation="0" wrapText="false" indent="0" shrinkToFit="false"/>
      <protection locked="true" hidden="false"/>
    </xf>
    <xf numFmtId="169" fontId="8" fillId="2" borderId="3" xfId="0" applyFont="true" applyBorder="true" applyAlignment="false" applyProtection="false">
      <alignment horizontal="general" vertical="bottom" textRotation="0" wrapText="false" indent="0" shrinkToFit="false"/>
      <protection locked="true" hidden="false"/>
    </xf>
    <xf numFmtId="170" fontId="8" fillId="2" borderId="3" xfId="0" applyFont="true" applyBorder="true" applyAlignment="false" applyProtection="false">
      <alignment horizontal="general" vertical="bottom" textRotation="0" wrapText="false" indent="0" shrinkToFit="false"/>
      <protection locked="true" hidden="false"/>
    </xf>
    <xf numFmtId="167" fontId="7" fillId="0" borderId="0" xfId="0" applyFont="true" applyBorder="false" applyAlignment="false" applyProtection="false">
      <alignment horizontal="general" vertical="bottom" textRotation="0" wrapText="false" indent="0" shrinkToFit="false"/>
      <protection locked="true" hidden="false"/>
    </xf>
    <xf numFmtId="171" fontId="7" fillId="0" borderId="0" xfId="0" applyFont="true" applyBorder="false" applyAlignment="false" applyProtection="false">
      <alignment horizontal="general" vertical="bottom" textRotation="0" wrapText="false" indent="0" shrinkToFit="false"/>
      <protection locked="true" hidden="false"/>
    </xf>
    <xf numFmtId="166" fontId="7" fillId="0" borderId="0" xfId="0" applyFont="true" applyBorder="false" applyAlignment="false" applyProtection="false">
      <alignment horizontal="general" vertical="bottom" textRotation="0" wrapText="false" indent="0" shrinkToFit="false"/>
      <protection locked="true" hidden="false"/>
    </xf>
    <xf numFmtId="164" fontId="7" fillId="4" borderId="0" xfId="0" applyFont="true" applyBorder="false" applyAlignment="false" applyProtection="false">
      <alignment horizontal="general" vertical="bottom" textRotation="0" wrapText="false" indent="0" shrinkToFit="false"/>
      <protection locked="true" hidden="false"/>
    </xf>
    <xf numFmtId="167" fontId="7" fillId="4" borderId="0" xfId="0" applyFont="true" applyBorder="false" applyAlignment="false" applyProtection="false">
      <alignment horizontal="general" vertical="bottom" textRotation="0" wrapText="false" indent="0" shrinkToFit="false"/>
      <protection locked="true" hidden="false"/>
    </xf>
    <xf numFmtId="171" fontId="7" fillId="4" borderId="0" xfId="0" applyFont="true" applyBorder="false" applyAlignment="false" applyProtection="false">
      <alignment horizontal="general" vertical="bottom" textRotation="0" wrapText="false" indent="0" shrinkToFit="false"/>
      <protection locked="true" hidden="false"/>
    </xf>
    <xf numFmtId="166" fontId="7" fillId="4" borderId="0" xfId="0" applyFont="true" applyBorder="false" applyAlignment="false" applyProtection="false">
      <alignment horizontal="general" vertical="bottom" textRotation="0" wrapText="false" indent="0" shrinkToFit="false"/>
      <protection locked="true" hidden="false"/>
    </xf>
    <xf numFmtId="165" fontId="7" fillId="0" borderId="0" xfId="0" applyFont="true" applyBorder="false" applyAlignment="false" applyProtection="false">
      <alignment horizontal="general" vertical="bottom" textRotation="0" wrapText="false" indent="0" shrinkToFit="false"/>
      <protection locked="true" hidden="false"/>
    </xf>
    <xf numFmtId="172" fontId="7" fillId="0" borderId="0" xfId="0" applyFont="true" applyBorder="false" applyAlignment="false" applyProtection="false">
      <alignment horizontal="general" vertical="bottom" textRotation="0" wrapText="false" indent="0" shrinkToFit="false"/>
      <protection locked="true" hidden="false"/>
    </xf>
    <xf numFmtId="170" fontId="7" fillId="0" borderId="0" xfId="0" applyFont="true" applyBorder="false" applyAlignment="false" applyProtection="false">
      <alignment horizontal="general" vertical="bottom" textRotation="0" wrapText="false" indent="0" shrinkToFit="false"/>
      <protection locked="true" hidden="false"/>
    </xf>
    <xf numFmtId="173" fontId="7" fillId="0" borderId="0" xfId="0" applyFont="true" applyBorder="false" applyAlignment="false" applyProtection="false">
      <alignment horizontal="general" vertical="bottom" textRotation="0" wrapText="false" indent="0" shrinkToFit="false"/>
      <protection locked="true" hidden="false"/>
    </xf>
    <xf numFmtId="165" fontId="7" fillId="4"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5" fontId="11" fillId="0" borderId="0" xfId="0" applyFont="true" applyBorder="false" applyAlignment="false" applyProtection="false">
      <alignment horizontal="general" vertical="bottom" textRotation="0" wrapText="false" indent="0" shrinkToFit="false"/>
      <protection locked="true" hidden="false"/>
    </xf>
    <xf numFmtId="174" fontId="7" fillId="0" borderId="0" xfId="0" applyFont="true" applyBorder="false" applyAlignment="false" applyProtection="false">
      <alignment horizontal="general" vertical="bottom" textRotation="0" wrapText="false" indent="0" shrinkToFit="false"/>
      <protection locked="true" hidden="false"/>
    </xf>
    <xf numFmtId="175" fontId="7" fillId="0" borderId="0" xfId="0" applyFont="true" applyBorder="false" applyAlignment="false" applyProtection="false">
      <alignment horizontal="general" vertical="bottom" textRotation="0" wrapText="false" indent="0" shrinkToFit="false"/>
      <protection locked="true" hidden="false"/>
    </xf>
    <xf numFmtId="176" fontId="7" fillId="0" borderId="0" xfId="0" applyFont="true" applyBorder="false" applyAlignment="false" applyProtection="false">
      <alignment horizontal="general" vertical="bottom" textRotation="0" wrapText="false" indent="0" shrinkToFit="false"/>
      <protection locked="true" hidden="false"/>
    </xf>
    <xf numFmtId="177" fontId="7" fillId="0" borderId="0" xfId="0" applyFont="true" applyBorder="false" applyAlignment="false" applyProtection="false">
      <alignment horizontal="general" vertical="bottom" textRotation="0" wrapText="false" indent="0" shrinkToFit="false"/>
      <protection locked="true" hidden="false"/>
    </xf>
    <xf numFmtId="178" fontId="7" fillId="0" borderId="0" xfId="0" applyFont="true" applyBorder="false" applyAlignment="false" applyProtection="false">
      <alignment horizontal="general" vertical="bottom" textRotation="0" wrapText="false" indent="0" shrinkToFit="false"/>
      <protection locked="true" hidden="false"/>
    </xf>
    <xf numFmtId="179" fontId="7" fillId="0" borderId="0" xfId="0" applyFont="true" applyBorder="false" applyAlignment="false" applyProtection="false">
      <alignment horizontal="general" vertical="bottom" textRotation="0" wrapText="false" indent="0" shrinkToFit="false"/>
      <protection locked="true" hidden="false"/>
    </xf>
    <xf numFmtId="179" fontId="7" fillId="4" borderId="0" xfId="0" applyFont="true" applyBorder="false" applyAlignment="false" applyProtection="false">
      <alignment horizontal="general" vertical="bottom" textRotation="0" wrapText="false" indent="0" shrinkToFit="false"/>
      <protection locked="true" hidden="false"/>
    </xf>
    <xf numFmtId="180" fontId="11" fillId="0" borderId="0" xfId="0" applyFont="true" applyBorder="false" applyAlignment="false" applyProtection="false">
      <alignment horizontal="general" vertical="bottom" textRotation="0" wrapText="false" indent="0" shrinkToFit="false"/>
      <protection locked="true" hidden="false"/>
    </xf>
    <xf numFmtId="173" fontId="7" fillId="4" borderId="0" xfId="0" applyFont="true" applyBorder="false" applyAlignment="false" applyProtection="false">
      <alignment horizontal="general" vertical="bottom" textRotation="0" wrapText="false" indent="0" shrinkToFit="false"/>
      <protection locked="true" hidden="false"/>
    </xf>
    <xf numFmtId="180" fontId="11" fillId="4" borderId="0" xfId="0" applyFont="true" applyBorder="false" applyAlignment="false" applyProtection="false">
      <alignment horizontal="general" vertical="bottom" textRotation="0" wrapText="false" indent="0" shrinkToFit="false"/>
      <protection locked="true" hidden="false"/>
    </xf>
    <xf numFmtId="170" fontId="7" fillId="4" borderId="0" xfId="0" applyFont="true" applyBorder="false" applyAlignment="false" applyProtection="false">
      <alignment horizontal="general" vertical="bottom" textRotation="0" wrapText="false" indent="0" shrinkToFit="false"/>
      <protection locked="true" hidden="false"/>
    </xf>
    <xf numFmtId="174" fontId="7" fillId="4" borderId="0" xfId="0" applyFont="true" applyBorder="false" applyAlignment="false" applyProtection="false">
      <alignment horizontal="general" vertical="bottom" textRotation="0" wrapText="false" indent="0" shrinkToFit="false"/>
      <protection locked="true" hidden="false"/>
    </xf>
    <xf numFmtId="169" fontId="7" fillId="0" borderId="0" xfId="0" applyFont="true" applyBorder="false" applyAlignment="false" applyProtection="false">
      <alignment horizontal="general" vertical="bottom" textRotation="0" wrapText="false" indent="0" shrinkToFit="false"/>
      <protection locked="true" hidden="false"/>
    </xf>
    <xf numFmtId="175" fontId="7" fillId="4" borderId="0" xfId="0" applyFont="true" applyBorder="false" applyAlignment="false" applyProtection="false">
      <alignment horizontal="general" vertical="bottom" textRotation="0" wrapText="false" indent="0" shrinkToFit="false"/>
      <protection locked="true" hidden="false"/>
    </xf>
    <xf numFmtId="181" fontId="11"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C8CC"/>
      <rgbColor rgb="FF808080"/>
      <rgbColor rgb="FF9999FF"/>
      <rgbColor rgb="FF993366"/>
      <rgbColor rgb="FFFFF6D8"/>
      <rgbColor rgb="FFF2F5F7"/>
      <rgbColor rgb="FF660066"/>
      <rgbColor rgb="FFFF8080"/>
      <rgbColor rgb="FF0B4FA0"/>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A6A70"/>
      <rgbColor rgb="FF969696"/>
      <rgbColor rgb="FF1F4E5F"/>
      <rgbColor rgb="FF339966"/>
      <rgbColor rgb="FF003300"/>
      <rgbColor rgb="FF333300"/>
      <rgbColor rgb="FF993300"/>
      <rgbColor rgb="FF993366"/>
      <rgbColor rgb="FF333399"/>
      <rgbColor rgb="FF1A1A1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7"/>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12"/>
  </cols>
  <sheetData>
    <row r="1" customFormat="false" ht="24" hidden="false" customHeight="true" outlineLevel="0" collapsed="false">
      <c r="A1" s="1" t="s">
        <v>0</v>
      </c>
    </row>
    <row r="2" customFormat="false" ht="15" hidden="false" customHeight="false" outlineLevel="0" collapsed="false">
      <c r="A2" s="2" t="s">
        <v>1</v>
      </c>
    </row>
    <row r="3" customFormat="false" ht="15" hidden="false" customHeight="false" outlineLevel="0" collapsed="false">
      <c r="A3" s="3"/>
    </row>
    <row r="5" customFormat="false" ht="15" hidden="false" customHeight="false" outlineLevel="0" collapsed="false">
      <c r="A5" s="4" t="s">
        <v>2</v>
      </c>
    </row>
    <row r="7" customFormat="false" ht="60" hidden="false" customHeight="true" outlineLevel="0" collapsed="false">
      <c r="A7" s="5" t="s">
        <v>3</v>
      </c>
    </row>
    <row r="9" customFormat="false" ht="15" hidden="false" customHeight="false" outlineLevel="0" collapsed="false">
      <c r="A9" s="4" t="s">
        <v>4</v>
      </c>
    </row>
    <row r="11" customFormat="false" ht="45" hidden="false" customHeight="true" outlineLevel="0" collapsed="false">
      <c r="A11" s="5" t="s">
        <v>5</v>
      </c>
    </row>
    <row r="13" customFormat="false" ht="15" hidden="false" customHeight="false" outlineLevel="0" collapsed="false">
      <c r="A13" s="4" t="s">
        <v>6</v>
      </c>
    </row>
    <row r="15" customFormat="false" ht="45" hidden="false" customHeight="true" outlineLevel="0" collapsed="false">
      <c r="A15" s="5" t="s">
        <v>7</v>
      </c>
    </row>
    <row r="17" customFormat="false" ht="15" hidden="false" customHeight="false" outlineLevel="0" collapsed="false">
      <c r="A17" s="4" t="s">
        <v>8</v>
      </c>
    </row>
    <row r="19" customFormat="false" ht="45" hidden="false" customHeight="true" outlineLevel="0" collapsed="false">
      <c r="A19" s="5" t="s">
        <v>9</v>
      </c>
    </row>
    <row r="21" customFormat="false" ht="15" hidden="false" customHeight="false" outlineLevel="0" collapsed="false">
      <c r="A21" s="4" t="s">
        <v>10</v>
      </c>
    </row>
    <row r="23" customFormat="false" ht="30" hidden="false" customHeight="true" outlineLevel="0" collapsed="false">
      <c r="A23" s="5" t="s">
        <v>11</v>
      </c>
    </row>
    <row r="25" customFormat="false" ht="15" hidden="false" customHeight="false" outlineLevel="0" collapsed="false">
      <c r="A25" s="4" t="s">
        <v>12</v>
      </c>
    </row>
    <row r="27" customFormat="false" ht="105" hidden="false" customHeight="true" outlineLevel="0" collapsed="false">
      <c r="A27" s="5" t="s">
        <v>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5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60"/>
    <col collapsed="false" customWidth="true" hidden="false" outlineLevel="0" max="2" min="2" style="0" width="18"/>
    <col collapsed="false" customWidth="true" hidden="false" outlineLevel="0" max="4" min="3" style="0" width="16"/>
  </cols>
  <sheetData>
    <row r="1" customFormat="false" ht="24" hidden="false" customHeight="true" outlineLevel="0" collapsed="false">
      <c r="A1" s="1" t="s">
        <v>14</v>
      </c>
    </row>
    <row r="2" customFormat="false" ht="15" hidden="false" customHeight="false" outlineLevel="0" collapsed="false">
      <c r="A2" s="2" t="s">
        <v>15</v>
      </c>
    </row>
    <row r="3" customFormat="false" ht="15" hidden="false" customHeight="false" outlineLevel="0" collapsed="false">
      <c r="A3" s="3"/>
      <c r="B3" s="3"/>
      <c r="C3" s="3"/>
      <c r="D3" s="3"/>
    </row>
    <row r="5" customFormat="false" ht="15" hidden="false" customHeight="false" outlineLevel="0" collapsed="false">
      <c r="A5" s="4" t="s">
        <v>16</v>
      </c>
      <c r="B5" s="6"/>
      <c r="C5" s="6"/>
      <c r="D5" s="6"/>
    </row>
    <row r="7" customFormat="false" ht="15" hidden="false" customHeight="false" outlineLevel="0" collapsed="false">
      <c r="A7" s="7" t="s">
        <v>17</v>
      </c>
      <c r="B7" s="8" t="n">
        <v>340000000</v>
      </c>
    </row>
    <row r="8" customFormat="false" ht="15" hidden="false" customHeight="false" outlineLevel="0" collapsed="false">
      <c r="A8" s="7" t="s">
        <v>18</v>
      </c>
      <c r="B8" s="8" t="n">
        <v>44200000</v>
      </c>
    </row>
    <row r="9" customFormat="false" ht="15" hidden="false" customHeight="false" outlineLevel="0" collapsed="false">
      <c r="A9" s="7" t="s">
        <v>19</v>
      </c>
      <c r="B9" s="8" t="n">
        <v>180000000</v>
      </c>
    </row>
    <row r="10" customFormat="false" ht="15" hidden="false" customHeight="false" outlineLevel="0" collapsed="false">
      <c r="A10" s="7" t="s">
        <v>20</v>
      </c>
      <c r="B10" s="8" t="n">
        <v>150000000</v>
      </c>
    </row>
    <row r="11" customFormat="false" ht="15" hidden="false" customHeight="false" outlineLevel="0" collapsed="false">
      <c r="A11" s="7" t="s">
        <v>21</v>
      </c>
      <c r="B11" s="8" t="n">
        <v>120000000</v>
      </c>
    </row>
    <row r="12" customFormat="false" ht="15" hidden="false" customHeight="false" outlineLevel="0" collapsed="false">
      <c r="A12" s="7" t="s">
        <v>22</v>
      </c>
      <c r="B12" s="8" t="n">
        <v>11000000</v>
      </c>
    </row>
    <row r="13" customFormat="false" ht="15" hidden="false" customHeight="false" outlineLevel="0" collapsed="false">
      <c r="A13" s="7" t="s">
        <v>23</v>
      </c>
      <c r="B13" s="8" t="n">
        <v>25000000</v>
      </c>
    </row>
    <row r="14" customFormat="false" ht="15" hidden="false" customHeight="false" outlineLevel="0" collapsed="false">
      <c r="A14" s="9" t="s">
        <v>24</v>
      </c>
    </row>
    <row r="16" customFormat="false" ht="15" hidden="false" customHeight="false" outlineLevel="0" collapsed="false">
      <c r="A16" s="4" t="s">
        <v>25</v>
      </c>
      <c r="B16" s="6"/>
      <c r="C16" s="6"/>
      <c r="D16" s="6"/>
    </row>
    <row r="18" customFormat="false" ht="15" hidden="false" customHeight="false" outlineLevel="0" collapsed="false">
      <c r="A18" s="7" t="s">
        <v>26</v>
      </c>
      <c r="B18" s="10" t="n">
        <v>1.25</v>
      </c>
    </row>
    <row r="19" customFormat="false" ht="30" hidden="false" customHeight="true" outlineLevel="0" collapsed="false">
      <c r="A19" s="11" t="s">
        <v>27</v>
      </c>
      <c r="B19" s="12" t="s">
        <v>28</v>
      </c>
      <c r="C19" s="12" t="s">
        <v>29</v>
      </c>
    </row>
    <row r="20" customFormat="false" ht="15" hidden="false" customHeight="false" outlineLevel="0" collapsed="false">
      <c r="A20" s="7" t="s">
        <v>30</v>
      </c>
      <c r="B20" s="13" t="n">
        <v>0.0385</v>
      </c>
      <c r="C20" s="13" t="n">
        <v>0.0505</v>
      </c>
    </row>
    <row r="21" customFormat="false" ht="15" hidden="false" customHeight="false" outlineLevel="0" collapsed="false">
      <c r="A21" s="7" t="s">
        <v>31</v>
      </c>
      <c r="B21" s="13" t="n">
        <v>0.0398</v>
      </c>
      <c r="C21" s="13" t="n">
        <v>0.0512</v>
      </c>
    </row>
    <row r="22" customFormat="false" ht="15" hidden="false" customHeight="false" outlineLevel="0" collapsed="false">
      <c r="A22" s="7" t="s">
        <v>32</v>
      </c>
      <c r="B22" s="13" t="n">
        <v>0.0412</v>
      </c>
      <c r="C22" s="13" t="n">
        <v>0.0521</v>
      </c>
    </row>
    <row r="23" customFormat="false" ht="15" hidden="false" customHeight="false" outlineLevel="0" collapsed="false">
      <c r="A23" s="7" t="s">
        <v>33</v>
      </c>
      <c r="B23" s="13" t="n">
        <v>0.0425</v>
      </c>
      <c r="C23" s="13" t="n">
        <v>0.053</v>
      </c>
    </row>
    <row r="24" customFormat="false" ht="15" hidden="false" customHeight="false" outlineLevel="0" collapsed="false">
      <c r="A24" s="7" t="s">
        <v>34</v>
      </c>
      <c r="B24" s="13" t="n">
        <v>0.0436</v>
      </c>
      <c r="C24" s="13" t="n">
        <v>0.0538</v>
      </c>
    </row>
    <row r="25" customFormat="false" ht="15" hidden="false" customHeight="false" outlineLevel="0" collapsed="false">
      <c r="A25" s="9" t="s">
        <v>35</v>
      </c>
    </row>
    <row r="27" customFormat="false" ht="15" hidden="false" customHeight="false" outlineLevel="0" collapsed="false">
      <c r="A27" s="4" t="s">
        <v>36</v>
      </c>
      <c r="B27" s="6"/>
      <c r="C27" s="6"/>
      <c r="D27" s="6"/>
    </row>
    <row r="29" customFormat="false" ht="15" hidden="false" customHeight="false" outlineLevel="0" collapsed="false">
      <c r="A29" s="7" t="s">
        <v>37</v>
      </c>
      <c r="B29" s="14" t="n">
        <v>0.75</v>
      </c>
    </row>
    <row r="30" customFormat="false" ht="15" hidden="false" customHeight="false" outlineLevel="0" collapsed="false">
      <c r="A30" s="7" t="s">
        <v>38</v>
      </c>
      <c r="B30" s="13" t="n">
        <v>0.00025</v>
      </c>
    </row>
    <row r="31" customFormat="false" ht="15" hidden="false" customHeight="false" outlineLevel="0" collapsed="false">
      <c r="A31" s="7" t="s">
        <v>39</v>
      </c>
      <c r="B31" s="10" t="n">
        <v>0.0008</v>
      </c>
    </row>
    <row r="32" customFormat="false" ht="15" hidden="false" customHeight="false" outlineLevel="0" collapsed="false">
      <c r="A32" s="7" t="s">
        <v>40</v>
      </c>
      <c r="B32" s="13" t="n">
        <v>0.0011</v>
      </c>
    </row>
    <row r="33" customFormat="false" ht="15" hidden="false" customHeight="false" outlineLevel="0" collapsed="false">
      <c r="A33" s="7" t="s">
        <v>41</v>
      </c>
      <c r="B33" s="13" t="n">
        <v>0.0015</v>
      </c>
    </row>
    <row r="35" customFormat="false" ht="15" hidden="false" customHeight="false" outlineLevel="0" collapsed="false">
      <c r="A35" s="4" t="s">
        <v>42</v>
      </c>
      <c r="B35" s="6"/>
      <c r="C35" s="6"/>
      <c r="D35" s="6"/>
    </row>
    <row r="37" customFormat="false" ht="15" hidden="false" customHeight="false" outlineLevel="0" collapsed="false">
      <c r="A37" s="7" t="s">
        <v>43</v>
      </c>
      <c r="B37" s="15" t="n">
        <v>26000</v>
      </c>
    </row>
    <row r="38" customFormat="false" ht="15" hidden="false" customHeight="false" outlineLevel="0" collapsed="false">
      <c r="A38" s="7" t="s">
        <v>44</v>
      </c>
      <c r="B38" s="16" t="n">
        <v>2450</v>
      </c>
    </row>
    <row r="39" customFormat="false" ht="15" hidden="false" customHeight="false" outlineLevel="0" collapsed="false">
      <c r="A39" s="7" t="s">
        <v>45</v>
      </c>
      <c r="B39" s="13" t="n">
        <v>0.0412</v>
      </c>
    </row>
    <row r="40" customFormat="false" ht="15" hidden="false" customHeight="false" outlineLevel="0" collapsed="false">
      <c r="A40" s="7" t="s">
        <v>46</v>
      </c>
      <c r="B40" s="14" t="n">
        <v>0.24</v>
      </c>
    </row>
    <row r="41" customFormat="false" ht="15" hidden="false" customHeight="false" outlineLevel="0" collapsed="false">
      <c r="A41" s="7" t="s">
        <v>47</v>
      </c>
      <c r="B41" s="16" t="n">
        <v>2680</v>
      </c>
    </row>
    <row r="42" customFormat="false" ht="15" hidden="false" customHeight="false" outlineLevel="0" collapsed="false">
      <c r="A42" s="7" t="s">
        <v>48</v>
      </c>
      <c r="B42" s="16" t="n">
        <v>2300</v>
      </c>
    </row>
    <row r="43" customFormat="false" ht="15" hidden="false" customHeight="false" outlineLevel="0" collapsed="false">
      <c r="A43" s="9" t="s">
        <v>49</v>
      </c>
    </row>
    <row r="45" customFormat="false" ht="15" hidden="false" customHeight="false" outlineLevel="0" collapsed="false">
      <c r="A45" s="4" t="s">
        <v>50</v>
      </c>
      <c r="B45" s="6"/>
      <c r="C45" s="6"/>
      <c r="D45" s="6"/>
    </row>
    <row r="47" customFormat="false" ht="30" hidden="false" customHeight="true" outlineLevel="0" collapsed="false">
      <c r="A47" s="11" t="s">
        <v>51</v>
      </c>
      <c r="B47" s="12" t="s">
        <v>52</v>
      </c>
      <c r="C47" s="12" t="s">
        <v>53</v>
      </c>
      <c r="D47" s="12" t="s">
        <v>54</v>
      </c>
    </row>
    <row r="48" customFormat="false" ht="15" hidden="false" customHeight="false" outlineLevel="0" collapsed="false">
      <c r="A48" s="7" t="s">
        <v>55</v>
      </c>
      <c r="B48" s="10" t="n">
        <v>1.25</v>
      </c>
      <c r="C48" s="13" t="n">
        <v>0.0385</v>
      </c>
      <c r="D48" s="16" t="n">
        <v>2450</v>
      </c>
    </row>
    <row r="49" customFormat="false" ht="15" hidden="false" customHeight="false" outlineLevel="0" collapsed="false">
      <c r="A49" s="7" t="s">
        <v>56</v>
      </c>
      <c r="B49" s="10" t="n">
        <v>1.19</v>
      </c>
      <c r="C49" s="13" t="n">
        <v>0.0455</v>
      </c>
      <c r="D49" s="16" t="n">
        <v>2720</v>
      </c>
    </row>
    <row r="50" customFormat="false" ht="15" hidden="false" customHeight="false" outlineLevel="0" collapsed="false">
      <c r="A50" s="7" t="s">
        <v>57</v>
      </c>
      <c r="B50" s="10" t="n">
        <v>1.14</v>
      </c>
      <c r="C50" s="13" t="n">
        <v>0.052</v>
      </c>
      <c r="D50" s="16" t="n">
        <v>2910</v>
      </c>
    </row>
    <row r="51" customFormat="false" ht="15" hidden="false" customHeight="false" outlineLevel="0" collapsed="false">
      <c r="A51" s="7" t="s">
        <v>58</v>
      </c>
      <c r="B51" s="10" t="n">
        <v>1.175</v>
      </c>
      <c r="C51" s="13" t="n">
        <v>0.0495</v>
      </c>
      <c r="D51" s="16" t="n">
        <v>2640</v>
      </c>
    </row>
    <row r="52" customFormat="false" ht="15" hidden="false" customHeight="false" outlineLevel="0" collapsed="false">
      <c r="A52" s="7" t="s">
        <v>59</v>
      </c>
      <c r="B52" s="10" t="n">
        <v>1.22</v>
      </c>
      <c r="C52" s="13" t="n">
        <v>0.043</v>
      </c>
      <c r="D52" s="16" t="n">
        <v>2480</v>
      </c>
    </row>
    <row r="53" customFormat="false" ht="15" hidden="false" customHeight="false" outlineLevel="0" collapsed="false">
      <c r="A53" s="7" t="s">
        <v>60</v>
      </c>
      <c r="B53" s="10" t="n">
        <v>1.26</v>
      </c>
      <c r="C53" s="13" t="n">
        <v>0.0395</v>
      </c>
      <c r="D53" s="16" t="n">
        <v>2360</v>
      </c>
    </row>
    <row r="54" customFormat="false" ht="15" hidden="false" customHeight="false" outlineLevel="0" collapsed="false">
      <c r="A54" s="9" t="s">
        <v>61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3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46"/>
    <col collapsed="false" customWidth="true" hidden="false" outlineLevel="0" max="5" min="2" style="0" width="13"/>
    <col collapsed="false" customWidth="true" hidden="false" outlineLevel="0" max="6" min="6" style="0" width="14"/>
    <col collapsed="false" customWidth="true" hidden="false" outlineLevel="0" max="10" min="7" style="0" width="15"/>
  </cols>
  <sheetData>
    <row r="1" customFormat="false" ht="24" hidden="false" customHeight="true" outlineLevel="0" collapsed="false">
      <c r="A1" s="1" t="s">
        <v>62</v>
      </c>
    </row>
    <row r="2" customFormat="false" ht="15" hidden="false" customHeight="false" outlineLevel="0" collapsed="false">
      <c r="A2" s="2" t="s">
        <v>63</v>
      </c>
    </row>
    <row r="3" customFormat="false" ht="15" hidden="false" customHeight="false" outlineLevel="0" collapsed="false">
      <c r="A3" s="3"/>
      <c r="B3" s="3"/>
      <c r="C3" s="3"/>
      <c r="D3" s="3"/>
      <c r="E3" s="3"/>
      <c r="F3" s="3"/>
      <c r="G3" s="3"/>
      <c r="H3" s="3"/>
      <c r="I3" s="3"/>
      <c r="J3" s="3"/>
    </row>
    <row r="5" customFormat="false" ht="15" hidden="false" customHeight="false" outlineLevel="0" collapsed="false">
      <c r="A5" s="4" t="s">
        <v>64</v>
      </c>
      <c r="B5" s="6"/>
      <c r="C5" s="6"/>
      <c r="D5" s="6"/>
      <c r="E5" s="6"/>
      <c r="F5" s="6"/>
      <c r="G5" s="6"/>
      <c r="H5" s="6"/>
      <c r="I5" s="6"/>
      <c r="J5" s="6"/>
    </row>
    <row r="7" customFormat="false" ht="30" hidden="false" customHeight="true" outlineLevel="0" collapsed="false">
      <c r="A7" s="11" t="s">
        <v>27</v>
      </c>
      <c r="B7" s="12" t="s">
        <v>65</v>
      </c>
      <c r="C7" s="12" t="s">
        <v>66</v>
      </c>
      <c r="D7" s="12" t="s">
        <v>67</v>
      </c>
      <c r="E7" s="12" t="s">
        <v>68</v>
      </c>
      <c r="F7" s="12" t="s">
        <v>69</v>
      </c>
      <c r="G7" s="12" t="s">
        <v>70</v>
      </c>
      <c r="H7" s="12" t="s">
        <v>71</v>
      </c>
      <c r="I7" s="12" t="s">
        <v>72</v>
      </c>
      <c r="J7" s="12" t="s">
        <v>73</v>
      </c>
    </row>
    <row r="8" customFormat="false" ht="15" hidden="false" customHeight="false" outlineLevel="0" collapsed="false">
      <c r="A8" s="7" t="s">
        <v>30</v>
      </c>
      <c r="B8" s="17" t="n">
        <f aca="false">INDEX(ParG,1)</f>
        <v>0.0385</v>
      </c>
      <c r="C8" s="17" t="n">
        <f aca="false">INDEX(ParU,1)</f>
        <v>0.0505</v>
      </c>
      <c r="D8" s="18" t="n">
        <f aca="false">1/(1+B8)</f>
        <v>0.962927298988926</v>
      </c>
      <c r="E8" s="18" t="n">
        <f aca="false">1/(1+C8)</f>
        <v>0.951927653498334</v>
      </c>
      <c r="F8" s="19" t="n">
        <f aca="false">Spot*D8/E8</f>
        <v>1.26444390948483</v>
      </c>
      <c r="G8" s="17" t="n">
        <f aca="false">1/D8-1</f>
        <v>0.0385</v>
      </c>
      <c r="H8" s="18" t="n">
        <f aca="false">1/(1+B8-CsaSp)</f>
        <v>0.964320154291225</v>
      </c>
      <c r="I8" s="18" t="n">
        <f aca="false">B8*SUM($D$8:D8)+D8</f>
        <v>1</v>
      </c>
      <c r="J8" s="18" t="n">
        <f aca="false">C8*SUM($E$8:E8)+E8</f>
        <v>1</v>
      </c>
    </row>
    <row r="9" customFormat="false" ht="15" hidden="false" customHeight="false" outlineLevel="0" collapsed="false">
      <c r="A9" s="20" t="s">
        <v>31</v>
      </c>
      <c r="B9" s="21" t="n">
        <f aca="false">INDEX(ParG,2)</f>
        <v>0.0398</v>
      </c>
      <c r="C9" s="21" t="n">
        <f aca="false">INDEX(ParU,2)</f>
        <v>0.0512</v>
      </c>
      <c r="D9" s="22" t="n">
        <f aca="false">(1-B9*SUM($D$8:D8))/(1+B9)</f>
        <v>0.924865833333565</v>
      </c>
      <c r="E9" s="22" t="n">
        <f aca="false">(1-C9*SUM($E$8:E8))/(1+C9)</f>
        <v>0.904928942295363</v>
      </c>
      <c r="F9" s="23" t="n">
        <f aca="false">Spot*D9/E9</f>
        <v>1.27753930461605</v>
      </c>
      <c r="G9" s="21" t="n">
        <f aca="false">D8/D9-1</f>
        <v>0.0411534995494143</v>
      </c>
      <c r="H9" s="22" t="n">
        <f aca="false">(1-(B9-CsaSp)*SUM($H$8:H8))/(1+B9-CsaSp)</f>
        <v>0.927541691313345</v>
      </c>
      <c r="I9" s="22" t="n">
        <f aca="false">B9*SUM($D$8:D9)+D9</f>
        <v>1</v>
      </c>
      <c r="J9" s="22" t="n">
        <f aca="false">C9*SUM($E$8:E9)+E9</f>
        <v>1</v>
      </c>
    </row>
    <row r="10" customFormat="false" ht="15" hidden="false" customHeight="false" outlineLevel="0" collapsed="false">
      <c r="A10" s="7" t="s">
        <v>32</v>
      </c>
      <c r="B10" s="17" t="n">
        <f aca="false">INDEX(ParG,3)</f>
        <v>0.0412</v>
      </c>
      <c r="C10" s="17" t="n">
        <f aca="false">INDEX(ParU,3)</f>
        <v>0.0521</v>
      </c>
      <c r="D10" s="18" t="n">
        <f aca="false">(1-B10*SUM($D$8:D9))/(1+B10)</f>
        <v>0.8857308134348</v>
      </c>
      <c r="E10" s="18" t="n">
        <f aca="false">(1-C10*SUM($E$8:E9))/(1+C10)</f>
        <v>0.858528439653216</v>
      </c>
      <c r="F10" s="19" t="n">
        <f aca="false">Spot*D10/E10</f>
        <v>1.28960610465125</v>
      </c>
      <c r="G10" s="17" t="n">
        <f aca="false">D9/D10-1</f>
        <v>0.0441838754000239</v>
      </c>
      <c r="H10" s="18" t="n">
        <f aca="false">(1-(B10-CsaSp)*SUM($H$8:H9))/(1+B10-CsaSp)</f>
        <v>0.889576882494468</v>
      </c>
      <c r="I10" s="18" t="n">
        <f aca="false">B10*SUM($D$8:D10)+D10</f>
        <v>1</v>
      </c>
      <c r="J10" s="18" t="n">
        <f aca="false">C10*SUM($E$8:E10)+E10</f>
        <v>1</v>
      </c>
    </row>
    <row r="11" customFormat="false" ht="15" hidden="false" customHeight="false" outlineLevel="0" collapsed="false">
      <c r="A11" s="20" t="s">
        <v>33</v>
      </c>
      <c r="B11" s="21" t="n">
        <f aca="false">INDEX(ParG,4)</f>
        <v>0.0425</v>
      </c>
      <c r="C11" s="21" t="n">
        <f aca="false">INDEX(ParU,4)</f>
        <v>0.053</v>
      </c>
      <c r="D11" s="22" t="n">
        <f aca="false">(1-B11*SUM($D$8:D10))/(1+B11)</f>
        <v>0.846163292379199</v>
      </c>
      <c r="E11" s="22" t="n">
        <f aca="false">(1-C11*SUM($E$8:E10))/(1+C11)</f>
        <v>0.812995814930023</v>
      </c>
      <c r="F11" s="23" t="n">
        <f aca="false">Spot*D11/E11</f>
        <v>1.30099576904346</v>
      </c>
      <c r="G11" s="21" t="n">
        <f aca="false">D10/D11-1</f>
        <v>0.0467610937651841</v>
      </c>
      <c r="H11" s="22" t="n">
        <f aca="false">(1-(B11-CsaSp)*SUM($H$8:H10))/(1+B11-CsaSp)</f>
        <v>0.851067254705033</v>
      </c>
      <c r="I11" s="22" t="n">
        <f aca="false">B11*SUM($D$8:D11)+D11</f>
        <v>1</v>
      </c>
      <c r="J11" s="22" t="n">
        <f aca="false">C11*SUM($E$8:E11)+E11</f>
        <v>1</v>
      </c>
    </row>
    <row r="12" customFormat="false" ht="15" hidden="false" customHeight="false" outlineLevel="0" collapsed="false">
      <c r="A12" s="7" t="s">
        <v>34</v>
      </c>
      <c r="B12" s="17" t="n">
        <f aca="false">INDEX(ParG,5)</f>
        <v>0.0436</v>
      </c>
      <c r="C12" s="17" t="n">
        <f aca="false">INDEX(ParU,5)</f>
        <v>0.0538</v>
      </c>
      <c r="D12" s="18" t="n">
        <f aca="false">(1-B12*SUM($D$8:D11))/(1+B12)</f>
        <v>0.806996585298245</v>
      </c>
      <c r="E12" s="18" t="n">
        <f aca="false">(1-C12*SUM($E$8:E11))/(1+C12)</f>
        <v>0.768811074444601</v>
      </c>
      <c r="F12" s="19" t="n">
        <f aca="false">Spot*D12/E12</f>
        <v>1.31208532909276</v>
      </c>
      <c r="G12" s="17" t="n">
        <f aca="false">D11/D12-1</f>
        <v>0.048533919219099</v>
      </c>
      <c r="H12" s="18" t="n">
        <f aca="false">(1-(B12-CsaSp)*SUM($H$8:H11))/(1+B12-CsaSp)</f>
        <v>0.812850492394155</v>
      </c>
      <c r="I12" s="18" t="n">
        <f aca="false">B12*SUM($D$8:D12)+D12</f>
        <v>1</v>
      </c>
      <c r="J12" s="18" t="n">
        <f aca="false">C12*SUM($E$8:E12)+E12</f>
        <v>1</v>
      </c>
    </row>
    <row r="13" customFormat="false" ht="15" hidden="false" customHeight="false" outlineLevel="0" collapsed="false">
      <c r="A13" s="9" t="s">
        <v>74</v>
      </c>
    </row>
    <row r="15" customFormat="false" ht="15" hidden="false" customHeight="false" outlineLevel="0" collapsed="false">
      <c r="A15" s="4" t="s">
        <v>75</v>
      </c>
      <c r="B15" s="6"/>
      <c r="C15" s="6"/>
      <c r="D15" s="6"/>
      <c r="E15" s="6"/>
      <c r="F15" s="6"/>
      <c r="G15" s="6"/>
      <c r="H15" s="6"/>
    </row>
    <row r="17" customFormat="false" ht="15" hidden="false" customHeight="false" outlineLevel="0" collapsed="false">
      <c r="A17" s="7" t="s">
        <v>76</v>
      </c>
      <c r="B17" s="18" t="n">
        <f aca="false">SUM(DFG)</f>
        <v>4.42668382343474</v>
      </c>
    </row>
    <row r="18" customFormat="false" ht="15" hidden="false" customHeight="false" outlineLevel="0" collapsed="false">
      <c r="A18" s="7" t="s">
        <v>77</v>
      </c>
      <c r="B18" s="18" t="n">
        <f aca="false">SUM(DFCSA)</f>
        <v>4.44535647519823</v>
      </c>
    </row>
    <row r="19" customFormat="false" ht="15" hidden="false" customHeight="false" outlineLevel="0" collapsed="false">
      <c r="A19" s="7" t="s">
        <v>78</v>
      </c>
      <c r="B19" s="17" t="n">
        <f aca="false">(1-INDEX(DFG,5))/SUM(DFG)</f>
        <v>0.0436</v>
      </c>
    </row>
    <row r="20" customFormat="false" ht="15" hidden="false" customHeight="false" outlineLevel="0" collapsed="false">
      <c r="A20" s="7" t="s">
        <v>79</v>
      </c>
      <c r="B20" s="17" t="n">
        <f aca="false">SwapMid+BoIrs</f>
        <v>0.04385</v>
      </c>
    </row>
    <row r="21" customFormat="false" ht="15" hidden="false" customHeight="false" outlineLevel="0" collapsed="false">
      <c r="A21" s="7" t="s">
        <v>80</v>
      </c>
      <c r="B21" s="18" t="n">
        <f aca="false">INDEX(DFG,1)/INDEX(DFU,1)</f>
        <v>1.01155512758787</v>
      </c>
    </row>
    <row r="22" customFormat="false" ht="15" hidden="false" customHeight="false" outlineLevel="0" collapsed="false">
      <c r="A22" s="7" t="s">
        <v>81</v>
      </c>
      <c r="B22" s="19" t="n">
        <f aca="false">Spot*Diff1</f>
        <v>1.26444390948483</v>
      </c>
    </row>
    <row r="23" customFormat="false" ht="15" hidden="false" customHeight="false" outlineLevel="0" collapsed="false">
      <c r="A23" s="7" t="s">
        <v>82</v>
      </c>
      <c r="B23" s="24" t="n">
        <f aca="false">UsdSales*Cover</f>
        <v>135000000</v>
      </c>
    </row>
    <row r="24" customFormat="false" ht="15" hidden="false" customHeight="false" outlineLevel="0" collapsed="false">
      <c r="A24" s="7" t="s">
        <v>83</v>
      </c>
      <c r="B24" s="24" t="n">
        <f aca="false">UsdSales*(1-Cover)</f>
        <v>45000000</v>
      </c>
    </row>
    <row r="25" customFormat="false" ht="15" hidden="false" customHeight="false" outlineLevel="0" collapsed="false">
      <c r="A25" s="7" t="s">
        <v>84</v>
      </c>
      <c r="B25" s="24" t="n">
        <f aca="false">Cash+Facility</f>
        <v>36000000</v>
      </c>
    </row>
    <row r="27" customFormat="false" ht="15" hidden="false" customHeight="false" outlineLevel="0" collapsed="false">
      <c r="A27" s="4" t="s">
        <v>85</v>
      </c>
      <c r="B27" s="6"/>
      <c r="C27" s="6"/>
      <c r="D27" s="6"/>
      <c r="E27" s="6"/>
      <c r="F27" s="6"/>
      <c r="G27" s="6"/>
      <c r="H27" s="6"/>
    </row>
    <row r="29" customFormat="false" ht="15" hidden="false" customHeight="false" outlineLevel="0" collapsed="false">
      <c r="A29" s="7" t="s">
        <v>86</v>
      </c>
      <c r="B29" s="25" t="n">
        <f aca="false">MAX(ABS(MAX(I8:J12)-1),ABS(1-MIN(I8:J12)))</f>
        <v>0</v>
      </c>
    </row>
    <row r="30" customFormat="false" ht="15" hidden="false" customHeight="false" outlineLevel="0" collapsed="false">
      <c r="A30" s="7" t="s">
        <v>87</v>
      </c>
      <c r="B30" s="25" t="n">
        <f aca="false">INDEX(ParG,5)-SwapMid</f>
        <v>0</v>
      </c>
    </row>
    <row r="31" customFormat="false" ht="15" hidden="false" customHeight="false" outlineLevel="0" collapsed="false">
      <c r="A31" s="7" t="s">
        <v>88</v>
      </c>
      <c r="B31" s="25" t="n">
        <f aca="false">Spot*Diff1-INDEX(FWDFX,1)</f>
        <v>0</v>
      </c>
    </row>
    <row r="32" customFormat="false" ht="15" hidden="false" customHeight="false" outlineLevel="0" collapsed="false">
      <c r="A32" s="7" t="s">
        <v>89</v>
      </c>
      <c r="B32" s="25" t="n">
        <f aca="false">SUMPRODUCT(FWDIMP,DFG)-(1-INDEX(DFG,5))</f>
        <v>0</v>
      </c>
    </row>
    <row r="33" customFormat="false" ht="15" hidden="false" customHeight="false" outlineLevel="0" collapsed="false">
      <c r="A33" s="9" t="s">
        <v>90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2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66"/>
    <col collapsed="false" customWidth="true" hidden="false" outlineLevel="0" max="2" min="2" style="0" width="22"/>
  </cols>
  <sheetData>
    <row r="1" customFormat="false" ht="24" hidden="false" customHeight="true" outlineLevel="0" collapsed="false">
      <c r="A1" s="1" t="s">
        <v>91</v>
      </c>
    </row>
    <row r="2" customFormat="false" ht="15" hidden="false" customHeight="false" outlineLevel="0" collapsed="false">
      <c r="A2" s="2" t="s">
        <v>92</v>
      </c>
    </row>
    <row r="3" customFormat="false" ht="15" hidden="false" customHeight="false" outlineLevel="0" collapsed="false">
      <c r="A3" s="3"/>
      <c r="B3" s="3"/>
    </row>
    <row r="5" customFormat="false" ht="15" hidden="false" customHeight="false" outlineLevel="0" collapsed="false">
      <c r="A5" s="4" t="s">
        <v>93</v>
      </c>
      <c r="B5" s="6"/>
    </row>
    <row r="7" customFormat="false" ht="15" hidden="false" customHeight="false" outlineLevel="0" collapsed="false">
      <c r="A7" s="7" t="s">
        <v>26</v>
      </c>
      <c r="B7" s="19" t="n">
        <f aca="false">Spot</f>
        <v>1.25</v>
      </c>
    </row>
    <row r="8" customFormat="false" ht="15" hidden="false" customHeight="false" outlineLevel="0" collapsed="false">
      <c r="A8" s="7" t="s">
        <v>81</v>
      </c>
      <c r="B8" s="19" t="n">
        <f aca="false">Fwd1</f>
        <v>1.26444390948483</v>
      </c>
    </row>
    <row r="9" customFormat="false" ht="15" hidden="false" customHeight="false" outlineLevel="0" collapsed="false">
      <c r="A9" s="7" t="s">
        <v>94</v>
      </c>
      <c r="B9" s="19" t="n">
        <f aca="false">Fwd1-Spot</f>
        <v>0.0144439094848339</v>
      </c>
    </row>
    <row r="10" customFormat="false" ht="15" hidden="false" customHeight="false" outlineLevel="0" collapsed="false">
      <c r="A10" s="7" t="s">
        <v>95</v>
      </c>
      <c r="B10" s="17" t="n">
        <f aca="false">(Fwd1-Spot)/Spot</f>
        <v>0.0115551275878671</v>
      </c>
    </row>
    <row r="11" customFormat="false" ht="15" hidden="false" customHeight="false" outlineLevel="0" collapsed="false">
      <c r="A11" s="7" t="s">
        <v>96</v>
      </c>
      <c r="B11" s="24" t="n">
        <f aca="false">Hedged</f>
        <v>135000000</v>
      </c>
    </row>
    <row r="12" customFormat="false" ht="15" hidden="false" customHeight="false" outlineLevel="0" collapsed="false">
      <c r="A12" s="7" t="s">
        <v>97</v>
      </c>
      <c r="B12" s="24" t="n">
        <f aca="false">Hedged/Spot-Hedged/Fwd1</f>
        <v>1233698.23893385</v>
      </c>
    </row>
    <row r="14" customFormat="false" ht="15" hidden="false" customHeight="false" outlineLevel="0" collapsed="false">
      <c r="A14" s="4" t="s">
        <v>98</v>
      </c>
      <c r="B14" s="6"/>
    </row>
    <row r="16" customFormat="false" ht="15" hidden="false" customHeight="false" outlineLevel="0" collapsed="false">
      <c r="A16" s="7" t="s">
        <v>99</v>
      </c>
      <c r="B16" s="26" t="n">
        <f aca="false">Hedged/Fwd1</f>
        <v>106766301.761066</v>
      </c>
    </row>
    <row r="17" customFormat="false" ht="15" hidden="false" customHeight="false" outlineLevel="0" collapsed="false">
      <c r="A17" s="7" t="s">
        <v>100</v>
      </c>
      <c r="B17" s="26" t="n">
        <f aca="false">Hedged*INDEX(DFU,1)/Spot/INDEX(DFG,1)</f>
        <v>106766301.761066</v>
      </c>
    </row>
    <row r="18" customFormat="false" ht="15" hidden="false" customHeight="false" outlineLevel="0" collapsed="false">
      <c r="A18" s="7" t="s">
        <v>101</v>
      </c>
      <c r="B18" s="27" t="n">
        <f aca="false">'Forward points'!$B$16-'Forward points'!$B$17</f>
        <v>0</v>
      </c>
    </row>
    <row r="19" customFormat="false" ht="15" hidden="false" customHeight="false" outlineLevel="0" collapsed="false">
      <c r="A19" s="9" t="s">
        <v>102</v>
      </c>
    </row>
    <row r="21" customFormat="false" ht="15" hidden="false" customHeight="false" outlineLevel="0" collapsed="false">
      <c r="A21" s="4" t="s">
        <v>103</v>
      </c>
      <c r="B21" s="6"/>
    </row>
    <row r="23" customFormat="false" ht="15" hidden="false" customHeight="false" outlineLevel="0" collapsed="false">
      <c r="A23" s="7" t="s">
        <v>104</v>
      </c>
      <c r="B23" s="24" t="n">
        <f aca="false">UsdSales/Spot</f>
        <v>144000000</v>
      </c>
    </row>
    <row r="24" customFormat="false" ht="15" hidden="false" customHeight="false" outlineLevel="0" collapsed="false">
      <c r="A24" s="7" t="s">
        <v>105</v>
      </c>
      <c r="B24" s="17" t="n">
        <f aca="false">UsdSales/Spot/Rev</f>
        <v>0.423529411764706</v>
      </c>
    </row>
    <row r="25" customFormat="false" ht="15" hidden="false" customHeight="false" outlineLevel="0" collapsed="false">
      <c r="A25" s="7" t="s">
        <v>106</v>
      </c>
      <c r="B25" s="17" t="n">
        <f aca="false">UsdSales/Rev</f>
        <v>0.529411764705882</v>
      </c>
    </row>
    <row r="26" customFormat="false" ht="15" hidden="false" customHeight="false" outlineLevel="0" collapsed="false">
      <c r="A26" s="7" t="s">
        <v>107</v>
      </c>
      <c r="B26" s="17" t="n">
        <f aca="false">Ebitda/Rev</f>
        <v>0.13</v>
      </c>
    </row>
    <row r="27" customFormat="false" ht="15" hidden="false" customHeight="false" outlineLevel="0" collapsed="false">
      <c r="A27" s="9" t="s">
        <v>108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4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66"/>
    <col collapsed="false" customWidth="true" hidden="false" outlineLevel="0" max="2" min="2" style="0" width="20"/>
    <col collapsed="false" customWidth="true" hidden="false" outlineLevel="0" max="3" min="3" style="0" width="18"/>
    <col collapsed="false" customWidth="true" hidden="false" outlineLevel="0" max="4" min="4" style="0" width="16"/>
    <col collapsed="false" customWidth="true" hidden="false" outlineLevel="0" max="5" min="5" style="0" width="18"/>
  </cols>
  <sheetData>
    <row r="1" customFormat="false" ht="24" hidden="false" customHeight="true" outlineLevel="0" collapsed="false">
      <c r="A1" s="1" t="s">
        <v>109</v>
      </c>
    </row>
    <row r="2" customFormat="false" ht="15" hidden="false" customHeight="false" outlineLevel="0" collapsed="false">
      <c r="A2" s="2" t="s">
        <v>110</v>
      </c>
    </row>
    <row r="3" customFormat="false" ht="15" hidden="false" customHeight="false" outlineLevel="0" collapsed="false">
      <c r="A3" s="3"/>
      <c r="B3" s="3"/>
      <c r="C3" s="3"/>
      <c r="D3" s="3"/>
      <c r="E3" s="3"/>
    </row>
    <row r="5" customFormat="false" ht="15" hidden="false" customHeight="false" outlineLevel="0" collapsed="false">
      <c r="A5" s="4" t="s">
        <v>111</v>
      </c>
      <c r="B5" s="6"/>
      <c r="C5" s="6"/>
      <c r="D5" s="6"/>
      <c r="E5" s="6"/>
    </row>
    <row r="7" customFormat="false" ht="15" hidden="false" customHeight="false" outlineLevel="0" collapsed="false">
      <c r="A7" s="7" t="s">
        <v>112</v>
      </c>
      <c r="B7" s="24" t="n">
        <f aca="false">Hedged*BoFx/(Spot*(Spot+BoFx))</f>
        <v>69075.7914934442</v>
      </c>
    </row>
    <row r="8" customFormat="false" ht="15" hidden="false" customHeight="false" outlineLevel="0" collapsed="false">
      <c r="A8" s="7" t="s">
        <v>113</v>
      </c>
      <c r="B8" s="24" t="n">
        <f aca="false">Hedged/Fwd1*Cva</f>
        <v>117442.931937173</v>
      </c>
    </row>
    <row r="9" customFormat="false" ht="15" hidden="false" customHeight="false" outlineLevel="0" collapsed="false">
      <c r="A9" s="7" t="s">
        <v>114</v>
      </c>
      <c r="B9" s="24" t="n">
        <f aca="false">Notional*Cva</f>
        <v>132000</v>
      </c>
    </row>
    <row r="10" customFormat="false" ht="15" hidden="false" customHeight="false" outlineLevel="0" collapsed="false">
      <c r="A10" s="7" t="s">
        <v>115</v>
      </c>
      <c r="B10" s="24" t="n">
        <f aca="false">Notional*BoIrs</f>
        <v>30000</v>
      </c>
    </row>
    <row r="12" customFormat="false" ht="15" hidden="false" customHeight="false" outlineLevel="0" collapsed="false">
      <c r="A12" s="4" t="s">
        <v>116</v>
      </c>
      <c r="B12" s="6"/>
      <c r="C12" s="6"/>
      <c r="D12" s="6"/>
      <c r="E12" s="6"/>
    </row>
    <row r="14" customFormat="false" ht="15" hidden="false" customHeight="false" outlineLevel="0" collapsed="false">
      <c r="A14" s="7" t="s">
        <v>117</v>
      </c>
      <c r="B14" s="24" t="n">
        <f aca="false">'The real cost'!$B$10*Ann</f>
        <v>132800.514703042</v>
      </c>
    </row>
    <row r="15" customFormat="false" ht="15" hidden="false" customHeight="false" outlineLevel="0" collapsed="false">
      <c r="A15" s="7" t="s">
        <v>118</v>
      </c>
      <c r="B15" s="24" t="n">
        <f aca="false">'The real cost'!$B$7*Ann</f>
        <v>305776.68879498</v>
      </c>
    </row>
    <row r="16" customFormat="false" ht="15" hidden="false" customHeight="false" outlineLevel="0" collapsed="false">
      <c r="A16" s="7" t="s">
        <v>119</v>
      </c>
      <c r="B16" s="24" t="n">
        <f aca="false">('The real cost'!$B$8+'The real cost'!$B$9)*Ann</f>
        <v>1104204.99167641</v>
      </c>
    </row>
    <row r="17" customFormat="false" ht="15" hidden="false" customHeight="false" outlineLevel="0" collapsed="false">
      <c r="A17" s="7" t="s">
        <v>120</v>
      </c>
      <c r="B17" s="24" t="n">
        <f aca="false">'The real cost'!$B$14+'The real cost'!$B$15</f>
        <v>438577.203498022</v>
      </c>
    </row>
    <row r="18" customFormat="false" ht="15" hidden="false" customHeight="false" outlineLevel="0" collapsed="false">
      <c r="A18" s="7" t="s">
        <v>121</v>
      </c>
      <c r="B18" s="24" t="n">
        <f aca="false">'The real cost'!$B$17+'The real cost'!$B$16</f>
        <v>1542782.19517444</v>
      </c>
    </row>
    <row r="19" customFormat="false" ht="15" hidden="false" customHeight="false" outlineLevel="0" collapsed="false">
      <c r="A19" s="9" t="s">
        <v>122</v>
      </c>
    </row>
    <row r="21" customFormat="false" ht="15" hidden="false" customHeight="false" outlineLevel="0" collapsed="false">
      <c r="A21" s="4" t="s">
        <v>123</v>
      </c>
      <c r="B21" s="6"/>
      <c r="C21" s="6"/>
      <c r="D21" s="6"/>
      <c r="E21" s="6"/>
    </row>
    <row r="23" customFormat="false" ht="30" hidden="false" customHeight="true" outlineLevel="0" collapsed="false">
      <c r="A23" s="11" t="s">
        <v>27</v>
      </c>
      <c r="B23" s="12" t="s">
        <v>124</v>
      </c>
      <c r="C23" s="12" t="s">
        <v>125</v>
      </c>
      <c r="D23" s="12" t="s">
        <v>126</v>
      </c>
      <c r="E23" s="12" t="s">
        <v>127</v>
      </c>
    </row>
    <row r="24" customFormat="false" ht="15" hidden="false" customHeight="false" outlineLevel="0" collapsed="false">
      <c r="A24" s="7" t="s">
        <v>128</v>
      </c>
      <c r="B24" s="19" t="n">
        <f aca="false">INDEX(SpotP,1)</f>
        <v>1.25</v>
      </c>
      <c r="C24" s="24" t="n">
        <f aca="false">Hedged/B24-Hedged/(B24*Diff1)</f>
        <v>1233698.23893385</v>
      </c>
      <c r="D24" s="18" t="n">
        <f aca="false">INDEX(DFG,1)</f>
        <v>0.962927298988926</v>
      </c>
      <c r="E24" s="24" t="n">
        <f aca="false">C24*D24</f>
        <v>1187961.71298396</v>
      </c>
    </row>
    <row r="25" customFormat="false" ht="15" hidden="false" customHeight="false" outlineLevel="0" collapsed="false">
      <c r="A25" s="20" t="s">
        <v>129</v>
      </c>
      <c r="B25" s="23" t="n">
        <f aca="false">INDEX(SpotP,2)</f>
        <v>1.19</v>
      </c>
      <c r="C25" s="28" t="n">
        <f aca="false">Hedged/B25-Hedged/(B25*Diff1)</f>
        <v>1295901.51148513</v>
      </c>
      <c r="D25" s="22" t="n">
        <f aca="false">INDEX(DFG,2)</f>
        <v>0.924865833333565</v>
      </c>
      <c r="E25" s="28" t="n">
        <f aca="false">C25*D25</f>
        <v>1198535.03133792</v>
      </c>
    </row>
    <row r="26" customFormat="false" ht="15" hidden="false" customHeight="false" outlineLevel="0" collapsed="false">
      <c r="A26" s="7" t="s">
        <v>130</v>
      </c>
      <c r="B26" s="19" t="n">
        <f aca="false">INDEX(SpotP,3)</f>
        <v>1.14</v>
      </c>
      <c r="C26" s="24" t="n">
        <f aca="false">Hedged/B26-Hedged/(B26*Diff1)</f>
        <v>1352739.29707657</v>
      </c>
      <c r="D26" s="18" t="n">
        <f aca="false">INDEX(DFG,3)</f>
        <v>0.8857308134348</v>
      </c>
      <c r="E26" s="24" t="n">
        <f aca="false">C26*D26</f>
        <v>1198162.87796485</v>
      </c>
    </row>
    <row r="27" customFormat="false" ht="15" hidden="false" customHeight="false" outlineLevel="0" collapsed="false">
      <c r="A27" s="20" t="s">
        <v>131</v>
      </c>
      <c r="B27" s="23" t="n">
        <f aca="false">INDEX(SpotP,4)</f>
        <v>1.175</v>
      </c>
      <c r="C27" s="28" t="n">
        <f aca="false">Hedged/B27-Hedged/(B27*Diff1)</f>
        <v>1312444.935036</v>
      </c>
      <c r="D27" s="22" t="n">
        <f aca="false">INDEX(DFG,4)</f>
        <v>0.846163292379199</v>
      </c>
      <c r="E27" s="28" t="n">
        <f aca="false">C27*D27</f>
        <v>1110542.72729647</v>
      </c>
    </row>
    <row r="28" customFormat="false" ht="15" hidden="false" customHeight="false" outlineLevel="0" collapsed="false">
      <c r="A28" s="7" t="s">
        <v>132</v>
      </c>
      <c r="B28" s="19" t="n">
        <f aca="false">INDEX(SpotP,5)</f>
        <v>1.22</v>
      </c>
      <c r="C28" s="24" t="n">
        <f aca="false">Hedged/B28-Hedged/(B28*Diff1)</f>
        <v>1264035.08087485</v>
      </c>
      <c r="D28" s="18" t="n">
        <f aca="false">INDEX(DFG,5)</f>
        <v>0.806996585298245</v>
      </c>
      <c r="E28" s="24" t="n">
        <f aca="false">C28*D28</f>
        <v>1020071.99396319</v>
      </c>
    </row>
    <row r="29" customFormat="false" ht="15" hidden="false" customHeight="false" outlineLevel="0" collapsed="false">
      <c r="A29" s="29" t="s">
        <v>133</v>
      </c>
      <c r="E29" s="30" t="n">
        <f aca="false">SUM(E24:E28)</f>
        <v>5715274.34354639</v>
      </c>
    </row>
    <row r="31" customFormat="false" ht="15" hidden="false" customHeight="false" outlineLevel="0" collapsed="false">
      <c r="A31" s="7" t="s">
        <v>134</v>
      </c>
      <c r="B31" s="31" t="n">
        <f aca="false">'The real cost'!$E$29/'The real cost'!$B$18</f>
        <v>3.70452443735921</v>
      </c>
    </row>
    <row r="32" customFormat="false" ht="15" hidden="false" customHeight="false" outlineLevel="0" collapsed="false">
      <c r="A32" s="9" t="s">
        <v>135</v>
      </c>
    </row>
    <row r="34" customFormat="false" ht="15" hidden="false" customHeight="false" outlineLevel="0" collapsed="false">
      <c r="A34" s="4" t="s">
        <v>136</v>
      </c>
    </row>
    <row r="36" customFormat="false" ht="15" hidden="false" customHeight="false" outlineLevel="0" collapsed="false">
      <c r="A36" s="7" t="s">
        <v>137</v>
      </c>
      <c r="B36" s="24" t="n">
        <f aca="false">'The real cost'!$B$15/Ann</f>
        <v>69075.7914934442</v>
      </c>
    </row>
    <row r="37" customFormat="false" ht="15" hidden="false" customHeight="false" outlineLevel="0" collapsed="false">
      <c r="A37" s="7" t="s">
        <v>138</v>
      </c>
      <c r="B37" s="32" t="n">
        <f aca="false">'The real cost'!$B$36/(Hedged/Fwd1)</f>
        <v>0.00064698121367948</v>
      </c>
    </row>
    <row r="38" customFormat="false" ht="15" hidden="false" customHeight="false" outlineLevel="0" collapsed="false">
      <c r="A38" s="7" t="s">
        <v>139</v>
      </c>
      <c r="B38" s="24" t="n">
        <f aca="false">'The real cost'!$B$16/Ann</f>
        <v>249442.931937173</v>
      </c>
    </row>
    <row r="39" customFormat="false" ht="15" hidden="false" customHeight="false" outlineLevel="0" collapsed="false">
      <c r="A39" s="7" t="s">
        <v>140</v>
      </c>
      <c r="B39" s="33" t="n">
        <f aca="false">'The real cost'!$B$16/'The real cost'!$B$18</f>
        <v>0.715723188360731</v>
      </c>
    </row>
    <row r="40" customFormat="false" ht="15" hidden="false" customHeight="false" outlineLevel="0" collapsed="false">
      <c r="A40" s="7" t="s">
        <v>141</v>
      </c>
      <c r="B40" s="34" t="n">
        <f aca="false">'The real cost'!$B$16/MAX('The real cost'!$B$14,'The real cost'!$B$15)</f>
        <v>3.61114837114602</v>
      </c>
    </row>
    <row r="41" customFormat="false" ht="15" hidden="false" customHeight="false" outlineLevel="0" collapsed="false">
      <c r="A41" s="7" t="s">
        <v>142</v>
      </c>
      <c r="B41" s="34" t="n">
        <f aca="false">'The real cost'!$B$16/MIN('The real cost'!$B$14,'The real cost'!$B$15)</f>
        <v>8.31476439790576</v>
      </c>
    </row>
    <row r="42" customFormat="false" ht="15" hidden="false" customHeight="false" outlineLevel="0" collapsed="false">
      <c r="A42" s="7" t="s">
        <v>143</v>
      </c>
      <c r="B42" s="35" t="n">
        <f aca="false">'The real cost'!$B$18/Ebitda</f>
        <v>0.0349045745514578</v>
      </c>
    </row>
    <row r="44" customFormat="false" ht="15" hidden="false" customHeight="false" outlineLevel="0" collapsed="false">
      <c r="A44" s="4" t="s">
        <v>144</v>
      </c>
    </row>
    <row r="46" customFormat="false" ht="15" hidden="false" customHeight="false" outlineLevel="0" collapsed="false">
      <c r="A46" s="7" t="s">
        <v>145</v>
      </c>
      <c r="B46" s="24" t="n">
        <f aca="false">Hedged*(BoFx/2)/(Spot*(Spot+BoFx/2))*Ann</f>
        <v>152937.253016939</v>
      </c>
    </row>
    <row r="47" customFormat="false" ht="15" hidden="false" customHeight="false" outlineLevel="0" collapsed="false">
      <c r="A47" s="7" t="s">
        <v>146</v>
      </c>
      <c r="B47" s="24" t="n">
        <f aca="false">'The real cost'!$B$14+'The real cost'!$B$46+'The real cost'!$B$16</f>
        <v>1389942.7593964</v>
      </c>
    </row>
    <row r="48" customFormat="false" ht="15" hidden="false" customHeight="false" outlineLevel="0" collapsed="false">
      <c r="A48" s="7" t="s">
        <v>147</v>
      </c>
      <c r="B48" s="33" t="n">
        <f aca="false">'The real cost'!$B$16/'The real cost'!$B$47</f>
        <v>0.794424794986473</v>
      </c>
    </row>
    <row r="49" customFormat="false" ht="15" hidden="false" customHeight="false" outlineLevel="0" collapsed="false">
      <c r="A49" s="9" t="s">
        <v>148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1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6"/>
    <col collapsed="false" customWidth="true" hidden="false" outlineLevel="0" max="2" min="2" style="0" width="13"/>
    <col collapsed="false" customWidth="true" hidden="false" outlineLevel="0" max="3" min="3" style="0" width="15"/>
    <col collapsed="false" customWidth="true" hidden="false" outlineLevel="0" max="4" min="4" style="0" width="12"/>
    <col collapsed="false" customWidth="true" hidden="false" outlineLevel="0" max="8" min="5" style="0" width="15"/>
    <col collapsed="false" customWidth="true" hidden="false" outlineLevel="0" max="9" min="9" style="0" width="12"/>
    <col collapsed="false" customWidth="true" hidden="false" outlineLevel="0" max="10" min="10" style="0" width="16"/>
  </cols>
  <sheetData>
    <row r="1" customFormat="false" ht="24" hidden="false" customHeight="true" outlineLevel="0" collapsed="false">
      <c r="A1" s="1" t="s">
        <v>149</v>
      </c>
    </row>
    <row r="2" customFormat="false" ht="15" hidden="false" customHeight="false" outlineLevel="0" collapsed="false">
      <c r="A2" s="2" t="s">
        <v>150</v>
      </c>
    </row>
    <row r="3" customFormat="false" ht="15" hidden="false" customHeight="false" outlineLevel="0" collapsed="false">
      <c r="A3" s="3"/>
      <c r="B3" s="3"/>
      <c r="C3" s="3"/>
      <c r="D3" s="3"/>
      <c r="E3" s="3"/>
      <c r="F3" s="3"/>
      <c r="G3" s="3"/>
      <c r="H3" s="3"/>
      <c r="I3" s="3"/>
      <c r="J3" s="3"/>
    </row>
    <row r="5" customFormat="false" ht="15" hidden="false" customHeight="false" outlineLevel="0" collapsed="false">
      <c r="A5" s="4" t="s">
        <v>151</v>
      </c>
      <c r="B5" s="6"/>
      <c r="C5" s="6"/>
      <c r="D5" s="6"/>
      <c r="E5" s="6"/>
      <c r="F5" s="6"/>
      <c r="G5" s="6"/>
      <c r="H5" s="6"/>
      <c r="I5" s="6"/>
      <c r="J5" s="6"/>
    </row>
    <row r="7" customFormat="false" ht="30" hidden="false" customHeight="true" outlineLevel="0" collapsed="false">
      <c r="A7" s="11" t="s">
        <v>27</v>
      </c>
      <c r="B7" s="12" t="s">
        <v>152</v>
      </c>
      <c r="C7" s="12" t="s">
        <v>153</v>
      </c>
      <c r="D7" s="12" t="s">
        <v>154</v>
      </c>
      <c r="E7" s="12" t="s">
        <v>155</v>
      </c>
      <c r="F7" s="12" t="s">
        <v>156</v>
      </c>
      <c r="G7" s="12" t="s">
        <v>157</v>
      </c>
      <c r="H7" s="12" t="s">
        <v>158</v>
      </c>
      <c r="I7" s="12" t="s">
        <v>126</v>
      </c>
      <c r="J7" s="12" t="s">
        <v>159</v>
      </c>
    </row>
    <row r="8" customFormat="false" ht="15" hidden="false" customHeight="false" outlineLevel="0" collapsed="false">
      <c r="A8" s="7" t="s">
        <v>128</v>
      </c>
      <c r="B8" s="17" t="n">
        <f aca="false">INDEX(LibP,1)</f>
        <v>0.0385</v>
      </c>
      <c r="C8" s="17" t="n">
        <f aca="false">INDEX(FWDIMP,1)</f>
        <v>0.0385</v>
      </c>
      <c r="D8" s="36" t="n">
        <f aca="false">(B8-C8)*10000</f>
        <v>0</v>
      </c>
      <c r="E8" s="24" t="n">
        <f aca="false">Notional*(B8-SwapPaid)</f>
        <v>-642000.000000005</v>
      </c>
      <c r="F8" s="24" t="n">
        <f aca="false">Debt*B8</f>
        <v>5775000</v>
      </c>
      <c r="G8" s="24" t="n">
        <f aca="false">F8-E8</f>
        <v>6417000.00000001</v>
      </c>
      <c r="H8" s="24" t="n">
        <f aca="false">Notional*SwapPaid+(Debt-Notional)*B8</f>
        <v>6417000.00000001</v>
      </c>
      <c r="I8" s="18" t="n">
        <f aca="false">INDEX(DFG,1)</f>
        <v>0.962927298988926</v>
      </c>
      <c r="J8" s="24" t="n">
        <f aca="false">Notional*(C8-SwapPaid)*I8</f>
        <v>-618199.325950898</v>
      </c>
    </row>
    <row r="9" customFormat="false" ht="15" hidden="false" customHeight="false" outlineLevel="0" collapsed="false">
      <c r="A9" s="20" t="s">
        <v>129</v>
      </c>
      <c r="B9" s="21" t="n">
        <f aca="false">INDEX(LibP,2)</f>
        <v>0.0455</v>
      </c>
      <c r="C9" s="21" t="n">
        <f aca="false">INDEX(FWDIMP,2)</f>
        <v>0.0411534995494143</v>
      </c>
      <c r="D9" s="37" t="n">
        <f aca="false">(B9-C9)*10000</f>
        <v>43.4650045058572</v>
      </c>
      <c r="E9" s="28" t="n">
        <f aca="false">Notional*(B9-SwapPaid)</f>
        <v>197999.999999995</v>
      </c>
      <c r="F9" s="28" t="n">
        <f aca="false">Debt*B9</f>
        <v>6825000</v>
      </c>
      <c r="G9" s="28" t="n">
        <f aca="false">F9-E9</f>
        <v>6627000.00000001</v>
      </c>
      <c r="H9" s="28" t="n">
        <f aca="false">Notional*SwapPaid+(Debt-Notional)*B9</f>
        <v>6627000.00000001</v>
      </c>
      <c r="I9" s="22" t="n">
        <f aca="false">INDEX(DFG,2)</f>
        <v>0.924865833333565</v>
      </c>
      <c r="J9" s="28" t="n">
        <f aca="false">Notional*(C9-SwapPaid)*I9</f>
        <v>-299268.136357841</v>
      </c>
    </row>
    <row r="10" customFormat="false" ht="15" hidden="false" customHeight="false" outlineLevel="0" collapsed="false">
      <c r="A10" s="7" t="s">
        <v>130</v>
      </c>
      <c r="B10" s="17" t="n">
        <f aca="false">INDEX(LibP,3)</f>
        <v>0.052</v>
      </c>
      <c r="C10" s="17" t="n">
        <f aca="false">INDEX(FWDIMP,3)</f>
        <v>0.0441838754000239</v>
      </c>
      <c r="D10" s="36" t="n">
        <f aca="false">(B10-C10)*10000</f>
        <v>78.1612459997611</v>
      </c>
      <c r="E10" s="24" t="n">
        <f aca="false">Notional*(B10-SwapPaid)</f>
        <v>977999.999999995</v>
      </c>
      <c r="F10" s="24" t="n">
        <f aca="false">Debt*B10</f>
        <v>7800000</v>
      </c>
      <c r="G10" s="24" t="n">
        <f aca="false">F10-E10</f>
        <v>6822000.00000001</v>
      </c>
      <c r="H10" s="24" t="n">
        <f aca="false">Notional*SwapPaid+(Debt-Notional)*B10</f>
        <v>6822000.00000001</v>
      </c>
      <c r="I10" s="18" t="n">
        <f aca="false">INDEX(DFG,3)</f>
        <v>0.8857308134348</v>
      </c>
      <c r="J10" s="24" t="n">
        <f aca="false">Notional*(C10-SwapPaid)*I10</f>
        <v>35486.8475578787</v>
      </c>
    </row>
    <row r="11" customFormat="false" ht="15" hidden="false" customHeight="false" outlineLevel="0" collapsed="false">
      <c r="A11" s="20" t="s">
        <v>131</v>
      </c>
      <c r="B11" s="21" t="n">
        <f aca="false">INDEX(LibP,4)</f>
        <v>0.0495</v>
      </c>
      <c r="C11" s="21" t="n">
        <f aca="false">INDEX(FWDIMP,4)</f>
        <v>0.0467610937651841</v>
      </c>
      <c r="D11" s="37" t="n">
        <f aca="false">(B11-C11)*10000</f>
        <v>27.3890623481589</v>
      </c>
      <c r="E11" s="28" t="n">
        <f aca="false">Notional*(B11-SwapPaid)</f>
        <v>677999.999999995</v>
      </c>
      <c r="F11" s="28" t="n">
        <f aca="false">Debt*B11</f>
        <v>7425000</v>
      </c>
      <c r="G11" s="28" t="n">
        <f aca="false">F11-E11</f>
        <v>6747000.00000001</v>
      </c>
      <c r="H11" s="28" t="n">
        <f aca="false">Notional*SwapPaid+(Debt-Notional)*B11</f>
        <v>6747000.00000001</v>
      </c>
      <c r="I11" s="22" t="n">
        <f aca="false">INDEX(DFG,4)</f>
        <v>0.846163292379199</v>
      </c>
      <c r="J11" s="28" t="n">
        <f aca="false">Notional*(C11-SwapPaid)*I11</f>
        <v>295591.282172726</v>
      </c>
    </row>
    <row r="12" customFormat="false" ht="15" hidden="false" customHeight="false" outlineLevel="0" collapsed="false">
      <c r="A12" s="7" t="s">
        <v>132</v>
      </c>
      <c r="B12" s="17" t="n">
        <f aca="false">INDEX(LibP,5)</f>
        <v>0.043</v>
      </c>
      <c r="C12" s="17" t="n">
        <f aca="false">INDEX(FWDIMP,5)</f>
        <v>0.048533919219099</v>
      </c>
      <c r="D12" s="36" t="n">
        <f aca="false">(B12-C12)*10000</f>
        <v>-55.33919219099</v>
      </c>
      <c r="E12" s="24" t="n">
        <f aca="false">Notional*(B12-SwapPaid)</f>
        <v>-102000.000000005</v>
      </c>
      <c r="F12" s="24" t="n">
        <f aca="false">Debt*B12</f>
        <v>6450000</v>
      </c>
      <c r="G12" s="24" t="n">
        <f aca="false">F12-E12</f>
        <v>6552000.00000001</v>
      </c>
      <c r="H12" s="24" t="n">
        <f aca="false">Notional*SwapPaid+(Debt-Notional)*B12</f>
        <v>6552000.00000001</v>
      </c>
      <c r="I12" s="18" t="n">
        <f aca="false">INDEX(DFG,5)</f>
        <v>0.806996585298245</v>
      </c>
      <c r="J12" s="24" t="n">
        <f aca="false">Notional*(C12-SwapPaid)*I12</f>
        <v>453588.817875082</v>
      </c>
    </row>
    <row r="13" customFormat="false" ht="15" hidden="false" customHeight="false" outlineLevel="0" collapsed="false">
      <c r="A13" s="29" t="s">
        <v>160</v>
      </c>
      <c r="E13" s="30" t="n">
        <f aca="false">SUM(E8:E12)</f>
        <v>1109999.99999997</v>
      </c>
      <c r="F13" s="30" t="n">
        <f aca="false">SUM(F8:F12)</f>
        <v>34275000</v>
      </c>
      <c r="G13" s="30" t="n">
        <f aca="false">SUM(G8:G12)</f>
        <v>33165000</v>
      </c>
      <c r="H13" s="30" t="n">
        <f aca="false">SUM(H8:H12)</f>
        <v>33165000</v>
      </c>
      <c r="J13" s="30" t="n">
        <f aca="false">SUM(J8:J12)</f>
        <v>-132800.514703052</v>
      </c>
    </row>
    <row r="15" customFormat="false" ht="15" hidden="false" customHeight="false" outlineLevel="0" collapsed="false">
      <c r="A15" s="7" t="s">
        <v>161</v>
      </c>
      <c r="B15" s="17" t="n">
        <f aca="false">SwapPaid</f>
        <v>0.04385</v>
      </c>
    </row>
    <row r="16" customFormat="false" ht="15" hidden="false" customHeight="false" outlineLevel="0" collapsed="false">
      <c r="A16" s="7" t="s">
        <v>78</v>
      </c>
      <c r="B16" s="17" t="n">
        <f aca="false">SwapMid</f>
        <v>0.0436</v>
      </c>
    </row>
    <row r="17" customFormat="false" ht="15" hidden="false" customHeight="false" outlineLevel="0" collapsed="false">
      <c r="A17" s="7" t="s">
        <v>162</v>
      </c>
      <c r="B17" s="27" t="n">
        <f aca="false">'The swap'!$H$13-'The swap'!$G$13</f>
        <v>0</v>
      </c>
    </row>
    <row r="18" customFormat="false" ht="15" hidden="false" customHeight="false" outlineLevel="0" collapsed="false">
      <c r="A18" s="9" t="s">
        <v>163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68"/>
    <col collapsed="false" customWidth="true" hidden="false" outlineLevel="0" max="2" min="2" style="0" width="22"/>
  </cols>
  <sheetData>
    <row r="1" customFormat="false" ht="24" hidden="false" customHeight="true" outlineLevel="0" collapsed="false">
      <c r="A1" s="1" t="s">
        <v>164</v>
      </c>
    </row>
    <row r="2" customFormat="false" ht="15" hidden="false" customHeight="false" outlineLevel="0" collapsed="false">
      <c r="A2" s="2" t="s">
        <v>165</v>
      </c>
    </row>
    <row r="3" customFormat="false" ht="15" hidden="false" customHeight="false" outlineLevel="0" collapsed="false">
      <c r="A3" s="3"/>
      <c r="B3" s="3"/>
    </row>
    <row r="5" customFormat="false" ht="15" hidden="false" customHeight="false" outlineLevel="0" collapsed="false">
      <c r="A5" s="4" t="s">
        <v>166</v>
      </c>
      <c r="B5" s="6"/>
    </row>
    <row r="7" customFormat="false" ht="15" hidden="false" customHeight="false" outlineLevel="0" collapsed="false">
      <c r="A7" s="7" t="s">
        <v>167</v>
      </c>
      <c r="B7" s="17" t="n">
        <f aca="false">SwapMid</f>
        <v>0.0436</v>
      </c>
    </row>
    <row r="8" customFormat="false" ht="15" hidden="false" customHeight="false" outlineLevel="0" collapsed="false">
      <c r="A8" s="7" t="s">
        <v>168</v>
      </c>
      <c r="B8" s="17" t="n">
        <f aca="false">SwapPaid</f>
        <v>0.04385</v>
      </c>
    </row>
    <row r="9" customFormat="false" ht="15" hidden="false" customHeight="false" outlineLevel="0" collapsed="false">
      <c r="A9" s="7" t="s">
        <v>169</v>
      </c>
      <c r="B9" s="24" t="n">
        <f aca="false">Notional*(SwapPaid-SwapMid)</f>
        <v>30000</v>
      </c>
    </row>
    <row r="10" customFormat="false" ht="15" hidden="false" customHeight="false" outlineLevel="0" collapsed="false">
      <c r="A10" s="7" t="s">
        <v>170</v>
      </c>
      <c r="B10" s="24" t="n">
        <f aca="false">'Hedge accounting'!$B$9*Ann</f>
        <v>132800.514703042</v>
      </c>
    </row>
    <row r="12" customFormat="false" ht="15" hidden="false" customHeight="false" outlineLevel="0" collapsed="false">
      <c r="A12" s="4" t="s">
        <v>171</v>
      </c>
      <c r="B12" s="6"/>
    </row>
    <row r="14" customFormat="false" ht="15" hidden="false" customHeight="false" outlineLevel="0" collapsed="false">
      <c r="A14" s="7" t="s">
        <v>172</v>
      </c>
      <c r="B14" s="24" t="n">
        <f aca="false">Notional*(SUMPRODUCT(FWDIMP,DFG)-SwapPaid*SUM(DFG))</f>
        <v>-132800.514703051</v>
      </c>
    </row>
    <row r="15" customFormat="false" ht="15" hidden="false" customHeight="false" outlineLevel="0" collapsed="false">
      <c r="A15" s="7" t="s">
        <v>173</v>
      </c>
      <c r="B15" s="24" t="n">
        <f aca="false">Notional*(SUMPRODUCT(FWDIMP,DFG)-SwapMid*SUM(DFG))</f>
        <v>0</v>
      </c>
    </row>
    <row r="16" customFormat="false" ht="15" hidden="false" customHeight="false" outlineLevel="0" collapsed="false">
      <c r="A16" s="7" t="s">
        <v>174</v>
      </c>
      <c r="B16" s="24" t="n">
        <f aca="false">'Hedge accounting'!$B$15-'Hedge accounting'!$B$14</f>
        <v>132800.514703051</v>
      </c>
    </row>
    <row r="17" customFormat="false" ht="15" hidden="false" customHeight="false" outlineLevel="0" collapsed="false">
      <c r="A17" s="7" t="s">
        <v>175</v>
      </c>
      <c r="B17" s="27" t="n">
        <f aca="false">'Hedge accounting'!$B$16-'Hedge accounting'!$B$10</f>
        <v>8.70204530656338E-009</v>
      </c>
    </row>
    <row r="18" customFormat="false" ht="15" hidden="false" customHeight="false" outlineLevel="0" collapsed="false">
      <c r="A18" s="9" t="s">
        <v>176</v>
      </c>
    </row>
    <row r="20" customFormat="false" ht="15" hidden="false" customHeight="false" outlineLevel="0" collapsed="false">
      <c r="A20" s="4" t="s">
        <v>177</v>
      </c>
      <c r="B20" s="6"/>
    </row>
    <row r="22" customFormat="false" ht="15" hidden="false" customHeight="false" outlineLevel="0" collapsed="false">
      <c r="A22" s="7" t="s">
        <v>178</v>
      </c>
      <c r="B22" s="24" t="n">
        <f aca="false">Opened</f>
        <v>45000000</v>
      </c>
    </row>
    <row r="23" customFormat="false" ht="15" hidden="false" customHeight="false" outlineLevel="0" collapsed="false">
      <c r="A23" s="7" t="s">
        <v>179</v>
      </c>
      <c r="B23" s="24" t="n">
        <f aca="false">Opened/MAX(SpotP)</f>
        <v>35714285.7142857</v>
      </c>
    </row>
    <row r="24" customFormat="false" ht="15" hidden="false" customHeight="false" outlineLevel="0" collapsed="false">
      <c r="A24" s="7" t="s">
        <v>180</v>
      </c>
      <c r="B24" s="24" t="n">
        <f aca="false">Opened/MIN(SpotP)</f>
        <v>39473684.2105263</v>
      </c>
    </row>
    <row r="25" customFormat="false" ht="15" hidden="false" customHeight="false" outlineLevel="0" collapsed="false">
      <c r="A25" s="7" t="s">
        <v>181</v>
      </c>
      <c r="B25" s="24" t="n">
        <f aca="false">'Hedge accounting'!$B$24-'Hedge accounting'!$B$23</f>
        <v>3759398.4962406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5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7"/>
    <col collapsed="false" customWidth="true" hidden="false" outlineLevel="0" max="2" min="2" style="0" width="72"/>
    <col collapsed="false" customWidth="true" hidden="false" outlineLevel="0" max="4" min="3" style="0" width="20"/>
    <col collapsed="false" customWidth="true" hidden="false" outlineLevel="0" max="5" min="5" style="0" width="16"/>
    <col collapsed="false" customWidth="true" hidden="false" outlineLevel="0" max="6" min="6" style="0" width="11"/>
  </cols>
  <sheetData>
    <row r="1" customFormat="false" ht="24" hidden="false" customHeight="true" outlineLevel="0" collapsed="false">
      <c r="A1" s="1" t="s">
        <v>182</v>
      </c>
    </row>
    <row r="2" customFormat="false" ht="15" hidden="false" customHeight="false" outlineLevel="0" collapsed="false">
      <c r="A2" s="2" t="s">
        <v>183</v>
      </c>
    </row>
    <row r="3" customFormat="false" ht="15" hidden="false" customHeight="false" outlineLevel="0" collapsed="false">
      <c r="A3" s="3"/>
      <c r="B3" s="3"/>
      <c r="C3" s="3"/>
      <c r="D3" s="3"/>
      <c r="E3" s="3"/>
      <c r="F3" s="3"/>
    </row>
    <row r="5" customFormat="false" ht="15" hidden="false" customHeight="false" outlineLevel="0" collapsed="false">
      <c r="A5" s="9" t="s">
        <v>184</v>
      </c>
    </row>
    <row r="7" customFormat="false" ht="30" hidden="false" customHeight="true" outlineLevel="0" collapsed="false">
      <c r="A7" s="11" t="s">
        <v>185</v>
      </c>
      <c r="B7" s="12" t="s">
        <v>186</v>
      </c>
      <c r="C7" s="12" t="s">
        <v>187</v>
      </c>
      <c r="D7" s="12" t="s">
        <v>188</v>
      </c>
      <c r="E7" s="12" t="s">
        <v>189</v>
      </c>
      <c r="F7" s="12" t="s">
        <v>190</v>
      </c>
    </row>
    <row r="8" customFormat="false" ht="15" hidden="false" customHeight="false" outlineLevel="0" collapsed="false">
      <c r="A8" s="7" t="s">
        <v>191</v>
      </c>
      <c r="B8" s="7" t="s">
        <v>192</v>
      </c>
      <c r="C8" s="18" t="n">
        <v>0.962927</v>
      </c>
      <c r="D8" s="18" t="n">
        <f aca="false">INDEX(DFG,1)</f>
        <v>0.962927298988926</v>
      </c>
      <c r="E8" s="27" t="n">
        <f aca="false">D8-C8</f>
        <v>2.98988926394905E-007</v>
      </c>
      <c r="F8" s="38" t="str">
        <f aca="false">IF(ABS(E8)&lt;=0.0000005,"PASS","FAIL")</f>
        <v>PASS</v>
      </c>
    </row>
    <row r="9" customFormat="false" ht="15" hidden="false" customHeight="false" outlineLevel="0" collapsed="false">
      <c r="A9" s="20" t="s">
        <v>191</v>
      </c>
      <c r="B9" s="20" t="s">
        <v>193</v>
      </c>
      <c r="C9" s="22" t="n">
        <v>0.806997</v>
      </c>
      <c r="D9" s="22" t="n">
        <f aca="false">INDEX(DFG,5)</f>
        <v>0.806996585298245</v>
      </c>
      <c r="E9" s="39" t="n">
        <f aca="false">D9-C9</f>
        <v>-4.14701754603009E-007</v>
      </c>
      <c r="F9" s="40" t="str">
        <f aca="false">IF(ABS(E9)&lt;=0.0000005,"PASS","FAIL")</f>
        <v>PASS</v>
      </c>
    </row>
    <row r="10" customFormat="false" ht="15" hidden="false" customHeight="false" outlineLevel="0" collapsed="false">
      <c r="A10" s="7" t="s">
        <v>191</v>
      </c>
      <c r="B10" s="7" t="s">
        <v>194</v>
      </c>
      <c r="C10" s="19" t="n">
        <v>1.2644</v>
      </c>
      <c r="D10" s="19" t="n">
        <f aca="false">INDEX(FWDFX,1)</f>
        <v>1.26444390948483</v>
      </c>
      <c r="E10" s="27" t="n">
        <f aca="false">D10-C10</f>
        <v>4.39094848341259E-005</v>
      </c>
      <c r="F10" s="38" t="str">
        <f aca="false">IF(ABS(E10)&lt;=0.00005,"PASS","FAIL")</f>
        <v>PASS</v>
      </c>
    </row>
    <row r="11" customFormat="false" ht="15" hidden="false" customHeight="false" outlineLevel="0" collapsed="false">
      <c r="A11" s="20" t="s">
        <v>191</v>
      </c>
      <c r="B11" s="20" t="s">
        <v>195</v>
      </c>
      <c r="C11" s="23" t="n">
        <v>1.3121</v>
      </c>
      <c r="D11" s="23" t="n">
        <f aca="false">INDEX(FWDFX,5)</f>
        <v>1.31208532909276</v>
      </c>
      <c r="E11" s="39" t="n">
        <f aca="false">D11-C11</f>
        <v>-1.46709072352813E-005</v>
      </c>
      <c r="F11" s="40" t="str">
        <f aca="false">IF(ABS(E11)&lt;=0.00005,"PASS","FAIL")</f>
        <v>PASS</v>
      </c>
    </row>
    <row r="12" customFormat="false" ht="15" hidden="false" customHeight="false" outlineLevel="0" collapsed="false">
      <c r="A12" s="7" t="s">
        <v>191</v>
      </c>
      <c r="B12" s="7" t="s">
        <v>196</v>
      </c>
      <c r="C12" s="17" t="n">
        <v>0.041153</v>
      </c>
      <c r="D12" s="17" t="n">
        <f aca="false">INDEX(FWDIMP,2)</f>
        <v>0.0411534995494143</v>
      </c>
      <c r="E12" s="27" t="n">
        <f aca="false">D12-C12</f>
        <v>4.99549414272049E-007</v>
      </c>
      <c r="F12" s="38" t="str">
        <f aca="false">IF(ABS(E12)&lt;=0.0000005,"PASS","FAIL")</f>
        <v>PASS</v>
      </c>
    </row>
    <row r="13" customFormat="false" ht="15" hidden="false" customHeight="false" outlineLevel="0" collapsed="false">
      <c r="A13" s="20" t="s">
        <v>191</v>
      </c>
      <c r="B13" s="20" t="s">
        <v>197</v>
      </c>
      <c r="C13" s="21" t="n">
        <v>0.048534</v>
      </c>
      <c r="D13" s="21" t="n">
        <f aca="false">INDEX(FWDIMP,5)</f>
        <v>0.048533919219099</v>
      </c>
      <c r="E13" s="39" t="n">
        <f aca="false">D13-C13</f>
        <v>-8.0780901003108E-008</v>
      </c>
      <c r="F13" s="40" t="str">
        <f aca="false">IF(ABS(E13)&lt;=0.0000005,"PASS","FAIL")</f>
        <v>PASS</v>
      </c>
    </row>
    <row r="14" customFormat="false" ht="15" hidden="false" customHeight="false" outlineLevel="0" collapsed="false">
      <c r="A14" s="7" t="s">
        <v>191</v>
      </c>
      <c r="B14" s="7" t="s">
        <v>78</v>
      </c>
      <c r="C14" s="17" t="n">
        <v>0.0436</v>
      </c>
      <c r="D14" s="17" t="n">
        <f aca="false">SwapMid</f>
        <v>0.0436</v>
      </c>
      <c r="E14" s="27" t="n">
        <f aca="false">D14-C14</f>
        <v>0</v>
      </c>
      <c r="F14" s="38" t="str">
        <f aca="false">IF(ABS(E14)&lt;=0.0000005,"PASS","FAIL")</f>
        <v>PASS</v>
      </c>
    </row>
    <row r="15" customFormat="false" ht="15" hidden="false" customHeight="false" outlineLevel="0" collapsed="false">
      <c r="A15" s="20" t="s">
        <v>191</v>
      </c>
      <c r="B15" s="20" t="s">
        <v>94</v>
      </c>
      <c r="C15" s="23" t="n">
        <v>0.0144</v>
      </c>
      <c r="D15" s="23" t="n">
        <f aca="false">'Forward points'!$B$9</f>
        <v>0.0144439094848339</v>
      </c>
      <c r="E15" s="39" t="n">
        <f aca="false">D15-C15</f>
        <v>4.39094848338727E-005</v>
      </c>
      <c r="F15" s="40" t="str">
        <f aca="false">IF(ABS(E15)&lt;=0.00005,"PASS","FAIL")</f>
        <v>PASS</v>
      </c>
    </row>
    <row r="16" customFormat="false" ht="15" hidden="false" customHeight="false" outlineLevel="0" collapsed="false">
      <c r="A16" s="7" t="s">
        <v>191</v>
      </c>
      <c r="B16" s="7" t="s">
        <v>198</v>
      </c>
      <c r="C16" s="17" t="n">
        <v>0.011555</v>
      </c>
      <c r="D16" s="17" t="n">
        <f aca="false">'Forward points'!$B$10</f>
        <v>0.0115551275878671</v>
      </c>
      <c r="E16" s="27" t="n">
        <f aca="false">D16-C16</f>
        <v>1.27587867097823E-007</v>
      </c>
      <c r="F16" s="38" t="str">
        <f aca="false">IF(ABS(E16)&lt;=0.0000005,"PASS","FAIL")</f>
        <v>PASS</v>
      </c>
    </row>
    <row r="17" customFormat="false" ht="15" hidden="false" customHeight="false" outlineLevel="0" collapsed="false">
      <c r="A17" s="20" t="s">
        <v>191</v>
      </c>
      <c r="B17" s="20" t="s">
        <v>199</v>
      </c>
      <c r="C17" s="28" t="n">
        <v>1233698</v>
      </c>
      <c r="D17" s="28" t="n">
        <f aca="false">'Forward points'!$B$12</f>
        <v>1233698.23893385</v>
      </c>
      <c r="E17" s="39" t="n">
        <f aca="false">D17-C17</f>
        <v>0.238933846354485</v>
      </c>
      <c r="F17" s="40" t="str">
        <f aca="false">IF(ABS(E17)&lt;=0.5,"PASS","FAIL")</f>
        <v>PASS</v>
      </c>
    </row>
    <row r="18" customFormat="false" ht="15" hidden="false" customHeight="false" outlineLevel="0" collapsed="false">
      <c r="A18" s="7" t="s">
        <v>191</v>
      </c>
      <c r="B18" s="7" t="s">
        <v>99</v>
      </c>
      <c r="C18" s="26" t="n">
        <v>106766301.76</v>
      </c>
      <c r="D18" s="26" t="n">
        <f aca="false">'Forward points'!$B$16</f>
        <v>106766301.761066</v>
      </c>
      <c r="E18" s="27" t="n">
        <f aca="false">D18-C18</f>
        <v>0.00106614828109741</v>
      </c>
      <c r="F18" s="38" t="str">
        <f aca="false">IF(ABS(E18)&lt;=0.005,"PASS","FAIL")</f>
        <v>PASS</v>
      </c>
    </row>
    <row r="19" customFormat="false" ht="15" hidden="false" customHeight="false" outlineLevel="0" collapsed="false">
      <c r="A19" s="20" t="s">
        <v>191</v>
      </c>
      <c r="B19" s="20" t="s">
        <v>100</v>
      </c>
      <c r="C19" s="41" t="n">
        <v>106766301.76</v>
      </c>
      <c r="D19" s="41" t="n">
        <f aca="false">'Forward points'!$B$17</f>
        <v>106766301.761066</v>
      </c>
      <c r="E19" s="39" t="n">
        <f aca="false">D19-C19</f>
        <v>0.00106616318225861</v>
      </c>
      <c r="F19" s="40" t="str">
        <f aca="false">IF(ABS(E19)&lt;=0.005,"PASS","FAIL")</f>
        <v>PASS</v>
      </c>
    </row>
    <row r="20" customFormat="false" ht="15" hidden="false" customHeight="false" outlineLevel="0" collapsed="false">
      <c r="A20" s="7" t="s">
        <v>191</v>
      </c>
      <c r="B20" s="7" t="s">
        <v>105</v>
      </c>
      <c r="C20" s="17" t="n">
        <v>0.423529</v>
      </c>
      <c r="D20" s="17" t="n">
        <f aca="false">'Forward points'!$B$24</f>
        <v>0.423529411764706</v>
      </c>
      <c r="E20" s="27" t="n">
        <f aca="false">D20-C20</f>
        <v>4.11764705887663E-007</v>
      </c>
      <c r="F20" s="38" t="str">
        <f aca="false">IF(ABS(E20)&lt;=0.0000005,"PASS","FAIL")</f>
        <v>PASS</v>
      </c>
    </row>
    <row r="21" customFormat="false" ht="15" hidden="false" customHeight="false" outlineLevel="0" collapsed="false">
      <c r="A21" s="20" t="s">
        <v>191</v>
      </c>
      <c r="B21" s="20" t="s">
        <v>104</v>
      </c>
      <c r="C21" s="28" t="n">
        <v>144000000</v>
      </c>
      <c r="D21" s="28" t="n">
        <f aca="false">'Forward points'!$B$23</f>
        <v>144000000</v>
      </c>
      <c r="E21" s="39" t="n">
        <f aca="false">D21-C21</f>
        <v>0</v>
      </c>
      <c r="F21" s="40" t="str">
        <f aca="false">IF(ABS(E21)&lt;=0.5,"PASS","FAIL")</f>
        <v>PASS</v>
      </c>
    </row>
    <row r="22" customFormat="false" ht="15" hidden="false" customHeight="false" outlineLevel="0" collapsed="false">
      <c r="A22" s="7" t="s">
        <v>191</v>
      </c>
      <c r="B22" s="7" t="s">
        <v>107</v>
      </c>
      <c r="C22" s="17" t="n">
        <v>0.13</v>
      </c>
      <c r="D22" s="17" t="n">
        <f aca="false">'Forward points'!$B$26</f>
        <v>0.13</v>
      </c>
      <c r="E22" s="27" t="n">
        <f aca="false">D22-C22</f>
        <v>0</v>
      </c>
      <c r="F22" s="38" t="str">
        <f aca="false">IF(ABS(E22)&lt;=0.0000005,"PASS","FAIL")</f>
        <v>PASS</v>
      </c>
    </row>
    <row r="23" customFormat="false" ht="15" hidden="false" customHeight="false" outlineLevel="0" collapsed="false">
      <c r="A23" s="20" t="s">
        <v>200</v>
      </c>
      <c r="B23" s="20" t="s">
        <v>201</v>
      </c>
      <c r="C23" s="28" t="n">
        <v>132801</v>
      </c>
      <c r="D23" s="28" t="n">
        <f aca="false">'The real cost'!$B$14</f>
        <v>132800.514703042</v>
      </c>
      <c r="E23" s="39" t="n">
        <f aca="false">D23-C23</f>
        <v>-0.485296957951505</v>
      </c>
      <c r="F23" s="40" t="str">
        <f aca="false">IF(ABS(E23)&lt;=0.5,"PASS","FAIL")</f>
        <v>PASS</v>
      </c>
    </row>
    <row r="24" customFormat="false" ht="15" hidden="false" customHeight="false" outlineLevel="0" collapsed="false">
      <c r="A24" s="7" t="s">
        <v>200</v>
      </c>
      <c r="B24" s="7" t="s">
        <v>202</v>
      </c>
      <c r="C24" s="24" t="n">
        <v>305777</v>
      </c>
      <c r="D24" s="24" t="n">
        <f aca="false">'The real cost'!$B$15</f>
        <v>305776.68879498</v>
      </c>
      <c r="E24" s="27" t="n">
        <f aca="false">D24-C24</f>
        <v>-0.311205019883346</v>
      </c>
      <c r="F24" s="38" t="str">
        <f aca="false">IF(ABS(E24)&lt;=0.5,"PASS","FAIL")</f>
        <v>PASS</v>
      </c>
    </row>
    <row r="25" customFormat="false" ht="15" hidden="false" customHeight="false" outlineLevel="0" collapsed="false">
      <c r="A25" s="20" t="s">
        <v>200</v>
      </c>
      <c r="B25" s="20" t="s">
        <v>203</v>
      </c>
      <c r="C25" s="28" t="n">
        <v>1104205</v>
      </c>
      <c r="D25" s="28" t="n">
        <f aca="false">'The real cost'!$B$16</f>
        <v>1104204.99167641</v>
      </c>
      <c r="E25" s="39" t="n">
        <f aca="false">D25-C25</f>
        <v>-0.00832358561456204</v>
      </c>
      <c r="F25" s="40" t="str">
        <f aca="false">IF(ABS(E25)&lt;=0.5,"PASS","FAIL")</f>
        <v>PASS</v>
      </c>
    </row>
    <row r="26" customFormat="false" ht="15" hidden="false" customHeight="false" outlineLevel="0" collapsed="false">
      <c r="A26" s="7" t="s">
        <v>200</v>
      </c>
      <c r="B26" s="7" t="s">
        <v>204</v>
      </c>
      <c r="C26" s="24" t="n">
        <v>438577</v>
      </c>
      <c r="D26" s="24" t="n">
        <f aca="false">'The real cost'!$B$17</f>
        <v>438577.203498022</v>
      </c>
      <c r="E26" s="27" t="n">
        <f aca="false">D26-C26</f>
        <v>0.203498022165149</v>
      </c>
      <c r="F26" s="38" t="str">
        <f aca="false">IF(ABS(E26)&lt;=0.5,"PASS","FAIL")</f>
        <v>PASS</v>
      </c>
    </row>
    <row r="27" customFormat="false" ht="15" hidden="false" customHeight="false" outlineLevel="0" collapsed="false">
      <c r="A27" s="20" t="s">
        <v>200</v>
      </c>
      <c r="B27" s="20" t="s">
        <v>121</v>
      </c>
      <c r="C27" s="28" t="n">
        <v>1542782</v>
      </c>
      <c r="D27" s="28" t="n">
        <f aca="false">'The real cost'!$B$18</f>
        <v>1542782.19517444</v>
      </c>
      <c r="E27" s="39" t="n">
        <f aca="false">D27-C27</f>
        <v>0.195174436550587</v>
      </c>
      <c r="F27" s="40" t="str">
        <f aca="false">IF(ABS(E27)&lt;=0.5,"PASS","FAIL")</f>
        <v>PASS</v>
      </c>
    </row>
    <row r="28" customFormat="false" ht="15" hidden="false" customHeight="false" outlineLevel="0" collapsed="false">
      <c r="A28" s="7" t="s">
        <v>200</v>
      </c>
      <c r="B28" s="7" t="s">
        <v>205</v>
      </c>
      <c r="C28" s="24" t="n">
        <v>5715274</v>
      </c>
      <c r="D28" s="24" t="n">
        <f aca="false">'The real cost'!$E$29</f>
        <v>5715274.34354639</v>
      </c>
      <c r="E28" s="27" t="n">
        <f aca="false">D28-C28</f>
        <v>0.343546392396092</v>
      </c>
      <c r="F28" s="38" t="str">
        <f aca="false">IF(ABS(E28)&lt;=0.5,"PASS","FAIL")</f>
        <v>PASS</v>
      </c>
    </row>
    <row r="29" customFormat="false" ht="15" hidden="false" customHeight="false" outlineLevel="0" collapsed="false">
      <c r="A29" s="20" t="s">
        <v>200</v>
      </c>
      <c r="B29" s="20" t="s">
        <v>134</v>
      </c>
      <c r="C29" s="42" t="n">
        <v>3.7</v>
      </c>
      <c r="D29" s="42" t="n">
        <f aca="false">'The real cost'!$B$31</f>
        <v>3.70452443735921</v>
      </c>
      <c r="E29" s="39" t="n">
        <f aca="false">D29-C29</f>
        <v>0.00452443735921371</v>
      </c>
      <c r="F29" s="40" t="str">
        <f aca="false">IF(ABS(E29)&lt;=0.005,"PASS","FAIL")</f>
        <v>PASS</v>
      </c>
    </row>
    <row r="30" customFormat="false" ht="15" hidden="false" customHeight="false" outlineLevel="0" collapsed="false">
      <c r="A30" s="7" t="s">
        <v>206</v>
      </c>
      <c r="B30" s="7" t="s">
        <v>161</v>
      </c>
      <c r="C30" s="17" t="n">
        <v>0.04385</v>
      </c>
      <c r="D30" s="17" t="n">
        <f aca="false">'The swap'!$B$15</f>
        <v>0.04385</v>
      </c>
      <c r="E30" s="27" t="n">
        <f aca="false">D30-C30</f>
        <v>0</v>
      </c>
      <c r="F30" s="38" t="str">
        <f aca="false">IF(ABS(E30)&lt;=0.0000005,"PASS","FAIL")</f>
        <v>PASS</v>
      </c>
    </row>
    <row r="31" customFormat="false" ht="15" hidden="false" customHeight="false" outlineLevel="0" collapsed="false">
      <c r="A31" s="20" t="s">
        <v>206</v>
      </c>
      <c r="B31" s="20" t="s">
        <v>207</v>
      </c>
      <c r="C31" s="28" t="n">
        <v>-642000</v>
      </c>
      <c r="D31" s="28" t="n">
        <f aca="false">'The swap'!$E$8</f>
        <v>-642000.000000005</v>
      </c>
      <c r="E31" s="39" t="n">
        <f aca="false">D31-C31</f>
        <v>-5.12227416038513E-009</v>
      </c>
      <c r="F31" s="40" t="str">
        <f aca="false">IF(ABS(E31)&lt;=0.5,"PASS","FAIL")</f>
        <v>PASS</v>
      </c>
    </row>
    <row r="32" customFormat="false" ht="15" hidden="false" customHeight="false" outlineLevel="0" collapsed="false">
      <c r="A32" s="7" t="s">
        <v>206</v>
      </c>
      <c r="B32" s="7" t="s">
        <v>208</v>
      </c>
      <c r="C32" s="24" t="n">
        <v>978000</v>
      </c>
      <c r="D32" s="24" t="n">
        <f aca="false">'The swap'!$E$10</f>
        <v>977999.999999995</v>
      </c>
      <c r="E32" s="27" t="n">
        <f aca="false">D32-C32</f>
        <v>-5.23868948221207E-009</v>
      </c>
      <c r="F32" s="38" t="str">
        <f aca="false">IF(ABS(E32)&lt;=0.5,"PASS","FAIL")</f>
        <v>PASS</v>
      </c>
    </row>
    <row r="33" customFormat="false" ht="15" hidden="false" customHeight="false" outlineLevel="0" collapsed="false">
      <c r="A33" s="20" t="s">
        <v>206</v>
      </c>
      <c r="B33" s="20" t="s">
        <v>209</v>
      </c>
      <c r="C33" s="28" t="n">
        <v>1110000</v>
      </c>
      <c r="D33" s="28" t="n">
        <f aca="false">'The swap'!$E$13</f>
        <v>1109999.99999997</v>
      </c>
      <c r="E33" s="39" t="n">
        <f aca="false">D33-C33</f>
        <v>-2.56113708019257E-008</v>
      </c>
      <c r="F33" s="40" t="str">
        <f aca="false">IF(ABS(E33)&lt;=0.5,"PASS","FAIL")</f>
        <v>PASS</v>
      </c>
    </row>
    <row r="34" customFormat="false" ht="15" hidden="false" customHeight="false" outlineLevel="0" collapsed="false">
      <c r="A34" s="7" t="s">
        <v>206</v>
      </c>
      <c r="B34" s="7" t="s">
        <v>210</v>
      </c>
      <c r="C34" s="24" t="n">
        <v>6417000</v>
      </c>
      <c r="D34" s="24" t="n">
        <f aca="false">'The swap'!$G$8</f>
        <v>6417000.00000001</v>
      </c>
      <c r="E34" s="27" t="n">
        <f aca="false">D34-C34</f>
        <v>0</v>
      </c>
      <c r="F34" s="38" t="str">
        <f aca="false">IF(ABS(E34)&lt;=0.5,"PASS","FAIL")</f>
        <v>PASS</v>
      </c>
    </row>
    <row r="35" customFormat="false" ht="15" hidden="false" customHeight="false" outlineLevel="0" collapsed="false">
      <c r="A35" s="20" t="s">
        <v>206</v>
      </c>
      <c r="B35" s="20" t="s">
        <v>211</v>
      </c>
      <c r="C35" s="28" t="n">
        <v>33165000</v>
      </c>
      <c r="D35" s="28" t="n">
        <f aca="false">'The swap'!$G$13</f>
        <v>33165000</v>
      </c>
      <c r="E35" s="39" t="n">
        <f aca="false">D35-C35</f>
        <v>0</v>
      </c>
      <c r="F35" s="40" t="str">
        <f aca="false">IF(ABS(E35)&lt;=0.5,"PASS","FAIL")</f>
        <v>PASS</v>
      </c>
    </row>
    <row r="36" customFormat="false" ht="15" hidden="false" customHeight="false" outlineLevel="0" collapsed="false">
      <c r="A36" s="7" t="s">
        <v>206</v>
      </c>
      <c r="B36" s="7" t="s">
        <v>212</v>
      </c>
      <c r="C36" s="36" t="n">
        <v>43.5</v>
      </c>
      <c r="D36" s="36" t="n">
        <f aca="false">'The swap'!$D$9</f>
        <v>43.4650045058572</v>
      </c>
      <c r="E36" s="27" t="n">
        <f aca="false">D36-C36</f>
        <v>-0.0349954941427555</v>
      </c>
      <c r="F36" s="38" t="str">
        <f aca="false">IF(ABS(E36)&lt;=0.05,"PASS","FAIL")</f>
        <v>PASS</v>
      </c>
    </row>
    <row r="37" customFormat="false" ht="15" hidden="false" customHeight="false" outlineLevel="0" collapsed="false">
      <c r="A37" s="20" t="s">
        <v>206</v>
      </c>
      <c r="B37" s="20" t="s">
        <v>213</v>
      </c>
      <c r="C37" s="37" t="n">
        <v>78.2</v>
      </c>
      <c r="D37" s="37" t="n">
        <f aca="false">'The swap'!$D$10</f>
        <v>78.1612459997611</v>
      </c>
      <c r="E37" s="39" t="n">
        <f aca="false">D37-C37</f>
        <v>-0.038754000238896</v>
      </c>
      <c r="F37" s="40" t="str">
        <f aca="false">IF(ABS(E37)&lt;=0.05,"PASS","FAIL")</f>
        <v>PASS</v>
      </c>
    </row>
    <row r="38" customFormat="false" ht="15" hidden="false" customHeight="false" outlineLevel="0" collapsed="false">
      <c r="A38" s="7" t="s">
        <v>206</v>
      </c>
      <c r="B38" s="7" t="s">
        <v>214</v>
      </c>
      <c r="C38" s="36" t="n">
        <v>-55.3</v>
      </c>
      <c r="D38" s="36" t="n">
        <f aca="false">'The swap'!$D$12</f>
        <v>-55.33919219099</v>
      </c>
      <c r="E38" s="27" t="n">
        <f aca="false">D38-C38</f>
        <v>-0.0391921909900148</v>
      </c>
      <c r="F38" s="38" t="str">
        <f aca="false">IF(ABS(E38)&lt;=0.05,"PASS","FAIL")</f>
        <v>PASS</v>
      </c>
    </row>
    <row r="39" customFormat="false" ht="15" hidden="false" customHeight="false" outlineLevel="0" collapsed="false">
      <c r="A39" s="20" t="s">
        <v>206</v>
      </c>
      <c r="B39" s="20" t="s">
        <v>215</v>
      </c>
      <c r="C39" s="28" t="n">
        <v>-132801</v>
      </c>
      <c r="D39" s="28" t="n">
        <f aca="false">'The swap'!$J$13</f>
        <v>-132800.514703052</v>
      </c>
      <c r="E39" s="39" t="n">
        <f aca="false">D39-C39</f>
        <v>0.485296947532333</v>
      </c>
      <c r="F39" s="40" t="str">
        <f aca="false">IF(ABS(E39)&lt;=0.5,"PASS","FAIL")</f>
        <v>PASS</v>
      </c>
    </row>
    <row r="40" customFormat="false" ht="15" hidden="false" customHeight="false" outlineLevel="0" collapsed="false">
      <c r="A40" s="7" t="s">
        <v>216</v>
      </c>
      <c r="B40" s="7" t="s">
        <v>217</v>
      </c>
      <c r="C40" s="17" t="n">
        <v>0.0436</v>
      </c>
      <c r="D40" s="17" t="n">
        <f aca="false">'Hedge accounting'!$B$7</f>
        <v>0.0436</v>
      </c>
      <c r="E40" s="27" t="n">
        <f aca="false">D40-C40</f>
        <v>0</v>
      </c>
      <c r="F40" s="38" t="str">
        <f aca="false">IF(ABS(E40)&lt;=0.0000005,"PASS","FAIL")</f>
        <v>PASS</v>
      </c>
    </row>
    <row r="41" customFormat="false" ht="15" hidden="false" customHeight="false" outlineLevel="0" collapsed="false">
      <c r="A41" s="20" t="s">
        <v>216</v>
      </c>
      <c r="B41" s="20" t="s">
        <v>218</v>
      </c>
      <c r="C41" s="28" t="n">
        <v>132801</v>
      </c>
      <c r="D41" s="28" t="n">
        <f aca="false">'Hedge accounting'!$B$16</f>
        <v>132800.514703051</v>
      </c>
      <c r="E41" s="39" t="n">
        <f aca="false">D41-C41</f>
        <v>-0.485296949133044</v>
      </c>
      <c r="F41" s="40" t="str">
        <f aca="false">IF(ABS(E41)&lt;=0.5,"PASS","FAIL")</f>
        <v>PASS</v>
      </c>
    </row>
    <row r="42" customFormat="false" ht="15" hidden="false" customHeight="false" outlineLevel="0" collapsed="false">
      <c r="A42" s="7" t="s">
        <v>219</v>
      </c>
      <c r="B42" s="7" t="s">
        <v>220</v>
      </c>
      <c r="C42" s="24" t="n">
        <v>45000000</v>
      </c>
      <c r="D42" s="24" t="n">
        <f aca="false">'Hedge accounting'!$B$22</f>
        <v>45000000</v>
      </c>
      <c r="E42" s="27" t="n">
        <f aca="false">D42-C42</f>
        <v>0</v>
      </c>
      <c r="F42" s="38" t="str">
        <f aca="false">IF(ABS(E42)&lt;=0.5,"PASS","FAIL")</f>
        <v>PASS</v>
      </c>
    </row>
    <row r="43" customFormat="false" ht="15" hidden="false" customHeight="false" outlineLevel="0" collapsed="false">
      <c r="A43" s="20" t="s">
        <v>219</v>
      </c>
      <c r="B43" s="20" t="s">
        <v>221</v>
      </c>
      <c r="C43" s="28" t="n">
        <v>35714286</v>
      </c>
      <c r="D43" s="28" t="n">
        <f aca="false">'Hedge accounting'!$B$23</f>
        <v>35714285.7142857</v>
      </c>
      <c r="E43" s="39" t="n">
        <f aca="false">D43-C43</f>
        <v>-0.285714283585548</v>
      </c>
      <c r="F43" s="40" t="str">
        <f aca="false">IF(ABS(E43)&lt;=0.5,"PASS","FAIL")</f>
        <v>PASS</v>
      </c>
    </row>
    <row r="44" customFormat="false" ht="15" hidden="false" customHeight="false" outlineLevel="0" collapsed="false">
      <c r="A44" s="7" t="s">
        <v>219</v>
      </c>
      <c r="B44" s="7" t="s">
        <v>222</v>
      </c>
      <c r="C44" s="24" t="n">
        <v>39473684</v>
      </c>
      <c r="D44" s="24" t="n">
        <f aca="false">'Hedge accounting'!$B$24</f>
        <v>39473684.2105263</v>
      </c>
      <c r="E44" s="27" t="n">
        <f aca="false">D44-C44</f>
        <v>0.210526317358017</v>
      </c>
      <c r="F44" s="38" t="str">
        <f aca="false">IF(ABS(E44)&lt;=0.5,"PASS","FAIL")</f>
        <v>PASS</v>
      </c>
    </row>
    <row r="45" customFormat="false" ht="15" hidden="false" customHeight="false" outlineLevel="0" collapsed="false">
      <c r="A45" s="20" t="s">
        <v>219</v>
      </c>
      <c r="B45" s="20" t="s">
        <v>223</v>
      </c>
      <c r="C45" s="28" t="n">
        <v>3759398</v>
      </c>
      <c r="D45" s="28" t="n">
        <f aca="false">'Hedge accounting'!$B$25</f>
        <v>3759398.4962406</v>
      </c>
      <c r="E45" s="39" t="n">
        <f aca="false">D45-C45</f>
        <v>0.496240600943565</v>
      </c>
      <c r="F45" s="40" t="str">
        <f aca="false">IF(ABS(E45)&lt;=0.5,"PASS","FAIL")</f>
        <v>PASS</v>
      </c>
    </row>
    <row r="46" customFormat="false" ht="15" hidden="false" customHeight="false" outlineLevel="0" collapsed="false">
      <c r="A46" s="7" t="n">
        <v>2</v>
      </c>
      <c r="B46" s="7" t="s">
        <v>224</v>
      </c>
      <c r="C46" s="43" t="n">
        <v>69076</v>
      </c>
      <c r="D46" s="43" t="n">
        <f aca="false">'The real cost'!B36</f>
        <v>69075.7914934442</v>
      </c>
      <c r="E46" s="27" t="n">
        <f aca="false">D46-C46</f>
        <v>-0.208506555805798</v>
      </c>
      <c r="F46" s="38" t="str">
        <f aca="false">IF(ABS(E46)&lt;=0.5,"PASS","FAIL")</f>
        <v>PASS</v>
      </c>
    </row>
    <row r="47" customFormat="false" ht="15" hidden="false" customHeight="false" outlineLevel="0" collapsed="false">
      <c r="A47" s="20" t="n">
        <v>2</v>
      </c>
      <c r="B47" s="20" t="s">
        <v>225</v>
      </c>
      <c r="C47" s="44" t="n">
        <v>0.000647</v>
      </c>
      <c r="D47" s="44" t="n">
        <f aca="false">'The real cost'!B37</f>
        <v>0.00064698121367948</v>
      </c>
      <c r="E47" s="39" t="n">
        <f aca="false">D47-C47</f>
        <v>-1.87863205199394E-008</v>
      </c>
      <c r="F47" s="40" t="str">
        <f aca="false">IF(ABS(E47)&lt;=0.0000005,"PASS","FAIL")</f>
        <v>PASS</v>
      </c>
    </row>
    <row r="48" customFormat="false" ht="15" hidden="false" customHeight="false" outlineLevel="0" collapsed="false">
      <c r="A48" s="7" t="n">
        <v>2</v>
      </c>
      <c r="B48" s="7" t="s">
        <v>226</v>
      </c>
      <c r="C48" s="43" t="n">
        <v>249443</v>
      </c>
      <c r="D48" s="43" t="n">
        <f aca="false">'The real cost'!B38</f>
        <v>249442.931937173</v>
      </c>
      <c r="E48" s="27" t="n">
        <f aca="false">D48-C48</f>
        <v>-0.0680628272239119</v>
      </c>
      <c r="F48" s="38" t="str">
        <f aca="false">IF(ABS(E48)&lt;=0.5,"PASS","FAIL")</f>
        <v>PASS</v>
      </c>
    </row>
    <row r="49" customFormat="false" ht="15" hidden="false" customHeight="false" outlineLevel="0" collapsed="false">
      <c r="A49" s="20" t="n">
        <v>2</v>
      </c>
      <c r="B49" s="20" t="s">
        <v>140</v>
      </c>
      <c r="C49" s="23" t="n">
        <v>0.716</v>
      </c>
      <c r="D49" s="23" t="n">
        <f aca="false">'The real cost'!B39</f>
        <v>0.715723188360731</v>
      </c>
      <c r="E49" s="39" t="n">
        <f aca="false">D49-C49</f>
        <v>-0.000276811639269514</v>
      </c>
      <c r="F49" s="40" t="str">
        <f aca="false">IF(ABS(E49)&lt;=0.0005,"PASS","FAIL")</f>
        <v>PASS</v>
      </c>
    </row>
    <row r="50" customFormat="false" ht="15" hidden="false" customHeight="false" outlineLevel="0" collapsed="false">
      <c r="A50" s="7" t="n">
        <v>2</v>
      </c>
      <c r="B50" s="7" t="s">
        <v>227</v>
      </c>
      <c r="C50" s="19" t="n">
        <v>3.61</v>
      </c>
      <c r="D50" s="19" t="n">
        <f aca="false">'The real cost'!B40</f>
        <v>3.61114837114602</v>
      </c>
      <c r="E50" s="27" t="n">
        <f aca="false">D50-C50</f>
        <v>0.00114837114601496</v>
      </c>
      <c r="F50" s="38" t="str">
        <f aca="false">IF(ABS(E50)&lt;=0.005,"PASS","FAIL")</f>
        <v>PASS</v>
      </c>
    </row>
    <row r="51" customFormat="false" ht="15" hidden="false" customHeight="false" outlineLevel="0" collapsed="false">
      <c r="A51" s="20" t="n">
        <v>2</v>
      </c>
      <c r="B51" s="20" t="s">
        <v>143</v>
      </c>
      <c r="C51" s="44" t="n">
        <v>0.0349</v>
      </c>
      <c r="D51" s="44" t="n">
        <f aca="false">'The real cost'!B42</f>
        <v>0.0349045745514578</v>
      </c>
      <c r="E51" s="39" t="n">
        <f aca="false">D51-C51</f>
        <v>4.57455145783797E-006</v>
      </c>
      <c r="F51" s="40" t="str">
        <f aca="false">IF(ABS(E51)&lt;=0.00005,"PASS","FAIL")</f>
        <v>PASS</v>
      </c>
    </row>
    <row r="52" customFormat="false" ht="15" hidden="false" customHeight="false" outlineLevel="0" collapsed="false">
      <c r="A52" s="7" t="n">
        <v>9</v>
      </c>
      <c r="B52" s="7" t="s">
        <v>228</v>
      </c>
      <c r="C52" s="43" t="n">
        <v>103913</v>
      </c>
      <c r="D52" s="43" t="n">
        <f aca="false">Notional*BoIrs*(SUM(DFG)-INDEX(DFG,1))</f>
        <v>103912.695733374</v>
      </c>
      <c r="E52" s="27" t="n">
        <f aca="false">D52-C52</f>
        <v>-0.304266625738819</v>
      </c>
      <c r="F52" s="38" t="str">
        <f aca="false">IF(ABS(E52)&lt;=0.5,"PASS","FAIL")</f>
        <v>PASS</v>
      </c>
    </row>
    <row r="53" customFormat="false" ht="15" hidden="false" customHeight="false" outlineLevel="0" collapsed="false">
      <c r="A53" s="20" t="n">
        <v>10</v>
      </c>
      <c r="B53" s="20" t="s">
        <v>229</v>
      </c>
      <c r="C53" s="44" t="n">
        <v>0.0851</v>
      </c>
      <c r="D53" s="44" t="n">
        <f aca="false">'Hedge accounting'!B25/Ebitda</f>
        <v>0.0850542646208281</v>
      </c>
      <c r="E53" s="39" t="n">
        <f aca="false">D53-C53</f>
        <v>-4.57353791719212E-005</v>
      </c>
      <c r="F53" s="40" t="str">
        <f aca="false">IF(ABS(E53)&lt;=0.00005,"PASS","FAIL")</f>
        <v>PASS</v>
      </c>
    </row>
    <row r="55" customFormat="false" ht="15" hidden="false" customHeight="false" outlineLevel="0" collapsed="false">
      <c r="B55" s="29" t="s">
        <v>230</v>
      </c>
      <c r="C55" s="45" t="n">
        <f aca="false">COUNTIF(F8:F53,"PASS")</f>
        <v>46</v>
      </c>
    </row>
    <row r="56" customFormat="false" ht="15" hidden="false" customHeight="false" outlineLevel="0" collapsed="false">
      <c r="B56" s="29" t="s">
        <v>231</v>
      </c>
      <c r="C56" s="45" t="n">
        <f aca="false">COUNTIF(F8:F53,"FAIL")</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2026-08-30T01:22:03Z</dcterms:created>
  <dc:creator>openpyxl</dc:creator>
  <dc:description/>
  <dc:language>en-US</dc:language>
  <cp:lastModifiedBy/>
  <dcterms:modified xsi:type="dcterms:W3CDTF">2026-09-24T02:12:53Z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